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30" windowWidth="19320" windowHeight="7830" tabRatio="899" firstSheet="18" activeTab="20"/>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面积表4（1、2号连廊企业提供）" sheetId="85" state="hidden" r:id="rId14"/>
    <sheet name="面积表3（产业园企业提供）" sheetId="84" state="hidden" r:id="rId15"/>
    <sheet name="面积表2（仓储A、B、C区企业提供）" sheetId="80" state="hidden" r:id="rId16"/>
    <sheet name="面积表1（1-6#企业提供）" sheetId="77" r:id="rId17"/>
    <sheet name="数据-汇总表" sheetId="6" r:id="rId18"/>
    <sheet name="数据-取费表" sheetId="1" r:id="rId19"/>
    <sheet name="估价对象房地状况" sheetId="20" r:id="rId20"/>
    <sheet name="系统读取表" sheetId="74" r:id="rId21"/>
    <sheet name="结果表" sheetId="9" r:id="rId22"/>
    <sheet name="成本法" sheetId="68" r:id="rId23"/>
    <sheet name="成本法 (元)" sheetId="69" state="hidden" r:id="rId24"/>
    <sheet name="土地比较法-商业" sheetId="39" r:id="rId25"/>
    <sheet name="假设开发法" sheetId="12" state="hidden" r:id="rId26"/>
    <sheet name="收益法（四层）" sheetId="88" state="hidden" r:id="rId27"/>
    <sheet name="收益法（三层）" sheetId="87" state="hidden" r:id="rId28"/>
    <sheet name="收益法（二层）" sheetId="86" state="hidden" r:id="rId29"/>
    <sheet name="收益法（一层）" sheetId="15" r:id="rId30"/>
    <sheet name="收益法 (元)" sheetId="67" state="hidden" r:id="rId31"/>
    <sheet name="典型户型修正" sheetId="31" r:id="rId32"/>
    <sheet name="收益法（汇总）" sheetId="70" state="hidden" r:id="rId33"/>
    <sheet name="酒店收入计算" sheetId="66" state="hidden" r:id="rId34"/>
    <sheet name="比较法-住宅" sheetId="21" state="hidden" r:id="rId35"/>
    <sheet name="比较法-商业" sheetId="33" state="hidden" r:id="rId36"/>
    <sheet name="比较法-办公" sheetId="34" state="hidden" r:id="rId37"/>
    <sheet name="比较法-工业" sheetId="37" state="hidden" r:id="rId38"/>
    <sheet name="比较法-车位" sheetId="35" state="hidden" r:id="rId39"/>
    <sheet name="比较法-仓储" sheetId="36" state="hidden" r:id="rId40"/>
    <sheet name="1-6#不动产权证" sheetId="78" r:id="rId41"/>
    <sheet name="土地比较法-工业" sheetId="40" state="hidden" r:id="rId42"/>
    <sheet name="基准地价修正" sheetId="43" state="hidden" r:id="rId43"/>
    <sheet name="修正" sheetId="45" state="hidden" r:id="rId44"/>
    <sheet name="容积率修正" sheetId="46" state="hidden" r:id="rId45"/>
    <sheet name="基准地价（汇总）" sheetId="76" state="hidden" r:id="rId46"/>
    <sheet name="地价" sheetId="71" state="hidden" r:id="rId47"/>
    <sheet name="成本法（废）" sheetId="11" state="hidden" r:id="rId48"/>
    <sheet name="区片价" sheetId="44" state="hidden" r:id="rId49"/>
    <sheet name="因素修正幅度" sheetId="65" state="hidden" r:id="rId50"/>
    <sheet name="存贷款利率" sheetId="73" state="hidden" r:id="rId51"/>
    <sheet name="区片价（范围）" sheetId="75" state="hidden" r:id="rId52"/>
    <sheet name="仓储A、B、C区" sheetId="79" r:id="rId53"/>
    <sheet name="电商产业园" sheetId="81" state="hidden" r:id="rId54"/>
    <sheet name="浙商产业园" sheetId="82" state="hidden" r:id="rId55"/>
    <sheet name="1、2号连廊" sheetId="83" state="hidden" r:id="rId56"/>
  </sheets>
  <externalReferences>
    <externalReference r:id="rId57"/>
    <externalReference r:id="rId58"/>
    <externalReference r:id="rId59"/>
    <externalReference r:id="rId60"/>
    <externalReference r:id="rId61"/>
    <externalReference r:id="rId62"/>
    <externalReference r:id="rId63"/>
    <externalReference r:id="rId64"/>
  </externalReferences>
  <definedNames>
    <definedName name="_xlnm._FilterDatabase" localSheetId="36" hidden="1">'比较法-办公'!$A$1:$L$50</definedName>
    <definedName name="_xlnm._FilterDatabase" localSheetId="39" hidden="1">'比较法-仓储'!$A$1:$L$37</definedName>
    <definedName name="_xlnm._FilterDatabase" localSheetId="38" hidden="1">'比较法-车位'!$A$1:$L$39</definedName>
    <definedName name="_xlnm._FilterDatabase" localSheetId="37" hidden="1">'比较法-工业'!$A$1:$L$43</definedName>
    <definedName name="_xlnm._FilterDatabase" localSheetId="35" hidden="1">'比较法-商业'!$A$1:$L$49</definedName>
    <definedName name="_xlnm._FilterDatabase" localSheetId="34" hidden="1">'比较法-住宅'!$A$1:$L$49</definedName>
    <definedName name="_xlnm._FilterDatabase" localSheetId="11" hidden="1">'数据-基础表'!$A$12:$AT$587</definedName>
    <definedName name="_xlnm._FilterDatabase" localSheetId="41" hidden="1">'土地比较法-工业'!$A$1:$L$43</definedName>
    <definedName name="_xlnm._FilterDatabase" localSheetId="24" hidden="1">'土地比较法-商业'!$A$1:$L$48</definedName>
    <definedName name="_xlnm._FilterDatabase" localSheetId="10" hidden="1">项目基本情况!$A$42:$N$42</definedName>
    <definedName name="_xlnm.Print_Area" localSheetId="8">估价师及机构信息!$A$1:$F$29</definedName>
    <definedName name="_xlnm.Print_Area" localSheetId="30">'收益法 (元)'!$A$1:$AK$69</definedName>
    <definedName name="_xlnm.Print_Area" localSheetId="28">'收益法（二层）'!$A$1:$AK$69</definedName>
    <definedName name="_xlnm.Print_Area" localSheetId="27">'收益法（三层）'!$A$1:$AK$69</definedName>
    <definedName name="_xlnm.Print_Area" localSheetId="26">'收益法（四层）'!$A$1:$AK$69</definedName>
    <definedName name="_xlnm.Print_Area" localSheetId="29">'收益法（一层）'!$A$1:$AK$69</definedName>
    <definedName name="_xlnm.Print_Area" localSheetId="17">'数据-汇总表'!$A$1:$P$32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'土地比较法-商业'!$A$73:$M$73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'土地比较法-商业'!$B$106:$M$106</definedName>
    <definedName name="套综工程地质条件">'土地比较法-商业'!$B$125:$M$125</definedName>
    <definedName name="套综交易情况">'土地比较法-商业'!$A$73:$M$73</definedName>
    <definedName name="套综临街宽度及深度">'土地比较法-商业'!$B$121:$M$121</definedName>
    <definedName name="套综土地级别">'土地比较法-商业'!$B$108:$M$108</definedName>
    <definedName name="套综用途">'土地比较法-商业'!$B$75:$M$75</definedName>
    <definedName name="套综宗地内开发程度">'土地比较法-商业'!$B$123:$M$123</definedName>
    <definedName name="套综宗地形状">'土地比较法-商业'!$B$119:$M$119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D20" i="74" l="1"/>
  <c r="D19" i="74"/>
  <c r="D18" i="74"/>
  <c r="D17" i="74"/>
  <c r="D16" i="74"/>
  <c r="D15" i="74"/>
  <c r="G16" i="74"/>
  <c r="G17" i="74"/>
  <c r="G18" i="74"/>
  <c r="G20" i="74"/>
  <c r="G21" i="74"/>
  <c r="D22" i="74"/>
  <c r="G22" i="74"/>
  <c r="G15" i="74"/>
  <c r="B22" i="74"/>
  <c r="C22" i="74"/>
  <c r="B21" i="74"/>
  <c r="C21" i="74"/>
  <c r="D21" i="74"/>
  <c r="D3" i="31"/>
  <c r="D4" i="31"/>
  <c r="Q25" i="31"/>
  <c r="Q26" i="31"/>
  <c r="Q27" i="31"/>
  <c r="P14" i="74"/>
  <c r="Q15" i="74"/>
  <c r="B15" i="74"/>
  <c r="K15" i="74"/>
  <c r="R15" i="74"/>
  <c r="L15" i="74"/>
  <c r="S15" i="74"/>
  <c r="M15" i="74"/>
  <c r="T15" i="74"/>
  <c r="N15" i="74"/>
  <c r="U15" i="74"/>
  <c r="O15" i="74"/>
  <c r="P15" i="74"/>
  <c r="Q16" i="74"/>
  <c r="B16" i="74"/>
  <c r="K16" i="74"/>
  <c r="R16" i="74"/>
  <c r="L16" i="74"/>
  <c r="S16" i="74"/>
  <c r="M16" i="74"/>
  <c r="T16" i="74"/>
  <c r="N16" i="74"/>
  <c r="P16" i="74"/>
  <c r="Q17" i="74"/>
  <c r="B17" i="74"/>
  <c r="K17" i="74"/>
  <c r="R17" i="74"/>
  <c r="L17" i="74"/>
  <c r="S17" i="74"/>
  <c r="M17" i="74"/>
  <c r="T17" i="74"/>
  <c r="N17" i="74"/>
  <c r="P17" i="74"/>
  <c r="Q18" i="74"/>
  <c r="B18" i="74"/>
  <c r="K18" i="74"/>
  <c r="L18" i="74"/>
  <c r="M18" i="74"/>
  <c r="N18" i="74"/>
  <c r="P18" i="74"/>
  <c r="L12" i="74"/>
  <c r="M12" i="74"/>
  <c r="N12" i="74"/>
  <c r="P12" i="74"/>
  <c r="F6" i="15"/>
  <c r="F8" i="15"/>
  <c r="F7" i="15"/>
  <c r="F9" i="15"/>
  <c r="C6" i="15"/>
  <c r="F4" i="73"/>
  <c r="I1" i="73"/>
  <c r="B39" i="1"/>
  <c r="F11" i="15"/>
  <c r="C10" i="15"/>
  <c r="C5" i="15"/>
  <c r="C32" i="15"/>
  <c r="C33" i="15"/>
  <c r="R6" i="1"/>
  <c r="F35" i="15"/>
  <c r="C34" i="15"/>
  <c r="C31" i="15"/>
  <c r="M6" i="1"/>
  <c r="C14" i="15"/>
  <c r="C15" i="15"/>
  <c r="F16" i="15"/>
  <c r="C16" i="15"/>
  <c r="F43" i="15"/>
  <c r="C17" i="15"/>
  <c r="C18" i="15"/>
  <c r="C19" i="15"/>
  <c r="C20" i="15"/>
  <c r="D5" i="73"/>
  <c r="G1" i="73"/>
  <c r="B40" i="1"/>
  <c r="F24" i="15"/>
  <c r="C23" i="15"/>
  <c r="F26" i="15"/>
  <c r="C26" i="15"/>
  <c r="C24" i="15"/>
  <c r="C27" i="15"/>
  <c r="C29" i="15"/>
  <c r="F36" i="15"/>
  <c r="C36" i="15"/>
  <c r="F13" i="15"/>
  <c r="C13" i="15"/>
  <c r="F37" i="15"/>
  <c r="C37" i="15"/>
  <c r="F38" i="15"/>
  <c r="C38" i="15"/>
  <c r="C30" i="15"/>
  <c r="C39" i="15"/>
  <c r="F42" i="15"/>
  <c r="F40" i="15"/>
  <c r="L48" i="15"/>
  <c r="J53" i="15"/>
  <c r="F1" i="15"/>
  <c r="AE6" i="1"/>
  <c r="F41" i="15"/>
  <c r="C40" i="15"/>
  <c r="M6" i="15"/>
  <c r="M8" i="15"/>
  <c r="M7" i="15"/>
  <c r="M9" i="15"/>
  <c r="J6" i="15"/>
  <c r="M11" i="15"/>
  <c r="J10" i="15"/>
  <c r="J5" i="15"/>
  <c r="J26" i="15"/>
  <c r="J29" i="15"/>
  <c r="J57" i="15"/>
  <c r="J55" i="15"/>
  <c r="J58" i="15"/>
  <c r="J59" i="15"/>
  <c r="J60" i="15"/>
  <c r="L46" i="15"/>
  <c r="B2" i="15"/>
  <c r="B3" i="15"/>
  <c r="R24" i="31"/>
  <c r="S24" i="31"/>
  <c r="K12" i="74"/>
  <c r="B19" i="74"/>
  <c r="O16" i="74"/>
  <c r="O17" i="74"/>
  <c r="O18" i="74"/>
  <c r="Q19" i="74"/>
  <c r="K19" i="74"/>
  <c r="R19" i="74"/>
  <c r="L19" i="74"/>
  <c r="M19" i="74"/>
  <c r="N19" i="74"/>
  <c r="O19" i="74"/>
  <c r="K14" i="74"/>
  <c r="L14" i="74"/>
  <c r="M14" i="74"/>
  <c r="N14" i="74"/>
  <c r="O14" i="74"/>
  <c r="D10" i="68"/>
  <c r="C10" i="68"/>
  <c r="B29" i="1"/>
  <c r="C8" i="68"/>
  <c r="C5" i="68"/>
  <c r="C20" i="68"/>
  <c r="F22" i="68"/>
  <c r="C23" i="68"/>
  <c r="C24" i="68"/>
  <c r="C25" i="68"/>
  <c r="C22" i="68"/>
  <c r="F27" i="68"/>
  <c r="C28" i="68"/>
  <c r="C27" i="68"/>
  <c r="C26" i="68"/>
  <c r="D22" i="68"/>
  <c r="C29" i="68"/>
  <c r="D27" i="68"/>
  <c r="C31" i="68"/>
  <c r="F34" i="68"/>
  <c r="M7" i="1"/>
  <c r="M8" i="1"/>
  <c r="M9" i="1"/>
  <c r="M16" i="1"/>
  <c r="C34" i="68"/>
  <c r="C35" i="68"/>
  <c r="C36" i="68"/>
  <c r="D9" i="68"/>
  <c r="D19" i="68"/>
  <c r="D37" i="68"/>
  <c r="C37" i="68"/>
  <c r="C38" i="68"/>
  <c r="C33" i="68"/>
  <c r="C39" i="68"/>
  <c r="C42" i="68"/>
  <c r="C43" i="68"/>
  <c r="C41" i="68"/>
  <c r="C46" i="68"/>
  <c r="C45" i="68"/>
  <c r="C44" i="68"/>
  <c r="D41" i="68"/>
  <c r="C47" i="68"/>
  <c r="D45" i="68"/>
  <c r="C49" i="68"/>
  <c r="N16" i="1"/>
  <c r="F50" i="68"/>
  <c r="C51" i="68"/>
  <c r="C52" i="68"/>
  <c r="B2" i="68"/>
  <c r="C19" i="9"/>
  <c r="C25" i="31"/>
  <c r="R25" i="31"/>
  <c r="S25" i="31"/>
  <c r="C26" i="31"/>
  <c r="R26" i="31"/>
  <c r="S26" i="31"/>
  <c r="C27" i="31"/>
  <c r="R27" i="31"/>
  <c r="S27" i="31"/>
  <c r="R28" i="31"/>
  <c r="S28" i="31"/>
  <c r="R29" i="31"/>
  <c r="S29" i="31"/>
  <c r="R30" i="31"/>
  <c r="S30" i="31"/>
  <c r="R31" i="31"/>
  <c r="S31" i="31"/>
  <c r="R32" i="31"/>
  <c r="S32" i="31"/>
  <c r="R33" i="31"/>
  <c r="S33" i="31"/>
  <c r="R34" i="31"/>
  <c r="S34" i="31"/>
  <c r="R35" i="31"/>
  <c r="S35" i="31"/>
  <c r="R36" i="31"/>
  <c r="S36" i="31"/>
  <c r="R37" i="31"/>
  <c r="S37" i="31"/>
  <c r="R38" i="31"/>
  <c r="S38" i="31"/>
  <c r="R39" i="31"/>
  <c r="S39" i="31"/>
  <c r="R40" i="31"/>
  <c r="S40" i="31"/>
  <c r="R41" i="31"/>
  <c r="S41" i="31"/>
  <c r="R42" i="31"/>
  <c r="S42" i="31"/>
  <c r="R43" i="31"/>
  <c r="S43" i="31"/>
  <c r="R44" i="31"/>
  <c r="S44" i="31"/>
  <c r="R45" i="31"/>
  <c r="S45" i="31"/>
  <c r="R46" i="31"/>
  <c r="S46" i="31"/>
  <c r="R47" i="31"/>
  <c r="S47" i="31"/>
  <c r="R48" i="31"/>
  <c r="S48" i="31"/>
  <c r="R49" i="31"/>
  <c r="S49" i="31"/>
  <c r="R50" i="31"/>
  <c r="S50" i="31"/>
  <c r="R51" i="31"/>
  <c r="S51" i="31"/>
  <c r="R52" i="31"/>
  <c r="S52" i="31"/>
  <c r="R53" i="31"/>
  <c r="S53" i="31"/>
  <c r="R54" i="31"/>
  <c r="S54" i="31"/>
  <c r="R55" i="31"/>
  <c r="S55" i="31"/>
  <c r="R56" i="31"/>
  <c r="S56" i="31"/>
  <c r="R57" i="31"/>
  <c r="S57" i="31"/>
  <c r="R58" i="31"/>
  <c r="S58" i="31"/>
  <c r="R59" i="31"/>
  <c r="S59" i="31"/>
  <c r="R60" i="31"/>
  <c r="S60" i="31"/>
  <c r="R61" i="31"/>
  <c r="S61" i="31"/>
  <c r="R62" i="31"/>
  <c r="S62" i="31"/>
  <c r="R63" i="31"/>
  <c r="S63" i="31"/>
  <c r="R64" i="31"/>
  <c r="S64" i="31"/>
  <c r="R65" i="31"/>
  <c r="S65" i="31"/>
  <c r="R66" i="31"/>
  <c r="S66" i="31"/>
  <c r="R67" i="31"/>
  <c r="S67" i="31"/>
  <c r="R68" i="31"/>
  <c r="S68" i="31"/>
  <c r="R69" i="31"/>
  <c r="S69" i="31"/>
  <c r="R70" i="31"/>
  <c r="S70" i="31"/>
  <c r="R71" i="31"/>
  <c r="S71" i="31"/>
  <c r="R72" i="31"/>
  <c r="S72" i="31"/>
  <c r="R73" i="31"/>
  <c r="S73" i="31"/>
  <c r="R74" i="31"/>
  <c r="S74" i="31"/>
  <c r="R75" i="31"/>
  <c r="S75" i="31"/>
  <c r="R76" i="31"/>
  <c r="S76" i="31"/>
  <c r="R77" i="31"/>
  <c r="S77" i="31"/>
  <c r="R78" i="31"/>
  <c r="S78" i="31"/>
  <c r="R79" i="31"/>
  <c r="S79" i="31"/>
  <c r="R80" i="31"/>
  <c r="S80" i="31"/>
  <c r="R81" i="31"/>
  <c r="S81" i="31"/>
  <c r="R82" i="31"/>
  <c r="S82" i="31"/>
  <c r="R83" i="31"/>
  <c r="S83" i="31"/>
  <c r="R84" i="31"/>
  <c r="S84" i="31"/>
  <c r="R85" i="31"/>
  <c r="S85" i="31"/>
  <c r="R86" i="31"/>
  <c r="S86" i="31"/>
  <c r="R87" i="31"/>
  <c r="S87" i="31"/>
  <c r="R88" i="31"/>
  <c r="S88" i="31"/>
  <c r="R89" i="31"/>
  <c r="S89" i="31"/>
  <c r="R90" i="31"/>
  <c r="S90" i="31"/>
  <c r="R91" i="31"/>
  <c r="S91" i="31"/>
  <c r="R92" i="31"/>
  <c r="S92" i="31"/>
  <c r="R93" i="31"/>
  <c r="S93" i="31"/>
  <c r="R94" i="31"/>
  <c r="S94" i="31"/>
  <c r="R95" i="31"/>
  <c r="S95" i="31"/>
  <c r="R96" i="31"/>
  <c r="S96" i="31"/>
  <c r="R97" i="31"/>
  <c r="S97" i="31"/>
  <c r="R98" i="31"/>
  <c r="S98" i="31"/>
  <c r="R99" i="31"/>
  <c r="S99" i="31"/>
  <c r="R100" i="31"/>
  <c r="S100" i="31"/>
  <c r="R101" i="31"/>
  <c r="S101" i="31"/>
  <c r="R102" i="31"/>
  <c r="S102" i="31"/>
  <c r="R103" i="31"/>
  <c r="S103" i="31"/>
  <c r="R104" i="31"/>
  <c r="S104" i="31"/>
  <c r="R105" i="31"/>
  <c r="S105" i="31"/>
  <c r="R106" i="31"/>
  <c r="S106" i="31"/>
  <c r="R107" i="31"/>
  <c r="S107" i="31"/>
  <c r="R108" i="31"/>
  <c r="S108" i="31"/>
  <c r="R109" i="31"/>
  <c r="S109" i="31"/>
  <c r="R110" i="31"/>
  <c r="S110" i="31"/>
  <c r="R111" i="31"/>
  <c r="S111" i="31"/>
  <c r="R112" i="31"/>
  <c r="S112" i="31"/>
  <c r="R113" i="31"/>
  <c r="S113" i="31"/>
  <c r="R114" i="31"/>
  <c r="S114" i="31"/>
  <c r="R115" i="31"/>
  <c r="S115" i="31"/>
  <c r="R116" i="31"/>
  <c r="S116" i="31"/>
  <c r="R117" i="31"/>
  <c r="S117" i="31"/>
  <c r="R118" i="31"/>
  <c r="S118" i="31"/>
  <c r="R119" i="31"/>
  <c r="S119" i="31"/>
  <c r="R120" i="31"/>
  <c r="S120" i="31"/>
  <c r="R121" i="31"/>
  <c r="S121" i="31"/>
  <c r="R122" i="31"/>
  <c r="S122" i="31"/>
  <c r="R123" i="31"/>
  <c r="S123" i="31"/>
  <c r="R124" i="31"/>
  <c r="S124" i="31"/>
  <c r="R125" i="31"/>
  <c r="S125" i="31"/>
  <c r="R126" i="31"/>
  <c r="S126" i="31"/>
  <c r="R127" i="31"/>
  <c r="S127" i="31"/>
  <c r="R128" i="31"/>
  <c r="S128" i="31"/>
  <c r="R129" i="31"/>
  <c r="S129" i="31"/>
  <c r="R130" i="31"/>
  <c r="S130" i="31"/>
  <c r="R131" i="31"/>
  <c r="S131" i="31"/>
  <c r="R132" i="31"/>
  <c r="S132" i="31"/>
  <c r="R133" i="31"/>
  <c r="S133" i="31"/>
  <c r="R134" i="31"/>
  <c r="S134" i="31"/>
  <c r="R135" i="31"/>
  <c r="S135" i="31"/>
  <c r="R136" i="31"/>
  <c r="S136" i="31"/>
  <c r="R137" i="31"/>
  <c r="S137" i="31"/>
  <c r="R138" i="31"/>
  <c r="S138" i="31"/>
  <c r="R139" i="31"/>
  <c r="S139" i="31"/>
  <c r="R140" i="31"/>
  <c r="S140" i="31"/>
  <c r="R141" i="31"/>
  <c r="S141" i="31"/>
  <c r="R142" i="31"/>
  <c r="S142" i="31"/>
  <c r="R143" i="31"/>
  <c r="S143" i="31"/>
  <c r="R144" i="31"/>
  <c r="S144" i="31"/>
  <c r="R145" i="31"/>
  <c r="S145" i="31"/>
  <c r="R146" i="31"/>
  <c r="S146" i="31"/>
  <c r="R147" i="31"/>
  <c r="S147" i="31"/>
  <c r="R148" i="31"/>
  <c r="S148" i="31"/>
  <c r="R149" i="31"/>
  <c r="S149" i="31"/>
  <c r="R150" i="31"/>
  <c r="S150" i="31"/>
  <c r="R151" i="31"/>
  <c r="S151" i="31"/>
  <c r="R152" i="31"/>
  <c r="S152" i="31"/>
  <c r="R153" i="31"/>
  <c r="S153" i="31"/>
  <c r="R154" i="31"/>
  <c r="S154" i="31"/>
  <c r="R155" i="31"/>
  <c r="S155" i="31"/>
  <c r="R156" i="31"/>
  <c r="S156" i="31"/>
  <c r="R157" i="31"/>
  <c r="S157" i="31"/>
  <c r="R158" i="31"/>
  <c r="S158" i="31"/>
  <c r="R159" i="31"/>
  <c r="S159" i="31"/>
  <c r="R160" i="31"/>
  <c r="S160" i="31"/>
  <c r="R161" i="31"/>
  <c r="S161" i="31"/>
  <c r="R162" i="31"/>
  <c r="S162" i="31"/>
  <c r="R163" i="31"/>
  <c r="S163" i="31"/>
  <c r="R164" i="31"/>
  <c r="S164" i="31"/>
  <c r="R165" i="31"/>
  <c r="S165" i="31"/>
  <c r="R166" i="31"/>
  <c r="S166" i="31"/>
  <c r="R167" i="31"/>
  <c r="S167" i="31"/>
  <c r="R168" i="31"/>
  <c r="S168" i="31"/>
  <c r="R169" i="31"/>
  <c r="S169" i="31"/>
  <c r="R170" i="31"/>
  <c r="S170" i="31"/>
  <c r="R171" i="31"/>
  <c r="S171" i="31"/>
  <c r="R172" i="31"/>
  <c r="S172" i="31"/>
  <c r="R173" i="31"/>
  <c r="S173" i="31"/>
  <c r="R174" i="31"/>
  <c r="S174" i="31"/>
  <c r="R175" i="31"/>
  <c r="S175" i="31"/>
  <c r="R176" i="31"/>
  <c r="S176" i="31"/>
  <c r="R177" i="31"/>
  <c r="S177" i="31"/>
  <c r="R178" i="31"/>
  <c r="S178" i="31"/>
  <c r="R179" i="31"/>
  <c r="S179" i="31"/>
  <c r="R180" i="31"/>
  <c r="S180" i="31"/>
  <c r="R181" i="31"/>
  <c r="S181" i="31"/>
  <c r="R182" i="31"/>
  <c r="S182" i="31"/>
  <c r="R183" i="31"/>
  <c r="S183" i="31"/>
  <c r="R184" i="31"/>
  <c r="S184" i="31"/>
  <c r="R185" i="31"/>
  <c r="S185" i="31"/>
  <c r="R186" i="31"/>
  <c r="S186" i="31"/>
  <c r="R187" i="31"/>
  <c r="S187" i="31"/>
  <c r="R188" i="31"/>
  <c r="S188" i="31"/>
  <c r="R189" i="31"/>
  <c r="S189" i="31"/>
  <c r="R190" i="31"/>
  <c r="S190" i="31"/>
  <c r="R191" i="31"/>
  <c r="S191" i="31"/>
  <c r="R192" i="31"/>
  <c r="S192" i="31"/>
  <c r="R193" i="31"/>
  <c r="S193" i="31"/>
  <c r="R194" i="31"/>
  <c r="S194" i="31"/>
  <c r="R195" i="31"/>
  <c r="S195" i="31"/>
  <c r="R196" i="31"/>
  <c r="S196" i="31"/>
  <c r="R197" i="31"/>
  <c r="S197" i="31"/>
  <c r="R198" i="31"/>
  <c r="S198" i="31"/>
  <c r="R199" i="31"/>
  <c r="S199" i="31"/>
  <c r="R200" i="31"/>
  <c r="S200" i="31"/>
  <c r="R201" i="31"/>
  <c r="S201" i="31"/>
  <c r="R202" i="31"/>
  <c r="S202" i="31"/>
  <c r="R203" i="31"/>
  <c r="S203" i="31"/>
  <c r="R204" i="31"/>
  <c r="S204" i="31"/>
  <c r="R205" i="31"/>
  <c r="S205" i="31"/>
  <c r="R206" i="31"/>
  <c r="S206" i="31"/>
  <c r="R207" i="31"/>
  <c r="S207" i="31"/>
  <c r="R208" i="31"/>
  <c r="S208" i="31"/>
  <c r="R209" i="31"/>
  <c r="S209" i="31"/>
  <c r="R210" i="31"/>
  <c r="S210" i="31"/>
  <c r="R211" i="31"/>
  <c r="S211" i="31"/>
  <c r="R212" i="31"/>
  <c r="S212" i="31"/>
  <c r="R213" i="31"/>
  <c r="S213" i="31"/>
  <c r="R214" i="31"/>
  <c r="S214" i="31"/>
  <c r="R215" i="31"/>
  <c r="S215" i="31"/>
  <c r="R216" i="31"/>
  <c r="S216" i="31"/>
  <c r="R217" i="31"/>
  <c r="S217" i="31"/>
  <c r="R218" i="31"/>
  <c r="S218" i="31"/>
  <c r="R219" i="31"/>
  <c r="S219" i="31"/>
  <c r="R220" i="31"/>
  <c r="S220" i="31"/>
  <c r="R221" i="31"/>
  <c r="S221" i="31"/>
  <c r="R222" i="31"/>
  <c r="S222" i="31"/>
  <c r="R223" i="31"/>
  <c r="S223" i="31"/>
  <c r="R224" i="31"/>
  <c r="S224" i="31"/>
  <c r="R225" i="31"/>
  <c r="S225" i="31"/>
  <c r="R226" i="31"/>
  <c r="S226" i="31"/>
  <c r="R227" i="31"/>
  <c r="S227" i="31"/>
  <c r="R228" i="31"/>
  <c r="S228" i="31"/>
  <c r="R229" i="31"/>
  <c r="S229" i="31"/>
  <c r="R230" i="31"/>
  <c r="S230" i="31"/>
  <c r="R231" i="31"/>
  <c r="S231" i="31"/>
  <c r="R232" i="31"/>
  <c r="S232" i="31"/>
  <c r="R233" i="31"/>
  <c r="S233" i="31"/>
  <c r="R234" i="31"/>
  <c r="S234" i="31"/>
  <c r="R235" i="31"/>
  <c r="S235" i="31"/>
  <c r="R236" i="31"/>
  <c r="S236" i="31"/>
  <c r="R237" i="31"/>
  <c r="S237" i="31"/>
  <c r="R238" i="31"/>
  <c r="S238" i="31"/>
  <c r="R239" i="31"/>
  <c r="S239" i="31"/>
  <c r="R240" i="31"/>
  <c r="S240" i="31"/>
  <c r="R241" i="31"/>
  <c r="S241" i="31"/>
  <c r="R242" i="31"/>
  <c r="S242" i="31"/>
  <c r="R243" i="31"/>
  <c r="S243" i="31"/>
  <c r="R244" i="31"/>
  <c r="S244" i="31"/>
  <c r="R245" i="31"/>
  <c r="S245" i="31"/>
  <c r="R246" i="31"/>
  <c r="S246" i="31"/>
  <c r="R247" i="31"/>
  <c r="S247" i="31"/>
  <c r="R248" i="31"/>
  <c r="S248" i="31"/>
  <c r="R249" i="31"/>
  <c r="S249" i="31"/>
  <c r="R250" i="31"/>
  <c r="S250" i="31"/>
  <c r="R251" i="31"/>
  <c r="S251" i="31"/>
  <c r="R252" i="31"/>
  <c r="S252" i="31"/>
  <c r="R253" i="31"/>
  <c r="S253" i="31"/>
  <c r="R254" i="31"/>
  <c r="S254" i="31"/>
  <c r="R255" i="31"/>
  <c r="S255" i="31"/>
  <c r="R256" i="31"/>
  <c r="S256" i="31"/>
  <c r="R257" i="31"/>
  <c r="S257" i="31"/>
  <c r="R258" i="31"/>
  <c r="S258" i="31"/>
  <c r="R259" i="31"/>
  <c r="S259" i="31"/>
  <c r="R260" i="31"/>
  <c r="S260" i="31"/>
  <c r="R261" i="31"/>
  <c r="S261" i="31"/>
  <c r="R262" i="31"/>
  <c r="S262" i="31"/>
  <c r="R263" i="31"/>
  <c r="S263" i="31"/>
  <c r="R264" i="31"/>
  <c r="S264" i="31"/>
  <c r="R265" i="31"/>
  <c r="S265" i="31"/>
  <c r="R266" i="31"/>
  <c r="S266" i="31"/>
  <c r="R267" i="31"/>
  <c r="S267" i="31"/>
  <c r="R268" i="31"/>
  <c r="S268" i="31"/>
  <c r="R269" i="31"/>
  <c r="S269" i="31"/>
  <c r="R270" i="31"/>
  <c r="S270" i="31"/>
  <c r="R271" i="31"/>
  <c r="S271" i="31"/>
  <c r="R272" i="31"/>
  <c r="S272" i="31"/>
  <c r="R273" i="31"/>
  <c r="S273" i="31"/>
  <c r="R274" i="31"/>
  <c r="S274" i="31"/>
  <c r="R275" i="31"/>
  <c r="S275" i="31"/>
  <c r="R276" i="31"/>
  <c r="S276" i="31"/>
  <c r="R277" i="31"/>
  <c r="S277" i="31"/>
  <c r="R278" i="31"/>
  <c r="S278" i="31"/>
  <c r="R279" i="31"/>
  <c r="S279" i="31"/>
  <c r="R280" i="31"/>
  <c r="S280" i="31"/>
  <c r="R281" i="31"/>
  <c r="S281" i="31"/>
  <c r="R282" i="31"/>
  <c r="S282" i="31"/>
  <c r="R283" i="31"/>
  <c r="S283" i="31"/>
  <c r="R284" i="31"/>
  <c r="S284" i="31"/>
  <c r="R285" i="31"/>
  <c r="S285" i="31"/>
  <c r="R286" i="31"/>
  <c r="S286" i="31"/>
  <c r="R287" i="31"/>
  <c r="S287" i="31"/>
  <c r="R288" i="31"/>
  <c r="S288" i="31"/>
  <c r="R289" i="31"/>
  <c r="S289" i="31"/>
  <c r="R290" i="31"/>
  <c r="S290" i="31"/>
  <c r="R291" i="31"/>
  <c r="S291" i="31"/>
  <c r="R292" i="31"/>
  <c r="S292" i="31"/>
  <c r="R293" i="31"/>
  <c r="S293" i="31"/>
  <c r="R294" i="31"/>
  <c r="S294" i="31"/>
  <c r="R295" i="31"/>
  <c r="S295" i="31"/>
  <c r="R296" i="31"/>
  <c r="S296" i="31"/>
  <c r="R297" i="31"/>
  <c r="S297" i="31"/>
  <c r="R298" i="31"/>
  <c r="S298" i="31"/>
  <c r="R299" i="31"/>
  <c r="S299" i="31"/>
  <c r="R300" i="31"/>
  <c r="S300" i="31"/>
  <c r="R301" i="31"/>
  <c r="S301" i="31"/>
  <c r="R302" i="31"/>
  <c r="S302" i="31"/>
  <c r="R303" i="31"/>
  <c r="S303" i="31"/>
  <c r="R304" i="31"/>
  <c r="S304" i="31"/>
  <c r="R305" i="31"/>
  <c r="S305" i="31"/>
  <c r="R306" i="31"/>
  <c r="S306" i="31"/>
  <c r="R307" i="31"/>
  <c r="S307" i="31"/>
  <c r="R308" i="31"/>
  <c r="S308" i="31"/>
  <c r="R309" i="31"/>
  <c r="S309" i="31"/>
  <c r="R310" i="31"/>
  <c r="S310" i="31"/>
  <c r="R311" i="31"/>
  <c r="S311" i="31"/>
  <c r="R312" i="31"/>
  <c r="S312" i="31"/>
  <c r="R313" i="31"/>
  <c r="S313" i="31"/>
  <c r="R314" i="31"/>
  <c r="S314" i="31"/>
  <c r="R315" i="31"/>
  <c r="S315" i="31"/>
  <c r="R316" i="31"/>
  <c r="S316" i="31"/>
  <c r="R317" i="31"/>
  <c r="S317" i="31"/>
  <c r="R318" i="31"/>
  <c r="S318" i="31"/>
  <c r="R319" i="31"/>
  <c r="S319" i="31"/>
  <c r="R320" i="31"/>
  <c r="S320" i="31"/>
  <c r="R321" i="31"/>
  <c r="S321" i="31"/>
  <c r="R322" i="31"/>
  <c r="S322" i="31"/>
  <c r="R323" i="31"/>
  <c r="S323" i="31"/>
  <c r="R324" i="31"/>
  <c r="S324" i="31"/>
  <c r="R325" i="31"/>
  <c r="S325" i="31"/>
  <c r="R326" i="31"/>
  <c r="S326" i="31"/>
  <c r="R327" i="31"/>
  <c r="S327" i="31"/>
  <c r="R328" i="31"/>
  <c r="S328" i="31"/>
  <c r="R329" i="31"/>
  <c r="S329" i="31"/>
  <c r="R330" i="31"/>
  <c r="S330" i="31"/>
  <c r="R331" i="31"/>
  <c r="S331" i="31"/>
  <c r="R332" i="31"/>
  <c r="S332" i="31"/>
  <c r="R333" i="31"/>
  <c r="S333" i="31"/>
  <c r="R334" i="31"/>
  <c r="S334" i="31"/>
  <c r="R335" i="31"/>
  <c r="S335" i="31"/>
  <c r="R336" i="31"/>
  <c r="S336" i="31"/>
  <c r="R337" i="31"/>
  <c r="S337" i="31"/>
  <c r="R338" i="31"/>
  <c r="S338" i="31"/>
  <c r="R339" i="31"/>
  <c r="S339" i="31"/>
  <c r="R340" i="31"/>
  <c r="S340" i="31"/>
  <c r="R341" i="31"/>
  <c r="S341" i="31"/>
  <c r="R342" i="31"/>
  <c r="S342" i="31"/>
  <c r="R343" i="31"/>
  <c r="S343" i="31"/>
  <c r="R344" i="31"/>
  <c r="S344" i="31"/>
  <c r="R345" i="31"/>
  <c r="S345" i="31"/>
  <c r="R346" i="31"/>
  <c r="S346" i="31"/>
  <c r="R347" i="31"/>
  <c r="S347" i="31"/>
  <c r="R348" i="31"/>
  <c r="S348" i="31"/>
  <c r="R349" i="31"/>
  <c r="S349" i="31"/>
  <c r="R350" i="31"/>
  <c r="S350" i="31"/>
  <c r="R351" i="31"/>
  <c r="S351" i="31"/>
  <c r="R352" i="31"/>
  <c r="S352" i="31"/>
  <c r="R353" i="31"/>
  <c r="S353" i="31"/>
  <c r="R354" i="31"/>
  <c r="S354" i="31"/>
  <c r="R355" i="31"/>
  <c r="S355" i="31"/>
  <c r="R356" i="31"/>
  <c r="S356" i="31"/>
  <c r="R357" i="31"/>
  <c r="S357" i="31"/>
  <c r="R358" i="31"/>
  <c r="S358" i="31"/>
  <c r="R359" i="31"/>
  <c r="S359" i="31"/>
  <c r="R360" i="31"/>
  <c r="S360" i="31"/>
  <c r="R361" i="31"/>
  <c r="S361" i="31"/>
  <c r="R362" i="31"/>
  <c r="S362" i="31"/>
  <c r="R363" i="31"/>
  <c r="S363" i="31"/>
  <c r="R364" i="31"/>
  <c r="S364" i="31"/>
  <c r="R365" i="31"/>
  <c r="S365" i="31"/>
  <c r="R366" i="31"/>
  <c r="S366" i="31"/>
  <c r="R367" i="31"/>
  <c r="S367" i="31"/>
  <c r="R368" i="31"/>
  <c r="S368" i="31"/>
  <c r="R369" i="31"/>
  <c r="S369" i="31"/>
  <c r="R370" i="31"/>
  <c r="S370" i="31"/>
  <c r="R371" i="31"/>
  <c r="S371" i="31"/>
  <c r="R372" i="31"/>
  <c r="S372" i="31"/>
  <c r="R373" i="31"/>
  <c r="S373" i="31"/>
  <c r="R374" i="31"/>
  <c r="S374" i="31"/>
  <c r="R375" i="31"/>
  <c r="S375" i="31"/>
  <c r="R376" i="31"/>
  <c r="S376" i="31"/>
  <c r="R377" i="31"/>
  <c r="S377" i="31"/>
  <c r="R378" i="31"/>
  <c r="S378" i="31"/>
  <c r="R379" i="31"/>
  <c r="S379" i="31"/>
  <c r="R380" i="31"/>
  <c r="S380" i="31"/>
  <c r="R381" i="31"/>
  <c r="S381" i="31"/>
  <c r="R382" i="31"/>
  <c r="S382" i="31"/>
  <c r="R383" i="31"/>
  <c r="S383" i="31"/>
  <c r="R384" i="31"/>
  <c r="S384" i="31"/>
  <c r="R385" i="31"/>
  <c r="S385" i="31"/>
  <c r="R386" i="31"/>
  <c r="S386" i="31"/>
  <c r="R387" i="31"/>
  <c r="S387" i="31"/>
  <c r="R388" i="31"/>
  <c r="S388" i="31"/>
  <c r="R389" i="31"/>
  <c r="S389" i="31"/>
  <c r="R390" i="31"/>
  <c r="S390" i="31"/>
  <c r="R391" i="31"/>
  <c r="S391" i="31"/>
  <c r="R392" i="31"/>
  <c r="S392" i="31"/>
  <c r="R393" i="31"/>
  <c r="S393" i="31"/>
  <c r="R394" i="31"/>
  <c r="S394" i="31"/>
  <c r="R395" i="31"/>
  <c r="S395" i="31"/>
  <c r="R396" i="31"/>
  <c r="S396" i="31"/>
  <c r="R397" i="31"/>
  <c r="S397" i="31"/>
  <c r="R398" i="31"/>
  <c r="S398" i="31"/>
  <c r="R399" i="31"/>
  <c r="S399" i="31"/>
  <c r="R400" i="31"/>
  <c r="S400" i="31"/>
  <c r="R401" i="31"/>
  <c r="S401" i="31"/>
  <c r="R402" i="31"/>
  <c r="S402" i="31"/>
  <c r="R403" i="31"/>
  <c r="S403" i="31"/>
  <c r="R404" i="31"/>
  <c r="S404" i="31"/>
  <c r="R405" i="31"/>
  <c r="S405" i="31"/>
  <c r="R406" i="31"/>
  <c r="S406" i="31"/>
  <c r="R407" i="31"/>
  <c r="S407" i="31"/>
  <c r="R408" i="31"/>
  <c r="S408" i="31"/>
  <c r="R409" i="31"/>
  <c r="S409" i="31"/>
  <c r="R410" i="31"/>
  <c r="S410" i="31"/>
  <c r="R411" i="31"/>
  <c r="S411" i="31"/>
  <c r="R412" i="31"/>
  <c r="S412" i="31"/>
  <c r="R413" i="31"/>
  <c r="S413" i="31"/>
  <c r="R414" i="31"/>
  <c r="S414" i="31"/>
  <c r="R415" i="31"/>
  <c r="S415" i="31"/>
  <c r="R416" i="31"/>
  <c r="S416" i="31"/>
  <c r="R417" i="31"/>
  <c r="S417" i="31"/>
  <c r="R418" i="31"/>
  <c r="S418" i="31"/>
  <c r="R419" i="31"/>
  <c r="S419" i="31"/>
  <c r="R420" i="31"/>
  <c r="S420" i="31"/>
  <c r="R421" i="31"/>
  <c r="S421" i="31"/>
  <c r="R422" i="31"/>
  <c r="S422" i="31"/>
  <c r="R423" i="31"/>
  <c r="S423" i="31"/>
  <c r="R424" i="31"/>
  <c r="S424" i="31"/>
  <c r="R425" i="31"/>
  <c r="S425" i="31"/>
  <c r="R426" i="31"/>
  <c r="S426" i="31"/>
  <c r="R427" i="31"/>
  <c r="S427" i="31"/>
  <c r="R428" i="31"/>
  <c r="S428" i="31"/>
  <c r="R429" i="31"/>
  <c r="S429" i="31"/>
  <c r="R430" i="31"/>
  <c r="S430" i="31"/>
  <c r="R431" i="31"/>
  <c r="S431" i="31"/>
  <c r="R432" i="31"/>
  <c r="S432" i="31"/>
  <c r="R433" i="31"/>
  <c r="S433" i="31"/>
  <c r="R434" i="31"/>
  <c r="S434" i="31"/>
  <c r="R435" i="31"/>
  <c r="S435" i="31"/>
  <c r="R436" i="31"/>
  <c r="S436" i="31"/>
  <c r="R437" i="31"/>
  <c r="S437" i="31"/>
  <c r="R438" i="31"/>
  <c r="S438" i="31"/>
  <c r="R439" i="31"/>
  <c r="S439" i="31"/>
  <c r="R440" i="31"/>
  <c r="S440" i="31"/>
  <c r="R441" i="31"/>
  <c r="S441" i="31"/>
  <c r="R442" i="31"/>
  <c r="S442" i="31"/>
  <c r="R443" i="31"/>
  <c r="S443" i="31"/>
  <c r="R444" i="31"/>
  <c r="S444" i="31"/>
  <c r="R445" i="31"/>
  <c r="S445" i="31"/>
  <c r="R446" i="31"/>
  <c r="S446" i="31"/>
  <c r="R447" i="31"/>
  <c r="S447" i="31"/>
  <c r="R448" i="31"/>
  <c r="S448" i="31"/>
  <c r="R449" i="31"/>
  <c r="S449" i="31"/>
  <c r="R450" i="31"/>
  <c r="S450" i="31"/>
  <c r="R451" i="31"/>
  <c r="S451" i="31"/>
  <c r="R452" i="31"/>
  <c r="S452" i="31"/>
  <c r="R453" i="31"/>
  <c r="S453" i="31"/>
  <c r="R454" i="31"/>
  <c r="S454" i="31"/>
  <c r="R455" i="31"/>
  <c r="S455" i="31"/>
  <c r="R456" i="31"/>
  <c r="S456" i="31"/>
  <c r="R457" i="31"/>
  <c r="S457" i="31"/>
  <c r="R458" i="31"/>
  <c r="S458" i="31"/>
  <c r="R459" i="31"/>
  <c r="S459" i="31"/>
  <c r="R460" i="31"/>
  <c r="S460" i="31"/>
  <c r="R461" i="31"/>
  <c r="S461" i="31"/>
  <c r="R462" i="31"/>
  <c r="S462" i="31"/>
  <c r="R463" i="31"/>
  <c r="S463" i="31"/>
  <c r="R464" i="31"/>
  <c r="S464" i="31"/>
  <c r="R465" i="31"/>
  <c r="S465" i="31"/>
  <c r="R466" i="31"/>
  <c r="S466" i="31"/>
  <c r="R467" i="31"/>
  <c r="S467" i="31"/>
  <c r="R468" i="31"/>
  <c r="S468" i="31"/>
  <c r="R469" i="31"/>
  <c r="S469" i="31"/>
  <c r="R470" i="31"/>
  <c r="S470" i="31"/>
  <c r="R471" i="31"/>
  <c r="S471" i="31"/>
  <c r="R472" i="31"/>
  <c r="S472" i="31"/>
  <c r="R473" i="31"/>
  <c r="S473" i="31"/>
  <c r="R474" i="31"/>
  <c r="S474" i="31"/>
  <c r="R475" i="31"/>
  <c r="S475" i="31"/>
  <c r="R476" i="31"/>
  <c r="S476" i="31"/>
  <c r="R477" i="31"/>
  <c r="S477" i="31"/>
  <c r="R478" i="31"/>
  <c r="S478" i="31"/>
  <c r="R479" i="31"/>
  <c r="S479" i="31"/>
  <c r="R480" i="31"/>
  <c r="S480" i="31"/>
  <c r="R481" i="31"/>
  <c r="S481" i="31"/>
  <c r="R482" i="31"/>
  <c r="S482" i="31"/>
  <c r="R483" i="31"/>
  <c r="S483" i="31"/>
  <c r="R484" i="31"/>
  <c r="S484" i="31"/>
  <c r="R485" i="31"/>
  <c r="S485" i="31"/>
  <c r="R486" i="31"/>
  <c r="S486" i="31"/>
  <c r="R487" i="31"/>
  <c r="S487" i="31"/>
  <c r="R488" i="31"/>
  <c r="S488" i="31"/>
  <c r="R489" i="31"/>
  <c r="S489" i="31"/>
  <c r="R490" i="31"/>
  <c r="S490" i="31"/>
  <c r="R491" i="31"/>
  <c r="S491" i="31"/>
  <c r="R492" i="31"/>
  <c r="S492" i="31"/>
  <c r="R493" i="31"/>
  <c r="S493" i="31"/>
  <c r="R494" i="31"/>
  <c r="S494" i="31"/>
  <c r="R495" i="31"/>
  <c r="S495" i="31"/>
  <c r="R496" i="31"/>
  <c r="S496" i="31"/>
  <c r="R497" i="31"/>
  <c r="S497" i="31"/>
  <c r="R498" i="31"/>
  <c r="S498" i="31"/>
  <c r="R499" i="31"/>
  <c r="S499" i="31"/>
  <c r="R500" i="31"/>
  <c r="S500" i="31"/>
  <c r="R501" i="31"/>
  <c r="S501" i="31"/>
  <c r="R502" i="31"/>
  <c r="S502" i="31"/>
  <c r="R503" i="31"/>
  <c r="S503" i="31"/>
  <c r="R504" i="31"/>
  <c r="S504" i="31"/>
  <c r="R505" i="31"/>
  <c r="S505" i="31"/>
  <c r="R506" i="31"/>
  <c r="S506" i="31"/>
  <c r="R507" i="31"/>
  <c r="S507" i="31"/>
  <c r="R508" i="31"/>
  <c r="S508" i="31"/>
  <c r="R509" i="31"/>
  <c r="S509" i="31"/>
  <c r="R510" i="31"/>
  <c r="S510" i="31"/>
  <c r="R511" i="31"/>
  <c r="S511" i="31"/>
  <c r="R512" i="31"/>
  <c r="S512" i="31"/>
  <c r="R513" i="31"/>
  <c r="S513" i="31"/>
  <c r="R514" i="31"/>
  <c r="S514" i="31"/>
  <c r="R515" i="31"/>
  <c r="S515" i="31"/>
  <c r="R516" i="31"/>
  <c r="S516" i="31"/>
  <c r="R517" i="31"/>
  <c r="S517" i="31"/>
  <c r="R518" i="31"/>
  <c r="S518" i="31"/>
  <c r="R519" i="31"/>
  <c r="S519" i="31"/>
  <c r="R520" i="31"/>
  <c r="S520" i="31"/>
  <c r="R521" i="31"/>
  <c r="S521" i="31"/>
  <c r="R522" i="31"/>
  <c r="S522" i="31"/>
  <c r="R523" i="31"/>
  <c r="S523" i="31"/>
  <c r="R524" i="31"/>
  <c r="S524" i="31"/>
  <c r="S22" i="31"/>
  <c r="B20" i="31"/>
  <c r="D19" i="9"/>
  <c r="C17" i="9"/>
  <c r="D14" i="9"/>
  <c r="D17" i="9"/>
  <c r="C18" i="9"/>
  <c r="D18" i="9"/>
  <c r="G19" i="9"/>
  <c r="C32" i="9"/>
  <c r="H118" i="9"/>
  <c r="D14" i="74"/>
  <c r="E14" i="74"/>
  <c r="F14" i="74"/>
  <c r="T14" i="74"/>
  <c r="S14" i="74"/>
  <c r="R14" i="74"/>
  <c r="Q14" i="74"/>
  <c r="R13" i="74"/>
  <c r="S13" i="74"/>
  <c r="T13" i="74"/>
  <c r="U13" i="74"/>
  <c r="Q13" i="74"/>
  <c r="J20" i="74"/>
  <c r="J19" i="74"/>
  <c r="J18" i="74"/>
  <c r="J17" i="74"/>
  <c r="J16" i="74"/>
  <c r="J15" i="74"/>
  <c r="J14" i="74"/>
  <c r="C20" i="74"/>
  <c r="C19" i="74"/>
  <c r="C18" i="74"/>
  <c r="C17" i="74"/>
  <c r="C16" i="74"/>
  <c r="C15" i="74"/>
  <c r="B20" i="74"/>
  <c r="E71" i="39"/>
  <c r="F71" i="39"/>
  <c r="G71" i="39"/>
  <c r="H71" i="39"/>
  <c r="I71" i="39"/>
  <c r="J71" i="39"/>
  <c r="K71" i="39"/>
  <c r="L71" i="39"/>
  <c r="M71" i="39"/>
  <c r="N71" i="39"/>
  <c r="O71" i="39"/>
  <c r="D71" i="39"/>
  <c r="V19" i="1"/>
  <c r="B52" i="1"/>
  <c r="F34" i="15"/>
  <c r="X22" i="1"/>
  <c r="X21" i="1"/>
  <c r="X20" i="1"/>
  <c r="V22" i="1"/>
  <c r="V21" i="1"/>
  <c r="V20" i="1"/>
  <c r="B25" i="31"/>
  <c r="B26" i="31"/>
  <c r="B27" i="31"/>
  <c r="B24" i="31"/>
  <c r="A25" i="31"/>
  <c r="A26" i="31"/>
  <c r="A27" i="31"/>
  <c r="A24" i="31"/>
  <c r="G1" i="88"/>
  <c r="C14" i="88"/>
  <c r="F15" i="88"/>
  <c r="C15" i="88"/>
  <c r="F16" i="88"/>
  <c r="C16" i="88"/>
  <c r="F17" i="88"/>
  <c r="F43" i="88"/>
  <c r="C17" i="88"/>
  <c r="F18" i="88"/>
  <c r="C18" i="88"/>
  <c r="C19" i="88"/>
  <c r="F20" i="88"/>
  <c r="C20" i="88"/>
  <c r="F24" i="88"/>
  <c r="F23" i="88"/>
  <c r="C23" i="88"/>
  <c r="F26" i="88"/>
  <c r="C26" i="88"/>
  <c r="F21" i="88"/>
  <c r="C24" i="88"/>
  <c r="C27" i="88"/>
  <c r="F28" i="88"/>
  <c r="C28" i="88"/>
  <c r="C29" i="88"/>
  <c r="F13" i="88"/>
  <c r="C13" i="88"/>
  <c r="F6" i="88"/>
  <c r="F8" i="88"/>
  <c r="F7" i="88"/>
  <c r="F9" i="88"/>
  <c r="C6" i="88"/>
  <c r="F11" i="88"/>
  <c r="C10" i="88"/>
  <c r="C5" i="88"/>
  <c r="F32" i="88"/>
  <c r="C32" i="88"/>
  <c r="F33" i="88"/>
  <c r="C33" i="88"/>
  <c r="F34" i="88"/>
  <c r="R9" i="1"/>
  <c r="F35" i="88"/>
  <c r="C34" i="88"/>
  <c r="C31" i="88"/>
  <c r="F36" i="88"/>
  <c r="C36" i="88"/>
  <c r="F37" i="88"/>
  <c r="C37" i="88"/>
  <c r="F38" i="88"/>
  <c r="C38" i="88"/>
  <c r="C30" i="88"/>
  <c r="C39" i="88"/>
  <c r="F42" i="88"/>
  <c r="F40" i="88"/>
  <c r="AE9" i="1"/>
  <c r="F41" i="88"/>
  <c r="C40" i="88"/>
  <c r="C83" i="88"/>
  <c r="C82" i="88"/>
  <c r="C76" i="88"/>
  <c r="C75" i="88"/>
  <c r="C80" i="88"/>
  <c r="C79" i="88"/>
  <c r="M6" i="88"/>
  <c r="M8" i="88"/>
  <c r="M7" i="88"/>
  <c r="M9" i="88"/>
  <c r="J6" i="88"/>
  <c r="M11" i="88"/>
  <c r="J10" i="88"/>
  <c r="J5" i="88"/>
  <c r="J26" i="88"/>
  <c r="J29" i="88"/>
  <c r="Q65" i="88"/>
  <c r="M47" i="88"/>
  <c r="L48" i="88"/>
  <c r="J50" i="88"/>
  <c r="J51" i="88"/>
  <c r="L60" i="88"/>
  <c r="Q66" i="88"/>
  <c r="Q75" i="88"/>
  <c r="L47" i="88"/>
  <c r="L59" i="88"/>
  <c r="Q74" i="88"/>
  <c r="K59" i="88"/>
  <c r="P74" i="88"/>
  <c r="L58" i="88"/>
  <c r="Q73" i="88"/>
  <c r="Q72" i="88"/>
  <c r="Q71" i="88"/>
  <c r="F71" i="88"/>
  <c r="F51" i="88"/>
  <c r="F50" i="88"/>
  <c r="C49" i="88"/>
  <c r="C53" i="88"/>
  <c r="C48" i="88"/>
  <c r="F60" i="88"/>
  <c r="C60" i="88"/>
  <c r="C57" i="88"/>
  <c r="F61" i="88"/>
  <c r="C61" i="88"/>
  <c r="F62" i="88"/>
  <c r="F63" i="88"/>
  <c r="C62" i="88"/>
  <c r="C59" i="88"/>
  <c r="F64" i="88"/>
  <c r="C64" i="88"/>
  <c r="C56" i="88"/>
  <c r="F65" i="88"/>
  <c r="C65" i="88"/>
  <c r="F66" i="88"/>
  <c r="C66" i="88"/>
  <c r="C58" i="88"/>
  <c r="C67" i="88"/>
  <c r="F68" i="88"/>
  <c r="F69" i="88"/>
  <c r="C68" i="88"/>
  <c r="C71" i="88"/>
  <c r="Q70" i="88"/>
  <c r="Q69" i="88"/>
  <c r="Q68" i="88"/>
  <c r="L51" i="88"/>
  <c r="Q67" i="88"/>
  <c r="Q56" i="88"/>
  <c r="Q57" i="88"/>
  <c r="Q62" i="88"/>
  <c r="Q61" i="88"/>
  <c r="P61" i="88"/>
  <c r="Q60" i="88"/>
  <c r="J60" i="88"/>
  <c r="Q59" i="88"/>
  <c r="N59" i="88"/>
  <c r="M59" i="88"/>
  <c r="J59" i="88"/>
  <c r="F59" i="88"/>
  <c r="Q58" i="88"/>
  <c r="J57" i="88"/>
  <c r="J55" i="88"/>
  <c r="J58" i="88"/>
  <c r="L57" i="88"/>
  <c r="L56" i="88"/>
  <c r="I54" i="88"/>
  <c r="Q47" i="88"/>
  <c r="Q48" i="88"/>
  <c r="Q53" i="88"/>
  <c r="J53" i="88"/>
  <c r="Q52" i="88"/>
  <c r="Q51" i="88"/>
  <c r="Q50" i="88"/>
  <c r="Q49" i="88"/>
  <c r="L46" i="88"/>
  <c r="D46" i="88"/>
  <c r="C46" i="88"/>
  <c r="C43" i="88"/>
  <c r="F31" i="88"/>
  <c r="M29" i="88"/>
  <c r="M28" i="88"/>
  <c r="M27" i="88"/>
  <c r="M26" i="88"/>
  <c r="M18" i="88"/>
  <c r="J18" i="88"/>
  <c r="M19" i="88"/>
  <c r="J19" i="88"/>
  <c r="M20" i="88"/>
  <c r="M21" i="88"/>
  <c r="J20" i="88"/>
  <c r="J17" i="88"/>
  <c r="J14" i="88"/>
  <c r="M22" i="88"/>
  <c r="J22" i="88"/>
  <c r="J15" i="88"/>
  <c r="J13" i="88"/>
  <c r="M23" i="88"/>
  <c r="J23" i="88"/>
  <c r="M24" i="88"/>
  <c r="J24" i="88"/>
  <c r="J16" i="88"/>
  <c r="J25" i="88"/>
  <c r="D24" i="88"/>
  <c r="D23" i="88"/>
  <c r="D22" i="88"/>
  <c r="M17" i="88"/>
  <c r="B2" i="88"/>
  <c r="B3" i="88"/>
  <c r="F1" i="88"/>
  <c r="G1" i="87"/>
  <c r="C14" i="87"/>
  <c r="F15" i="87"/>
  <c r="C15" i="87"/>
  <c r="F16" i="87"/>
  <c r="C16" i="87"/>
  <c r="F17" i="87"/>
  <c r="F43" i="87"/>
  <c r="C17" i="87"/>
  <c r="F18" i="87"/>
  <c r="C18" i="87"/>
  <c r="C19" i="87"/>
  <c r="F20" i="87"/>
  <c r="C20" i="87"/>
  <c r="F24" i="87"/>
  <c r="F23" i="87"/>
  <c r="C23" i="87"/>
  <c r="F26" i="87"/>
  <c r="C26" i="87"/>
  <c r="F21" i="87"/>
  <c r="C24" i="87"/>
  <c r="C27" i="87"/>
  <c r="F28" i="87"/>
  <c r="C28" i="87"/>
  <c r="C29" i="87"/>
  <c r="F13" i="87"/>
  <c r="C13" i="87"/>
  <c r="F6" i="87"/>
  <c r="F8" i="87"/>
  <c r="F7" i="87"/>
  <c r="F9" i="87"/>
  <c r="C6" i="87"/>
  <c r="F11" i="87"/>
  <c r="C10" i="87"/>
  <c r="C5" i="87"/>
  <c r="F32" i="87"/>
  <c r="C32" i="87"/>
  <c r="F33" i="87"/>
  <c r="C33" i="87"/>
  <c r="F34" i="87"/>
  <c r="R8" i="1"/>
  <c r="F35" i="87"/>
  <c r="C34" i="87"/>
  <c r="C31" i="87"/>
  <c r="F36" i="87"/>
  <c r="C36" i="87"/>
  <c r="F37" i="87"/>
  <c r="C37" i="87"/>
  <c r="F38" i="87"/>
  <c r="C38" i="87"/>
  <c r="C30" i="87"/>
  <c r="C39" i="87"/>
  <c r="F42" i="87"/>
  <c r="F40" i="87"/>
  <c r="AE8" i="1"/>
  <c r="F41" i="87"/>
  <c r="C40" i="87"/>
  <c r="C83" i="87"/>
  <c r="C82" i="87"/>
  <c r="C76" i="87"/>
  <c r="C75" i="87"/>
  <c r="C80" i="87"/>
  <c r="C79" i="87"/>
  <c r="M6" i="87"/>
  <c r="M8" i="87"/>
  <c r="M7" i="87"/>
  <c r="M9" i="87"/>
  <c r="J6" i="87"/>
  <c r="M11" i="87"/>
  <c r="J10" i="87"/>
  <c r="J5" i="87"/>
  <c r="J26" i="87"/>
  <c r="J29" i="87"/>
  <c r="Q65" i="87"/>
  <c r="M47" i="87"/>
  <c r="L48" i="87"/>
  <c r="J50" i="87"/>
  <c r="J51" i="87"/>
  <c r="L60" i="87"/>
  <c r="Q66" i="87"/>
  <c r="Q75" i="87"/>
  <c r="L47" i="87"/>
  <c r="L59" i="87"/>
  <c r="Q74" i="87"/>
  <c r="K59" i="87"/>
  <c r="P74" i="87"/>
  <c r="L58" i="87"/>
  <c r="Q73" i="87"/>
  <c r="Q72" i="87"/>
  <c r="Q71" i="87"/>
  <c r="F71" i="87"/>
  <c r="F51" i="87"/>
  <c r="F50" i="87"/>
  <c r="C49" i="87"/>
  <c r="C53" i="87"/>
  <c r="C48" i="87"/>
  <c r="F60" i="87"/>
  <c r="C60" i="87"/>
  <c r="C57" i="87"/>
  <c r="F61" i="87"/>
  <c r="C61" i="87"/>
  <c r="F62" i="87"/>
  <c r="F63" i="87"/>
  <c r="C62" i="87"/>
  <c r="C59" i="87"/>
  <c r="F64" i="87"/>
  <c r="C64" i="87"/>
  <c r="C56" i="87"/>
  <c r="F65" i="87"/>
  <c r="C65" i="87"/>
  <c r="F66" i="87"/>
  <c r="C66" i="87"/>
  <c r="C58" i="87"/>
  <c r="C67" i="87"/>
  <c r="F68" i="87"/>
  <c r="F69" i="87"/>
  <c r="C68" i="87"/>
  <c r="C71" i="87"/>
  <c r="Q70" i="87"/>
  <c r="Q69" i="87"/>
  <c r="Q68" i="87"/>
  <c r="L51" i="87"/>
  <c r="Q67" i="87"/>
  <c r="Q56" i="87"/>
  <c r="Q57" i="87"/>
  <c r="Q62" i="87"/>
  <c r="Q61" i="87"/>
  <c r="P61" i="87"/>
  <c r="Q60" i="87"/>
  <c r="J60" i="87"/>
  <c r="Q59" i="87"/>
  <c r="N59" i="87"/>
  <c r="M59" i="87"/>
  <c r="J59" i="87"/>
  <c r="F59" i="87"/>
  <c r="Q58" i="87"/>
  <c r="J57" i="87"/>
  <c r="J55" i="87"/>
  <c r="J58" i="87"/>
  <c r="L57" i="87"/>
  <c r="L56" i="87"/>
  <c r="I54" i="87"/>
  <c r="Q47" i="87"/>
  <c r="Q48" i="87"/>
  <c r="Q53" i="87"/>
  <c r="J53" i="87"/>
  <c r="Q52" i="87"/>
  <c r="Q51" i="87"/>
  <c r="Q50" i="87"/>
  <c r="Q49" i="87"/>
  <c r="L46" i="87"/>
  <c r="D46" i="87"/>
  <c r="C46" i="87"/>
  <c r="C43" i="87"/>
  <c r="F31" i="87"/>
  <c r="M29" i="87"/>
  <c r="M28" i="87"/>
  <c r="M27" i="87"/>
  <c r="M26" i="87"/>
  <c r="M18" i="87"/>
  <c r="J18" i="87"/>
  <c r="M19" i="87"/>
  <c r="J19" i="87"/>
  <c r="M20" i="87"/>
  <c r="M21" i="87"/>
  <c r="J20" i="87"/>
  <c r="J17" i="87"/>
  <c r="J14" i="87"/>
  <c r="M22" i="87"/>
  <c r="J22" i="87"/>
  <c r="J15" i="87"/>
  <c r="J13" i="87"/>
  <c r="M23" i="87"/>
  <c r="J23" i="87"/>
  <c r="M24" i="87"/>
  <c r="J24" i="87"/>
  <c r="J16" i="87"/>
  <c r="J25" i="87"/>
  <c r="D24" i="87"/>
  <c r="D23" i="87"/>
  <c r="D22" i="87"/>
  <c r="M17" i="87"/>
  <c r="B2" i="87"/>
  <c r="B3" i="87"/>
  <c r="F1" i="87"/>
  <c r="G1" i="86"/>
  <c r="C14" i="86"/>
  <c r="F15" i="86"/>
  <c r="C15" i="86"/>
  <c r="F16" i="86"/>
  <c r="C16" i="86"/>
  <c r="F17" i="86"/>
  <c r="F43" i="86"/>
  <c r="C17" i="86"/>
  <c r="F18" i="86"/>
  <c r="C18" i="86"/>
  <c r="C19" i="86"/>
  <c r="F20" i="86"/>
  <c r="C20" i="86"/>
  <c r="F24" i="86"/>
  <c r="F23" i="86"/>
  <c r="C23" i="86"/>
  <c r="F26" i="86"/>
  <c r="C26" i="86"/>
  <c r="F21" i="86"/>
  <c r="C24" i="86"/>
  <c r="C27" i="86"/>
  <c r="F28" i="86"/>
  <c r="C28" i="86"/>
  <c r="C29" i="86"/>
  <c r="F13" i="86"/>
  <c r="C13" i="86"/>
  <c r="F6" i="86"/>
  <c r="F8" i="86"/>
  <c r="F7" i="86"/>
  <c r="F9" i="86"/>
  <c r="C6" i="86"/>
  <c r="F11" i="86"/>
  <c r="C10" i="86"/>
  <c r="C5" i="86"/>
  <c r="F32" i="86"/>
  <c r="C32" i="86"/>
  <c r="F33" i="86"/>
  <c r="C33" i="86"/>
  <c r="F34" i="86"/>
  <c r="R7" i="1"/>
  <c r="F35" i="86"/>
  <c r="C34" i="86"/>
  <c r="C31" i="86"/>
  <c r="F36" i="86"/>
  <c r="C36" i="86"/>
  <c r="F37" i="86"/>
  <c r="C37" i="86"/>
  <c r="F38" i="86"/>
  <c r="C38" i="86"/>
  <c r="C30" i="86"/>
  <c r="C39" i="86"/>
  <c r="F42" i="86"/>
  <c r="F40" i="86"/>
  <c r="AE7" i="1"/>
  <c r="F41" i="86"/>
  <c r="C40" i="86"/>
  <c r="C83" i="86"/>
  <c r="C82" i="86"/>
  <c r="C76" i="86"/>
  <c r="C75" i="86"/>
  <c r="C80" i="86"/>
  <c r="C79" i="86"/>
  <c r="M6" i="86"/>
  <c r="M8" i="86"/>
  <c r="M7" i="86"/>
  <c r="M9" i="86"/>
  <c r="J6" i="86"/>
  <c r="M11" i="86"/>
  <c r="J10" i="86"/>
  <c r="J5" i="86"/>
  <c r="J26" i="86"/>
  <c r="J29" i="86"/>
  <c r="Q65" i="86"/>
  <c r="M47" i="86"/>
  <c r="L48" i="86"/>
  <c r="J50" i="86"/>
  <c r="J51" i="86"/>
  <c r="L60" i="86"/>
  <c r="Q66" i="86"/>
  <c r="Q75" i="86"/>
  <c r="L47" i="86"/>
  <c r="L59" i="86"/>
  <c r="Q74" i="86"/>
  <c r="K59" i="86"/>
  <c r="P74" i="86"/>
  <c r="L58" i="86"/>
  <c r="Q73" i="86"/>
  <c r="Q72" i="86"/>
  <c r="Q71" i="86"/>
  <c r="F71" i="86"/>
  <c r="F51" i="86"/>
  <c r="F50" i="86"/>
  <c r="C49" i="86"/>
  <c r="C53" i="86"/>
  <c r="C48" i="86"/>
  <c r="F60" i="86"/>
  <c r="C60" i="86"/>
  <c r="C57" i="86"/>
  <c r="F61" i="86"/>
  <c r="C61" i="86"/>
  <c r="F62" i="86"/>
  <c r="F63" i="86"/>
  <c r="C62" i="86"/>
  <c r="C59" i="86"/>
  <c r="F64" i="86"/>
  <c r="C64" i="86"/>
  <c r="C56" i="86"/>
  <c r="F65" i="86"/>
  <c r="C65" i="86"/>
  <c r="F66" i="86"/>
  <c r="C66" i="86"/>
  <c r="C58" i="86"/>
  <c r="C67" i="86"/>
  <c r="F68" i="86"/>
  <c r="F69" i="86"/>
  <c r="C68" i="86"/>
  <c r="C71" i="86"/>
  <c r="Q70" i="86"/>
  <c r="Q69" i="86"/>
  <c r="Q68" i="86"/>
  <c r="L51" i="86"/>
  <c r="Q67" i="86"/>
  <c r="Q56" i="86"/>
  <c r="Q57" i="86"/>
  <c r="Q62" i="86"/>
  <c r="Q61" i="86"/>
  <c r="P61" i="86"/>
  <c r="Q60" i="86"/>
  <c r="J60" i="86"/>
  <c r="Q59" i="86"/>
  <c r="N59" i="86"/>
  <c r="M59" i="86"/>
  <c r="J59" i="86"/>
  <c r="F59" i="86"/>
  <c r="Q58" i="86"/>
  <c r="J57" i="86"/>
  <c r="J55" i="86"/>
  <c r="J58" i="86"/>
  <c r="L57" i="86"/>
  <c r="L56" i="86"/>
  <c r="I54" i="86"/>
  <c r="Q47" i="86"/>
  <c r="Q48" i="86"/>
  <c r="Q53" i="86"/>
  <c r="J53" i="86"/>
  <c r="Q52" i="86"/>
  <c r="Q51" i="86"/>
  <c r="Q50" i="86"/>
  <c r="Q49" i="86"/>
  <c r="L46" i="86"/>
  <c r="D46" i="86"/>
  <c r="C46" i="86"/>
  <c r="C43" i="86"/>
  <c r="F31" i="86"/>
  <c r="M29" i="86"/>
  <c r="M28" i="86"/>
  <c r="M27" i="86"/>
  <c r="M26" i="86"/>
  <c r="M18" i="86"/>
  <c r="J18" i="86"/>
  <c r="M19" i="86"/>
  <c r="J19" i="86"/>
  <c r="M20" i="86"/>
  <c r="M21" i="86"/>
  <c r="J20" i="86"/>
  <c r="J17" i="86"/>
  <c r="J14" i="86"/>
  <c r="M22" i="86"/>
  <c r="J22" i="86"/>
  <c r="J15" i="86"/>
  <c r="J13" i="86"/>
  <c r="M23" i="86"/>
  <c r="J23" i="86"/>
  <c r="M24" i="86"/>
  <c r="J24" i="86"/>
  <c r="J16" i="86"/>
  <c r="J25" i="86"/>
  <c r="D24" i="86"/>
  <c r="D23" i="86"/>
  <c r="D22" i="86"/>
  <c r="M17" i="86"/>
  <c r="B2" i="86"/>
  <c r="B3" i="86"/>
  <c r="F1" i="86"/>
  <c r="F7" i="39"/>
  <c r="AA7" i="39"/>
  <c r="R47" i="39"/>
  <c r="H7" i="39"/>
  <c r="AB7" i="39"/>
  <c r="T47" i="39"/>
  <c r="J7" i="39"/>
  <c r="AC7" i="39"/>
  <c r="V47" i="39"/>
  <c r="R48" i="39"/>
  <c r="C48" i="39"/>
  <c r="B56" i="39"/>
  <c r="F56" i="39"/>
  <c r="B57" i="39"/>
  <c r="F57" i="39"/>
  <c r="B58" i="39"/>
  <c r="F58" i="39"/>
  <c r="B59" i="39"/>
  <c r="F59" i="39"/>
  <c r="B60" i="39"/>
  <c r="F60" i="39"/>
  <c r="B61" i="39"/>
  <c r="F61" i="39"/>
  <c r="B62" i="39"/>
  <c r="F62" i="39"/>
  <c r="B63" i="39"/>
  <c r="F63" i="39"/>
  <c r="B64" i="39"/>
  <c r="F64" i="39"/>
  <c r="B65" i="39"/>
  <c r="F65" i="39"/>
  <c r="F66" i="39"/>
  <c r="B2" i="39"/>
  <c r="C6" i="68"/>
  <c r="E118" i="39"/>
  <c r="F118" i="39"/>
  <c r="G118" i="39"/>
  <c r="H118" i="39"/>
  <c r="I118" i="39"/>
  <c r="J118" i="39"/>
  <c r="K118" i="39"/>
  <c r="L118" i="39"/>
  <c r="D118" i="39"/>
  <c r="C11" i="39"/>
  <c r="E117" i="39"/>
  <c r="F117" i="39"/>
  <c r="G117" i="39"/>
  <c r="H117" i="39"/>
  <c r="I117" i="39"/>
  <c r="J117" i="39"/>
  <c r="K117" i="39"/>
  <c r="L117" i="39"/>
  <c r="D117" i="39"/>
  <c r="Y7" i="1"/>
  <c r="Y8" i="1"/>
  <c r="Y9" i="1"/>
  <c r="N7" i="1"/>
  <c r="N8" i="1"/>
  <c r="N9" i="1"/>
  <c r="N6" i="1"/>
  <c r="E8" i="6"/>
  <c r="F27" i="6"/>
  <c r="F31" i="6"/>
  <c r="A3" i="3"/>
  <c r="F20" i="6"/>
  <c r="F21" i="6"/>
  <c r="F22" i="6"/>
  <c r="F19" i="6"/>
  <c r="E80" i="39"/>
  <c r="F80" i="39"/>
  <c r="G80" i="39"/>
  <c r="H80" i="39"/>
  <c r="I80" i="39"/>
  <c r="J80" i="39"/>
  <c r="D80" i="39"/>
  <c r="Y6" i="1"/>
  <c r="D3" i="4"/>
  <c r="B41" i="3"/>
  <c r="B40" i="3"/>
  <c r="B37" i="3"/>
  <c r="B38" i="3"/>
  <c r="B36" i="3"/>
  <c r="C32" i="3"/>
  <c r="C31" i="3"/>
  <c r="C30" i="3"/>
  <c r="C27" i="3"/>
  <c r="C28" i="3"/>
  <c r="C29" i="3"/>
  <c r="C26" i="3"/>
  <c r="C23" i="3"/>
  <c r="C24" i="3"/>
  <c r="C25" i="3"/>
  <c r="C22" i="3"/>
  <c r="C21" i="3"/>
  <c r="C18" i="3"/>
  <c r="C19" i="3"/>
  <c r="C20" i="3"/>
  <c r="C17" i="3"/>
  <c r="I14" i="3"/>
  <c r="I15" i="3"/>
  <c r="I16" i="3"/>
  <c r="I13" i="3"/>
  <c r="C14" i="3"/>
  <c r="C15" i="3"/>
  <c r="C16" i="3"/>
  <c r="C13" i="3"/>
  <c r="C173" i="77"/>
  <c r="C177" i="77"/>
  <c r="C165" i="77"/>
  <c r="C159" i="77"/>
  <c r="C153" i="77"/>
  <c r="C147" i="77"/>
  <c r="C178" i="77"/>
  <c r="Q9" i="85"/>
  <c r="Q5" i="85"/>
  <c r="AR30" i="83"/>
  <c r="AR20" i="83"/>
  <c r="Q8" i="85"/>
  <c r="Q13" i="85"/>
  <c r="Q14" i="85"/>
  <c r="U13" i="85"/>
  <c r="U8" i="85"/>
  <c r="U14" i="85"/>
  <c r="V14" i="85"/>
  <c r="P14" i="85"/>
  <c r="N8" i="85"/>
  <c r="N13" i="85"/>
  <c r="N14" i="85"/>
  <c r="M8" i="85"/>
  <c r="M13" i="85"/>
  <c r="M14" i="85"/>
  <c r="H8" i="85"/>
  <c r="H13" i="85"/>
  <c r="H14" i="85"/>
  <c r="G8" i="85"/>
  <c r="G13" i="85"/>
  <c r="G14" i="85"/>
  <c r="F8" i="85"/>
  <c r="F13" i="85"/>
  <c r="F14" i="85"/>
  <c r="V13" i="85"/>
  <c r="V9" i="85"/>
  <c r="V8" i="85"/>
  <c r="V7" i="85"/>
  <c r="V6" i="85"/>
  <c r="V5" i="85"/>
  <c r="V25" i="84"/>
  <c r="V16" i="84"/>
  <c r="V17" i="84"/>
  <c r="V18" i="84"/>
  <c r="V19" i="84"/>
  <c r="V20" i="84"/>
  <c r="V21" i="84"/>
  <c r="V22" i="84"/>
  <c r="V23" i="84"/>
  <c r="V24" i="84"/>
  <c r="V15" i="84"/>
  <c r="V14" i="84"/>
  <c r="V8" i="84"/>
  <c r="V9" i="84"/>
  <c r="V10" i="84"/>
  <c r="V11" i="84"/>
  <c r="V12" i="84"/>
  <c r="V13" i="84"/>
  <c r="V7" i="84"/>
  <c r="J25" i="84"/>
  <c r="S25" i="84"/>
  <c r="R25" i="84"/>
  <c r="D25" i="84"/>
  <c r="C25" i="84"/>
  <c r="S24" i="84"/>
  <c r="R24" i="84"/>
  <c r="S23" i="84"/>
  <c r="R23" i="84"/>
  <c r="S22" i="84"/>
  <c r="R22" i="84"/>
  <c r="S21" i="84"/>
  <c r="R21" i="84"/>
  <c r="S20" i="84"/>
  <c r="R20" i="84"/>
  <c r="S19" i="84"/>
  <c r="R19" i="84"/>
  <c r="S18" i="84"/>
  <c r="R18" i="84"/>
  <c r="S17" i="84"/>
  <c r="R17" i="84"/>
  <c r="S16" i="84"/>
  <c r="R16" i="84"/>
  <c r="S15" i="84"/>
  <c r="R15" i="84"/>
  <c r="J14" i="84"/>
  <c r="S14" i="84"/>
  <c r="R14" i="84"/>
  <c r="P14" i="84"/>
  <c r="Q14" i="84"/>
  <c r="D14" i="84"/>
  <c r="S13" i="84"/>
  <c r="R13" i="84"/>
  <c r="Q13" i="84"/>
  <c r="S12" i="84"/>
  <c r="R12" i="84"/>
  <c r="Q12" i="84"/>
  <c r="S11" i="84"/>
  <c r="R11" i="84"/>
  <c r="Q11" i="84"/>
  <c r="S10" i="84"/>
  <c r="R10" i="84"/>
  <c r="Q10" i="84"/>
  <c r="S9" i="84"/>
  <c r="R9" i="84"/>
  <c r="Q9" i="84"/>
  <c r="S8" i="84"/>
  <c r="R8" i="84"/>
  <c r="S7" i="84"/>
  <c r="R7" i="84"/>
  <c r="AK30" i="83"/>
  <c r="AJ30" i="83"/>
  <c r="AI30" i="83"/>
  <c r="AC30" i="83"/>
  <c r="AB30" i="83"/>
  <c r="V30" i="83"/>
  <c r="U30" i="83"/>
  <c r="O30" i="83"/>
  <c r="N30" i="83"/>
  <c r="AK20" i="83"/>
  <c r="AJ20" i="83"/>
  <c r="AI20" i="83"/>
  <c r="AC20" i="83"/>
  <c r="AB20" i="83"/>
  <c r="V20" i="83"/>
  <c r="U20" i="83"/>
  <c r="O20" i="83"/>
  <c r="N20" i="83"/>
  <c r="AA24" i="82"/>
  <c r="Z24" i="82"/>
  <c r="T24" i="82"/>
  <c r="S24" i="82"/>
  <c r="M24" i="82"/>
  <c r="L24" i="82"/>
  <c r="AA22" i="81"/>
  <c r="AB22" i="81"/>
  <c r="U22" i="81"/>
  <c r="T22" i="81"/>
  <c r="N22" i="81"/>
  <c r="M22" i="81"/>
  <c r="W29" i="80"/>
  <c r="W19" i="80"/>
  <c r="W20" i="80"/>
  <c r="W21" i="80"/>
  <c r="W22" i="80"/>
  <c r="W23" i="80"/>
  <c r="W24" i="80"/>
  <c r="W25" i="80"/>
  <c r="W26" i="80"/>
  <c r="W27" i="80"/>
  <c r="W28" i="80"/>
  <c r="W18" i="80"/>
  <c r="AO35" i="79"/>
  <c r="AN35" i="79"/>
  <c r="W33" i="80"/>
  <c r="W34" i="80"/>
  <c r="W35" i="80"/>
  <c r="W44" i="79"/>
  <c r="W36" i="80"/>
  <c r="W32" i="80"/>
  <c r="W31" i="80"/>
  <c r="J34" i="79"/>
  <c r="J21" i="79"/>
  <c r="W17" i="80"/>
  <c r="W5" i="80"/>
  <c r="W6" i="80"/>
  <c r="W7" i="80"/>
  <c r="W8" i="80"/>
  <c r="W9" i="80"/>
  <c r="W10" i="80"/>
  <c r="W11" i="80"/>
  <c r="W12" i="80"/>
  <c r="W13" i="80"/>
  <c r="W14" i="80"/>
  <c r="W15" i="80"/>
  <c r="W16" i="80"/>
  <c r="W4" i="80"/>
  <c r="M17" i="80"/>
  <c r="M29" i="80"/>
  <c r="M36" i="80"/>
  <c r="M38" i="80"/>
  <c r="K38" i="80"/>
  <c r="J38" i="80"/>
  <c r="U36" i="80"/>
  <c r="E36" i="80"/>
  <c r="D36" i="80"/>
  <c r="Q29" i="80"/>
  <c r="Q17" i="80"/>
  <c r="Q30" i="80"/>
  <c r="R30" i="80"/>
  <c r="F17" i="80"/>
  <c r="F29" i="80"/>
  <c r="F30" i="80"/>
  <c r="E17" i="80"/>
  <c r="E29" i="80"/>
  <c r="E30" i="80"/>
  <c r="D17" i="80"/>
  <c r="D29" i="80"/>
  <c r="D30" i="80"/>
  <c r="R29" i="80"/>
  <c r="R28" i="80"/>
  <c r="R27" i="80"/>
  <c r="R26" i="80"/>
  <c r="R25" i="80"/>
  <c r="R23" i="80"/>
  <c r="R22" i="80"/>
  <c r="R21" i="80"/>
  <c r="R20" i="80"/>
  <c r="R19" i="80"/>
  <c r="R18" i="80"/>
  <c r="R17" i="80"/>
  <c r="R16" i="80"/>
  <c r="R15" i="80"/>
  <c r="R13" i="80"/>
  <c r="R12" i="80"/>
  <c r="R11" i="80"/>
  <c r="R9" i="80"/>
  <c r="R8" i="80"/>
  <c r="R7" i="80"/>
  <c r="R6" i="80"/>
  <c r="R5" i="80"/>
  <c r="R4" i="80"/>
  <c r="J49" i="79"/>
  <c r="K49" i="79"/>
  <c r="I49" i="79"/>
  <c r="F12" i="79"/>
  <c r="X28" i="79"/>
  <c r="W28" i="79"/>
  <c r="X17" i="79"/>
  <c r="AA17" i="79"/>
  <c r="AB17" i="79"/>
  <c r="W17" i="79"/>
  <c r="J35" i="79"/>
  <c r="K21" i="79"/>
  <c r="K34" i="79"/>
  <c r="K35" i="79"/>
  <c r="I21" i="79"/>
  <c r="I34" i="79"/>
  <c r="I35" i="79"/>
  <c r="P16" i="79"/>
  <c r="O16" i="79"/>
  <c r="C1" i="73"/>
  <c r="L1" i="73"/>
  <c r="F7" i="73"/>
  <c r="J1" i="73"/>
  <c r="D7" i="73"/>
  <c r="F6" i="73"/>
  <c r="D6" i="73"/>
  <c r="F5" i="73"/>
  <c r="D4" i="73"/>
  <c r="F3" i="73"/>
  <c r="D3" i="73"/>
  <c r="B22" i="1"/>
  <c r="E1" i="73"/>
  <c r="K1" i="73"/>
  <c r="F22" i="11"/>
  <c r="B24" i="1"/>
  <c r="F34" i="11"/>
  <c r="A6" i="1"/>
  <c r="E19" i="6"/>
  <c r="K6" i="1"/>
  <c r="A7" i="1"/>
  <c r="E20" i="6"/>
  <c r="K7" i="1"/>
  <c r="A8" i="1"/>
  <c r="E21" i="6"/>
  <c r="K8" i="1"/>
  <c r="A9" i="1"/>
  <c r="E22" i="6"/>
  <c r="K9" i="1"/>
  <c r="A10" i="1"/>
  <c r="K10" i="1"/>
  <c r="M10" i="1"/>
  <c r="A11" i="1"/>
  <c r="K11" i="1"/>
  <c r="M11" i="1"/>
  <c r="A12" i="1"/>
  <c r="K12" i="1"/>
  <c r="M12" i="1"/>
  <c r="K13" i="1"/>
  <c r="M13" i="1"/>
  <c r="BQ13" i="3"/>
  <c r="BQ14" i="3"/>
  <c r="BQ15" i="3"/>
  <c r="BQ16" i="3"/>
  <c r="BQ5" i="3"/>
  <c r="BS13" i="3"/>
  <c r="BS14" i="3"/>
  <c r="BS15" i="3"/>
  <c r="BS16" i="3"/>
  <c r="BS5" i="3"/>
  <c r="F28" i="6"/>
  <c r="BR13" i="3"/>
  <c r="BR14" i="3"/>
  <c r="BR15" i="3"/>
  <c r="BR16" i="3"/>
  <c r="BR5" i="3"/>
  <c r="BT13" i="3"/>
  <c r="BT14" i="3"/>
  <c r="BT15" i="3"/>
  <c r="BT16" i="3"/>
  <c r="BT5" i="3"/>
  <c r="G28" i="6"/>
  <c r="E28" i="6"/>
  <c r="K14" i="1"/>
  <c r="M14" i="1"/>
  <c r="B2" i="1"/>
  <c r="C42" i="1"/>
  <c r="C34" i="11"/>
  <c r="F35" i="11"/>
  <c r="C35" i="11"/>
  <c r="C36" i="11"/>
  <c r="BB13" i="3"/>
  <c r="BC13" i="3"/>
  <c r="BD13" i="3"/>
  <c r="BE13" i="3"/>
  <c r="BF13" i="3"/>
  <c r="BG13" i="3"/>
  <c r="BH13" i="3"/>
  <c r="BI13" i="3"/>
  <c r="BJ13" i="3"/>
  <c r="BK13" i="3"/>
  <c r="BA13" i="3"/>
  <c r="BM13" i="3"/>
  <c r="BN13" i="3"/>
  <c r="BO13" i="3"/>
  <c r="BP13" i="3"/>
  <c r="BL13" i="3"/>
  <c r="AZ13" i="3"/>
  <c r="BB14" i="3"/>
  <c r="BC14" i="3"/>
  <c r="BD14" i="3"/>
  <c r="BE14" i="3"/>
  <c r="BF14" i="3"/>
  <c r="BG14" i="3"/>
  <c r="BH14" i="3"/>
  <c r="BI14" i="3"/>
  <c r="BJ14" i="3"/>
  <c r="BK14" i="3"/>
  <c r="BA14" i="3"/>
  <c r="BM14" i="3"/>
  <c r="BN14" i="3"/>
  <c r="BO14" i="3"/>
  <c r="BP14" i="3"/>
  <c r="BL14" i="3"/>
  <c r="AZ14" i="3"/>
  <c r="BB15" i="3"/>
  <c r="BC15" i="3"/>
  <c r="BD15" i="3"/>
  <c r="BE15" i="3"/>
  <c r="BF15" i="3"/>
  <c r="BG15" i="3"/>
  <c r="BH15" i="3"/>
  <c r="BI15" i="3"/>
  <c r="BJ15" i="3"/>
  <c r="BK15" i="3"/>
  <c r="BA15" i="3"/>
  <c r="BM15" i="3"/>
  <c r="BN15" i="3"/>
  <c r="BO15" i="3"/>
  <c r="BP15" i="3"/>
  <c r="BL15" i="3"/>
  <c r="AZ15" i="3"/>
  <c r="BB16" i="3"/>
  <c r="BC16" i="3"/>
  <c r="BD16" i="3"/>
  <c r="BE16" i="3"/>
  <c r="BF16" i="3"/>
  <c r="BG16" i="3"/>
  <c r="BH16" i="3"/>
  <c r="BI16" i="3"/>
  <c r="BJ16" i="3"/>
  <c r="BK16" i="3"/>
  <c r="BA16" i="3"/>
  <c r="BM16" i="3"/>
  <c r="BN16" i="3"/>
  <c r="BO16" i="3"/>
  <c r="BP16" i="3"/>
  <c r="BL16" i="3"/>
  <c r="AZ16" i="3"/>
  <c r="BB17" i="3"/>
  <c r="BC17" i="3"/>
  <c r="BD17" i="3"/>
  <c r="BA17" i="3"/>
  <c r="AZ17" i="3"/>
  <c r="BB18" i="3"/>
  <c r="BC18" i="3"/>
  <c r="BD18" i="3"/>
  <c r="BA18" i="3"/>
  <c r="AZ18" i="3"/>
  <c r="BB19" i="3"/>
  <c r="BC19" i="3"/>
  <c r="BD19" i="3"/>
  <c r="BA19" i="3"/>
  <c r="AZ19" i="3"/>
  <c r="BB20" i="3"/>
  <c r="BC20" i="3"/>
  <c r="BD20" i="3"/>
  <c r="BA20" i="3"/>
  <c r="AZ20" i="3"/>
  <c r="BB21" i="3"/>
  <c r="BC21" i="3"/>
  <c r="BD21" i="3"/>
  <c r="BA21" i="3"/>
  <c r="AZ21" i="3"/>
  <c r="BB22" i="3"/>
  <c r="BC22" i="3"/>
  <c r="BD22" i="3"/>
  <c r="BA22" i="3"/>
  <c r="AZ22" i="3"/>
  <c r="BB23" i="3"/>
  <c r="BC23" i="3"/>
  <c r="BD23" i="3"/>
  <c r="BA23" i="3"/>
  <c r="AZ23" i="3"/>
  <c r="BB24" i="3"/>
  <c r="BC24" i="3"/>
  <c r="BD24" i="3"/>
  <c r="BA24" i="3"/>
  <c r="AZ24" i="3"/>
  <c r="BB25" i="3"/>
  <c r="BC25" i="3"/>
  <c r="BD25" i="3"/>
  <c r="BA25" i="3"/>
  <c r="AZ25" i="3"/>
  <c r="BB26" i="3"/>
  <c r="BC26" i="3"/>
  <c r="BD26" i="3"/>
  <c r="BA26" i="3"/>
  <c r="AZ26" i="3"/>
  <c r="BB27" i="3"/>
  <c r="BC27" i="3"/>
  <c r="BD27" i="3"/>
  <c r="BA27" i="3"/>
  <c r="AZ27" i="3"/>
  <c r="BB28" i="3"/>
  <c r="BC28" i="3"/>
  <c r="BD28" i="3"/>
  <c r="BA28" i="3"/>
  <c r="AZ28" i="3"/>
  <c r="BB29" i="3"/>
  <c r="BC29" i="3"/>
  <c r="BD29" i="3"/>
  <c r="BA29" i="3"/>
  <c r="AZ29" i="3"/>
  <c r="BB30" i="3"/>
  <c r="BC30" i="3"/>
  <c r="BD30" i="3"/>
  <c r="BA30" i="3"/>
  <c r="AZ30" i="3"/>
  <c r="BB31" i="3"/>
  <c r="BC31" i="3"/>
  <c r="BD31" i="3"/>
  <c r="BA31" i="3"/>
  <c r="AZ31" i="3"/>
  <c r="BB32" i="3"/>
  <c r="BC32" i="3"/>
  <c r="BD32" i="3"/>
  <c r="BA32" i="3"/>
  <c r="AZ32" i="3"/>
  <c r="BB34" i="3"/>
  <c r="BC34" i="3"/>
  <c r="BD34" i="3"/>
  <c r="BA34" i="3"/>
  <c r="AZ34" i="3"/>
  <c r="BB35" i="3"/>
  <c r="BC35" i="3"/>
  <c r="BD35" i="3"/>
  <c r="BA35" i="3"/>
  <c r="AZ35" i="3"/>
  <c r="BB36" i="3"/>
  <c r="BC36" i="3"/>
  <c r="BD36" i="3"/>
  <c r="BA36" i="3"/>
  <c r="AZ36" i="3"/>
  <c r="BB37" i="3"/>
  <c r="BC37" i="3"/>
  <c r="BD37" i="3"/>
  <c r="BA37" i="3"/>
  <c r="AZ37" i="3"/>
  <c r="BB38" i="3"/>
  <c r="BC38" i="3"/>
  <c r="BD38" i="3"/>
  <c r="BA38" i="3"/>
  <c r="AZ38" i="3"/>
  <c r="BB39" i="3"/>
  <c r="BC39" i="3"/>
  <c r="BD39" i="3"/>
  <c r="BA39" i="3"/>
  <c r="AZ39" i="3"/>
  <c r="BB40" i="3"/>
  <c r="BC40" i="3"/>
  <c r="BD40" i="3"/>
  <c r="BA40" i="3"/>
  <c r="AZ40" i="3"/>
  <c r="BC41" i="3"/>
  <c r="BB41" i="3"/>
  <c r="BD41" i="3"/>
  <c r="BA41" i="3"/>
  <c r="AZ41" i="3"/>
  <c r="BB33" i="3"/>
  <c r="BC33" i="3"/>
  <c r="BD33" i="3"/>
  <c r="BA33" i="3"/>
  <c r="AZ33" i="3"/>
  <c r="BB42" i="3"/>
  <c r="BC42" i="3"/>
  <c r="BD42" i="3"/>
  <c r="BA42" i="3"/>
  <c r="AZ42" i="3"/>
  <c r="BB43" i="3"/>
  <c r="BC43" i="3"/>
  <c r="BD43" i="3"/>
  <c r="BA43" i="3"/>
  <c r="AZ43" i="3"/>
  <c r="BB44" i="3"/>
  <c r="BC44" i="3"/>
  <c r="BD44" i="3"/>
  <c r="BA44" i="3"/>
  <c r="AZ44" i="3"/>
  <c r="BB45" i="3"/>
  <c r="BC45" i="3"/>
  <c r="BD45" i="3"/>
  <c r="BA45" i="3"/>
  <c r="AZ45" i="3"/>
  <c r="BB46" i="3"/>
  <c r="BC46" i="3"/>
  <c r="BD46" i="3"/>
  <c r="BA46" i="3"/>
  <c r="AZ46" i="3"/>
  <c r="BB47" i="3"/>
  <c r="BC47" i="3"/>
  <c r="BD47" i="3"/>
  <c r="BA47" i="3"/>
  <c r="AZ47" i="3"/>
  <c r="BB48" i="3"/>
  <c r="BC48" i="3"/>
  <c r="BD48" i="3"/>
  <c r="BA48" i="3"/>
  <c r="AZ48" i="3"/>
  <c r="BB49" i="3"/>
  <c r="BC49" i="3"/>
  <c r="BD49" i="3"/>
  <c r="BA49" i="3"/>
  <c r="AZ49" i="3"/>
  <c r="BB50" i="3"/>
  <c r="BC50" i="3"/>
  <c r="BD50" i="3"/>
  <c r="BA50" i="3"/>
  <c r="AZ50" i="3"/>
  <c r="BB51" i="3"/>
  <c r="BC51" i="3"/>
  <c r="BD51" i="3"/>
  <c r="BA51" i="3"/>
  <c r="AZ51" i="3"/>
  <c r="BB52" i="3"/>
  <c r="BC52" i="3"/>
  <c r="BD52" i="3"/>
  <c r="BA52" i="3"/>
  <c r="AZ52" i="3"/>
  <c r="BB53" i="3"/>
  <c r="BC53" i="3"/>
  <c r="BD53" i="3"/>
  <c r="BA53" i="3"/>
  <c r="AZ53" i="3"/>
  <c r="BB54" i="3"/>
  <c r="BC54" i="3"/>
  <c r="BD54" i="3"/>
  <c r="BA54" i="3"/>
  <c r="AZ54" i="3"/>
  <c r="BB55" i="3"/>
  <c r="BC55" i="3"/>
  <c r="BD55" i="3"/>
  <c r="BA55" i="3"/>
  <c r="AZ55" i="3"/>
  <c r="BB56" i="3"/>
  <c r="BC56" i="3"/>
  <c r="BD56" i="3"/>
  <c r="BA56" i="3"/>
  <c r="AZ56" i="3"/>
  <c r="BB57" i="3"/>
  <c r="BC57" i="3"/>
  <c r="BD57" i="3"/>
  <c r="BA57" i="3"/>
  <c r="AZ57" i="3"/>
  <c r="BB58" i="3"/>
  <c r="BC58" i="3"/>
  <c r="BD58" i="3"/>
  <c r="BA58" i="3"/>
  <c r="AZ58" i="3"/>
  <c r="BB59" i="3"/>
  <c r="BC59" i="3"/>
  <c r="BD59" i="3"/>
  <c r="BA59" i="3"/>
  <c r="AZ59" i="3"/>
  <c r="BB60" i="3"/>
  <c r="BC60" i="3"/>
  <c r="BD60" i="3"/>
  <c r="BA60" i="3"/>
  <c r="AZ60" i="3"/>
  <c r="BB61" i="3"/>
  <c r="BC61" i="3"/>
  <c r="BD61" i="3"/>
  <c r="BA61" i="3"/>
  <c r="AZ61" i="3"/>
  <c r="BB62" i="3"/>
  <c r="BC62" i="3"/>
  <c r="BD62" i="3"/>
  <c r="BA62" i="3"/>
  <c r="AZ62" i="3"/>
  <c r="BB63" i="3"/>
  <c r="BC63" i="3"/>
  <c r="BD63" i="3"/>
  <c r="BA63" i="3"/>
  <c r="AZ63" i="3"/>
  <c r="BB64" i="3"/>
  <c r="BC64" i="3"/>
  <c r="BD64" i="3"/>
  <c r="BA64" i="3"/>
  <c r="AZ64" i="3"/>
  <c r="BB65" i="3"/>
  <c r="BC65" i="3"/>
  <c r="BD65" i="3"/>
  <c r="BA65" i="3"/>
  <c r="AZ65" i="3"/>
  <c r="BB66" i="3"/>
  <c r="BC66" i="3"/>
  <c r="BD66" i="3"/>
  <c r="BA66" i="3"/>
  <c r="AZ66" i="3"/>
  <c r="BB67" i="3"/>
  <c r="BC67" i="3"/>
  <c r="BD67" i="3"/>
  <c r="BA67" i="3"/>
  <c r="AZ67" i="3"/>
  <c r="BB68" i="3"/>
  <c r="BC68" i="3"/>
  <c r="BD68" i="3"/>
  <c r="BA68" i="3"/>
  <c r="AZ68" i="3"/>
  <c r="BB69" i="3"/>
  <c r="BC69" i="3"/>
  <c r="BD69" i="3"/>
  <c r="BA69" i="3"/>
  <c r="AZ69" i="3"/>
  <c r="BB70" i="3"/>
  <c r="BC70" i="3"/>
  <c r="BD70" i="3"/>
  <c r="BA70" i="3"/>
  <c r="AZ70" i="3"/>
  <c r="BB71" i="3"/>
  <c r="BC71" i="3"/>
  <c r="BD71" i="3"/>
  <c r="BA71" i="3"/>
  <c r="AZ71" i="3"/>
  <c r="BB72" i="3"/>
  <c r="BC72" i="3"/>
  <c r="BD72" i="3"/>
  <c r="BA72" i="3"/>
  <c r="AZ72" i="3"/>
  <c r="BB73" i="3"/>
  <c r="BC73" i="3"/>
  <c r="BD73" i="3"/>
  <c r="BA73" i="3"/>
  <c r="AZ73" i="3"/>
  <c r="BB74" i="3"/>
  <c r="BC74" i="3"/>
  <c r="BD74" i="3"/>
  <c r="BA74" i="3"/>
  <c r="AZ74" i="3"/>
  <c r="BB75" i="3"/>
  <c r="BC75" i="3"/>
  <c r="BD75" i="3"/>
  <c r="BA75" i="3"/>
  <c r="AZ75" i="3"/>
  <c r="BB76" i="3"/>
  <c r="BC76" i="3"/>
  <c r="BD76" i="3"/>
  <c r="BA76" i="3"/>
  <c r="AZ76" i="3"/>
  <c r="BB77" i="3"/>
  <c r="BC77" i="3"/>
  <c r="BD77" i="3"/>
  <c r="BA77" i="3"/>
  <c r="AZ77" i="3"/>
  <c r="BB78" i="3"/>
  <c r="BC78" i="3"/>
  <c r="BD78" i="3"/>
  <c r="BA78" i="3"/>
  <c r="AZ78" i="3"/>
  <c r="BB79" i="3"/>
  <c r="BC79" i="3"/>
  <c r="BD79" i="3"/>
  <c r="BA79" i="3"/>
  <c r="AZ79" i="3"/>
  <c r="BB80" i="3"/>
  <c r="BC80" i="3"/>
  <c r="BD80" i="3"/>
  <c r="BA80" i="3"/>
  <c r="AZ80" i="3"/>
  <c r="BB81" i="3"/>
  <c r="BC81" i="3"/>
  <c r="BD81" i="3"/>
  <c r="BA81" i="3"/>
  <c r="AZ81" i="3"/>
  <c r="BB82" i="3"/>
  <c r="BC82" i="3"/>
  <c r="BD82" i="3"/>
  <c r="BA82" i="3"/>
  <c r="AZ82" i="3"/>
  <c r="BB83" i="3"/>
  <c r="BC83" i="3"/>
  <c r="BD83" i="3"/>
  <c r="BA83" i="3"/>
  <c r="AZ83" i="3"/>
  <c r="BB84" i="3"/>
  <c r="BC84" i="3"/>
  <c r="BD84" i="3"/>
  <c r="BA84" i="3"/>
  <c r="AZ84" i="3"/>
  <c r="BB85" i="3"/>
  <c r="BC85" i="3"/>
  <c r="BD85" i="3"/>
  <c r="BA85" i="3"/>
  <c r="AZ85" i="3"/>
  <c r="BB86" i="3"/>
  <c r="BC86" i="3"/>
  <c r="BD86" i="3"/>
  <c r="BA86" i="3"/>
  <c r="AZ86" i="3"/>
  <c r="BB87" i="3"/>
  <c r="BC87" i="3"/>
  <c r="BD87" i="3"/>
  <c r="BA87" i="3"/>
  <c r="AZ87" i="3"/>
  <c r="BB88" i="3"/>
  <c r="BC88" i="3"/>
  <c r="BD88" i="3"/>
  <c r="BA88" i="3"/>
  <c r="AZ88" i="3"/>
  <c r="BB89" i="3"/>
  <c r="BC89" i="3"/>
  <c r="BD89" i="3"/>
  <c r="BA89" i="3"/>
  <c r="AZ89" i="3"/>
  <c r="BB90" i="3"/>
  <c r="BC90" i="3"/>
  <c r="BD90" i="3"/>
  <c r="BA90" i="3"/>
  <c r="AZ90" i="3"/>
  <c r="BB91" i="3"/>
  <c r="BC91" i="3"/>
  <c r="BD91" i="3"/>
  <c r="BA91" i="3"/>
  <c r="AZ91" i="3"/>
  <c r="BB92" i="3"/>
  <c r="BC92" i="3"/>
  <c r="BD92" i="3"/>
  <c r="BA92" i="3"/>
  <c r="AZ92" i="3"/>
  <c r="BB93" i="3"/>
  <c r="BC93" i="3"/>
  <c r="BA93" i="3"/>
  <c r="AZ93" i="3"/>
  <c r="BB94" i="3"/>
  <c r="BC94" i="3"/>
  <c r="BA94" i="3"/>
  <c r="AZ94" i="3"/>
  <c r="BB95" i="3"/>
  <c r="BC95" i="3"/>
  <c r="BA95" i="3"/>
  <c r="AZ95" i="3"/>
  <c r="BB96" i="3"/>
  <c r="BC96" i="3"/>
  <c r="BA96" i="3"/>
  <c r="AZ96" i="3"/>
  <c r="BB97" i="3"/>
  <c r="BC97" i="3"/>
  <c r="BA97" i="3"/>
  <c r="AZ97" i="3"/>
  <c r="BB98" i="3"/>
  <c r="BC98" i="3"/>
  <c r="BA98" i="3"/>
  <c r="AZ98" i="3"/>
  <c r="BB99" i="3"/>
  <c r="BC99" i="3"/>
  <c r="BA99" i="3"/>
  <c r="AZ99" i="3"/>
  <c r="BB100" i="3"/>
  <c r="BC100" i="3"/>
  <c r="BA100" i="3"/>
  <c r="AZ100" i="3"/>
  <c r="BB101" i="3"/>
  <c r="BC101" i="3"/>
  <c r="BA101" i="3"/>
  <c r="AZ101" i="3"/>
  <c r="BB102" i="3"/>
  <c r="BC102" i="3"/>
  <c r="BA102" i="3"/>
  <c r="AZ102" i="3"/>
  <c r="BB103" i="3"/>
  <c r="BC103" i="3"/>
  <c r="BA103" i="3"/>
  <c r="AZ103" i="3"/>
  <c r="BB104" i="3"/>
  <c r="BC104" i="3"/>
  <c r="BA104" i="3"/>
  <c r="AZ104" i="3"/>
  <c r="BB105" i="3"/>
  <c r="BC105" i="3"/>
  <c r="BA105" i="3"/>
  <c r="AZ105" i="3"/>
  <c r="BB106" i="3"/>
  <c r="BC106" i="3"/>
  <c r="BA106" i="3"/>
  <c r="AZ106" i="3"/>
  <c r="BB107" i="3"/>
  <c r="BC107" i="3"/>
  <c r="BA107" i="3"/>
  <c r="AZ107" i="3"/>
  <c r="BB108" i="3"/>
  <c r="BC108" i="3"/>
  <c r="BA108" i="3"/>
  <c r="AZ108" i="3"/>
  <c r="BB109" i="3"/>
  <c r="BC109" i="3"/>
  <c r="BA109" i="3"/>
  <c r="AZ109" i="3"/>
  <c r="AZ5" i="3"/>
  <c r="E3" i="6"/>
  <c r="D37" i="11"/>
  <c r="E37" i="11"/>
  <c r="C37" i="11"/>
  <c r="F38" i="11"/>
  <c r="C38" i="11"/>
  <c r="C33" i="11"/>
  <c r="C42" i="11"/>
  <c r="F20" i="11"/>
  <c r="C39" i="11"/>
  <c r="C43" i="11"/>
  <c r="C41" i="11"/>
  <c r="F21" i="11"/>
  <c r="C40" i="11"/>
  <c r="C44" i="11"/>
  <c r="D41" i="11"/>
  <c r="Q16" i="1"/>
  <c r="F27" i="11"/>
  <c r="C46" i="11"/>
  <c r="C45" i="11"/>
  <c r="C47" i="11"/>
  <c r="D45" i="11"/>
  <c r="B43" i="1"/>
  <c r="B41" i="1"/>
  <c r="F30" i="11"/>
  <c r="C48" i="11"/>
  <c r="C49" i="11"/>
  <c r="F50" i="11"/>
  <c r="C51" i="11"/>
  <c r="B23" i="1"/>
  <c r="C8" i="11"/>
  <c r="F7" i="11"/>
  <c r="C7" i="11"/>
  <c r="C5" i="11"/>
  <c r="C23" i="11"/>
  <c r="D19" i="11"/>
  <c r="B31" i="1"/>
  <c r="E19" i="11"/>
  <c r="C19" i="11"/>
  <c r="C24" i="11"/>
  <c r="C20" i="11"/>
  <c r="C25" i="11"/>
  <c r="C22" i="11"/>
  <c r="C26" i="11"/>
  <c r="D22" i="11"/>
  <c r="C28" i="11"/>
  <c r="C27" i="11"/>
  <c r="C21" i="11"/>
  <c r="C29" i="11"/>
  <c r="D27" i="11"/>
  <c r="C30" i="11"/>
  <c r="C31" i="11"/>
  <c r="C52" i="11"/>
  <c r="C56" i="11"/>
  <c r="C57" i="11"/>
  <c r="G41" i="11"/>
  <c r="F36" i="11"/>
  <c r="G22" i="11"/>
  <c r="E10" i="11"/>
  <c r="BB11" i="3"/>
  <c r="BC11" i="3"/>
  <c r="E5" i="6"/>
  <c r="E6" i="6"/>
  <c r="D10" i="11"/>
  <c r="C10" i="11"/>
  <c r="E9" i="11"/>
  <c r="D9" i="11"/>
  <c r="C9" i="11"/>
  <c r="B2" i="11"/>
  <c r="B3" i="11"/>
  <c r="Q524" i="31"/>
  <c r="O524" i="31"/>
  <c r="M524" i="31"/>
  <c r="K524" i="31"/>
  <c r="I524" i="31"/>
  <c r="G524" i="31"/>
  <c r="E524" i="31"/>
  <c r="C524" i="31"/>
  <c r="Q523" i="31"/>
  <c r="O523" i="31"/>
  <c r="M523" i="31"/>
  <c r="K523" i="31"/>
  <c r="I523" i="31"/>
  <c r="G523" i="31"/>
  <c r="E523" i="31"/>
  <c r="C523" i="31"/>
  <c r="Q522" i="31"/>
  <c r="O522" i="31"/>
  <c r="M522" i="31"/>
  <c r="K522" i="31"/>
  <c r="I522" i="31"/>
  <c r="G522" i="31"/>
  <c r="E522" i="31"/>
  <c r="C522" i="31"/>
  <c r="Q521" i="31"/>
  <c r="O521" i="31"/>
  <c r="M521" i="31"/>
  <c r="K521" i="31"/>
  <c r="I521" i="31"/>
  <c r="G521" i="31"/>
  <c r="E521" i="31"/>
  <c r="C521" i="31"/>
  <c r="Q520" i="31"/>
  <c r="O520" i="31"/>
  <c r="M520" i="31"/>
  <c r="K520" i="31"/>
  <c r="I520" i="31"/>
  <c r="G520" i="31"/>
  <c r="E520" i="31"/>
  <c r="C520" i="31"/>
  <c r="Q519" i="31"/>
  <c r="O519" i="31"/>
  <c r="M519" i="31"/>
  <c r="K519" i="31"/>
  <c r="I519" i="31"/>
  <c r="G519" i="31"/>
  <c r="E519" i="31"/>
  <c r="C519" i="31"/>
  <c r="Q518" i="31"/>
  <c r="O518" i="31"/>
  <c r="M518" i="31"/>
  <c r="K518" i="31"/>
  <c r="I518" i="31"/>
  <c r="G518" i="31"/>
  <c r="E518" i="31"/>
  <c r="C518" i="31"/>
  <c r="Q517" i="31"/>
  <c r="O517" i="31"/>
  <c r="M517" i="31"/>
  <c r="K517" i="31"/>
  <c r="I517" i="31"/>
  <c r="G517" i="31"/>
  <c r="E517" i="31"/>
  <c r="C517" i="31"/>
  <c r="Q516" i="31"/>
  <c r="O516" i="31"/>
  <c r="M516" i="31"/>
  <c r="K516" i="31"/>
  <c r="I516" i="31"/>
  <c r="G516" i="31"/>
  <c r="E516" i="31"/>
  <c r="C516" i="31"/>
  <c r="Q515" i="31"/>
  <c r="O515" i="31"/>
  <c r="M515" i="31"/>
  <c r="K515" i="31"/>
  <c r="I515" i="31"/>
  <c r="G515" i="31"/>
  <c r="E515" i="31"/>
  <c r="C515" i="31"/>
  <c r="Q514" i="31"/>
  <c r="O514" i="31"/>
  <c r="M514" i="31"/>
  <c r="K514" i="31"/>
  <c r="I514" i="31"/>
  <c r="G514" i="31"/>
  <c r="E514" i="31"/>
  <c r="C514" i="31"/>
  <c r="Q513" i="31"/>
  <c r="O513" i="31"/>
  <c r="M513" i="31"/>
  <c r="K513" i="31"/>
  <c r="I513" i="31"/>
  <c r="G513" i="31"/>
  <c r="E513" i="31"/>
  <c r="C513" i="31"/>
  <c r="Q512" i="31"/>
  <c r="O512" i="31"/>
  <c r="M512" i="31"/>
  <c r="K512" i="31"/>
  <c r="I512" i="31"/>
  <c r="G512" i="31"/>
  <c r="E512" i="31"/>
  <c r="C512" i="31"/>
  <c r="Q511" i="31"/>
  <c r="O511" i="31"/>
  <c r="M511" i="31"/>
  <c r="K511" i="31"/>
  <c r="I511" i="31"/>
  <c r="G511" i="31"/>
  <c r="E511" i="31"/>
  <c r="C511" i="31"/>
  <c r="Q510" i="31"/>
  <c r="O510" i="31"/>
  <c r="M510" i="31"/>
  <c r="K510" i="31"/>
  <c r="I510" i="31"/>
  <c r="G510" i="31"/>
  <c r="E510" i="31"/>
  <c r="C510" i="31"/>
  <c r="Q509" i="31"/>
  <c r="O509" i="31"/>
  <c r="M509" i="31"/>
  <c r="K509" i="31"/>
  <c r="I509" i="31"/>
  <c r="G509" i="31"/>
  <c r="E509" i="31"/>
  <c r="C509" i="31"/>
  <c r="Q508" i="31"/>
  <c r="O508" i="31"/>
  <c r="M508" i="31"/>
  <c r="K508" i="31"/>
  <c r="I508" i="31"/>
  <c r="G508" i="31"/>
  <c r="E508" i="31"/>
  <c r="C508" i="31"/>
  <c r="Q507" i="31"/>
  <c r="O507" i="31"/>
  <c r="M507" i="31"/>
  <c r="K507" i="31"/>
  <c r="I507" i="31"/>
  <c r="G507" i="31"/>
  <c r="E507" i="31"/>
  <c r="C507" i="31"/>
  <c r="Q506" i="31"/>
  <c r="O506" i="31"/>
  <c r="M506" i="31"/>
  <c r="K506" i="31"/>
  <c r="I506" i="31"/>
  <c r="G506" i="31"/>
  <c r="E506" i="31"/>
  <c r="C506" i="31"/>
  <c r="Q505" i="31"/>
  <c r="O505" i="31"/>
  <c r="M505" i="31"/>
  <c r="K505" i="31"/>
  <c r="I505" i="31"/>
  <c r="G505" i="31"/>
  <c r="E505" i="31"/>
  <c r="C505" i="31"/>
  <c r="Q504" i="31"/>
  <c r="O504" i="31"/>
  <c r="M504" i="31"/>
  <c r="K504" i="31"/>
  <c r="I504" i="31"/>
  <c r="G504" i="31"/>
  <c r="E504" i="31"/>
  <c r="C504" i="31"/>
  <c r="Q503" i="31"/>
  <c r="O503" i="31"/>
  <c r="M503" i="31"/>
  <c r="K503" i="31"/>
  <c r="I503" i="31"/>
  <c r="G503" i="31"/>
  <c r="E503" i="31"/>
  <c r="C503" i="31"/>
  <c r="Q502" i="31"/>
  <c r="O502" i="31"/>
  <c r="M502" i="31"/>
  <c r="K502" i="31"/>
  <c r="I502" i="31"/>
  <c r="G502" i="31"/>
  <c r="E502" i="31"/>
  <c r="C502" i="31"/>
  <c r="Q501" i="31"/>
  <c r="O501" i="31"/>
  <c r="M501" i="31"/>
  <c r="K501" i="31"/>
  <c r="I501" i="31"/>
  <c r="G501" i="31"/>
  <c r="E501" i="31"/>
  <c r="C501" i="31"/>
  <c r="Q500" i="31"/>
  <c r="O500" i="31"/>
  <c r="M500" i="31"/>
  <c r="K500" i="31"/>
  <c r="I500" i="31"/>
  <c r="G500" i="31"/>
  <c r="E500" i="31"/>
  <c r="C500" i="31"/>
  <c r="Q499" i="31"/>
  <c r="O499" i="31"/>
  <c r="M499" i="31"/>
  <c r="K499" i="31"/>
  <c r="I499" i="31"/>
  <c r="G499" i="31"/>
  <c r="E499" i="31"/>
  <c r="C499" i="31"/>
  <c r="Q498" i="31"/>
  <c r="O498" i="31"/>
  <c r="M498" i="31"/>
  <c r="K498" i="31"/>
  <c r="I498" i="31"/>
  <c r="G498" i="31"/>
  <c r="E498" i="31"/>
  <c r="C498" i="31"/>
  <c r="Q497" i="31"/>
  <c r="O497" i="31"/>
  <c r="M497" i="31"/>
  <c r="K497" i="31"/>
  <c r="I497" i="31"/>
  <c r="G497" i="31"/>
  <c r="E497" i="31"/>
  <c r="C497" i="31"/>
  <c r="Q496" i="31"/>
  <c r="O496" i="31"/>
  <c r="M496" i="31"/>
  <c r="K496" i="31"/>
  <c r="I496" i="31"/>
  <c r="G496" i="31"/>
  <c r="E496" i="31"/>
  <c r="C496" i="31"/>
  <c r="Q495" i="31"/>
  <c r="O495" i="31"/>
  <c r="M495" i="31"/>
  <c r="K495" i="31"/>
  <c r="I495" i="31"/>
  <c r="G495" i="31"/>
  <c r="E495" i="31"/>
  <c r="C495" i="31"/>
  <c r="Q494" i="31"/>
  <c r="O494" i="31"/>
  <c r="M494" i="31"/>
  <c r="K494" i="31"/>
  <c r="I494" i="31"/>
  <c r="G494" i="31"/>
  <c r="E494" i="31"/>
  <c r="C494" i="31"/>
  <c r="Q493" i="31"/>
  <c r="O493" i="31"/>
  <c r="M493" i="31"/>
  <c r="K493" i="31"/>
  <c r="I493" i="31"/>
  <c r="G493" i="31"/>
  <c r="E493" i="31"/>
  <c r="C493" i="31"/>
  <c r="Q492" i="31"/>
  <c r="O492" i="31"/>
  <c r="M492" i="31"/>
  <c r="K492" i="31"/>
  <c r="I492" i="31"/>
  <c r="G492" i="31"/>
  <c r="E492" i="31"/>
  <c r="C492" i="31"/>
  <c r="Q491" i="31"/>
  <c r="O491" i="31"/>
  <c r="M491" i="31"/>
  <c r="K491" i="31"/>
  <c r="I491" i="31"/>
  <c r="G491" i="31"/>
  <c r="E491" i="31"/>
  <c r="C491" i="31"/>
  <c r="Q490" i="31"/>
  <c r="O490" i="31"/>
  <c r="M490" i="31"/>
  <c r="K490" i="31"/>
  <c r="I490" i="31"/>
  <c r="G490" i="31"/>
  <c r="E490" i="31"/>
  <c r="C490" i="31"/>
  <c r="Q489" i="31"/>
  <c r="O489" i="31"/>
  <c r="M489" i="31"/>
  <c r="K489" i="31"/>
  <c r="I489" i="31"/>
  <c r="G489" i="31"/>
  <c r="E489" i="31"/>
  <c r="C489" i="31"/>
  <c r="Q488" i="31"/>
  <c r="O488" i="31"/>
  <c r="M488" i="31"/>
  <c r="K488" i="31"/>
  <c r="I488" i="31"/>
  <c r="G488" i="31"/>
  <c r="E488" i="31"/>
  <c r="C488" i="31"/>
  <c r="Q487" i="31"/>
  <c r="O487" i="31"/>
  <c r="M487" i="31"/>
  <c r="K487" i="31"/>
  <c r="I487" i="31"/>
  <c r="G487" i="31"/>
  <c r="E487" i="31"/>
  <c r="C487" i="31"/>
  <c r="Q486" i="31"/>
  <c r="O486" i="31"/>
  <c r="M486" i="31"/>
  <c r="K486" i="31"/>
  <c r="I486" i="31"/>
  <c r="G486" i="31"/>
  <c r="E486" i="31"/>
  <c r="C486" i="31"/>
  <c r="Q485" i="31"/>
  <c r="O485" i="31"/>
  <c r="M485" i="31"/>
  <c r="K485" i="31"/>
  <c r="I485" i="31"/>
  <c r="G485" i="31"/>
  <c r="E485" i="31"/>
  <c r="C485" i="31"/>
  <c r="Q484" i="31"/>
  <c r="O484" i="31"/>
  <c r="M484" i="31"/>
  <c r="K484" i="31"/>
  <c r="I484" i="31"/>
  <c r="G484" i="31"/>
  <c r="E484" i="31"/>
  <c r="C484" i="31"/>
  <c r="Q483" i="31"/>
  <c r="O483" i="31"/>
  <c r="M483" i="31"/>
  <c r="K483" i="31"/>
  <c r="I483" i="31"/>
  <c r="G483" i="31"/>
  <c r="E483" i="31"/>
  <c r="C483" i="31"/>
  <c r="Q482" i="31"/>
  <c r="O482" i="31"/>
  <c r="M482" i="31"/>
  <c r="K482" i="31"/>
  <c r="I482" i="31"/>
  <c r="G482" i="31"/>
  <c r="E482" i="31"/>
  <c r="C482" i="31"/>
  <c r="Q481" i="31"/>
  <c r="O481" i="31"/>
  <c r="M481" i="31"/>
  <c r="K481" i="31"/>
  <c r="I481" i="31"/>
  <c r="G481" i="31"/>
  <c r="E481" i="31"/>
  <c r="C481" i="31"/>
  <c r="Q480" i="31"/>
  <c r="O480" i="31"/>
  <c r="M480" i="31"/>
  <c r="K480" i="31"/>
  <c r="I480" i="31"/>
  <c r="G480" i="31"/>
  <c r="E480" i="31"/>
  <c r="C480" i="31"/>
  <c r="Q479" i="31"/>
  <c r="O479" i="31"/>
  <c r="M479" i="31"/>
  <c r="K479" i="31"/>
  <c r="I479" i="31"/>
  <c r="G479" i="31"/>
  <c r="E479" i="31"/>
  <c r="C479" i="31"/>
  <c r="Q478" i="31"/>
  <c r="O478" i="31"/>
  <c r="M478" i="31"/>
  <c r="K478" i="31"/>
  <c r="I478" i="31"/>
  <c r="G478" i="31"/>
  <c r="E478" i="31"/>
  <c r="C478" i="31"/>
  <c r="Q477" i="31"/>
  <c r="O477" i="31"/>
  <c r="M477" i="31"/>
  <c r="K477" i="31"/>
  <c r="I477" i="31"/>
  <c r="G477" i="31"/>
  <c r="E477" i="31"/>
  <c r="C477" i="31"/>
  <c r="Q476" i="31"/>
  <c r="O476" i="31"/>
  <c r="M476" i="31"/>
  <c r="K476" i="31"/>
  <c r="I476" i="31"/>
  <c r="G476" i="31"/>
  <c r="E476" i="31"/>
  <c r="C476" i="31"/>
  <c r="Q475" i="31"/>
  <c r="O475" i="31"/>
  <c r="M475" i="31"/>
  <c r="K475" i="31"/>
  <c r="I475" i="31"/>
  <c r="G475" i="31"/>
  <c r="E475" i="31"/>
  <c r="C475" i="31"/>
  <c r="Q474" i="31"/>
  <c r="O474" i="31"/>
  <c r="M474" i="31"/>
  <c r="K474" i="31"/>
  <c r="I474" i="31"/>
  <c r="G474" i="31"/>
  <c r="E474" i="31"/>
  <c r="C474" i="31"/>
  <c r="Q473" i="31"/>
  <c r="O473" i="31"/>
  <c r="M473" i="31"/>
  <c r="K473" i="31"/>
  <c r="I473" i="31"/>
  <c r="G473" i="31"/>
  <c r="E473" i="31"/>
  <c r="C473" i="31"/>
  <c r="Q472" i="31"/>
  <c r="O472" i="31"/>
  <c r="M472" i="31"/>
  <c r="K472" i="31"/>
  <c r="I472" i="31"/>
  <c r="G472" i="31"/>
  <c r="E472" i="31"/>
  <c r="C472" i="31"/>
  <c r="Q471" i="31"/>
  <c r="O471" i="31"/>
  <c r="M471" i="31"/>
  <c r="K471" i="31"/>
  <c r="I471" i="31"/>
  <c r="G471" i="31"/>
  <c r="E471" i="31"/>
  <c r="C471" i="31"/>
  <c r="Q470" i="31"/>
  <c r="O470" i="31"/>
  <c r="M470" i="31"/>
  <c r="K470" i="31"/>
  <c r="I470" i="31"/>
  <c r="G470" i="31"/>
  <c r="E470" i="31"/>
  <c r="C470" i="31"/>
  <c r="Q469" i="31"/>
  <c r="O469" i="31"/>
  <c r="M469" i="31"/>
  <c r="K469" i="31"/>
  <c r="I469" i="31"/>
  <c r="G469" i="31"/>
  <c r="E469" i="31"/>
  <c r="C469" i="31"/>
  <c r="Q468" i="31"/>
  <c r="O468" i="31"/>
  <c r="M468" i="31"/>
  <c r="K468" i="31"/>
  <c r="I468" i="31"/>
  <c r="G468" i="31"/>
  <c r="E468" i="31"/>
  <c r="C468" i="31"/>
  <c r="Q467" i="31"/>
  <c r="O467" i="31"/>
  <c r="M467" i="31"/>
  <c r="K467" i="31"/>
  <c r="I467" i="31"/>
  <c r="G467" i="31"/>
  <c r="E467" i="31"/>
  <c r="C467" i="31"/>
  <c r="Q466" i="31"/>
  <c r="O466" i="31"/>
  <c r="M466" i="31"/>
  <c r="K466" i="31"/>
  <c r="I466" i="31"/>
  <c r="G466" i="31"/>
  <c r="E466" i="31"/>
  <c r="C466" i="31"/>
  <c r="Q465" i="31"/>
  <c r="O465" i="31"/>
  <c r="M465" i="31"/>
  <c r="K465" i="31"/>
  <c r="I465" i="31"/>
  <c r="G465" i="31"/>
  <c r="E465" i="31"/>
  <c r="C465" i="31"/>
  <c r="Q464" i="31"/>
  <c r="O464" i="31"/>
  <c r="M464" i="31"/>
  <c r="K464" i="31"/>
  <c r="I464" i="31"/>
  <c r="G464" i="31"/>
  <c r="E464" i="31"/>
  <c r="C464" i="31"/>
  <c r="Q463" i="31"/>
  <c r="O463" i="31"/>
  <c r="M463" i="31"/>
  <c r="K463" i="31"/>
  <c r="I463" i="31"/>
  <c r="G463" i="31"/>
  <c r="E463" i="31"/>
  <c r="C463" i="31"/>
  <c r="Q462" i="31"/>
  <c r="O462" i="31"/>
  <c r="M462" i="31"/>
  <c r="K462" i="31"/>
  <c r="I462" i="31"/>
  <c r="G462" i="31"/>
  <c r="E462" i="31"/>
  <c r="C462" i="31"/>
  <c r="Q461" i="31"/>
  <c r="O461" i="31"/>
  <c r="M461" i="31"/>
  <c r="K461" i="31"/>
  <c r="I461" i="31"/>
  <c r="G461" i="31"/>
  <c r="E461" i="31"/>
  <c r="C461" i="31"/>
  <c r="Q460" i="31"/>
  <c r="O460" i="31"/>
  <c r="M460" i="31"/>
  <c r="K460" i="31"/>
  <c r="I460" i="31"/>
  <c r="G460" i="31"/>
  <c r="E460" i="31"/>
  <c r="C460" i="31"/>
  <c r="Q459" i="31"/>
  <c r="O459" i="31"/>
  <c r="M459" i="31"/>
  <c r="K459" i="31"/>
  <c r="I459" i="31"/>
  <c r="G459" i="31"/>
  <c r="E459" i="31"/>
  <c r="C459" i="31"/>
  <c r="Q458" i="31"/>
  <c r="O458" i="31"/>
  <c r="M458" i="31"/>
  <c r="K458" i="31"/>
  <c r="I458" i="31"/>
  <c r="G458" i="31"/>
  <c r="E458" i="31"/>
  <c r="C458" i="31"/>
  <c r="Q457" i="31"/>
  <c r="O457" i="31"/>
  <c r="M457" i="31"/>
  <c r="K457" i="31"/>
  <c r="I457" i="31"/>
  <c r="G457" i="31"/>
  <c r="E457" i="31"/>
  <c r="C457" i="31"/>
  <c r="Q456" i="31"/>
  <c r="O456" i="31"/>
  <c r="M456" i="31"/>
  <c r="K456" i="31"/>
  <c r="I456" i="31"/>
  <c r="G456" i="31"/>
  <c r="E456" i="31"/>
  <c r="C456" i="31"/>
  <c r="Q455" i="31"/>
  <c r="O455" i="31"/>
  <c r="M455" i="31"/>
  <c r="K455" i="31"/>
  <c r="I455" i="31"/>
  <c r="G455" i="31"/>
  <c r="E455" i="31"/>
  <c r="C455" i="31"/>
  <c r="Q454" i="31"/>
  <c r="O454" i="31"/>
  <c r="M454" i="31"/>
  <c r="K454" i="31"/>
  <c r="I454" i="31"/>
  <c r="G454" i="31"/>
  <c r="E454" i="31"/>
  <c r="C454" i="31"/>
  <c r="Q453" i="31"/>
  <c r="O453" i="31"/>
  <c r="M453" i="31"/>
  <c r="K453" i="31"/>
  <c r="I453" i="31"/>
  <c r="G453" i="31"/>
  <c r="E453" i="31"/>
  <c r="C453" i="31"/>
  <c r="Q452" i="31"/>
  <c r="O452" i="31"/>
  <c r="M452" i="31"/>
  <c r="K452" i="31"/>
  <c r="I452" i="31"/>
  <c r="G452" i="31"/>
  <c r="E452" i="31"/>
  <c r="C452" i="31"/>
  <c r="Q451" i="31"/>
  <c r="O451" i="31"/>
  <c r="M451" i="31"/>
  <c r="K451" i="31"/>
  <c r="I451" i="31"/>
  <c r="G451" i="31"/>
  <c r="E451" i="31"/>
  <c r="C451" i="31"/>
  <c r="Q450" i="31"/>
  <c r="O450" i="31"/>
  <c r="M450" i="31"/>
  <c r="K450" i="31"/>
  <c r="I450" i="31"/>
  <c r="G450" i="31"/>
  <c r="E450" i="31"/>
  <c r="C450" i="31"/>
  <c r="Q449" i="31"/>
  <c r="O449" i="31"/>
  <c r="M449" i="31"/>
  <c r="K449" i="31"/>
  <c r="I449" i="31"/>
  <c r="G449" i="31"/>
  <c r="E449" i="31"/>
  <c r="C449" i="31"/>
  <c r="Q448" i="31"/>
  <c r="O448" i="31"/>
  <c r="M448" i="31"/>
  <c r="K448" i="31"/>
  <c r="I448" i="31"/>
  <c r="G448" i="31"/>
  <c r="E448" i="31"/>
  <c r="C448" i="31"/>
  <c r="Q447" i="31"/>
  <c r="O447" i="31"/>
  <c r="M447" i="31"/>
  <c r="K447" i="31"/>
  <c r="I447" i="31"/>
  <c r="G447" i="31"/>
  <c r="E447" i="31"/>
  <c r="C447" i="31"/>
  <c r="Q446" i="31"/>
  <c r="O446" i="31"/>
  <c r="M446" i="31"/>
  <c r="K446" i="31"/>
  <c r="I446" i="31"/>
  <c r="G446" i="31"/>
  <c r="E446" i="31"/>
  <c r="C446" i="31"/>
  <c r="Q445" i="31"/>
  <c r="O445" i="31"/>
  <c r="M445" i="31"/>
  <c r="K445" i="31"/>
  <c r="I445" i="31"/>
  <c r="G445" i="31"/>
  <c r="E445" i="31"/>
  <c r="C445" i="31"/>
  <c r="Q444" i="31"/>
  <c r="O444" i="31"/>
  <c r="M444" i="31"/>
  <c r="K444" i="31"/>
  <c r="I444" i="31"/>
  <c r="G444" i="31"/>
  <c r="E444" i="31"/>
  <c r="C444" i="31"/>
  <c r="Q443" i="31"/>
  <c r="O443" i="31"/>
  <c r="M443" i="31"/>
  <c r="K443" i="31"/>
  <c r="I443" i="31"/>
  <c r="G443" i="31"/>
  <c r="E443" i="31"/>
  <c r="C443" i="31"/>
  <c r="Q442" i="31"/>
  <c r="O442" i="31"/>
  <c r="M442" i="31"/>
  <c r="K442" i="31"/>
  <c r="I442" i="31"/>
  <c r="G442" i="31"/>
  <c r="E442" i="31"/>
  <c r="C442" i="31"/>
  <c r="Q441" i="31"/>
  <c r="O441" i="31"/>
  <c r="M441" i="31"/>
  <c r="K441" i="31"/>
  <c r="I441" i="31"/>
  <c r="G441" i="31"/>
  <c r="E441" i="31"/>
  <c r="C441" i="31"/>
  <c r="Q440" i="31"/>
  <c r="O440" i="31"/>
  <c r="M440" i="31"/>
  <c r="K440" i="31"/>
  <c r="I440" i="31"/>
  <c r="G440" i="31"/>
  <c r="E440" i="31"/>
  <c r="C440" i="31"/>
  <c r="Q439" i="31"/>
  <c r="O439" i="31"/>
  <c r="M439" i="31"/>
  <c r="K439" i="31"/>
  <c r="I439" i="31"/>
  <c r="G439" i="31"/>
  <c r="E439" i="31"/>
  <c r="C439" i="31"/>
  <c r="Q438" i="31"/>
  <c r="O438" i="31"/>
  <c r="M438" i="31"/>
  <c r="K438" i="31"/>
  <c r="I438" i="31"/>
  <c r="G438" i="31"/>
  <c r="E438" i="31"/>
  <c r="C438" i="31"/>
  <c r="Q437" i="31"/>
  <c r="O437" i="31"/>
  <c r="M437" i="31"/>
  <c r="K437" i="31"/>
  <c r="I437" i="31"/>
  <c r="G437" i="31"/>
  <c r="E437" i="31"/>
  <c r="C437" i="31"/>
  <c r="Q436" i="31"/>
  <c r="O436" i="31"/>
  <c r="M436" i="31"/>
  <c r="K436" i="31"/>
  <c r="I436" i="31"/>
  <c r="G436" i="31"/>
  <c r="E436" i="31"/>
  <c r="C436" i="31"/>
  <c r="Q435" i="31"/>
  <c r="O435" i="31"/>
  <c r="M435" i="31"/>
  <c r="K435" i="31"/>
  <c r="I435" i="31"/>
  <c r="G435" i="31"/>
  <c r="E435" i="31"/>
  <c r="C435" i="31"/>
  <c r="Q434" i="31"/>
  <c r="O434" i="31"/>
  <c r="M434" i="31"/>
  <c r="K434" i="31"/>
  <c r="I434" i="31"/>
  <c r="G434" i="31"/>
  <c r="E434" i="31"/>
  <c r="C434" i="31"/>
  <c r="Q433" i="31"/>
  <c r="O433" i="31"/>
  <c r="M433" i="31"/>
  <c r="K433" i="31"/>
  <c r="I433" i="31"/>
  <c r="G433" i="31"/>
  <c r="E433" i="31"/>
  <c r="C433" i="31"/>
  <c r="Q432" i="31"/>
  <c r="O432" i="31"/>
  <c r="M432" i="31"/>
  <c r="K432" i="31"/>
  <c r="I432" i="31"/>
  <c r="G432" i="31"/>
  <c r="E432" i="31"/>
  <c r="C432" i="31"/>
  <c r="Q431" i="31"/>
  <c r="O431" i="31"/>
  <c r="M431" i="31"/>
  <c r="K431" i="31"/>
  <c r="I431" i="31"/>
  <c r="G431" i="31"/>
  <c r="E431" i="31"/>
  <c r="C431" i="31"/>
  <c r="Q430" i="31"/>
  <c r="O430" i="31"/>
  <c r="M430" i="31"/>
  <c r="K430" i="31"/>
  <c r="I430" i="31"/>
  <c r="G430" i="31"/>
  <c r="E430" i="31"/>
  <c r="C430" i="31"/>
  <c r="Q429" i="31"/>
  <c r="O429" i="31"/>
  <c r="M429" i="31"/>
  <c r="K429" i="31"/>
  <c r="I429" i="31"/>
  <c r="G429" i="31"/>
  <c r="E429" i="31"/>
  <c r="C429" i="31"/>
  <c r="Q428" i="31"/>
  <c r="O428" i="31"/>
  <c r="M428" i="31"/>
  <c r="K428" i="31"/>
  <c r="I428" i="31"/>
  <c r="G428" i="31"/>
  <c r="E428" i="31"/>
  <c r="C428" i="31"/>
  <c r="Q427" i="31"/>
  <c r="O427" i="31"/>
  <c r="M427" i="31"/>
  <c r="K427" i="31"/>
  <c r="I427" i="31"/>
  <c r="G427" i="31"/>
  <c r="E427" i="31"/>
  <c r="C427" i="31"/>
  <c r="Q426" i="31"/>
  <c r="O426" i="31"/>
  <c r="M426" i="31"/>
  <c r="K426" i="31"/>
  <c r="I426" i="31"/>
  <c r="G426" i="31"/>
  <c r="E426" i="31"/>
  <c r="C426" i="31"/>
  <c r="Q425" i="31"/>
  <c r="O425" i="31"/>
  <c r="M425" i="31"/>
  <c r="K425" i="31"/>
  <c r="I425" i="31"/>
  <c r="G425" i="31"/>
  <c r="E425" i="31"/>
  <c r="C425" i="31"/>
  <c r="Q424" i="31"/>
  <c r="O424" i="31"/>
  <c r="M424" i="31"/>
  <c r="K424" i="31"/>
  <c r="I424" i="31"/>
  <c r="G424" i="31"/>
  <c r="E424" i="31"/>
  <c r="C424" i="31"/>
  <c r="Q423" i="31"/>
  <c r="O423" i="31"/>
  <c r="M423" i="31"/>
  <c r="K423" i="31"/>
  <c r="I423" i="31"/>
  <c r="G423" i="31"/>
  <c r="E423" i="31"/>
  <c r="C423" i="31"/>
  <c r="Q422" i="31"/>
  <c r="O422" i="31"/>
  <c r="M422" i="31"/>
  <c r="K422" i="31"/>
  <c r="I422" i="31"/>
  <c r="G422" i="31"/>
  <c r="E422" i="31"/>
  <c r="C422" i="31"/>
  <c r="Q421" i="31"/>
  <c r="O421" i="31"/>
  <c r="M421" i="31"/>
  <c r="K421" i="31"/>
  <c r="I421" i="31"/>
  <c r="G421" i="31"/>
  <c r="E421" i="31"/>
  <c r="C421" i="31"/>
  <c r="Q420" i="31"/>
  <c r="O420" i="31"/>
  <c r="M420" i="31"/>
  <c r="K420" i="31"/>
  <c r="I420" i="31"/>
  <c r="G420" i="31"/>
  <c r="E420" i="31"/>
  <c r="C420" i="31"/>
  <c r="Q419" i="31"/>
  <c r="O419" i="31"/>
  <c r="M419" i="31"/>
  <c r="K419" i="31"/>
  <c r="I419" i="31"/>
  <c r="G419" i="31"/>
  <c r="E419" i="31"/>
  <c r="C419" i="31"/>
  <c r="Q418" i="31"/>
  <c r="O418" i="31"/>
  <c r="M418" i="31"/>
  <c r="K418" i="31"/>
  <c r="I418" i="31"/>
  <c r="G418" i="31"/>
  <c r="E418" i="31"/>
  <c r="C418" i="31"/>
  <c r="Q417" i="31"/>
  <c r="O417" i="31"/>
  <c r="M417" i="31"/>
  <c r="K417" i="31"/>
  <c r="I417" i="31"/>
  <c r="G417" i="31"/>
  <c r="E417" i="31"/>
  <c r="C417" i="31"/>
  <c r="Q416" i="31"/>
  <c r="O416" i="31"/>
  <c r="M416" i="31"/>
  <c r="K416" i="31"/>
  <c r="I416" i="31"/>
  <c r="G416" i="31"/>
  <c r="E416" i="31"/>
  <c r="C416" i="31"/>
  <c r="Q415" i="31"/>
  <c r="O415" i="31"/>
  <c r="M415" i="31"/>
  <c r="K415" i="31"/>
  <c r="I415" i="31"/>
  <c r="G415" i="31"/>
  <c r="E415" i="31"/>
  <c r="C415" i="31"/>
  <c r="Q414" i="31"/>
  <c r="O414" i="31"/>
  <c r="M414" i="31"/>
  <c r="K414" i="31"/>
  <c r="I414" i="31"/>
  <c r="G414" i="31"/>
  <c r="E414" i="31"/>
  <c r="C414" i="31"/>
  <c r="Q413" i="31"/>
  <c r="O413" i="31"/>
  <c r="M413" i="31"/>
  <c r="K413" i="31"/>
  <c r="I413" i="31"/>
  <c r="G413" i="31"/>
  <c r="E413" i="31"/>
  <c r="C413" i="31"/>
  <c r="Q412" i="31"/>
  <c r="O412" i="31"/>
  <c r="M412" i="31"/>
  <c r="K412" i="31"/>
  <c r="I412" i="31"/>
  <c r="G412" i="31"/>
  <c r="E412" i="31"/>
  <c r="C412" i="31"/>
  <c r="Q411" i="31"/>
  <c r="O411" i="31"/>
  <c r="M411" i="31"/>
  <c r="K411" i="31"/>
  <c r="I411" i="31"/>
  <c r="G411" i="31"/>
  <c r="E411" i="31"/>
  <c r="C411" i="31"/>
  <c r="Q410" i="31"/>
  <c r="O410" i="31"/>
  <c r="M410" i="31"/>
  <c r="K410" i="31"/>
  <c r="I410" i="31"/>
  <c r="G410" i="31"/>
  <c r="E410" i="31"/>
  <c r="C410" i="31"/>
  <c r="Q409" i="31"/>
  <c r="O409" i="31"/>
  <c r="M409" i="31"/>
  <c r="K409" i="31"/>
  <c r="I409" i="31"/>
  <c r="G409" i="31"/>
  <c r="E409" i="31"/>
  <c r="C409" i="31"/>
  <c r="Q408" i="31"/>
  <c r="O408" i="31"/>
  <c r="M408" i="31"/>
  <c r="K408" i="31"/>
  <c r="I408" i="31"/>
  <c r="G408" i="31"/>
  <c r="E408" i="31"/>
  <c r="C408" i="31"/>
  <c r="Q407" i="31"/>
  <c r="O407" i="31"/>
  <c r="M407" i="31"/>
  <c r="K407" i="31"/>
  <c r="I407" i="31"/>
  <c r="G407" i="31"/>
  <c r="E407" i="31"/>
  <c r="C407" i="31"/>
  <c r="Q406" i="31"/>
  <c r="O406" i="31"/>
  <c r="M406" i="31"/>
  <c r="K406" i="31"/>
  <c r="I406" i="31"/>
  <c r="G406" i="31"/>
  <c r="E406" i="31"/>
  <c r="C406" i="31"/>
  <c r="Q405" i="31"/>
  <c r="O405" i="31"/>
  <c r="M405" i="31"/>
  <c r="K405" i="31"/>
  <c r="I405" i="31"/>
  <c r="G405" i="31"/>
  <c r="E405" i="31"/>
  <c r="C405" i="31"/>
  <c r="Q404" i="31"/>
  <c r="O404" i="31"/>
  <c r="M404" i="31"/>
  <c r="K404" i="31"/>
  <c r="I404" i="31"/>
  <c r="G404" i="31"/>
  <c r="E404" i="31"/>
  <c r="C404" i="31"/>
  <c r="Q403" i="31"/>
  <c r="O403" i="31"/>
  <c r="M403" i="31"/>
  <c r="K403" i="31"/>
  <c r="I403" i="31"/>
  <c r="G403" i="31"/>
  <c r="E403" i="31"/>
  <c r="C403" i="31"/>
  <c r="Q402" i="31"/>
  <c r="O402" i="31"/>
  <c r="M402" i="31"/>
  <c r="K402" i="31"/>
  <c r="I402" i="31"/>
  <c r="G402" i="31"/>
  <c r="E402" i="31"/>
  <c r="C402" i="31"/>
  <c r="Q401" i="31"/>
  <c r="O401" i="31"/>
  <c r="M401" i="31"/>
  <c r="K401" i="31"/>
  <c r="I401" i="31"/>
  <c r="G401" i="31"/>
  <c r="E401" i="31"/>
  <c r="C401" i="31"/>
  <c r="Q400" i="31"/>
  <c r="O400" i="31"/>
  <c r="M400" i="31"/>
  <c r="K400" i="31"/>
  <c r="I400" i="31"/>
  <c r="G400" i="31"/>
  <c r="E400" i="31"/>
  <c r="C400" i="31"/>
  <c r="Q399" i="31"/>
  <c r="O399" i="31"/>
  <c r="M399" i="31"/>
  <c r="K399" i="31"/>
  <c r="I399" i="31"/>
  <c r="G399" i="31"/>
  <c r="E399" i="31"/>
  <c r="C399" i="31"/>
  <c r="Q398" i="31"/>
  <c r="O398" i="31"/>
  <c r="M398" i="31"/>
  <c r="K398" i="31"/>
  <c r="I398" i="31"/>
  <c r="G398" i="31"/>
  <c r="E398" i="31"/>
  <c r="C398" i="31"/>
  <c r="Q397" i="31"/>
  <c r="O397" i="31"/>
  <c r="M397" i="31"/>
  <c r="K397" i="31"/>
  <c r="I397" i="31"/>
  <c r="G397" i="31"/>
  <c r="E397" i="31"/>
  <c r="C397" i="31"/>
  <c r="Q396" i="31"/>
  <c r="O396" i="31"/>
  <c r="M396" i="31"/>
  <c r="K396" i="31"/>
  <c r="I396" i="31"/>
  <c r="G396" i="31"/>
  <c r="E396" i="31"/>
  <c r="C396" i="31"/>
  <c r="Q395" i="31"/>
  <c r="O395" i="31"/>
  <c r="M395" i="31"/>
  <c r="K395" i="31"/>
  <c r="I395" i="31"/>
  <c r="G395" i="31"/>
  <c r="E395" i="31"/>
  <c r="C395" i="31"/>
  <c r="Q394" i="31"/>
  <c r="O394" i="31"/>
  <c r="M394" i="31"/>
  <c r="K394" i="31"/>
  <c r="I394" i="31"/>
  <c r="G394" i="31"/>
  <c r="E394" i="31"/>
  <c r="C394" i="31"/>
  <c r="Q393" i="31"/>
  <c r="O393" i="31"/>
  <c r="M393" i="31"/>
  <c r="K393" i="31"/>
  <c r="I393" i="31"/>
  <c r="G393" i="31"/>
  <c r="E393" i="31"/>
  <c r="C393" i="31"/>
  <c r="Q392" i="31"/>
  <c r="O392" i="31"/>
  <c r="M392" i="31"/>
  <c r="K392" i="31"/>
  <c r="I392" i="31"/>
  <c r="G392" i="31"/>
  <c r="E392" i="31"/>
  <c r="C392" i="31"/>
  <c r="Q391" i="31"/>
  <c r="O391" i="31"/>
  <c r="M391" i="31"/>
  <c r="K391" i="31"/>
  <c r="I391" i="31"/>
  <c r="G391" i="31"/>
  <c r="E391" i="31"/>
  <c r="C391" i="31"/>
  <c r="Q390" i="31"/>
  <c r="O390" i="31"/>
  <c r="M390" i="31"/>
  <c r="K390" i="31"/>
  <c r="I390" i="31"/>
  <c r="G390" i="31"/>
  <c r="E390" i="31"/>
  <c r="C390" i="31"/>
  <c r="Q389" i="31"/>
  <c r="O389" i="31"/>
  <c r="M389" i="31"/>
  <c r="K389" i="31"/>
  <c r="I389" i="31"/>
  <c r="G389" i="31"/>
  <c r="E389" i="31"/>
  <c r="C389" i="31"/>
  <c r="Q388" i="31"/>
  <c r="O388" i="31"/>
  <c r="M388" i="31"/>
  <c r="K388" i="31"/>
  <c r="I388" i="31"/>
  <c r="G388" i="31"/>
  <c r="E388" i="31"/>
  <c r="C388" i="31"/>
  <c r="Q387" i="31"/>
  <c r="O387" i="31"/>
  <c r="M387" i="31"/>
  <c r="K387" i="31"/>
  <c r="I387" i="31"/>
  <c r="G387" i="31"/>
  <c r="E387" i="31"/>
  <c r="C387" i="31"/>
  <c r="Q386" i="31"/>
  <c r="O386" i="31"/>
  <c r="M386" i="31"/>
  <c r="K386" i="31"/>
  <c r="I386" i="31"/>
  <c r="G386" i="31"/>
  <c r="E386" i="31"/>
  <c r="C386" i="31"/>
  <c r="Q385" i="31"/>
  <c r="O385" i="31"/>
  <c r="M385" i="31"/>
  <c r="K385" i="31"/>
  <c r="I385" i="31"/>
  <c r="G385" i="31"/>
  <c r="E385" i="31"/>
  <c r="C385" i="31"/>
  <c r="Q384" i="31"/>
  <c r="O384" i="31"/>
  <c r="M384" i="31"/>
  <c r="K384" i="31"/>
  <c r="I384" i="31"/>
  <c r="G384" i="31"/>
  <c r="E384" i="31"/>
  <c r="C384" i="31"/>
  <c r="Q383" i="31"/>
  <c r="O383" i="31"/>
  <c r="M383" i="31"/>
  <c r="K383" i="31"/>
  <c r="I383" i="31"/>
  <c r="G383" i="31"/>
  <c r="E383" i="31"/>
  <c r="C383" i="31"/>
  <c r="Q382" i="31"/>
  <c r="O382" i="31"/>
  <c r="M382" i="31"/>
  <c r="K382" i="31"/>
  <c r="I382" i="31"/>
  <c r="G382" i="31"/>
  <c r="E382" i="31"/>
  <c r="C382" i="31"/>
  <c r="Q381" i="31"/>
  <c r="O381" i="31"/>
  <c r="M381" i="31"/>
  <c r="K381" i="31"/>
  <c r="I381" i="31"/>
  <c r="G381" i="31"/>
  <c r="E381" i="31"/>
  <c r="C381" i="31"/>
  <c r="Q380" i="31"/>
  <c r="O380" i="31"/>
  <c r="M380" i="31"/>
  <c r="K380" i="31"/>
  <c r="I380" i="31"/>
  <c r="G380" i="31"/>
  <c r="E380" i="31"/>
  <c r="C380" i="31"/>
  <c r="Q379" i="31"/>
  <c r="O379" i="31"/>
  <c r="M379" i="31"/>
  <c r="K379" i="31"/>
  <c r="I379" i="31"/>
  <c r="G379" i="31"/>
  <c r="E379" i="31"/>
  <c r="C379" i="31"/>
  <c r="Q378" i="31"/>
  <c r="O378" i="31"/>
  <c r="M378" i="31"/>
  <c r="K378" i="31"/>
  <c r="I378" i="31"/>
  <c r="G378" i="31"/>
  <c r="E378" i="31"/>
  <c r="C378" i="31"/>
  <c r="Q377" i="31"/>
  <c r="O377" i="31"/>
  <c r="M377" i="31"/>
  <c r="K377" i="31"/>
  <c r="I377" i="31"/>
  <c r="G377" i="31"/>
  <c r="E377" i="31"/>
  <c r="C377" i="31"/>
  <c r="Q376" i="31"/>
  <c r="O376" i="31"/>
  <c r="M376" i="31"/>
  <c r="K376" i="31"/>
  <c r="I376" i="31"/>
  <c r="G376" i="31"/>
  <c r="E376" i="31"/>
  <c r="C376" i="31"/>
  <c r="Q375" i="31"/>
  <c r="O375" i="31"/>
  <c r="M375" i="31"/>
  <c r="K375" i="31"/>
  <c r="I375" i="31"/>
  <c r="G375" i="31"/>
  <c r="E375" i="31"/>
  <c r="C375" i="31"/>
  <c r="Q374" i="31"/>
  <c r="O374" i="31"/>
  <c r="M374" i="31"/>
  <c r="K374" i="31"/>
  <c r="I374" i="31"/>
  <c r="G374" i="31"/>
  <c r="E374" i="31"/>
  <c r="C374" i="31"/>
  <c r="Q373" i="31"/>
  <c r="O373" i="31"/>
  <c r="M373" i="31"/>
  <c r="K373" i="31"/>
  <c r="I373" i="31"/>
  <c r="G373" i="31"/>
  <c r="E373" i="31"/>
  <c r="C373" i="31"/>
  <c r="Q372" i="31"/>
  <c r="O372" i="31"/>
  <c r="M372" i="31"/>
  <c r="K372" i="31"/>
  <c r="I372" i="31"/>
  <c r="G372" i="31"/>
  <c r="E372" i="31"/>
  <c r="C372" i="31"/>
  <c r="Q371" i="31"/>
  <c r="O371" i="31"/>
  <c r="M371" i="31"/>
  <c r="K371" i="31"/>
  <c r="I371" i="31"/>
  <c r="G371" i="31"/>
  <c r="E371" i="31"/>
  <c r="C371" i="31"/>
  <c r="Q370" i="31"/>
  <c r="O370" i="31"/>
  <c r="M370" i="31"/>
  <c r="K370" i="31"/>
  <c r="I370" i="31"/>
  <c r="G370" i="31"/>
  <c r="E370" i="31"/>
  <c r="C370" i="31"/>
  <c r="Q369" i="31"/>
  <c r="O369" i="31"/>
  <c r="M369" i="31"/>
  <c r="K369" i="31"/>
  <c r="I369" i="31"/>
  <c r="G369" i="31"/>
  <c r="E369" i="31"/>
  <c r="C369" i="31"/>
  <c r="Q368" i="31"/>
  <c r="O368" i="31"/>
  <c r="M368" i="31"/>
  <c r="K368" i="31"/>
  <c r="I368" i="31"/>
  <c r="G368" i="31"/>
  <c r="E368" i="31"/>
  <c r="C368" i="31"/>
  <c r="Q367" i="31"/>
  <c r="O367" i="31"/>
  <c r="M367" i="31"/>
  <c r="K367" i="31"/>
  <c r="I367" i="31"/>
  <c r="G367" i="31"/>
  <c r="E367" i="31"/>
  <c r="C367" i="31"/>
  <c r="Q366" i="31"/>
  <c r="O366" i="31"/>
  <c r="M366" i="31"/>
  <c r="K366" i="31"/>
  <c r="I366" i="31"/>
  <c r="G366" i="31"/>
  <c r="E366" i="31"/>
  <c r="C366" i="31"/>
  <c r="Q365" i="31"/>
  <c r="O365" i="31"/>
  <c r="M365" i="31"/>
  <c r="K365" i="31"/>
  <c r="I365" i="31"/>
  <c r="G365" i="31"/>
  <c r="E365" i="31"/>
  <c r="C365" i="31"/>
  <c r="Q364" i="31"/>
  <c r="O364" i="31"/>
  <c r="M364" i="31"/>
  <c r="K364" i="31"/>
  <c r="I364" i="31"/>
  <c r="G364" i="31"/>
  <c r="E364" i="31"/>
  <c r="C364" i="31"/>
  <c r="Q363" i="31"/>
  <c r="O363" i="31"/>
  <c r="M363" i="31"/>
  <c r="K363" i="31"/>
  <c r="I363" i="31"/>
  <c r="G363" i="31"/>
  <c r="E363" i="31"/>
  <c r="C363" i="31"/>
  <c r="Q362" i="31"/>
  <c r="O362" i="31"/>
  <c r="M362" i="31"/>
  <c r="K362" i="31"/>
  <c r="I362" i="31"/>
  <c r="G362" i="31"/>
  <c r="E362" i="31"/>
  <c r="C362" i="31"/>
  <c r="Q361" i="31"/>
  <c r="O361" i="31"/>
  <c r="M361" i="31"/>
  <c r="K361" i="31"/>
  <c r="I361" i="31"/>
  <c r="G361" i="31"/>
  <c r="E361" i="31"/>
  <c r="C361" i="31"/>
  <c r="Q360" i="31"/>
  <c r="O360" i="31"/>
  <c r="M360" i="31"/>
  <c r="K360" i="31"/>
  <c r="I360" i="31"/>
  <c r="G360" i="31"/>
  <c r="E360" i="31"/>
  <c r="C360" i="31"/>
  <c r="Q359" i="31"/>
  <c r="O359" i="31"/>
  <c r="M359" i="31"/>
  <c r="K359" i="31"/>
  <c r="I359" i="31"/>
  <c r="G359" i="31"/>
  <c r="E359" i="31"/>
  <c r="C359" i="31"/>
  <c r="Q358" i="31"/>
  <c r="O358" i="31"/>
  <c r="M358" i="31"/>
  <c r="K358" i="31"/>
  <c r="I358" i="31"/>
  <c r="G358" i="31"/>
  <c r="E358" i="31"/>
  <c r="C358" i="31"/>
  <c r="Q357" i="31"/>
  <c r="O357" i="31"/>
  <c r="M357" i="31"/>
  <c r="K357" i="31"/>
  <c r="I357" i="31"/>
  <c r="G357" i="31"/>
  <c r="E357" i="31"/>
  <c r="C357" i="31"/>
  <c r="Q356" i="31"/>
  <c r="O356" i="31"/>
  <c r="M356" i="31"/>
  <c r="K356" i="31"/>
  <c r="I356" i="31"/>
  <c r="G356" i="31"/>
  <c r="E356" i="31"/>
  <c r="C356" i="31"/>
  <c r="Q355" i="31"/>
  <c r="O355" i="31"/>
  <c r="M355" i="31"/>
  <c r="K355" i="31"/>
  <c r="I355" i="31"/>
  <c r="G355" i="31"/>
  <c r="E355" i="31"/>
  <c r="C355" i="31"/>
  <c r="Q354" i="31"/>
  <c r="O354" i="31"/>
  <c r="M354" i="31"/>
  <c r="K354" i="31"/>
  <c r="I354" i="31"/>
  <c r="G354" i="31"/>
  <c r="E354" i="31"/>
  <c r="C354" i="31"/>
  <c r="Q353" i="31"/>
  <c r="O353" i="31"/>
  <c r="M353" i="31"/>
  <c r="K353" i="31"/>
  <c r="I353" i="31"/>
  <c r="G353" i="31"/>
  <c r="E353" i="31"/>
  <c r="C353" i="31"/>
  <c r="Q352" i="31"/>
  <c r="O352" i="31"/>
  <c r="M352" i="31"/>
  <c r="K352" i="31"/>
  <c r="I352" i="31"/>
  <c r="G352" i="31"/>
  <c r="E352" i="31"/>
  <c r="C352" i="31"/>
  <c r="Q351" i="31"/>
  <c r="O351" i="31"/>
  <c r="M351" i="31"/>
  <c r="K351" i="31"/>
  <c r="I351" i="31"/>
  <c r="G351" i="31"/>
  <c r="E351" i="31"/>
  <c r="C351" i="31"/>
  <c r="Q350" i="31"/>
  <c r="O350" i="31"/>
  <c r="M350" i="31"/>
  <c r="K350" i="31"/>
  <c r="I350" i="31"/>
  <c r="G350" i="31"/>
  <c r="E350" i="31"/>
  <c r="C350" i="31"/>
  <c r="Q349" i="31"/>
  <c r="O349" i="31"/>
  <c r="M349" i="31"/>
  <c r="K349" i="31"/>
  <c r="I349" i="31"/>
  <c r="G349" i="31"/>
  <c r="E349" i="31"/>
  <c r="C349" i="31"/>
  <c r="Q348" i="31"/>
  <c r="O348" i="31"/>
  <c r="M348" i="31"/>
  <c r="K348" i="31"/>
  <c r="I348" i="31"/>
  <c r="G348" i="31"/>
  <c r="E348" i="31"/>
  <c r="C348" i="31"/>
  <c r="Q347" i="31"/>
  <c r="O347" i="31"/>
  <c r="M347" i="31"/>
  <c r="K347" i="31"/>
  <c r="I347" i="31"/>
  <c r="G347" i="31"/>
  <c r="E347" i="31"/>
  <c r="C347" i="31"/>
  <c r="Q346" i="31"/>
  <c r="O346" i="31"/>
  <c r="M346" i="31"/>
  <c r="K346" i="31"/>
  <c r="I346" i="31"/>
  <c r="G346" i="31"/>
  <c r="E346" i="31"/>
  <c r="C346" i="31"/>
  <c r="Q345" i="31"/>
  <c r="O345" i="31"/>
  <c r="M345" i="31"/>
  <c r="K345" i="31"/>
  <c r="I345" i="31"/>
  <c r="G345" i="31"/>
  <c r="E345" i="31"/>
  <c r="C345" i="31"/>
  <c r="Q344" i="31"/>
  <c r="O344" i="31"/>
  <c r="M344" i="31"/>
  <c r="K344" i="31"/>
  <c r="I344" i="31"/>
  <c r="G344" i="31"/>
  <c r="E344" i="31"/>
  <c r="C344" i="31"/>
  <c r="Q343" i="31"/>
  <c r="O343" i="31"/>
  <c r="M343" i="31"/>
  <c r="K343" i="31"/>
  <c r="I343" i="31"/>
  <c r="G343" i="31"/>
  <c r="E343" i="31"/>
  <c r="C343" i="31"/>
  <c r="Q342" i="31"/>
  <c r="O342" i="31"/>
  <c r="M342" i="31"/>
  <c r="K342" i="31"/>
  <c r="I342" i="31"/>
  <c r="G342" i="31"/>
  <c r="E342" i="31"/>
  <c r="C342" i="31"/>
  <c r="Q341" i="31"/>
  <c r="O341" i="31"/>
  <c r="M341" i="31"/>
  <c r="K341" i="31"/>
  <c r="I341" i="31"/>
  <c r="G341" i="31"/>
  <c r="E341" i="31"/>
  <c r="C341" i="31"/>
  <c r="Q340" i="31"/>
  <c r="O340" i="31"/>
  <c r="M340" i="31"/>
  <c r="K340" i="31"/>
  <c r="I340" i="31"/>
  <c r="G340" i="31"/>
  <c r="E340" i="31"/>
  <c r="C340" i="31"/>
  <c r="Q339" i="31"/>
  <c r="O339" i="31"/>
  <c r="M339" i="31"/>
  <c r="K339" i="31"/>
  <c r="I339" i="31"/>
  <c r="G339" i="31"/>
  <c r="E339" i="31"/>
  <c r="C339" i="31"/>
  <c r="Q338" i="31"/>
  <c r="O338" i="31"/>
  <c r="M338" i="31"/>
  <c r="K338" i="31"/>
  <c r="I338" i="31"/>
  <c r="G338" i="31"/>
  <c r="E338" i="31"/>
  <c r="C338" i="31"/>
  <c r="Q337" i="31"/>
  <c r="O337" i="31"/>
  <c r="M337" i="31"/>
  <c r="K337" i="31"/>
  <c r="I337" i="31"/>
  <c r="G337" i="31"/>
  <c r="E337" i="31"/>
  <c r="C337" i="31"/>
  <c r="Q336" i="31"/>
  <c r="O336" i="31"/>
  <c r="M336" i="31"/>
  <c r="K336" i="31"/>
  <c r="I336" i="31"/>
  <c r="G336" i="31"/>
  <c r="E336" i="31"/>
  <c r="C336" i="31"/>
  <c r="Q335" i="31"/>
  <c r="O335" i="31"/>
  <c r="M335" i="31"/>
  <c r="K335" i="31"/>
  <c r="I335" i="31"/>
  <c r="G335" i="31"/>
  <c r="E335" i="31"/>
  <c r="C335" i="31"/>
  <c r="Q334" i="31"/>
  <c r="O334" i="31"/>
  <c r="M334" i="31"/>
  <c r="K334" i="31"/>
  <c r="I334" i="31"/>
  <c r="G334" i="31"/>
  <c r="E334" i="31"/>
  <c r="C334" i="31"/>
  <c r="Q333" i="31"/>
  <c r="O333" i="31"/>
  <c r="M333" i="31"/>
  <c r="K333" i="31"/>
  <c r="I333" i="31"/>
  <c r="G333" i="31"/>
  <c r="E333" i="31"/>
  <c r="C333" i="31"/>
  <c r="Q332" i="31"/>
  <c r="O332" i="31"/>
  <c r="M332" i="31"/>
  <c r="K332" i="31"/>
  <c r="I332" i="31"/>
  <c r="G332" i="31"/>
  <c r="E332" i="31"/>
  <c r="C332" i="31"/>
  <c r="Q331" i="31"/>
  <c r="O331" i="31"/>
  <c r="M331" i="31"/>
  <c r="K331" i="31"/>
  <c r="I331" i="31"/>
  <c r="G331" i="31"/>
  <c r="E331" i="31"/>
  <c r="C331" i="31"/>
  <c r="Q330" i="31"/>
  <c r="O330" i="31"/>
  <c r="M330" i="31"/>
  <c r="K330" i="31"/>
  <c r="I330" i="31"/>
  <c r="G330" i="31"/>
  <c r="E330" i="31"/>
  <c r="C330" i="31"/>
  <c r="Q329" i="31"/>
  <c r="O329" i="31"/>
  <c r="M329" i="31"/>
  <c r="K329" i="31"/>
  <c r="I329" i="31"/>
  <c r="G329" i="31"/>
  <c r="E329" i="31"/>
  <c r="C329" i="31"/>
  <c r="Q328" i="31"/>
  <c r="O328" i="31"/>
  <c r="M328" i="31"/>
  <c r="K328" i="31"/>
  <c r="I328" i="31"/>
  <c r="G328" i="31"/>
  <c r="E328" i="31"/>
  <c r="C328" i="31"/>
  <c r="Q327" i="31"/>
  <c r="O327" i="31"/>
  <c r="M327" i="31"/>
  <c r="K327" i="31"/>
  <c r="I327" i="31"/>
  <c r="G327" i="31"/>
  <c r="E327" i="31"/>
  <c r="C327" i="31"/>
  <c r="Q326" i="31"/>
  <c r="O326" i="31"/>
  <c r="M326" i="31"/>
  <c r="K326" i="31"/>
  <c r="I326" i="31"/>
  <c r="G326" i="31"/>
  <c r="E326" i="31"/>
  <c r="C326" i="31"/>
  <c r="Q325" i="31"/>
  <c r="O325" i="31"/>
  <c r="M325" i="31"/>
  <c r="K325" i="31"/>
  <c r="I325" i="31"/>
  <c r="G325" i="31"/>
  <c r="E325" i="31"/>
  <c r="C325" i="31"/>
  <c r="Q324" i="31"/>
  <c r="O324" i="31"/>
  <c r="M324" i="31"/>
  <c r="K324" i="31"/>
  <c r="I324" i="31"/>
  <c r="G324" i="31"/>
  <c r="E324" i="31"/>
  <c r="C324" i="31"/>
  <c r="Q323" i="31"/>
  <c r="O323" i="31"/>
  <c r="M323" i="31"/>
  <c r="K323" i="31"/>
  <c r="I323" i="31"/>
  <c r="G323" i="31"/>
  <c r="E323" i="31"/>
  <c r="C323" i="31"/>
  <c r="Q322" i="31"/>
  <c r="O322" i="31"/>
  <c r="M322" i="31"/>
  <c r="K322" i="31"/>
  <c r="I322" i="31"/>
  <c r="G322" i="31"/>
  <c r="E322" i="31"/>
  <c r="C322" i="31"/>
  <c r="Q321" i="31"/>
  <c r="O321" i="31"/>
  <c r="M321" i="31"/>
  <c r="K321" i="31"/>
  <c r="I321" i="31"/>
  <c r="G321" i="31"/>
  <c r="E321" i="31"/>
  <c r="C321" i="31"/>
  <c r="Q320" i="31"/>
  <c r="O320" i="31"/>
  <c r="M320" i="31"/>
  <c r="K320" i="31"/>
  <c r="I320" i="31"/>
  <c r="G320" i="31"/>
  <c r="E320" i="31"/>
  <c r="C320" i="31"/>
  <c r="Q319" i="31"/>
  <c r="O319" i="31"/>
  <c r="M319" i="31"/>
  <c r="K319" i="31"/>
  <c r="I319" i="31"/>
  <c r="G319" i="31"/>
  <c r="E319" i="31"/>
  <c r="C319" i="31"/>
  <c r="Q318" i="31"/>
  <c r="O318" i="31"/>
  <c r="M318" i="31"/>
  <c r="K318" i="31"/>
  <c r="I318" i="31"/>
  <c r="G318" i="31"/>
  <c r="E318" i="31"/>
  <c r="C318" i="31"/>
  <c r="Q317" i="31"/>
  <c r="O317" i="31"/>
  <c r="M317" i="31"/>
  <c r="K317" i="31"/>
  <c r="I317" i="31"/>
  <c r="G317" i="31"/>
  <c r="E317" i="31"/>
  <c r="C317" i="31"/>
  <c r="Q316" i="31"/>
  <c r="O316" i="31"/>
  <c r="M316" i="31"/>
  <c r="K316" i="31"/>
  <c r="I316" i="31"/>
  <c r="G316" i="31"/>
  <c r="E316" i="31"/>
  <c r="C316" i="31"/>
  <c r="Q315" i="31"/>
  <c r="O315" i="31"/>
  <c r="M315" i="31"/>
  <c r="K315" i="31"/>
  <c r="I315" i="31"/>
  <c r="G315" i="31"/>
  <c r="E315" i="31"/>
  <c r="C315" i="31"/>
  <c r="Q314" i="31"/>
  <c r="O314" i="31"/>
  <c r="M314" i="31"/>
  <c r="K314" i="31"/>
  <c r="I314" i="31"/>
  <c r="G314" i="31"/>
  <c r="E314" i="31"/>
  <c r="C314" i="31"/>
  <c r="Q313" i="31"/>
  <c r="O313" i="31"/>
  <c r="M313" i="31"/>
  <c r="K313" i="31"/>
  <c r="I313" i="31"/>
  <c r="G313" i="31"/>
  <c r="E313" i="31"/>
  <c r="C313" i="31"/>
  <c r="Q312" i="31"/>
  <c r="O312" i="31"/>
  <c r="M312" i="31"/>
  <c r="K312" i="31"/>
  <c r="I312" i="31"/>
  <c r="G312" i="31"/>
  <c r="E312" i="31"/>
  <c r="C312" i="31"/>
  <c r="Q311" i="31"/>
  <c r="O311" i="31"/>
  <c r="M311" i="31"/>
  <c r="K311" i="31"/>
  <c r="I311" i="31"/>
  <c r="G311" i="31"/>
  <c r="E311" i="31"/>
  <c r="C311" i="31"/>
  <c r="Q310" i="31"/>
  <c r="O310" i="31"/>
  <c r="M310" i="31"/>
  <c r="K310" i="31"/>
  <c r="I310" i="31"/>
  <c r="G310" i="31"/>
  <c r="E310" i="31"/>
  <c r="C310" i="31"/>
  <c r="Q309" i="31"/>
  <c r="O309" i="31"/>
  <c r="M309" i="31"/>
  <c r="K309" i="31"/>
  <c r="I309" i="31"/>
  <c r="G309" i="31"/>
  <c r="E309" i="31"/>
  <c r="C309" i="31"/>
  <c r="Q308" i="31"/>
  <c r="O308" i="31"/>
  <c r="M308" i="31"/>
  <c r="K308" i="31"/>
  <c r="I308" i="31"/>
  <c r="G308" i="31"/>
  <c r="E308" i="31"/>
  <c r="C308" i="31"/>
  <c r="Q307" i="31"/>
  <c r="O307" i="31"/>
  <c r="M307" i="31"/>
  <c r="K307" i="31"/>
  <c r="I307" i="31"/>
  <c r="G307" i="31"/>
  <c r="E307" i="31"/>
  <c r="C307" i="31"/>
  <c r="Q306" i="31"/>
  <c r="O306" i="31"/>
  <c r="M306" i="31"/>
  <c r="K306" i="31"/>
  <c r="I306" i="31"/>
  <c r="G306" i="31"/>
  <c r="E306" i="31"/>
  <c r="C306" i="31"/>
  <c r="Q305" i="31"/>
  <c r="O305" i="31"/>
  <c r="M305" i="31"/>
  <c r="K305" i="31"/>
  <c r="I305" i="31"/>
  <c r="G305" i="31"/>
  <c r="E305" i="31"/>
  <c r="C305" i="31"/>
  <c r="Q304" i="31"/>
  <c r="O304" i="31"/>
  <c r="M304" i="31"/>
  <c r="K304" i="31"/>
  <c r="I304" i="31"/>
  <c r="G304" i="31"/>
  <c r="E304" i="31"/>
  <c r="C304" i="31"/>
  <c r="Q303" i="31"/>
  <c r="O303" i="31"/>
  <c r="M303" i="31"/>
  <c r="K303" i="31"/>
  <c r="I303" i="31"/>
  <c r="G303" i="31"/>
  <c r="E303" i="31"/>
  <c r="C303" i="31"/>
  <c r="Q302" i="31"/>
  <c r="O302" i="31"/>
  <c r="M302" i="31"/>
  <c r="K302" i="31"/>
  <c r="I302" i="31"/>
  <c r="G302" i="31"/>
  <c r="E302" i="31"/>
  <c r="C302" i="31"/>
  <c r="Q301" i="31"/>
  <c r="O301" i="31"/>
  <c r="M301" i="31"/>
  <c r="K301" i="31"/>
  <c r="I301" i="31"/>
  <c r="G301" i="31"/>
  <c r="E301" i="31"/>
  <c r="C301" i="31"/>
  <c r="Q300" i="31"/>
  <c r="O300" i="31"/>
  <c r="M300" i="31"/>
  <c r="K300" i="31"/>
  <c r="I300" i="31"/>
  <c r="G300" i="31"/>
  <c r="E300" i="31"/>
  <c r="C300" i="31"/>
  <c r="Q299" i="31"/>
  <c r="O299" i="31"/>
  <c r="M299" i="31"/>
  <c r="K299" i="31"/>
  <c r="I299" i="31"/>
  <c r="G299" i="31"/>
  <c r="E299" i="31"/>
  <c r="C299" i="31"/>
  <c r="Q298" i="31"/>
  <c r="O298" i="31"/>
  <c r="M298" i="31"/>
  <c r="K298" i="31"/>
  <c r="I298" i="31"/>
  <c r="G298" i="31"/>
  <c r="E298" i="31"/>
  <c r="C298" i="31"/>
  <c r="Q297" i="31"/>
  <c r="O297" i="31"/>
  <c r="M297" i="31"/>
  <c r="K297" i="31"/>
  <c r="I297" i="31"/>
  <c r="G297" i="31"/>
  <c r="E297" i="31"/>
  <c r="C297" i="31"/>
  <c r="Q296" i="31"/>
  <c r="O296" i="31"/>
  <c r="M296" i="31"/>
  <c r="K296" i="31"/>
  <c r="I296" i="31"/>
  <c r="G296" i="31"/>
  <c r="E296" i="31"/>
  <c r="C296" i="31"/>
  <c r="Q295" i="31"/>
  <c r="O295" i="31"/>
  <c r="M295" i="31"/>
  <c r="K295" i="31"/>
  <c r="I295" i="31"/>
  <c r="G295" i="31"/>
  <c r="E295" i="31"/>
  <c r="C295" i="31"/>
  <c r="Q294" i="31"/>
  <c r="O294" i="31"/>
  <c r="M294" i="31"/>
  <c r="K294" i="31"/>
  <c r="I294" i="31"/>
  <c r="G294" i="31"/>
  <c r="E294" i="31"/>
  <c r="C294" i="31"/>
  <c r="Q293" i="31"/>
  <c r="O293" i="31"/>
  <c r="M293" i="31"/>
  <c r="K293" i="31"/>
  <c r="I293" i="31"/>
  <c r="G293" i="31"/>
  <c r="E293" i="31"/>
  <c r="C293" i="31"/>
  <c r="Q292" i="31"/>
  <c r="O292" i="31"/>
  <c r="M292" i="31"/>
  <c r="K292" i="31"/>
  <c r="I292" i="31"/>
  <c r="G292" i="31"/>
  <c r="E292" i="31"/>
  <c r="C292" i="31"/>
  <c r="Q291" i="31"/>
  <c r="O291" i="31"/>
  <c r="M291" i="31"/>
  <c r="K291" i="31"/>
  <c r="I291" i="31"/>
  <c r="G291" i="31"/>
  <c r="E291" i="31"/>
  <c r="C291" i="31"/>
  <c r="Q290" i="31"/>
  <c r="O290" i="31"/>
  <c r="M290" i="31"/>
  <c r="K290" i="31"/>
  <c r="I290" i="31"/>
  <c r="G290" i="31"/>
  <c r="E290" i="31"/>
  <c r="C290" i="31"/>
  <c r="Q289" i="31"/>
  <c r="O289" i="31"/>
  <c r="M289" i="31"/>
  <c r="K289" i="31"/>
  <c r="I289" i="31"/>
  <c r="G289" i="31"/>
  <c r="E289" i="31"/>
  <c r="C289" i="31"/>
  <c r="Q288" i="31"/>
  <c r="O288" i="31"/>
  <c r="M288" i="31"/>
  <c r="K288" i="31"/>
  <c r="I288" i="31"/>
  <c r="G288" i="31"/>
  <c r="E288" i="31"/>
  <c r="C288" i="31"/>
  <c r="Q287" i="31"/>
  <c r="O287" i="31"/>
  <c r="M287" i="31"/>
  <c r="K287" i="31"/>
  <c r="I287" i="31"/>
  <c r="G287" i="31"/>
  <c r="E287" i="31"/>
  <c r="C287" i="31"/>
  <c r="Q286" i="31"/>
  <c r="O286" i="31"/>
  <c r="M286" i="31"/>
  <c r="K286" i="31"/>
  <c r="I286" i="31"/>
  <c r="G286" i="31"/>
  <c r="E286" i="31"/>
  <c r="C286" i="31"/>
  <c r="Q285" i="31"/>
  <c r="O285" i="31"/>
  <c r="M285" i="31"/>
  <c r="K285" i="31"/>
  <c r="I285" i="31"/>
  <c r="G285" i="31"/>
  <c r="E285" i="31"/>
  <c r="C285" i="31"/>
  <c r="Q284" i="31"/>
  <c r="O284" i="31"/>
  <c r="M284" i="31"/>
  <c r="K284" i="31"/>
  <c r="I284" i="31"/>
  <c r="G284" i="31"/>
  <c r="E284" i="31"/>
  <c r="C284" i="31"/>
  <c r="Q283" i="31"/>
  <c r="O283" i="31"/>
  <c r="M283" i="31"/>
  <c r="K283" i="31"/>
  <c r="I283" i="31"/>
  <c r="G283" i="31"/>
  <c r="E283" i="31"/>
  <c r="C283" i="31"/>
  <c r="Q282" i="31"/>
  <c r="O282" i="31"/>
  <c r="M282" i="31"/>
  <c r="K282" i="31"/>
  <c r="I282" i="31"/>
  <c r="G282" i="31"/>
  <c r="E282" i="31"/>
  <c r="C282" i="31"/>
  <c r="Q281" i="31"/>
  <c r="O281" i="31"/>
  <c r="M281" i="31"/>
  <c r="K281" i="31"/>
  <c r="I281" i="31"/>
  <c r="G281" i="31"/>
  <c r="E281" i="31"/>
  <c r="C281" i="31"/>
  <c r="Q280" i="31"/>
  <c r="O280" i="31"/>
  <c r="M280" i="31"/>
  <c r="K280" i="31"/>
  <c r="I280" i="31"/>
  <c r="G280" i="31"/>
  <c r="E280" i="31"/>
  <c r="C280" i="31"/>
  <c r="Q279" i="31"/>
  <c r="O279" i="31"/>
  <c r="M279" i="31"/>
  <c r="K279" i="31"/>
  <c r="I279" i="31"/>
  <c r="G279" i="31"/>
  <c r="E279" i="31"/>
  <c r="C279" i="31"/>
  <c r="Q278" i="31"/>
  <c r="O278" i="31"/>
  <c r="M278" i="31"/>
  <c r="K278" i="31"/>
  <c r="I278" i="31"/>
  <c r="G278" i="31"/>
  <c r="E278" i="31"/>
  <c r="C278" i="31"/>
  <c r="Q277" i="31"/>
  <c r="O277" i="31"/>
  <c r="M277" i="31"/>
  <c r="K277" i="31"/>
  <c r="I277" i="31"/>
  <c r="G277" i="31"/>
  <c r="E277" i="31"/>
  <c r="C277" i="31"/>
  <c r="Q276" i="31"/>
  <c r="O276" i="31"/>
  <c r="M276" i="31"/>
  <c r="K276" i="31"/>
  <c r="I276" i="31"/>
  <c r="G276" i="31"/>
  <c r="E276" i="31"/>
  <c r="C276" i="31"/>
  <c r="Q275" i="31"/>
  <c r="O275" i="31"/>
  <c r="M275" i="31"/>
  <c r="K275" i="31"/>
  <c r="I275" i="31"/>
  <c r="G275" i="31"/>
  <c r="E275" i="31"/>
  <c r="C275" i="31"/>
  <c r="Q274" i="31"/>
  <c r="O274" i="31"/>
  <c r="M274" i="31"/>
  <c r="K274" i="31"/>
  <c r="I274" i="31"/>
  <c r="G274" i="31"/>
  <c r="E274" i="31"/>
  <c r="C274" i="31"/>
  <c r="Q273" i="31"/>
  <c r="O273" i="31"/>
  <c r="M273" i="31"/>
  <c r="K273" i="31"/>
  <c r="I273" i="31"/>
  <c r="G273" i="31"/>
  <c r="E273" i="31"/>
  <c r="C273" i="31"/>
  <c r="Q272" i="31"/>
  <c r="O272" i="31"/>
  <c r="M272" i="31"/>
  <c r="K272" i="31"/>
  <c r="I272" i="31"/>
  <c r="G272" i="31"/>
  <c r="E272" i="31"/>
  <c r="C272" i="31"/>
  <c r="Q271" i="31"/>
  <c r="O271" i="31"/>
  <c r="M271" i="31"/>
  <c r="K271" i="31"/>
  <c r="I271" i="31"/>
  <c r="G271" i="31"/>
  <c r="E271" i="31"/>
  <c r="C271" i="31"/>
  <c r="Q270" i="31"/>
  <c r="O270" i="31"/>
  <c r="M270" i="31"/>
  <c r="K270" i="31"/>
  <c r="I270" i="31"/>
  <c r="G270" i="31"/>
  <c r="E270" i="31"/>
  <c r="C270" i="31"/>
  <c r="Q269" i="31"/>
  <c r="O269" i="31"/>
  <c r="M269" i="31"/>
  <c r="K269" i="31"/>
  <c r="I269" i="31"/>
  <c r="G269" i="31"/>
  <c r="E269" i="31"/>
  <c r="C269" i="31"/>
  <c r="Q268" i="31"/>
  <c r="O268" i="31"/>
  <c r="M268" i="31"/>
  <c r="K268" i="31"/>
  <c r="I268" i="31"/>
  <c r="G268" i="31"/>
  <c r="E268" i="31"/>
  <c r="C268" i="31"/>
  <c r="Q267" i="31"/>
  <c r="O267" i="31"/>
  <c r="M267" i="31"/>
  <c r="K267" i="31"/>
  <c r="I267" i="31"/>
  <c r="G267" i="31"/>
  <c r="E267" i="31"/>
  <c r="C267" i="31"/>
  <c r="Q266" i="31"/>
  <c r="O266" i="31"/>
  <c r="M266" i="31"/>
  <c r="K266" i="31"/>
  <c r="I266" i="31"/>
  <c r="G266" i="31"/>
  <c r="E266" i="31"/>
  <c r="C266" i="31"/>
  <c r="Q265" i="31"/>
  <c r="O265" i="31"/>
  <c r="M265" i="31"/>
  <c r="K265" i="31"/>
  <c r="I265" i="31"/>
  <c r="G265" i="31"/>
  <c r="E265" i="31"/>
  <c r="C265" i="31"/>
  <c r="Q264" i="31"/>
  <c r="O264" i="31"/>
  <c r="M264" i="31"/>
  <c r="K264" i="31"/>
  <c r="I264" i="31"/>
  <c r="G264" i="31"/>
  <c r="E264" i="31"/>
  <c r="C264" i="31"/>
  <c r="Q263" i="31"/>
  <c r="O263" i="31"/>
  <c r="M263" i="31"/>
  <c r="K263" i="31"/>
  <c r="I263" i="31"/>
  <c r="G263" i="31"/>
  <c r="E263" i="31"/>
  <c r="C263" i="31"/>
  <c r="Q262" i="31"/>
  <c r="O262" i="31"/>
  <c r="M262" i="31"/>
  <c r="K262" i="31"/>
  <c r="I262" i="31"/>
  <c r="G262" i="31"/>
  <c r="E262" i="31"/>
  <c r="C262" i="31"/>
  <c r="Q261" i="31"/>
  <c r="O261" i="31"/>
  <c r="M261" i="31"/>
  <c r="K261" i="31"/>
  <c r="I261" i="31"/>
  <c r="G261" i="31"/>
  <c r="E261" i="31"/>
  <c r="C261" i="31"/>
  <c r="Q260" i="31"/>
  <c r="O260" i="31"/>
  <c r="M260" i="31"/>
  <c r="K260" i="31"/>
  <c r="I260" i="31"/>
  <c r="G260" i="31"/>
  <c r="E260" i="31"/>
  <c r="C260" i="31"/>
  <c r="Q259" i="31"/>
  <c r="O259" i="31"/>
  <c r="M259" i="31"/>
  <c r="K259" i="31"/>
  <c r="I259" i="31"/>
  <c r="G259" i="31"/>
  <c r="E259" i="31"/>
  <c r="C259" i="31"/>
  <c r="Q258" i="31"/>
  <c r="O258" i="31"/>
  <c r="M258" i="31"/>
  <c r="K258" i="31"/>
  <c r="I258" i="31"/>
  <c r="G258" i="31"/>
  <c r="E258" i="31"/>
  <c r="C258" i="31"/>
  <c r="Q257" i="31"/>
  <c r="O257" i="31"/>
  <c r="M257" i="31"/>
  <c r="K257" i="31"/>
  <c r="I257" i="31"/>
  <c r="G257" i="31"/>
  <c r="E257" i="31"/>
  <c r="C257" i="31"/>
  <c r="Q256" i="31"/>
  <c r="O256" i="31"/>
  <c r="M256" i="31"/>
  <c r="K256" i="31"/>
  <c r="I256" i="31"/>
  <c r="G256" i="31"/>
  <c r="E256" i="31"/>
  <c r="C256" i="31"/>
  <c r="Q255" i="31"/>
  <c r="O255" i="31"/>
  <c r="M255" i="31"/>
  <c r="K255" i="31"/>
  <c r="I255" i="31"/>
  <c r="G255" i="31"/>
  <c r="E255" i="31"/>
  <c r="C255" i="31"/>
  <c r="Q254" i="31"/>
  <c r="O254" i="31"/>
  <c r="M254" i="31"/>
  <c r="K254" i="31"/>
  <c r="I254" i="31"/>
  <c r="G254" i="31"/>
  <c r="E254" i="31"/>
  <c r="C254" i="31"/>
  <c r="Q253" i="31"/>
  <c r="O253" i="31"/>
  <c r="M253" i="31"/>
  <c r="K253" i="31"/>
  <c r="I253" i="31"/>
  <c r="G253" i="31"/>
  <c r="E253" i="31"/>
  <c r="C253" i="31"/>
  <c r="Q252" i="31"/>
  <c r="O252" i="31"/>
  <c r="M252" i="31"/>
  <c r="K252" i="31"/>
  <c r="I252" i="31"/>
  <c r="G252" i="31"/>
  <c r="E252" i="31"/>
  <c r="C252" i="31"/>
  <c r="Q251" i="31"/>
  <c r="O251" i="31"/>
  <c r="M251" i="31"/>
  <c r="K251" i="31"/>
  <c r="I251" i="31"/>
  <c r="G251" i="31"/>
  <c r="E251" i="31"/>
  <c r="C251" i="31"/>
  <c r="Q250" i="31"/>
  <c r="O250" i="31"/>
  <c r="M250" i="31"/>
  <c r="K250" i="31"/>
  <c r="I250" i="31"/>
  <c r="G250" i="31"/>
  <c r="E250" i="31"/>
  <c r="C250" i="31"/>
  <c r="Q249" i="31"/>
  <c r="O249" i="31"/>
  <c r="M249" i="31"/>
  <c r="K249" i="31"/>
  <c r="I249" i="31"/>
  <c r="G249" i="31"/>
  <c r="E249" i="31"/>
  <c r="C249" i="31"/>
  <c r="Q248" i="31"/>
  <c r="O248" i="31"/>
  <c r="M248" i="31"/>
  <c r="K248" i="31"/>
  <c r="I248" i="31"/>
  <c r="G248" i="31"/>
  <c r="E248" i="31"/>
  <c r="C248" i="31"/>
  <c r="Q247" i="31"/>
  <c r="O247" i="31"/>
  <c r="M247" i="31"/>
  <c r="K247" i="31"/>
  <c r="I247" i="31"/>
  <c r="G247" i="31"/>
  <c r="E247" i="31"/>
  <c r="C247" i="31"/>
  <c r="Q246" i="31"/>
  <c r="O246" i="31"/>
  <c r="M246" i="31"/>
  <c r="K246" i="31"/>
  <c r="I246" i="31"/>
  <c r="G246" i="31"/>
  <c r="E246" i="31"/>
  <c r="C246" i="31"/>
  <c r="Q245" i="31"/>
  <c r="O245" i="31"/>
  <c r="M245" i="31"/>
  <c r="K245" i="31"/>
  <c r="I245" i="31"/>
  <c r="G245" i="31"/>
  <c r="E245" i="31"/>
  <c r="C245" i="31"/>
  <c r="Q244" i="31"/>
  <c r="O244" i="31"/>
  <c r="M244" i="31"/>
  <c r="K244" i="31"/>
  <c r="I244" i="31"/>
  <c r="G244" i="31"/>
  <c r="E244" i="31"/>
  <c r="C244" i="31"/>
  <c r="Q243" i="31"/>
  <c r="O243" i="31"/>
  <c r="M243" i="31"/>
  <c r="K243" i="31"/>
  <c r="I243" i="31"/>
  <c r="G243" i="31"/>
  <c r="E243" i="31"/>
  <c r="C243" i="31"/>
  <c r="Q242" i="31"/>
  <c r="O242" i="31"/>
  <c r="M242" i="31"/>
  <c r="K242" i="31"/>
  <c r="I242" i="31"/>
  <c r="G242" i="31"/>
  <c r="E242" i="31"/>
  <c r="C242" i="31"/>
  <c r="Q241" i="31"/>
  <c r="O241" i="31"/>
  <c r="M241" i="31"/>
  <c r="K241" i="31"/>
  <c r="I241" i="31"/>
  <c r="G241" i="31"/>
  <c r="E241" i="31"/>
  <c r="C241" i="31"/>
  <c r="Q240" i="31"/>
  <c r="O240" i="31"/>
  <c r="M240" i="31"/>
  <c r="K240" i="31"/>
  <c r="I240" i="31"/>
  <c r="G240" i="31"/>
  <c r="E240" i="31"/>
  <c r="C240" i="31"/>
  <c r="Q239" i="31"/>
  <c r="O239" i="31"/>
  <c r="M239" i="31"/>
  <c r="K239" i="31"/>
  <c r="I239" i="31"/>
  <c r="G239" i="31"/>
  <c r="E239" i="31"/>
  <c r="C239" i="31"/>
  <c r="Q238" i="31"/>
  <c r="O238" i="31"/>
  <c r="M238" i="31"/>
  <c r="K238" i="31"/>
  <c r="I238" i="31"/>
  <c r="G238" i="31"/>
  <c r="E238" i="31"/>
  <c r="C238" i="31"/>
  <c r="Q237" i="31"/>
  <c r="O237" i="31"/>
  <c r="M237" i="31"/>
  <c r="K237" i="31"/>
  <c r="I237" i="31"/>
  <c r="G237" i="31"/>
  <c r="E237" i="31"/>
  <c r="C237" i="31"/>
  <c r="Q236" i="31"/>
  <c r="O236" i="31"/>
  <c r="M236" i="31"/>
  <c r="K236" i="31"/>
  <c r="I236" i="31"/>
  <c r="G236" i="31"/>
  <c r="E236" i="31"/>
  <c r="C236" i="31"/>
  <c r="Q235" i="31"/>
  <c r="O235" i="31"/>
  <c r="M235" i="31"/>
  <c r="K235" i="31"/>
  <c r="I235" i="31"/>
  <c r="G235" i="31"/>
  <c r="E235" i="31"/>
  <c r="C235" i="31"/>
  <c r="Q234" i="31"/>
  <c r="O234" i="31"/>
  <c r="M234" i="31"/>
  <c r="K234" i="31"/>
  <c r="I234" i="31"/>
  <c r="G234" i="31"/>
  <c r="E234" i="31"/>
  <c r="C234" i="31"/>
  <c r="Q233" i="31"/>
  <c r="O233" i="31"/>
  <c r="M233" i="31"/>
  <c r="K233" i="31"/>
  <c r="I233" i="31"/>
  <c r="G233" i="31"/>
  <c r="E233" i="31"/>
  <c r="C233" i="31"/>
  <c r="Q232" i="31"/>
  <c r="O232" i="31"/>
  <c r="M232" i="31"/>
  <c r="K232" i="31"/>
  <c r="I232" i="31"/>
  <c r="G232" i="31"/>
  <c r="E232" i="31"/>
  <c r="C232" i="31"/>
  <c r="Q231" i="31"/>
  <c r="O231" i="31"/>
  <c r="M231" i="31"/>
  <c r="K231" i="31"/>
  <c r="I231" i="31"/>
  <c r="G231" i="31"/>
  <c r="E231" i="31"/>
  <c r="C231" i="31"/>
  <c r="Q230" i="31"/>
  <c r="O230" i="31"/>
  <c r="M230" i="31"/>
  <c r="K230" i="31"/>
  <c r="I230" i="31"/>
  <c r="G230" i="31"/>
  <c r="E230" i="31"/>
  <c r="C230" i="31"/>
  <c r="Q229" i="31"/>
  <c r="O229" i="31"/>
  <c r="M229" i="31"/>
  <c r="K229" i="31"/>
  <c r="I229" i="31"/>
  <c r="G229" i="31"/>
  <c r="E229" i="31"/>
  <c r="C229" i="31"/>
  <c r="Q228" i="31"/>
  <c r="O228" i="31"/>
  <c r="M228" i="31"/>
  <c r="K228" i="31"/>
  <c r="I228" i="31"/>
  <c r="G228" i="31"/>
  <c r="E228" i="31"/>
  <c r="C228" i="31"/>
  <c r="Q227" i="31"/>
  <c r="O227" i="31"/>
  <c r="M227" i="31"/>
  <c r="K227" i="31"/>
  <c r="I227" i="31"/>
  <c r="G227" i="31"/>
  <c r="E227" i="31"/>
  <c r="C227" i="31"/>
  <c r="Q226" i="31"/>
  <c r="O226" i="31"/>
  <c r="M226" i="31"/>
  <c r="K226" i="31"/>
  <c r="I226" i="31"/>
  <c r="G226" i="31"/>
  <c r="E226" i="31"/>
  <c r="C226" i="31"/>
  <c r="Q225" i="31"/>
  <c r="O225" i="31"/>
  <c r="M225" i="31"/>
  <c r="K225" i="31"/>
  <c r="I225" i="31"/>
  <c r="G225" i="31"/>
  <c r="E225" i="31"/>
  <c r="C225" i="31"/>
  <c r="Q224" i="31"/>
  <c r="O224" i="31"/>
  <c r="M224" i="31"/>
  <c r="K224" i="31"/>
  <c r="I224" i="31"/>
  <c r="G224" i="31"/>
  <c r="E224" i="31"/>
  <c r="C224" i="31"/>
  <c r="Q223" i="31"/>
  <c r="O223" i="31"/>
  <c r="M223" i="31"/>
  <c r="K223" i="31"/>
  <c r="I223" i="31"/>
  <c r="G223" i="31"/>
  <c r="E223" i="31"/>
  <c r="C223" i="31"/>
  <c r="Q222" i="31"/>
  <c r="O222" i="31"/>
  <c r="M222" i="31"/>
  <c r="K222" i="31"/>
  <c r="I222" i="31"/>
  <c r="G222" i="31"/>
  <c r="E222" i="31"/>
  <c r="C222" i="31"/>
  <c r="Q221" i="31"/>
  <c r="O221" i="31"/>
  <c r="M221" i="31"/>
  <c r="K221" i="31"/>
  <c r="I221" i="31"/>
  <c r="G221" i="31"/>
  <c r="E221" i="31"/>
  <c r="C221" i="31"/>
  <c r="Q220" i="31"/>
  <c r="O220" i="31"/>
  <c r="M220" i="31"/>
  <c r="K220" i="31"/>
  <c r="I220" i="31"/>
  <c r="G220" i="31"/>
  <c r="E220" i="31"/>
  <c r="C220" i="31"/>
  <c r="Q219" i="31"/>
  <c r="O219" i="31"/>
  <c r="M219" i="31"/>
  <c r="K219" i="31"/>
  <c r="I219" i="31"/>
  <c r="G219" i="31"/>
  <c r="E219" i="31"/>
  <c r="C219" i="31"/>
  <c r="Q218" i="31"/>
  <c r="O218" i="31"/>
  <c r="M218" i="31"/>
  <c r="K218" i="31"/>
  <c r="I218" i="31"/>
  <c r="G218" i="31"/>
  <c r="E218" i="31"/>
  <c r="C218" i="31"/>
  <c r="Q217" i="31"/>
  <c r="O217" i="31"/>
  <c r="M217" i="31"/>
  <c r="K217" i="31"/>
  <c r="I217" i="31"/>
  <c r="G217" i="31"/>
  <c r="E217" i="31"/>
  <c r="C217" i="31"/>
  <c r="Q216" i="31"/>
  <c r="O216" i="31"/>
  <c r="M216" i="31"/>
  <c r="K216" i="31"/>
  <c r="I216" i="31"/>
  <c r="G216" i="31"/>
  <c r="E216" i="31"/>
  <c r="C216" i="31"/>
  <c r="Q215" i="31"/>
  <c r="O215" i="31"/>
  <c r="M215" i="31"/>
  <c r="K215" i="31"/>
  <c r="I215" i="31"/>
  <c r="G215" i="31"/>
  <c r="E215" i="31"/>
  <c r="C215" i="31"/>
  <c r="Q214" i="31"/>
  <c r="O214" i="31"/>
  <c r="M214" i="31"/>
  <c r="K214" i="31"/>
  <c r="I214" i="31"/>
  <c r="G214" i="31"/>
  <c r="E214" i="31"/>
  <c r="C214" i="31"/>
  <c r="Q213" i="31"/>
  <c r="O213" i="31"/>
  <c r="M213" i="31"/>
  <c r="K213" i="31"/>
  <c r="I213" i="31"/>
  <c r="G213" i="31"/>
  <c r="E213" i="31"/>
  <c r="C213" i="31"/>
  <c r="Q212" i="31"/>
  <c r="O212" i="31"/>
  <c r="M212" i="31"/>
  <c r="K212" i="31"/>
  <c r="I212" i="31"/>
  <c r="G212" i="31"/>
  <c r="E212" i="31"/>
  <c r="C212" i="31"/>
  <c r="Q211" i="31"/>
  <c r="O211" i="31"/>
  <c r="M211" i="31"/>
  <c r="K211" i="31"/>
  <c r="I211" i="31"/>
  <c r="G211" i="31"/>
  <c r="E211" i="31"/>
  <c r="C211" i="31"/>
  <c r="Q210" i="31"/>
  <c r="O210" i="31"/>
  <c r="M210" i="31"/>
  <c r="K210" i="31"/>
  <c r="I210" i="31"/>
  <c r="G210" i="31"/>
  <c r="E210" i="31"/>
  <c r="C210" i="31"/>
  <c r="Q209" i="31"/>
  <c r="O209" i="31"/>
  <c r="M209" i="31"/>
  <c r="K209" i="31"/>
  <c r="I209" i="31"/>
  <c r="G209" i="31"/>
  <c r="E209" i="31"/>
  <c r="C209" i="31"/>
  <c r="Q208" i="31"/>
  <c r="O208" i="31"/>
  <c r="M208" i="31"/>
  <c r="K208" i="31"/>
  <c r="I208" i="31"/>
  <c r="G208" i="31"/>
  <c r="E208" i="31"/>
  <c r="C208" i="31"/>
  <c r="Q207" i="31"/>
  <c r="O207" i="31"/>
  <c r="M207" i="31"/>
  <c r="K207" i="31"/>
  <c r="I207" i="31"/>
  <c r="G207" i="31"/>
  <c r="E207" i="31"/>
  <c r="C207" i="31"/>
  <c r="Q206" i="31"/>
  <c r="O206" i="31"/>
  <c r="M206" i="31"/>
  <c r="K206" i="31"/>
  <c r="I206" i="31"/>
  <c r="G206" i="31"/>
  <c r="E206" i="31"/>
  <c r="C206" i="31"/>
  <c r="Q205" i="31"/>
  <c r="O205" i="31"/>
  <c r="M205" i="31"/>
  <c r="K205" i="31"/>
  <c r="I205" i="31"/>
  <c r="G205" i="31"/>
  <c r="E205" i="31"/>
  <c r="C205" i="31"/>
  <c r="Q204" i="31"/>
  <c r="O204" i="31"/>
  <c r="M204" i="31"/>
  <c r="K204" i="31"/>
  <c r="I204" i="31"/>
  <c r="G204" i="31"/>
  <c r="E204" i="31"/>
  <c r="C204" i="31"/>
  <c r="Q203" i="31"/>
  <c r="O203" i="31"/>
  <c r="M203" i="31"/>
  <c r="K203" i="31"/>
  <c r="I203" i="31"/>
  <c r="G203" i="31"/>
  <c r="E203" i="31"/>
  <c r="C203" i="31"/>
  <c r="Q202" i="31"/>
  <c r="O202" i="31"/>
  <c r="M202" i="31"/>
  <c r="K202" i="31"/>
  <c r="I202" i="31"/>
  <c r="G202" i="31"/>
  <c r="E202" i="31"/>
  <c r="C202" i="31"/>
  <c r="Q201" i="31"/>
  <c r="O201" i="31"/>
  <c r="M201" i="31"/>
  <c r="K201" i="31"/>
  <c r="I201" i="31"/>
  <c r="G201" i="31"/>
  <c r="E201" i="31"/>
  <c r="C201" i="31"/>
  <c r="Q200" i="31"/>
  <c r="O200" i="31"/>
  <c r="M200" i="31"/>
  <c r="K200" i="31"/>
  <c r="I200" i="31"/>
  <c r="G200" i="31"/>
  <c r="E200" i="31"/>
  <c r="C200" i="31"/>
  <c r="Q199" i="31"/>
  <c r="O199" i="31"/>
  <c r="M199" i="31"/>
  <c r="K199" i="31"/>
  <c r="I199" i="31"/>
  <c r="G199" i="31"/>
  <c r="E199" i="31"/>
  <c r="C199" i="31"/>
  <c r="Q198" i="31"/>
  <c r="O198" i="31"/>
  <c r="M198" i="31"/>
  <c r="K198" i="31"/>
  <c r="I198" i="31"/>
  <c r="G198" i="31"/>
  <c r="E198" i="31"/>
  <c r="C198" i="31"/>
  <c r="Q197" i="31"/>
  <c r="O197" i="31"/>
  <c r="M197" i="31"/>
  <c r="K197" i="31"/>
  <c r="I197" i="31"/>
  <c r="G197" i="31"/>
  <c r="E197" i="31"/>
  <c r="C197" i="31"/>
  <c r="Q196" i="31"/>
  <c r="O196" i="31"/>
  <c r="M196" i="31"/>
  <c r="K196" i="31"/>
  <c r="I196" i="31"/>
  <c r="G196" i="31"/>
  <c r="E196" i="31"/>
  <c r="C196" i="31"/>
  <c r="Q195" i="31"/>
  <c r="O195" i="31"/>
  <c r="M195" i="31"/>
  <c r="K195" i="31"/>
  <c r="I195" i="31"/>
  <c r="G195" i="31"/>
  <c r="E195" i="31"/>
  <c r="C195" i="31"/>
  <c r="Q194" i="31"/>
  <c r="O194" i="31"/>
  <c r="M194" i="31"/>
  <c r="K194" i="31"/>
  <c r="I194" i="31"/>
  <c r="G194" i="31"/>
  <c r="E194" i="31"/>
  <c r="C194" i="31"/>
  <c r="Q193" i="31"/>
  <c r="O193" i="31"/>
  <c r="M193" i="31"/>
  <c r="K193" i="31"/>
  <c r="I193" i="31"/>
  <c r="G193" i="31"/>
  <c r="E193" i="31"/>
  <c r="C193" i="31"/>
  <c r="Q192" i="31"/>
  <c r="O192" i="31"/>
  <c r="M192" i="31"/>
  <c r="K192" i="31"/>
  <c r="I192" i="31"/>
  <c r="G192" i="31"/>
  <c r="E192" i="31"/>
  <c r="C192" i="31"/>
  <c r="Q191" i="31"/>
  <c r="O191" i="31"/>
  <c r="M191" i="31"/>
  <c r="K191" i="31"/>
  <c r="I191" i="31"/>
  <c r="G191" i="31"/>
  <c r="E191" i="31"/>
  <c r="C191" i="31"/>
  <c r="Q190" i="31"/>
  <c r="O190" i="31"/>
  <c r="M190" i="31"/>
  <c r="K190" i="31"/>
  <c r="I190" i="31"/>
  <c r="G190" i="31"/>
  <c r="E190" i="31"/>
  <c r="C190" i="31"/>
  <c r="Q189" i="31"/>
  <c r="O189" i="31"/>
  <c r="M189" i="31"/>
  <c r="K189" i="31"/>
  <c r="I189" i="31"/>
  <c r="G189" i="31"/>
  <c r="E189" i="31"/>
  <c r="C189" i="31"/>
  <c r="Q188" i="31"/>
  <c r="O188" i="31"/>
  <c r="M188" i="31"/>
  <c r="K188" i="31"/>
  <c r="I188" i="31"/>
  <c r="G188" i="31"/>
  <c r="E188" i="31"/>
  <c r="C188" i="31"/>
  <c r="Q187" i="31"/>
  <c r="O187" i="31"/>
  <c r="M187" i="31"/>
  <c r="K187" i="31"/>
  <c r="I187" i="31"/>
  <c r="G187" i="31"/>
  <c r="E187" i="31"/>
  <c r="C187" i="31"/>
  <c r="Q186" i="31"/>
  <c r="O186" i="31"/>
  <c r="M186" i="31"/>
  <c r="K186" i="31"/>
  <c r="I186" i="31"/>
  <c r="G186" i="31"/>
  <c r="E186" i="31"/>
  <c r="C186" i="31"/>
  <c r="Q185" i="31"/>
  <c r="O185" i="31"/>
  <c r="M185" i="31"/>
  <c r="K185" i="31"/>
  <c r="I185" i="31"/>
  <c r="G185" i="31"/>
  <c r="E185" i="31"/>
  <c r="C185" i="31"/>
  <c r="Q184" i="31"/>
  <c r="O184" i="31"/>
  <c r="M184" i="31"/>
  <c r="K184" i="31"/>
  <c r="I184" i="31"/>
  <c r="G184" i="31"/>
  <c r="E184" i="31"/>
  <c r="C184" i="31"/>
  <c r="Q183" i="31"/>
  <c r="O183" i="31"/>
  <c r="M183" i="31"/>
  <c r="K183" i="31"/>
  <c r="I183" i="31"/>
  <c r="G183" i="31"/>
  <c r="E183" i="31"/>
  <c r="C183" i="31"/>
  <c r="Q182" i="31"/>
  <c r="O182" i="31"/>
  <c r="M182" i="31"/>
  <c r="K182" i="31"/>
  <c r="I182" i="31"/>
  <c r="G182" i="31"/>
  <c r="E182" i="31"/>
  <c r="C182" i="31"/>
  <c r="Q181" i="31"/>
  <c r="O181" i="31"/>
  <c r="M181" i="31"/>
  <c r="K181" i="31"/>
  <c r="I181" i="31"/>
  <c r="G181" i="31"/>
  <c r="E181" i="31"/>
  <c r="C181" i="31"/>
  <c r="Q180" i="31"/>
  <c r="O180" i="31"/>
  <c r="M180" i="31"/>
  <c r="K180" i="31"/>
  <c r="I180" i="31"/>
  <c r="G180" i="31"/>
  <c r="E180" i="31"/>
  <c r="C180" i="31"/>
  <c r="Q179" i="31"/>
  <c r="O179" i="31"/>
  <c r="M179" i="31"/>
  <c r="K179" i="31"/>
  <c r="I179" i="31"/>
  <c r="G179" i="31"/>
  <c r="E179" i="31"/>
  <c r="C179" i="31"/>
  <c r="Q178" i="31"/>
  <c r="O178" i="31"/>
  <c r="M178" i="31"/>
  <c r="K178" i="31"/>
  <c r="I178" i="31"/>
  <c r="G178" i="31"/>
  <c r="E178" i="31"/>
  <c r="C178" i="31"/>
  <c r="Q177" i="31"/>
  <c r="O177" i="31"/>
  <c r="M177" i="31"/>
  <c r="K177" i="31"/>
  <c r="I177" i="31"/>
  <c r="G177" i="31"/>
  <c r="E177" i="31"/>
  <c r="C177" i="31"/>
  <c r="Q176" i="31"/>
  <c r="O176" i="31"/>
  <c r="M176" i="31"/>
  <c r="K176" i="31"/>
  <c r="I176" i="31"/>
  <c r="G176" i="31"/>
  <c r="E176" i="31"/>
  <c r="C176" i="31"/>
  <c r="Q175" i="31"/>
  <c r="O175" i="31"/>
  <c r="M175" i="31"/>
  <c r="K175" i="31"/>
  <c r="I175" i="31"/>
  <c r="G175" i="31"/>
  <c r="E175" i="31"/>
  <c r="C175" i="31"/>
  <c r="Q174" i="31"/>
  <c r="O174" i="31"/>
  <c r="M174" i="31"/>
  <c r="K174" i="31"/>
  <c r="I174" i="31"/>
  <c r="G174" i="31"/>
  <c r="E174" i="31"/>
  <c r="C174" i="31"/>
  <c r="Q173" i="31"/>
  <c r="O173" i="31"/>
  <c r="M173" i="31"/>
  <c r="K173" i="31"/>
  <c r="I173" i="31"/>
  <c r="G173" i="31"/>
  <c r="E173" i="31"/>
  <c r="C173" i="31"/>
  <c r="Q172" i="31"/>
  <c r="O172" i="31"/>
  <c r="M172" i="31"/>
  <c r="K172" i="31"/>
  <c r="I172" i="31"/>
  <c r="G172" i="31"/>
  <c r="E172" i="31"/>
  <c r="C172" i="31"/>
  <c r="Q171" i="31"/>
  <c r="O171" i="31"/>
  <c r="M171" i="31"/>
  <c r="K171" i="31"/>
  <c r="I171" i="31"/>
  <c r="G171" i="31"/>
  <c r="E171" i="31"/>
  <c r="C171" i="31"/>
  <c r="Q170" i="31"/>
  <c r="O170" i="31"/>
  <c r="M170" i="31"/>
  <c r="K170" i="31"/>
  <c r="I170" i="31"/>
  <c r="G170" i="31"/>
  <c r="E170" i="31"/>
  <c r="C170" i="31"/>
  <c r="Q169" i="31"/>
  <c r="O169" i="31"/>
  <c r="M169" i="31"/>
  <c r="K169" i="31"/>
  <c r="I169" i="31"/>
  <c r="G169" i="31"/>
  <c r="E169" i="31"/>
  <c r="C169" i="31"/>
  <c r="Q168" i="31"/>
  <c r="O168" i="31"/>
  <c r="M168" i="31"/>
  <c r="K168" i="31"/>
  <c r="I168" i="31"/>
  <c r="G168" i="31"/>
  <c r="E168" i="31"/>
  <c r="C168" i="31"/>
  <c r="Q167" i="31"/>
  <c r="O167" i="31"/>
  <c r="M167" i="31"/>
  <c r="K167" i="31"/>
  <c r="I167" i="31"/>
  <c r="G167" i="31"/>
  <c r="E167" i="31"/>
  <c r="C167" i="31"/>
  <c r="Q166" i="31"/>
  <c r="O166" i="31"/>
  <c r="M166" i="31"/>
  <c r="K166" i="31"/>
  <c r="I166" i="31"/>
  <c r="G166" i="31"/>
  <c r="E166" i="31"/>
  <c r="C166" i="31"/>
  <c r="Q165" i="31"/>
  <c r="O165" i="31"/>
  <c r="M165" i="31"/>
  <c r="K165" i="31"/>
  <c r="I165" i="31"/>
  <c r="G165" i="31"/>
  <c r="E165" i="31"/>
  <c r="C165" i="31"/>
  <c r="Q164" i="31"/>
  <c r="O164" i="31"/>
  <c r="M164" i="31"/>
  <c r="K164" i="31"/>
  <c r="I164" i="31"/>
  <c r="G164" i="31"/>
  <c r="E164" i="31"/>
  <c r="C164" i="31"/>
  <c r="Q163" i="31"/>
  <c r="O163" i="31"/>
  <c r="M163" i="31"/>
  <c r="K163" i="31"/>
  <c r="I163" i="31"/>
  <c r="G163" i="31"/>
  <c r="E163" i="31"/>
  <c r="C163" i="31"/>
  <c r="Q162" i="31"/>
  <c r="O162" i="31"/>
  <c r="M162" i="31"/>
  <c r="K162" i="31"/>
  <c r="I162" i="31"/>
  <c r="G162" i="31"/>
  <c r="E162" i="31"/>
  <c r="C162" i="31"/>
  <c r="Q161" i="31"/>
  <c r="O161" i="31"/>
  <c r="M161" i="31"/>
  <c r="K161" i="31"/>
  <c r="I161" i="31"/>
  <c r="G161" i="31"/>
  <c r="E161" i="31"/>
  <c r="C161" i="31"/>
  <c r="Q160" i="31"/>
  <c r="O160" i="31"/>
  <c r="M160" i="31"/>
  <c r="K160" i="31"/>
  <c r="I160" i="31"/>
  <c r="G160" i="31"/>
  <c r="E160" i="31"/>
  <c r="C160" i="31"/>
  <c r="Q159" i="31"/>
  <c r="O159" i="31"/>
  <c r="M159" i="31"/>
  <c r="K159" i="31"/>
  <c r="I159" i="31"/>
  <c r="G159" i="31"/>
  <c r="E159" i="31"/>
  <c r="C159" i="31"/>
  <c r="Q158" i="31"/>
  <c r="O158" i="31"/>
  <c r="M158" i="31"/>
  <c r="K158" i="31"/>
  <c r="I158" i="31"/>
  <c r="G158" i="31"/>
  <c r="E158" i="31"/>
  <c r="C158" i="31"/>
  <c r="Q157" i="31"/>
  <c r="O157" i="31"/>
  <c r="M157" i="31"/>
  <c r="K157" i="31"/>
  <c r="I157" i="31"/>
  <c r="G157" i="31"/>
  <c r="E157" i="31"/>
  <c r="C157" i="31"/>
  <c r="Q156" i="31"/>
  <c r="O156" i="31"/>
  <c r="M156" i="31"/>
  <c r="K156" i="31"/>
  <c r="I156" i="31"/>
  <c r="G156" i="31"/>
  <c r="E156" i="31"/>
  <c r="C156" i="31"/>
  <c r="Q155" i="31"/>
  <c r="O155" i="31"/>
  <c r="M155" i="31"/>
  <c r="K155" i="31"/>
  <c r="I155" i="31"/>
  <c r="G155" i="31"/>
  <c r="E155" i="31"/>
  <c r="C155" i="31"/>
  <c r="Q154" i="31"/>
  <c r="O154" i="31"/>
  <c r="M154" i="31"/>
  <c r="K154" i="31"/>
  <c r="I154" i="31"/>
  <c r="G154" i="31"/>
  <c r="E154" i="31"/>
  <c r="C154" i="31"/>
  <c r="Q153" i="31"/>
  <c r="O153" i="31"/>
  <c r="M153" i="31"/>
  <c r="K153" i="31"/>
  <c r="I153" i="31"/>
  <c r="G153" i="31"/>
  <c r="E153" i="31"/>
  <c r="C153" i="31"/>
  <c r="Q152" i="31"/>
  <c r="O152" i="31"/>
  <c r="M152" i="31"/>
  <c r="K152" i="31"/>
  <c r="I152" i="31"/>
  <c r="G152" i="31"/>
  <c r="E152" i="31"/>
  <c r="C152" i="31"/>
  <c r="Q151" i="31"/>
  <c r="O151" i="31"/>
  <c r="M151" i="31"/>
  <c r="K151" i="31"/>
  <c r="I151" i="31"/>
  <c r="G151" i="31"/>
  <c r="E151" i="31"/>
  <c r="C151" i="31"/>
  <c r="Q150" i="31"/>
  <c r="O150" i="31"/>
  <c r="M150" i="31"/>
  <c r="K150" i="31"/>
  <c r="I150" i="31"/>
  <c r="G150" i="31"/>
  <c r="E150" i="31"/>
  <c r="C150" i="31"/>
  <c r="Q149" i="31"/>
  <c r="O149" i="31"/>
  <c r="M149" i="31"/>
  <c r="K149" i="31"/>
  <c r="I149" i="31"/>
  <c r="G149" i="31"/>
  <c r="E149" i="31"/>
  <c r="C149" i="31"/>
  <c r="Q148" i="31"/>
  <c r="O148" i="31"/>
  <c r="M148" i="31"/>
  <c r="K148" i="31"/>
  <c r="I148" i="31"/>
  <c r="G148" i="31"/>
  <c r="E148" i="31"/>
  <c r="C148" i="31"/>
  <c r="Q147" i="31"/>
  <c r="O147" i="31"/>
  <c r="M147" i="31"/>
  <c r="K147" i="31"/>
  <c r="I147" i="31"/>
  <c r="G147" i="31"/>
  <c r="E147" i="31"/>
  <c r="C147" i="31"/>
  <c r="Q146" i="31"/>
  <c r="O146" i="31"/>
  <c r="M146" i="31"/>
  <c r="K146" i="31"/>
  <c r="I146" i="31"/>
  <c r="G146" i="31"/>
  <c r="E146" i="31"/>
  <c r="C146" i="31"/>
  <c r="Q145" i="31"/>
  <c r="O145" i="31"/>
  <c r="M145" i="31"/>
  <c r="K145" i="31"/>
  <c r="I145" i="31"/>
  <c r="G145" i="31"/>
  <c r="E145" i="31"/>
  <c r="C145" i="31"/>
  <c r="Q144" i="31"/>
  <c r="O144" i="31"/>
  <c r="M144" i="31"/>
  <c r="K144" i="31"/>
  <c r="I144" i="31"/>
  <c r="G144" i="31"/>
  <c r="E144" i="31"/>
  <c r="C144" i="31"/>
  <c r="Q143" i="31"/>
  <c r="O143" i="31"/>
  <c r="M143" i="31"/>
  <c r="K143" i="31"/>
  <c r="I143" i="31"/>
  <c r="G143" i="31"/>
  <c r="E143" i="31"/>
  <c r="C143" i="31"/>
  <c r="Q142" i="31"/>
  <c r="O142" i="31"/>
  <c r="M142" i="31"/>
  <c r="K142" i="31"/>
  <c r="I142" i="31"/>
  <c r="G142" i="31"/>
  <c r="E142" i="31"/>
  <c r="C142" i="31"/>
  <c r="Q141" i="31"/>
  <c r="O141" i="31"/>
  <c r="M141" i="31"/>
  <c r="K141" i="31"/>
  <c r="I141" i="31"/>
  <c r="G141" i="31"/>
  <c r="E141" i="31"/>
  <c r="C141" i="31"/>
  <c r="Q140" i="31"/>
  <c r="O140" i="31"/>
  <c r="M140" i="31"/>
  <c r="K140" i="31"/>
  <c r="I140" i="31"/>
  <c r="G140" i="31"/>
  <c r="E140" i="31"/>
  <c r="C140" i="31"/>
  <c r="Q139" i="31"/>
  <c r="O139" i="31"/>
  <c r="M139" i="31"/>
  <c r="K139" i="31"/>
  <c r="I139" i="31"/>
  <c r="G139" i="31"/>
  <c r="E139" i="31"/>
  <c r="C139" i="31"/>
  <c r="Q138" i="31"/>
  <c r="O138" i="31"/>
  <c r="M138" i="31"/>
  <c r="K138" i="31"/>
  <c r="I138" i="31"/>
  <c r="G138" i="31"/>
  <c r="E138" i="31"/>
  <c r="C138" i="31"/>
  <c r="Q137" i="31"/>
  <c r="O137" i="31"/>
  <c r="M137" i="31"/>
  <c r="K137" i="31"/>
  <c r="I137" i="31"/>
  <c r="G137" i="31"/>
  <c r="E137" i="31"/>
  <c r="C137" i="31"/>
  <c r="Q136" i="31"/>
  <c r="O136" i="31"/>
  <c r="M136" i="31"/>
  <c r="K136" i="31"/>
  <c r="I136" i="31"/>
  <c r="G136" i="31"/>
  <c r="E136" i="31"/>
  <c r="C136" i="31"/>
  <c r="Q135" i="31"/>
  <c r="O135" i="31"/>
  <c r="M135" i="31"/>
  <c r="K135" i="31"/>
  <c r="I135" i="31"/>
  <c r="G135" i="31"/>
  <c r="E135" i="31"/>
  <c r="C135" i="31"/>
  <c r="Q134" i="31"/>
  <c r="O134" i="31"/>
  <c r="M134" i="31"/>
  <c r="K134" i="31"/>
  <c r="I134" i="31"/>
  <c r="G134" i="31"/>
  <c r="E134" i="31"/>
  <c r="C134" i="31"/>
  <c r="Q133" i="31"/>
  <c r="O133" i="31"/>
  <c r="M133" i="31"/>
  <c r="K133" i="31"/>
  <c r="I133" i="31"/>
  <c r="G133" i="31"/>
  <c r="E133" i="31"/>
  <c r="C133" i="31"/>
  <c r="Q132" i="31"/>
  <c r="O132" i="31"/>
  <c r="M132" i="31"/>
  <c r="K132" i="31"/>
  <c r="I132" i="31"/>
  <c r="G132" i="31"/>
  <c r="E132" i="31"/>
  <c r="C132" i="31"/>
  <c r="Q131" i="31"/>
  <c r="O131" i="31"/>
  <c r="M131" i="31"/>
  <c r="K131" i="31"/>
  <c r="I131" i="31"/>
  <c r="G131" i="31"/>
  <c r="E131" i="31"/>
  <c r="C131" i="31"/>
  <c r="Q130" i="31"/>
  <c r="O130" i="31"/>
  <c r="M130" i="31"/>
  <c r="K130" i="31"/>
  <c r="I130" i="31"/>
  <c r="G130" i="31"/>
  <c r="E130" i="31"/>
  <c r="C130" i="31"/>
  <c r="Q129" i="31"/>
  <c r="O129" i="31"/>
  <c r="M129" i="31"/>
  <c r="K129" i="31"/>
  <c r="I129" i="31"/>
  <c r="G129" i="31"/>
  <c r="E129" i="31"/>
  <c r="C129" i="31"/>
  <c r="Q128" i="31"/>
  <c r="O128" i="31"/>
  <c r="M128" i="31"/>
  <c r="K128" i="31"/>
  <c r="I128" i="31"/>
  <c r="G128" i="31"/>
  <c r="E128" i="31"/>
  <c r="C128" i="31"/>
  <c r="Q127" i="31"/>
  <c r="O127" i="31"/>
  <c r="M127" i="31"/>
  <c r="K127" i="31"/>
  <c r="I127" i="31"/>
  <c r="G127" i="31"/>
  <c r="E127" i="31"/>
  <c r="C127" i="31"/>
  <c r="Q126" i="31"/>
  <c r="O126" i="31"/>
  <c r="M126" i="31"/>
  <c r="K126" i="31"/>
  <c r="I126" i="31"/>
  <c r="G126" i="31"/>
  <c r="E126" i="31"/>
  <c r="C126" i="31"/>
  <c r="Q125" i="31"/>
  <c r="O125" i="31"/>
  <c r="M125" i="31"/>
  <c r="K125" i="31"/>
  <c r="I125" i="31"/>
  <c r="G125" i="31"/>
  <c r="E125" i="31"/>
  <c r="C125" i="31"/>
  <c r="Q124" i="31"/>
  <c r="O124" i="31"/>
  <c r="M124" i="31"/>
  <c r="K124" i="31"/>
  <c r="I124" i="31"/>
  <c r="G124" i="31"/>
  <c r="E124" i="31"/>
  <c r="C124" i="31"/>
  <c r="Q123" i="31"/>
  <c r="O123" i="31"/>
  <c r="M123" i="31"/>
  <c r="K123" i="31"/>
  <c r="I123" i="31"/>
  <c r="G123" i="31"/>
  <c r="E123" i="31"/>
  <c r="C123" i="31"/>
  <c r="Q122" i="31"/>
  <c r="O122" i="31"/>
  <c r="M122" i="31"/>
  <c r="K122" i="31"/>
  <c r="I122" i="31"/>
  <c r="G122" i="31"/>
  <c r="E122" i="31"/>
  <c r="C122" i="31"/>
  <c r="Q121" i="31"/>
  <c r="O121" i="31"/>
  <c r="M121" i="31"/>
  <c r="K121" i="31"/>
  <c r="I121" i="31"/>
  <c r="G121" i="31"/>
  <c r="E121" i="31"/>
  <c r="C121" i="31"/>
  <c r="Q120" i="31"/>
  <c r="O120" i="31"/>
  <c r="M120" i="31"/>
  <c r="K120" i="31"/>
  <c r="I120" i="31"/>
  <c r="G120" i="31"/>
  <c r="E120" i="31"/>
  <c r="C120" i="31"/>
  <c r="Q119" i="31"/>
  <c r="O119" i="31"/>
  <c r="M119" i="31"/>
  <c r="K119" i="31"/>
  <c r="I119" i="31"/>
  <c r="G119" i="31"/>
  <c r="E119" i="31"/>
  <c r="C119" i="31"/>
  <c r="Q118" i="31"/>
  <c r="O118" i="31"/>
  <c r="M118" i="31"/>
  <c r="K118" i="31"/>
  <c r="I118" i="31"/>
  <c r="G118" i="31"/>
  <c r="E118" i="31"/>
  <c r="C118" i="31"/>
  <c r="Q117" i="31"/>
  <c r="O117" i="31"/>
  <c r="M117" i="31"/>
  <c r="K117" i="31"/>
  <c r="I117" i="31"/>
  <c r="G117" i="31"/>
  <c r="E117" i="31"/>
  <c r="C117" i="31"/>
  <c r="Q116" i="31"/>
  <c r="O116" i="31"/>
  <c r="M116" i="31"/>
  <c r="K116" i="31"/>
  <c r="I116" i="31"/>
  <c r="G116" i="31"/>
  <c r="E116" i="31"/>
  <c r="C116" i="31"/>
  <c r="Q115" i="31"/>
  <c r="O115" i="31"/>
  <c r="M115" i="31"/>
  <c r="K115" i="31"/>
  <c r="I115" i="31"/>
  <c r="G115" i="31"/>
  <c r="E115" i="31"/>
  <c r="C115" i="31"/>
  <c r="Q114" i="31"/>
  <c r="O114" i="31"/>
  <c r="M114" i="31"/>
  <c r="K114" i="31"/>
  <c r="I114" i="31"/>
  <c r="G114" i="31"/>
  <c r="E114" i="31"/>
  <c r="C114" i="31"/>
  <c r="Q113" i="31"/>
  <c r="O113" i="31"/>
  <c r="M113" i="31"/>
  <c r="K113" i="31"/>
  <c r="I113" i="31"/>
  <c r="G113" i="31"/>
  <c r="E113" i="31"/>
  <c r="C113" i="31"/>
  <c r="Q112" i="31"/>
  <c r="O112" i="31"/>
  <c r="M112" i="31"/>
  <c r="K112" i="31"/>
  <c r="I112" i="31"/>
  <c r="G112" i="31"/>
  <c r="E112" i="31"/>
  <c r="C112" i="31"/>
  <c r="Q111" i="31"/>
  <c r="O111" i="31"/>
  <c r="M111" i="31"/>
  <c r="K111" i="31"/>
  <c r="I111" i="31"/>
  <c r="G111" i="31"/>
  <c r="E111" i="31"/>
  <c r="C111" i="31"/>
  <c r="Q110" i="31"/>
  <c r="O110" i="31"/>
  <c r="M110" i="31"/>
  <c r="K110" i="31"/>
  <c r="I110" i="31"/>
  <c r="G110" i="31"/>
  <c r="E110" i="31"/>
  <c r="C110" i="31"/>
  <c r="Q109" i="31"/>
  <c r="O109" i="31"/>
  <c r="M109" i="31"/>
  <c r="K109" i="31"/>
  <c r="I109" i="31"/>
  <c r="G109" i="31"/>
  <c r="E109" i="31"/>
  <c r="C109" i="31"/>
  <c r="Q108" i="31"/>
  <c r="O108" i="31"/>
  <c r="M108" i="31"/>
  <c r="K108" i="31"/>
  <c r="I108" i="31"/>
  <c r="G108" i="31"/>
  <c r="E108" i="31"/>
  <c r="C108" i="31"/>
  <c r="Q107" i="31"/>
  <c r="O107" i="31"/>
  <c r="M107" i="31"/>
  <c r="K107" i="31"/>
  <c r="I107" i="31"/>
  <c r="G107" i="31"/>
  <c r="E107" i="31"/>
  <c r="C107" i="31"/>
  <c r="Q106" i="31"/>
  <c r="O106" i="31"/>
  <c r="M106" i="31"/>
  <c r="K106" i="31"/>
  <c r="I106" i="31"/>
  <c r="G106" i="31"/>
  <c r="E106" i="31"/>
  <c r="C106" i="31"/>
  <c r="Q105" i="31"/>
  <c r="O105" i="31"/>
  <c r="M105" i="31"/>
  <c r="K105" i="31"/>
  <c r="I105" i="31"/>
  <c r="G105" i="31"/>
  <c r="E105" i="31"/>
  <c r="C105" i="31"/>
  <c r="Q104" i="31"/>
  <c r="O104" i="31"/>
  <c r="M104" i="31"/>
  <c r="K104" i="31"/>
  <c r="I104" i="31"/>
  <c r="G104" i="31"/>
  <c r="E104" i="31"/>
  <c r="C104" i="31"/>
  <c r="Q103" i="31"/>
  <c r="O103" i="31"/>
  <c r="M103" i="31"/>
  <c r="K103" i="31"/>
  <c r="I103" i="31"/>
  <c r="G103" i="31"/>
  <c r="E103" i="31"/>
  <c r="C103" i="31"/>
  <c r="Q102" i="31"/>
  <c r="O102" i="31"/>
  <c r="M102" i="31"/>
  <c r="K102" i="31"/>
  <c r="I102" i="31"/>
  <c r="G102" i="31"/>
  <c r="E102" i="31"/>
  <c r="C102" i="31"/>
  <c r="Q101" i="31"/>
  <c r="O101" i="31"/>
  <c r="M101" i="31"/>
  <c r="K101" i="31"/>
  <c r="I101" i="31"/>
  <c r="G101" i="31"/>
  <c r="E101" i="31"/>
  <c r="C101" i="31"/>
  <c r="Q100" i="31"/>
  <c r="O100" i="31"/>
  <c r="M100" i="31"/>
  <c r="K100" i="31"/>
  <c r="I100" i="31"/>
  <c r="G100" i="31"/>
  <c r="E100" i="31"/>
  <c r="C100" i="31"/>
  <c r="Q99" i="31"/>
  <c r="O99" i="31"/>
  <c r="M99" i="31"/>
  <c r="K99" i="31"/>
  <c r="I99" i="31"/>
  <c r="G99" i="31"/>
  <c r="E99" i="31"/>
  <c r="C99" i="31"/>
  <c r="Q98" i="31"/>
  <c r="O98" i="31"/>
  <c r="M98" i="31"/>
  <c r="K98" i="31"/>
  <c r="I98" i="31"/>
  <c r="G98" i="31"/>
  <c r="E98" i="31"/>
  <c r="C98" i="31"/>
  <c r="Q97" i="31"/>
  <c r="O97" i="31"/>
  <c r="M97" i="31"/>
  <c r="K97" i="31"/>
  <c r="I97" i="31"/>
  <c r="G97" i="31"/>
  <c r="E97" i="31"/>
  <c r="C97" i="31"/>
  <c r="Q96" i="31"/>
  <c r="O96" i="31"/>
  <c r="M96" i="31"/>
  <c r="K96" i="31"/>
  <c r="I96" i="31"/>
  <c r="G96" i="31"/>
  <c r="E96" i="31"/>
  <c r="C96" i="31"/>
  <c r="Q95" i="31"/>
  <c r="O95" i="31"/>
  <c r="M95" i="31"/>
  <c r="K95" i="31"/>
  <c r="I95" i="31"/>
  <c r="G95" i="31"/>
  <c r="E95" i="31"/>
  <c r="C95" i="31"/>
  <c r="Q94" i="31"/>
  <c r="O94" i="31"/>
  <c r="M94" i="31"/>
  <c r="K94" i="31"/>
  <c r="I94" i="31"/>
  <c r="G94" i="31"/>
  <c r="E94" i="31"/>
  <c r="C94" i="31"/>
  <c r="Q93" i="31"/>
  <c r="O93" i="31"/>
  <c r="M93" i="31"/>
  <c r="K93" i="31"/>
  <c r="I93" i="31"/>
  <c r="G93" i="31"/>
  <c r="E93" i="31"/>
  <c r="C93" i="31"/>
  <c r="Q92" i="31"/>
  <c r="O92" i="31"/>
  <c r="M92" i="31"/>
  <c r="K92" i="31"/>
  <c r="I92" i="31"/>
  <c r="G92" i="31"/>
  <c r="E92" i="31"/>
  <c r="C92" i="31"/>
  <c r="Q91" i="31"/>
  <c r="O91" i="31"/>
  <c r="M91" i="31"/>
  <c r="K91" i="31"/>
  <c r="I91" i="31"/>
  <c r="G91" i="31"/>
  <c r="E91" i="31"/>
  <c r="C91" i="31"/>
  <c r="Q90" i="31"/>
  <c r="O90" i="31"/>
  <c r="M90" i="31"/>
  <c r="K90" i="31"/>
  <c r="I90" i="31"/>
  <c r="G90" i="31"/>
  <c r="E90" i="31"/>
  <c r="C90" i="31"/>
  <c r="Q89" i="31"/>
  <c r="O89" i="31"/>
  <c r="M89" i="31"/>
  <c r="K89" i="31"/>
  <c r="I89" i="31"/>
  <c r="G89" i="31"/>
  <c r="E89" i="31"/>
  <c r="C89" i="31"/>
  <c r="Q88" i="31"/>
  <c r="O88" i="31"/>
  <c r="M88" i="31"/>
  <c r="K88" i="31"/>
  <c r="I88" i="31"/>
  <c r="G88" i="31"/>
  <c r="E88" i="31"/>
  <c r="C88" i="31"/>
  <c r="Q87" i="31"/>
  <c r="O87" i="31"/>
  <c r="M87" i="31"/>
  <c r="K87" i="31"/>
  <c r="I87" i="31"/>
  <c r="G87" i="31"/>
  <c r="E87" i="31"/>
  <c r="C87" i="31"/>
  <c r="Q86" i="31"/>
  <c r="O86" i="31"/>
  <c r="M86" i="31"/>
  <c r="K86" i="31"/>
  <c r="I86" i="31"/>
  <c r="G86" i="31"/>
  <c r="E86" i="31"/>
  <c r="C86" i="31"/>
  <c r="Q85" i="31"/>
  <c r="O85" i="31"/>
  <c r="M85" i="31"/>
  <c r="K85" i="31"/>
  <c r="I85" i="31"/>
  <c r="G85" i="31"/>
  <c r="E85" i="31"/>
  <c r="C85" i="31"/>
  <c r="Q84" i="31"/>
  <c r="O84" i="31"/>
  <c r="M84" i="31"/>
  <c r="K84" i="31"/>
  <c r="I84" i="31"/>
  <c r="G84" i="31"/>
  <c r="E84" i="31"/>
  <c r="C84" i="31"/>
  <c r="Q83" i="31"/>
  <c r="O83" i="31"/>
  <c r="M83" i="31"/>
  <c r="K83" i="31"/>
  <c r="I83" i="31"/>
  <c r="G83" i="31"/>
  <c r="E83" i="31"/>
  <c r="C83" i="31"/>
  <c r="Q82" i="31"/>
  <c r="O82" i="31"/>
  <c r="M82" i="31"/>
  <c r="K82" i="31"/>
  <c r="I82" i="31"/>
  <c r="G82" i="31"/>
  <c r="E82" i="31"/>
  <c r="C82" i="31"/>
  <c r="Q81" i="31"/>
  <c r="O81" i="31"/>
  <c r="M81" i="31"/>
  <c r="K81" i="31"/>
  <c r="I81" i="31"/>
  <c r="G81" i="31"/>
  <c r="E81" i="31"/>
  <c r="C81" i="31"/>
  <c r="Q80" i="31"/>
  <c r="O80" i="31"/>
  <c r="M80" i="31"/>
  <c r="K80" i="31"/>
  <c r="I80" i="31"/>
  <c r="G80" i="31"/>
  <c r="E80" i="31"/>
  <c r="C80" i="31"/>
  <c r="Q79" i="31"/>
  <c r="O79" i="31"/>
  <c r="M79" i="31"/>
  <c r="K79" i="31"/>
  <c r="I79" i="31"/>
  <c r="G79" i="31"/>
  <c r="E79" i="31"/>
  <c r="C79" i="31"/>
  <c r="Q78" i="31"/>
  <c r="O78" i="31"/>
  <c r="M78" i="31"/>
  <c r="K78" i="31"/>
  <c r="I78" i="31"/>
  <c r="G78" i="31"/>
  <c r="E78" i="31"/>
  <c r="C78" i="31"/>
  <c r="Q77" i="31"/>
  <c r="O77" i="31"/>
  <c r="M77" i="31"/>
  <c r="K77" i="31"/>
  <c r="I77" i="31"/>
  <c r="G77" i="31"/>
  <c r="E77" i="31"/>
  <c r="C77" i="31"/>
  <c r="Q76" i="31"/>
  <c r="O76" i="31"/>
  <c r="M76" i="31"/>
  <c r="K76" i="31"/>
  <c r="I76" i="31"/>
  <c r="G76" i="31"/>
  <c r="E76" i="31"/>
  <c r="C76" i="31"/>
  <c r="Q75" i="31"/>
  <c r="O75" i="31"/>
  <c r="M75" i="31"/>
  <c r="K75" i="31"/>
  <c r="I75" i="31"/>
  <c r="G75" i="31"/>
  <c r="E75" i="31"/>
  <c r="C75" i="31"/>
  <c r="Q74" i="31"/>
  <c r="O74" i="31"/>
  <c r="M74" i="31"/>
  <c r="K74" i="31"/>
  <c r="I74" i="31"/>
  <c r="G74" i="31"/>
  <c r="E74" i="31"/>
  <c r="C74" i="31"/>
  <c r="Q73" i="31"/>
  <c r="O73" i="31"/>
  <c r="M73" i="31"/>
  <c r="K73" i="31"/>
  <c r="I73" i="31"/>
  <c r="G73" i="31"/>
  <c r="E73" i="31"/>
  <c r="C73" i="31"/>
  <c r="Q72" i="31"/>
  <c r="O72" i="31"/>
  <c r="M72" i="31"/>
  <c r="K72" i="31"/>
  <c r="I72" i="31"/>
  <c r="G72" i="31"/>
  <c r="E72" i="31"/>
  <c r="C72" i="31"/>
  <c r="Q71" i="31"/>
  <c r="O71" i="31"/>
  <c r="M71" i="31"/>
  <c r="K71" i="31"/>
  <c r="I71" i="31"/>
  <c r="G71" i="31"/>
  <c r="E71" i="31"/>
  <c r="C71" i="31"/>
  <c r="Q70" i="31"/>
  <c r="O70" i="31"/>
  <c r="M70" i="31"/>
  <c r="K70" i="31"/>
  <c r="I70" i="31"/>
  <c r="G70" i="31"/>
  <c r="E70" i="31"/>
  <c r="C70" i="31"/>
  <c r="Q69" i="31"/>
  <c r="O69" i="31"/>
  <c r="M69" i="31"/>
  <c r="K69" i="31"/>
  <c r="I69" i="31"/>
  <c r="G69" i="31"/>
  <c r="E69" i="31"/>
  <c r="C69" i="31"/>
  <c r="Q68" i="31"/>
  <c r="O68" i="31"/>
  <c r="M68" i="31"/>
  <c r="K68" i="31"/>
  <c r="I68" i="31"/>
  <c r="G68" i="31"/>
  <c r="E68" i="31"/>
  <c r="C68" i="31"/>
  <c r="Q67" i="31"/>
  <c r="O67" i="31"/>
  <c r="M67" i="31"/>
  <c r="K67" i="31"/>
  <c r="I67" i="31"/>
  <c r="G67" i="31"/>
  <c r="E67" i="31"/>
  <c r="C67" i="31"/>
  <c r="Q66" i="31"/>
  <c r="O66" i="31"/>
  <c r="M66" i="31"/>
  <c r="K66" i="31"/>
  <c r="I66" i="31"/>
  <c r="G66" i="31"/>
  <c r="E66" i="31"/>
  <c r="C66" i="31"/>
  <c r="Q65" i="31"/>
  <c r="O65" i="31"/>
  <c r="M65" i="31"/>
  <c r="K65" i="31"/>
  <c r="I65" i="31"/>
  <c r="G65" i="31"/>
  <c r="E65" i="31"/>
  <c r="C65" i="31"/>
  <c r="Q64" i="31"/>
  <c r="O64" i="31"/>
  <c r="M64" i="31"/>
  <c r="K64" i="31"/>
  <c r="I64" i="31"/>
  <c r="G64" i="31"/>
  <c r="E64" i="31"/>
  <c r="C64" i="31"/>
  <c r="Q63" i="31"/>
  <c r="O63" i="31"/>
  <c r="M63" i="31"/>
  <c r="K63" i="31"/>
  <c r="I63" i="31"/>
  <c r="G63" i="31"/>
  <c r="E63" i="31"/>
  <c r="C63" i="31"/>
  <c r="Q62" i="31"/>
  <c r="O62" i="31"/>
  <c r="M62" i="31"/>
  <c r="K62" i="31"/>
  <c r="I62" i="31"/>
  <c r="G62" i="31"/>
  <c r="E62" i="31"/>
  <c r="C62" i="31"/>
  <c r="Q61" i="31"/>
  <c r="O61" i="31"/>
  <c r="M61" i="31"/>
  <c r="K61" i="31"/>
  <c r="I61" i="31"/>
  <c r="G61" i="31"/>
  <c r="E61" i="31"/>
  <c r="C61" i="31"/>
  <c r="Q60" i="31"/>
  <c r="O60" i="31"/>
  <c r="M60" i="31"/>
  <c r="K60" i="31"/>
  <c r="I60" i="31"/>
  <c r="G60" i="31"/>
  <c r="E60" i="31"/>
  <c r="C60" i="31"/>
  <c r="Q59" i="31"/>
  <c r="O59" i="31"/>
  <c r="M59" i="31"/>
  <c r="K59" i="31"/>
  <c r="I59" i="31"/>
  <c r="G59" i="31"/>
  <c r="E59" i="31"/>
  <c r="C59" i="31"/>
  <c r="Q58" i="31"/>
  <c r="O58" i="31"/>
  <c r="M58" i="31"/>
  <c r="K58" i="31"/>
  <c r="I58" i="31"/>
  <c r="G58" i="31"/>
  <c r="E58" i="31"/>
  <c r="C58" i="31"/>
  <c r="Q57" i="31"/>
  <c r="O57" i="31"/>
  <c r="M57" i="31"/>
  <c r="K57" i="31"/>
  <c r="I57" i="31"/>
  <c r="G57" i="31"/>
  <c r="E57" i="31"/>
  <c r="C57" i="31"/>
  <c r="Q56" i="31"/>
  <c r="O56" i="31"/>
  <c r="M56" i="31"/>
  <c r="K56" i="31"/>
  <c r="I56" i="31"/>
  <c r="G56" i="31"/>
  <c r="E56" i="31"/>
  <c r="C56" i="31"/>
  <c r="Q55" i="31"/>
  <c r="O55" i="31"/>
  <c r="M55" i="31"/>
  <c r="K55" i="31"/>
  <c r="I55" i="31"/>
  <c r="G55" i="31"/>
  <c r="E55" i="31"/>
  <c r="C55" i="31"/>
  <c r="Q54" i="31"/>
  <c r="O54" i="31"/>
  <c r="M54" i="31"/>
  <c r="K54" i="31"/>
  <c r="I54" i="31"/>
  <c r="G54" i="31"/>
  <c r="E54" i="31"/>
  <c r="C54" i="31"/>
  <c r="Q53" i="31"/>
  <c r="O53" i="31"/>
  <c r="M53" i="31"/>
  <c r="K53" i="31"/>
  <c r="I53" i="31"/>
  <c r="G53" i="31"/>
  <c r="E53" i="31"/>
  <c r="C53" i="31"/>
  <c r="Q52" i="31"/>
  <c r="O52" i="31"/>
  <c r="M52" i="31"/>
  <c r="K52" i="31"/>
  <c r="I52" i="31"/>
  <c r="G52" i="31"/>
  <c r="E52" i="31"/>
  <c r="C52" i="31"/>
  <c r="Q51" i="31"/>
  <c r="O51" i="31"/>
  <c r="M51" i="31"/>
  <c r="K51" i="31"/>
  <c r="I51" i="31"/>
  <c r="G51" i="31"/>
  <c r="E51" i="31"/>
  <c r="C51" i="31"/>
  <c r="Q50" i="31"/>
  <c r="O50" i="31"/>
  <c r="M50" i="31"/>
  <c r="K50" i="31"/>
  <c r="I50" i="31"/>
  <c r="G50" i="31"/>
  <c r="E50" i="31"/>
  <c r="C50" i="31"/>
  <c r="Q49" i="31"/>
  <c r="O49" i="31"/>
  <c r="M49" i="31"/>
  <c r="K49" i="31"/>
  <c r="I49" i="31"/>
  <c r="G49" i="31"/>
  <c r="E49" i="31"/>
  <c r="C49" i="31"/>
  <c r="Q48" i="31"/>
  <c r="O48" i="31"/>
  <c r="M48" i="31"/>
  <c r="K48" i="31"/>
  <c r="I48" i="31"/>
  <c r="G48" i="31"/>
  <c r="E48" i="31"/>
  <c r="C48" i="31"/>
  <c r="Q47" i="31"/>
  <c r="O47" i="31"/>
  <c r="M47" i="31"/>
  <c r="K47" i="31"/>
  <c r="I47" i="31"/>
  <c r="G47" i="31"/>
  <c r="E47" i="31"/>
  <c r="C47" i="31"/>
  <c r="Q46" i="31"/>
  <c r="O46" i="31"/>
  <c r="M46" i="31"/>
  <c r="K46" i="31"/>
  <c r="I46" i="31"/>
  <c r="G46" i="31"/>
  <c r="E46" i="31"/>
  <c r="C46" i="31"/>
  <c r="Q45" i="31"/>
  <c r="O45" i="31"/>
  <c r="M45" i="31"/>
  <c r="K45" i="31"/>
  <c r="I45" i="31"/>
  <c r="G45" i="31"/>
  <c r="E45" i="31"/>
  <c r="C45" i="31"/>
  <c r="Q44" i="31"/>
  <c r="O44" i="31"/>
  <c r="M44" i="31"/>
  <c r="K44" i="31"/>
  <c r="I44" i="31"/>
  <c r="G44" i="31"/>
  <c r="E44" i="31"/>
  <c r="C44" i="31"/>
  <c r="Q43" i="31"/>
  <c r="O43" i="31"/>
  <c r="M43" i="31"/>
  <c r="K43" i="31"/>
  <c r="I43" i="31"/>
  <c r="G43" i="31"/>
  <c r="E43" i="31"/>
  <c r="C43" i="31"/>
  <c r="Q42" i="31"/>
  <c r="O42" i="31"/>
  <c r="M42" i="31"/>
  <c r="K42" i="31"/>
  <c r="I42" i="31"/>
  <c r="G42" i="31"/>
  <c r="E42" i="31"/>
  <c r="C42" i="31"/>
  <c r="Q41" i="31"/>
  <c r="O41" i="31"/>
  <c r="M41" i="31"/>
  <c r="K41" i="31"/>
  <c r="I41" i="31"/>
  <c r="G41" i="31"/>
  <c r="E41" i="31"/>
  <c r="C41" i="31"/>
  <c r="Q40" i="31"/>
  <c r="O40" i="31"/>
  <c r="M40" i="31"/>
  <c r="K40" i="31"/>
  <c r="I40" i="31"/>
  <c r="G40" i="31"/>
  <c r="E40" i="31"/>
  <c r="C40" i="31"/>
  <c r="Q39" i="31"/>
  <c r="O39" i="31"/>
  <c r="M39" i="31"/>
  <c r="K39" i="31"/>
  <c r="I39" i="31"/>
  <c r="G39" i="31"/>
  <c r="E39" i="31"/>
  <c r="C39" i="31"/>
  <c r="Q38" i="31"/>
  <c r="O38" i="31"/>
  <c r="M38" i="31"/>
  <c r="K38" i="31"/>
  <c r="I38" i="31"/>
  <c r="G38" i="31"/>
  <c r="E38" i="31"/>
  <c r="C38" i="31"/>
  <c r="Q37" i="31"/>
  <c r="O37" i="31"/>
  <c r="M37" i="31"/>
  <c r="K37" i="31"/>
  <c r="I37" i="31"/>
  <c r="G37" i="31"/>
  <c r="E37" i="31"/>
  <c r="C37" i="31"/>
  <c r="Q36" i="31"/>
  <c r="O36" i="31"/>
  <c r="M36" i="31"/>
  <c r="K36" i="31"/>
  <c r="I36" i="31"/>
  <c r="G36" i="31"/>
  <c r="E36" i="31"/>
  <c r="C36" i="31"/>
  <c r="Q35" i="31"/>
  <c r="O35" i="31"/>
  <c r="M35" i="31"/>
  <c r="K35" i="31"/>
  <c r="I35" i="31"/>
  <c r="G35" i="31"/>
  <c r="E35" i="31"/>
  <c r="C35" i="31"/>
  <c r="Q34" i="31"/>
  <c r="O34" i="31"/>
  <c r="M34" i="31"/>
  <c r="K34" i="31"/>
  <c r="I34" i="31"/>
  <c r="G34" i="31"/>
  <c r="E34" i="31"/>
  <c r="C34" i="31"/>
  <c r="Q33" i="31"/>
  <c r="O33" i="31"/>
  <c r="M33" i="31"/>
  <c r="K33" i="31"/>
  <c r="I33" i="31"/>
  <c r="G33" i="31"/>
  <c r="E33" i="31"/>
  <c r="C33" i="31"/>
  <c r="Q32" i="31"/>
  <c r="O32" i="31"/>
  <c r="M32" i="31"/>
  <c r="K32" i="31"/>
  <c r="I32" i="31"/>
  <c r="G32" i="31"/>
  <c r="E32" i="31"/>
  <c r="C32" i="31"/>
  <c r="Q31" i="31"/>
  <c r="O31" i="31"/>
  <c r="M31" i="31"/>
  <c r="K31" i="31"/>
  <c r="I31" i="31"/>
  <c r="G31" i="31"/>
  <c r="E31" i="31"/>
  <c r="C31" i="31"/>
  <c r="Q30" i="31"/>
  <c r="O30" i="31"/>
  <c r="M30" i="31"/>
  <c r="K30" i="31"/>
  <c r="I30" i="31"/>
  <c r="G30" i="31"/>
  <c r="E30" i="31"/>
  <c r="C30" i="31"/>
  <c r="Q29" i="31"/>
  <c r="O29" i="31"/>
  <c r="M29" i="31"/>
  <c r="K29" i="31"/>
  <c r="I29" i="31"/>
  <c r="G29" i="31"/>
  <c r="E29" i="31"/>
  <c r="C29" i="31"/>
  <c r="Q28" i="31"/>
  <c r="O28" i="31"/>
  <c r="M28" i="31"/>
  <c r="K28" i="31"/>
  <c r="I28" i="31"/>
  <c r="G28" i="31"/>
  <c r="E28" i="31"/>
  <c r="C28" i="31"/>
  <c r="O27" i="31"/>
  <c r="M27" i="31"/>
  <c r="K27" i="31"/>
  <c r="I27" i="31"/>
  <c r="G27" i="31"/>
  <c r="E27" i="31"/>
  <c r="O26" i="31"/>
  <c r="M26" i="31"/>
  <c r="K26" i="31"/>
  <c r="I26" i="31"/>
  <c r="G26" i="31"/>
  <c r="E26" i="31"/>
  <c r="O25" i="31"/>
  <c r="M25" i="31"/>
  <c r="K25" i="31"/>
  <c r="I25" i="31"/>
  <c r="G25" i="31"/>
  <c r="E25" i="31"/>
  <c r="P23" i="31"/>
  <c r="N23" i="31"/>
  <c r="L23" i="31"/>
  <c r="J23" i="31"/>
  <c r="H23" i="31"/>
  <c r="F23" i="31"/>
  <c r="D23" i="31"/>
  <c r="B22" i="31"/>
  <c r="R22" i="31"/>
  <c r="B21" i="31"/>
  <c r="F20"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D72" i="71"/>
  <c r="F71" i="71"/>
  <c r="E71" i="71"/>
  <c r="D71" i="71"/>
  <c r="C71" i="71"/>
  <c r="B71" i="71"/>
  <c r="F70" i="71"/>
  <c r="E70" i="71"/>
  <c r="D70" i="71"/>
  <c r="C70" i="71"/>
  <c r="B70" i="71"/>
  <c r="F69" i="71"/>
  <c r="E69" i="71"/>
  <c r="D69" i="71"/>
  <c r="C69" i="71"/>
  <c r="B69" i="71"/>
  <c r="D68" i="71"/>
  <c r="F67" i="71"/>
  <c r="E67" i="71"/>
  <c r="D67" i="71"/>
  <c r="C67" i="71"/>
  <c r="B67" i="71"/>
  <c r="F66" i="71"/>
  <c r="E66" i="71"/>
  <c r="D66" i="71"/>
  <c r="C66" i="71"/>
  <c r="B66" i="71"/>
  <c r="F65" i="71"/>
  <c r="E65" i="71"/>
  <c r="D65" i="71"/>
  <c r="C65" i="71"/>
  <c r="B65" i="71"/>
  <c r="D64" i="71"/>
  <c r="V63" i="71"/>
  <c r="U63" i="71"/>
  <c r="T63" i="71"/>
  <c r="S63" i="71"/>
  <c r="Q63" i="71"/>
  <c r="P63" i="71"/>
  <c r="O63" i="71"/>
  <c r="N63" i="71"/>
  <c r="F63" i="71"/>
  <c r="E63" i="71"/>
  <c r="D63" i="71"/>
  <c r="C63" i="71"/>
  <c r="B63" i="71"/>
  <c r="Q62" i="71"/>
  <c r="P62" i="71"/>
  <c r="O62" i="71"/>
  <c r="N62" i="71"/>
  <c r="F62" i="71"/>
  <c r="E62" i="71"/>
  <c r="D62" i="71"/>
  <c r="C62" i="71"/>
  <c r="B62" i="71"/>
  <c r="Q61" i="71"/>
  <c r="P61" i="71"/>
  <c r="O61" i="71"/>
  <c r="N61" i="71"/>
  <c r="F61" i="71"/>
  <c r="E61" i="71"/>
  <c r="D61" i="71"/>
  <c r="C61" i="71"/>
  <c r="B61" i="71"/>
  <c r="Q60" i="71"/>
  <c r="P60" i="71"/>
  <c r="O60" i="71"/>
  <c r="N60" i="71"/>
  <c r="D60" i="71"/>
  <c r="V59" i="71"/>
  <c r="U59" i="71"/>
  <c r="T59" i="71"/>
  <c r="S59" i="71"/>
  <c r="Q59" i="71"/>
  <c r="P59" i="71"/>
  <c r="O59" i="71"/>
  <c r="N59" i="71"/>
  <c r="F59" i="71"/>
  <c r="E59" i="71"/>
  <c r="D59" i="71"/>
  <c r="C59" i="71"/>
  <c r="B59" i="71"/>
  <c r="Q58" i="71"/>
  <c r="P58" i="71"/>
  <c r="O58" i="71"/>
  <c r="N58" i="71"/>
  <c r="F58" i="71"/>
  <c r="E58" i="71"/>
  <c r="D58" i="71"/>
  <c r="C58" i="71"/>
  <c r="B58" i="71"/>
  <c r="Q57" i="71"/>
  <c r="P57" i="71"/>
  <c r="O57" i="71"/>
  <c r="N57" i="71"/>
  <c r="F57" i="71"/>
  <c r="E57" i="71"/>
  <c r="D57" i="71"/>
  <c r="C57" i="71"/>
  <c r="B57" i="71"/>
  <c r="Q56" i="71"/>
  <c r="P56" i="71"/>
  <c r="O56" i="71"/>
  <c r="N56" i="71"/>
  <c r="D56" i="71"/>
  <c r="V55" i="71"/>
  <c r="U55" i="71"/>
  <c r="T55" i="71"/>
  <c r="S55" i="71"/>
  <c r="Q55" i="71"/>
  <c r="P55" i="71"/>
  <c r="O55" i="71"/>
  <c r="N55" i="71"/>
  <c r="F55" i="71"/>
  <c r="E55" i="71"/>
  <c r="D55" i="71"/>
  <c r="C55" i="71"/>
  <c r="B55" i="71"/>
  <c r="Q54" i="71"/>
  <c r="P54" i="71"/>
  <c r="O54" i="71"/>
  <c r="N54" i="71"/>
  <c r="F54" i="71"/>
  <c r="E54" i="71"/>
  <c r="D54" i="71"/>
  <c r="C54" i="71"/>
  <c r="B54" i="71"/>
  <c r="Q53" i="71"/>
  <c r="P53" i="71"/>
  <c r="O53" i="71"/>
  <c r="N53" i="71"/>
  <c r="F53" i="71"/>
  <c r="E53" i="71"/>
  <c r="D53" i="71"/>
  <c r="C53" i="71"/>
  <c r="B53" i="71"/>
  <c r="Q52" i="71"/>
  <c r="P52" i="71"/>
  <c r="O52" i="71"/>
  <c r="N52" i="71"/>
  <c r="D52" i="71"/>
  <c r="V51" i="71"/>
  <c r="U51" i="71"/>
  <c r="T51" i="71"/>
  <c r="S51" i="71"/>
  <c r="Q51" i="71"/>
  <c r="P51" i="71"/>
  <c r="O51" i="71"/>
  <c r="N51" i="71"/>
  <c r="F51" i="71"/>
  <c r="E51" i="71"/>
  <c r="D51" i="71"/>
  <c r="C51" i="71"/>
  <c r="B51" i="71"/>
  <c r="Q50" i="71"/>
  <c r="P50" i="71"/>
  <c r="O50" i="71"/>
  <c r="N50" i="71"/>
  <c r="F50" i="71"/>
  <c r="E50" i="71"/>
  <c r="D50" i="71"/>
  <c r="C50" i="71"/>
  <c r="B50" i="71"/>
  <c r="Q49" i="71"/>
  <c r="P49" i="71"/>
  <c r="O49" i="71"/>
  <c r="N49" i="71"/>
  <c r="F49" i="71"/>
  <c r="E49" i="71"/>
  <c r="D49" i="71"/>
  <c r="C49" i="71"/>
  <c r="B49" i="71"/>
  <c r="Q48" i="71"/>
  <c r="P48" i="71"/>
  <c r="O48" i="71"/>
  <c r="N48" i="71"/>
  <c r="D48" i="71"/>
  <c r="V47" i="71"/>
  <c r="U47" i="71"/>
  <c r="T47" i="71"/>
  <c r="S47" i="71"/>
  <c r="Q47" i="71"/>
  <c r="P47" i="71"/>
  <c r="O47" i="71"/>
  <c r="N47" i="71"/>
  <c r="F47" i="71"/>
  <c r="E47" i="71"/>
  <c r="D47" i="71"/>
  <c r="C47" i="71"/>
  <c r="B47" i="71"/>
  <c r="Q46" i="71"/>
  <c r="P46" i="71"/>
  <c r="O46" i="71"/>
  <c r="N46" i="71"/>
  <c r="F46" i="71"/>
  <c r="E46" i="71"/>
  <c r="D46" i="71"/>
  <c r="C46" i="71"/>
  <c r="B46" i="71"/>
  <c r="Q45" i="71"/>
  <c r="P45" i="71"/>
  <c r="O45" i="71"/>
  <c r="N45" i="71"/>
  <c r="F45" i="71"/>
  <c r="E45" i="71"/>
  <c r="D45" i="71"/>
  <c r="C45" i="71"/>
  <c r="B45" i="71"/>
  <c r="Q44" i="71"/>
  <c r="P44" i="71"/>
  <c r="O44" i="71"/>
  <c r="N44" i="71"/>
  <c r="D44" i="71"/>
  <c r="V43" i="71"/>
  <c r="U43" i="71"/>
  <c r="T43" i="71"/>
  <c r="S43" i="71"/>
  <c r="Q43" i="71"/>
  <c r="P43" i="71"/>
  <c r="O43" i="71"/>
  <c r="N43" i="71"/>
  <c r="F43" i="71"/>
  <c r="E43" i="71"/>
  <c r="D43" i="71"/>
  <c r="C43" i="71"/>
  <c r="B43" i="71"/>
  <c r="Q42" i="71"/>
  <c r="P42" i="71"/>
  <c r="O42" i="71"/>
  <c r="N42" i="71"/>
  <c r="F42" i="71"/>
  <c r="E42" i="71"/>
  <c r="D42" i="71"/>
  <c r="C42" i="71"/>
  <c r="B42" i="71"/>
  <c r="Q41" i="71"/>
  <c r="P41" i="71"/>
  <c r="O41" i="71"/>
  <c r="N41" i="71"/>
  <c r="F41" i="71"/>
  <c r="E41" i="71"/>
  <c r="D41" i="71"/>
  <c r="C41" i="71"/>
  <c r="B41" i="71"/>
  <c r="Q40" i="71"/>
  <c r="P40" i="71"/>
  <c r="O40" i="71"/>
  <c r="N40" i="71"/>
  <c r="D40" i="71"/>
  <c r="V39" i="71"/>
  <c r="U39" i="71"/>
  <c r="T39" i="71"/>
  <c r="S39" i="71"/>
  <c r="Q39" i="71"/>
  <c r="P39" i="71"/>
  <c r="O39" i="71"/>
  <c r="N39" i="71"/>
  <c r="F39" i="71"/>
  <c r="E39" i="71"/>
  <c r="D39" i="71"/>
  <c r="C39" i="71"/>
  <c r="B39" i="71"/>
  <c r="Q38" i="71"/>
  <c r="P38" i="71"/>
  <c r="O38" i="71"/>
  <c r="N38" i="71"/>
  <c r="F38" i="71"/>
  <c r="E38" i="71"/>
  <c r="D38" i="71"/>
  <c r="C38" i="71"/>
  <c r="B38" i="71"/>
  <c r="Q37" i="71"/>
  <c r="P37" i="71"/>
  <c r="O37" i="71"/>
  <c r="N37" i="71"/>
  <c r="F37" i="71"/>
  <c r="E37" i="71"/>
  <c r="D37" i="71"/>
  <c r="C37" i="71"/>
  <c r="B37" i="71"/>
  <c r="Q36" i="71"/>
  <c r="P36" i="71"/>
  <c r="O36" i="71"/>
  <c r="N36" i="71"/>
  <c r="D36" i="71"/>
  <c r="V35" i="71"/>
  <c r="U35" i="71"/>
  <c r="T35" i="71"/>
  <c r="S35" i="71"/>
  <c r="Q35" i="71"/>
  <c r="P35" i="71"/>
  <c r="O35" i="71"/>
  <c r="N35" i="71"/>
  <c r="F35" i="71"/>
  <c r="E35" i="71"/>
  <c r="D35" i="71"/>
  <c r="C35" i="71"/>
  <c r="B35" i="71"/>
  <c r="Q34" i="71"/>
  <c r="P34" i="71"/>
  <c r="O34" i="71"/>
  <c r="N34" i="71"/>
  <c r="F34" i="71"/>
  <c r="E34" i="71"/>
  <c r="D34" i="71"/>
  <c r="C34" i="71"/>
  <c r="B34" i="71"/>
  <c r="Q33" i="71"/>
  <c r="P33" i="71"/>
  <c r="O33" i="71"/>
  <c r="N33" i="71"/>
  <c r="F33" i="71"/>
  <c r="E33" i="71"/>
  <c r="D33" i="71"/>
  <c r="C33" i="71"/>
  <c r="B33" i="71"/>
  <c r="Q32" i="71"/>
  <c r="P32" i="71"/>
  <c r="O32" i="71"/>
  <c r="N32" i="71"/>
  <c r="D32" i="71"/>
  <c r="V31" i="71"/>
  <c r="U31" i="71"/>
  <c r="T31" i="71"/>
  <c r="S31" i="71"/>
  <c r="Q31" i="71"/>
  <c r="P31" i="71"/>
  <c r="O31" i="71"/>
  <c r="N31" i="71"/>
  <c r="F31" i="71"/>
  <c r="E31" i="71"/>
  <c r="D31" i="71"/>
  <c r="B31" i="71"/>
  <c r="Q30" i="71"/>
  <c r="P30" i="71"/>
  <c r="O30" i="71"/>
  <c r="N30" i="71"/>
  <c r="F30" i="71"/>
  <c r="E30" i="71"/>
  <c r="D30" i="71"/>
  <c r="C30" i="71"/>
  <c r="B30" i="71"/>
  <c r="Q29" i="71"/>
  <c r="P29" i="71"/>
  <c r="O29" i="71"/>
  <c r="N29" i="71"/>
  <c r="F29" i="71"/>
  <c r="E29" i="71"/>
  <c r="D29" i="71"/>
  <c r="C29" i="71"/>
  <c r="B29" i="71"/>
  <c r="Q28" i="71"/>
  <c r="P28" i="71"/>
  <c r="O28" i="71"/>
  <c r="N28" i="71"/>
  <c r="D28" i="71"/>
  <c r="V27" i="71"/>
  <c r="U27" i="71"/>
  <c r="T27" i="71"/>
  <c r="S27" i="71"/>
  <c r="Q27" i="71"/>
  <c r="P27" i="71"/>
  <c r="O27" i="71"/>
  <c r="N27" i="71"/>
  <c r="F27" i="71"/>
  <c r="E27" i="71"/>
  <c r="D27" i="71"/>
  <c r="C27" i="71"/>
  <c r="B27" i="71"/>
  <c r="Q26" i="71"/>
  <c r="P26" i="71"/>
  <c r="O26" i="71"/>
  <c r="N26" i="71"/>
  <c r="F26" i="71"/>
  <c r="E26" i="71"/>
  <c r="D26" i="71"/>
  <c r="C26" i="71"/>
  <c r="B26" i="71"/>
  <c r="Q25" i="71"/>
  <c r="P25" i="71"/>
  <c r="O25" i="71"/>
  <c r="N25" i="71"/>
  <c r="F25" i="71"/>
  <c r="E25" i="71"/>
  <c r="D25" i="71"/>
  <c r="C25" i="71"/>
  <c r="B25" i="71"/>
  <c r="Q24" i="71"/>
  <c r="P24" i="71"/>
  <c r="O24" i="71"/>
  <c r="N24" i="71"/>
  <c r="D24" i="71"/>
  <c r="AH23" i="71"/>
  <c r="AG23" i="71"/>
  <c r="AF23" i="71"/>
  <c r="AE23" i="71"/>
  <c r="AD23" i="71"/>
  <c r="V23" i="71"/>
  <c r="U23" i="71"/>
  <c r="T23" i="71"/>
  <c r="S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Q20" i="71"/>
  <c r="P20" i="71"/>
  <c r="O20" i="71"/>
  <c r="N20" i="71"/>
  <c r="D20" i="71"/>
  <c r="AH19" i="71"/>
  <c r="AG19" i="71"/>
  <c r="AF19" i="71"/>
  <c r="AE19" i="71"/>
  <c r="AD19" i="71"/>
  <c r="AB19" i="71"/>
  <c r="AA19" i="71"/>
  <c r="Z19" i="71"/>
  <c r="Y19" i="71"/>
  <c r="X19" i="71"/>
  <c r="V19" i="71"/>
  <c r="U19" i="71"/>
  <c r="T19" i="71"/>
  <c r="S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Q16" i="71"/>
  <c r="P16" i="71"/>
  <c r="O16" i="71"/>
  <c r="N16" i="71"/>
  <c r="D16" i="71"/>
  <c r="AH15" i="71"/>
  <c r="AG15" i="71"/>
  <c r="AF15" i="71"/>
  <c r="AE15" i="71"/>
  <c r="AD15" i="71"/>
  <c r="AB15" i="71"/>
  <c r="AA15" i="71"/>
  <c r="Z15" i="71"/>
  <c r="Y15" i="71"/>
  <c r="X15" i="71"/>
  <c r="V15" i="71"/>
  <c r="U15" i="71"/>
  <c r="T15" i="71"/>
  <c r="S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Q12" i="71"/>
  <c r="P12" i="71"/>
  <c r="O12" i="71"/>
  <c r="N12" i="71"/>
  <c r="D12" i="71"/>
  <c r="AH11" i="71"/>
  <c r="AG11" i="71"/>
  <c r="AF11" i="71"/>
  <c r="AE11" i="71"/>
  <c r="AD11" i="71"/>
  <c r="AB11" i="71"/>
  <c r="AA11" i="71"/>
  <c r="Z11" i="71"/>
  <c r="Y11" i="71"/>
  <c r="X11" i="71"/>
  <c r="V11" i="71"/>
  <c r="U11" i="71"/>
  <c r="T11" i="71"/>
  <c r="S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D8" i="71"/>
  <c r="AH7" i="71"/>
  <c r="AG7" i="71"/>
  <c r="AF7" i="71"/>
  <c r="AE7" i="71"/>
  <c r="AD7" i="71"/>
  <c r="AB7" i="71"/>
  <c r="AA7" i="71"/>
  <c r="Z7" i="71"/>
  <c r="Y7" i="71"/>
  <c r="X7" i="71"/>
  <c r="V7" i="71"/>
  <c r="U7" i="71"/>
  <c r="T7" i="71"/>
  <c r="S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E13" i="76"/>
  <c r="B13" i="76"/>
  <c r="E12" i="76"/>
  <c r="B12" i="76"/>
  <c r="E11" i="76"/>
  <c r="B11" i="76"/>
  <c r="E10" i="76"/>
  <c r="B10" i="76"/>
  <c r="E9" i="76"/>
  <c r="B9" i="76"/>
  <c r="E8" i="76"/>
  <c r="B8" i="76"/>
  <c r="E7" i="76"/>
  <c r="B7" i="76"/>
  <c r="G20" i="43"/>
  <c r="I20" i="43"/>
  <c r="C20" i="43"/>
  <c r="I5" i="3"/>
  <c r="K5" i="3"/>
  <c r="AD5" i="3"/>
  <c r="AH5" i="3"/>
  <c r="AL5" i="3"/>
  <c r="AP5" i="3"/>
  <c r="I4" i="6"/>
  <c r="G3" i="43"/>
  <c r="C23" i="43"/>
  <c r="C21" i="43"/>
  <c r="G19" i="43"/>
  <c r="M20" i="43"/>
  <c r="C19" i="43"/>
  <c r="G17" i="43"/>
  <c r="H17" i="43"/>
  <c r="I17" i="43"/>
  <c r="J17" i="43"/>
  <c r="C16" i="43"/>
  <c r="C5" i="43"/>
  <c r="C29" i="43"/>
  <c r="E29" i="43"/>
  <c r="D5" i="43"/>
  <c r="C33" i="43"/>
  <c r="E33" i="43"/>
  <c r="C26" i="43"/>
  <c r="C30" i="43"/>
  <c r="E30" i="43"/>
  <c r="G33" i="43"/>
  <c r="I33" i="43"/>
  <c r="C27" i="43"/>
  <c r="C34" i="43"/>
  <c r="C35" i="43"/>
  <c r="C36" i="43"/>
  <c r="C37" i="43"/>
  <c r="C38" i="43"/>
  <c r="C39" i="43"/>
  <c r="C101" i="43"/>
  <c r="C102" i="43"/>
  <c r="C103" i="43"/>
  <c r="C104" i="43"/>
  <c r="C105" i="43"/>
  <c r="C106" i="43"/>
  <c r="C107" i="43"/>
  <c r="C109" i="43"/>
  <c r="B113" i="43"/>
  <c r="B115" i="43"/>
  <c r="C115" i="43"/>
  <c r="B116" i="43"/>
  <c r="C116" i="43"/>
  <c r="B117" i="43"/>
  <c r="C117" i="43"/>
  <c r="B118" i="43"/>
  <c r="C118" i="43"/>
  <c r="E22" i="43"/>
  <c r="G22" i="43"/>
  <c r="F22" i="43"/>
  <c r="H22" i="43"/>
  <c r="D22" i="43"/>
  <c r="D101" i="43"/>
  <c r="D102" i="43"/>
  <c r="D103" i="43"/>
  <c r="D104" i="43"/>
  <c r="D105" i="43"/>
  <c r="D106" i="43"/>
  <c r="D107" i="43"/>
  <c r="D109" i="43"/>
  <c r="D115" i="43"/>
  <c r="E115" i="43"/>
  <c r="F115" i="43"/>
  <c r="G115" i="43"/>
  <c r="H115" i="43"/>
  <c r="I115" i="43"/>
  <c r="J115" i="43"/>
  <c r="K115" i="43"/>
  <c r="L115" i="43"/>
  <c r="M115" i="43"/>
  <c r="D116" i="43"/>
  <c r="E116" i="43"/>
  <c r="F116" i="43"/>
  <c r="G116" i="43"/>
  <c r="H116" i="43"/>
  <c r="I116" i="43"/>
  <c r="J116" i="43"/>
  <c r="K116" i="43"/>
  <c r="L116" i="43"/>
  <c r="M116" i="43"/>
  <c r="D117" i="43"/>
  <c r="E117" i="43"/>
  <c r="F117" i="43"/>
  <c r="G117" i="43"/>
  <c r="H117" i="43"/>
  <c r="I117" i="43"/>
  <c r="J117" i="43"/>
  <c r="K117" i="43"/>
  <c r="L117" i="43"/>
  <c r="M117" i="43"/>
  <c r="D118" i="43"/>
  <c r="E118" i="43"/>
  <c r="F118" i="43"/>
  <c r="G118" i="43"/>
  <c r="H118" i="43"/>
  <c r="I118" i="43"/>
  <c r="J118" i="43"/>
  <c r="K118" i="43"/>
  <c r="L118" i="43"/>
  <c r="M118" i="43"/>
  <c r="D113" i="43"/>
  <c r="E6" i="76"/>
  <c r="B2" i="43"/>
  <c r="B6" i="76"/>
  <c r="B2" i="76"/>
  <c r="E2" i="76"/>
  <c r="B3" i="76"/>
  <c r="N104" i="46"/>
  <c r="H113" i="43"/>
  <c r="F113" i="43"/>
  <c r="N101" i="43"/>
  <c r="N109" i="43"/>
  <c r="M101" i="43"/>
  <c r="M109" i="43"/>
  <c r="L101" i="43"/>
  <c r="L109" i="43"/>
  <c r="K101" i="43"/>
  <c r="K109" i="43"/>
  <c r="J101" i="43"/>
  <c r="J109" i="43"/>
  <c r="I101" i="43"/>
  <c r="I109" i="43"/>
  <c r="H101" i="43"/>
  <c r="H109" i="43"/>
  <c r="G101" i="43"/>
  <c r="G109" i="43"/>
  <c r="F101" i="43"/>
  <c r="F109" i="43"/>
  <c r="E101" i="43"/>
  <c r="E109" i="43"/>
  <c r="N108" i="43"/>
  <c r="M108" i="43"/>
  <c r="L108" i="43"/>
  <c r="K108" i="43"/>
  <c r="J108" i="43"/>
  <c r="I108" i="43"/>
  <c r="H108" i="43"/>
  <c r="G108" i="43"/>
  <c r="F108" i="43"/>
  <c r="E108" i="43"/>
  <c r="D108" i="43"/>
  <c r="C108" i="43"/>
  <c r="N107" i="43"/>
  <c r="M107" i="43"/>
  <c r="L107" i="43"/>
  <c r="K107" i="43"/>
  <c r="J107" i="43"/>
  <c r="I107" i="43"/>
  <c r="H107" i="43"/>
  <c r="G107" i="43"/>
  <c r="F107" i="43"/>
  <c r="E107" i="43"/>
  <c r="N106" i="43"/>
  <c r="M106" i="43"/>
  <c r="L106" i="43"/>
  <c r="K106" i="43"/>
  <c r="J106" i="43"/>
  <c r="I106" i="43"/>
  <c r="H106" i="43"/>
  <c r="G106" i="43"/>
  <c r="F106" i="43"/>
  <c r="E106" i="43"/>
  <c r="N105" i="43"/>
  <c r="M105" i="43"/>
  <c r="L105" i="43"/>
  <c r="K105" i="43"/>
  <c r="J105" i="43"/>
  <c r="I105" i="43"/>
  <c r="H105" i="43"/>
  <c r="G105" i="43"/>
  <c r="F105" i="43"/>
  <c r="E105" i="43"/>
  <c r="N104" i="43"/>
  <c r="M104" i="43"/>
  <c r="L104" i="43"/>
  <c r="K104" i="43"/>
  <c r="J104" i="43"/>
  <c r="I104" i="43"/>
  <c r="H104" i="43"/>
  <c r="G104" i="43"/>
  <c r="F104" i="43"/>
  <c r="E104" i="43"/>
  <c r="N103" i="43"/>
  <c r="M103" i="43"/>
  <c r="L103" i="43"/>
  <c r="K103" i="43"/>
  <c r="J103" i="43"/>
  <c r="I103" i="43"/>
  <c r="H103" i="43"/>
  <c r="G103" i="43"/>
  <c r="F103" i="43"/>
  <c r="E103" i="43"/>
  <c r="N102" i="43"/>
  <c r="M102" i="43"/>
  <c r="L102" i="43"/>
  <c r="K102" i="43"/>
  <c r="J102" i="43"/>
  <c r="I102" i="43"/>
  <c r="H102" i="43"/>
  <c r="G102" i="43"/>
  <c r="F102" i="43"/>
  <c r="E102" i="43"/>
  <c r="N100" i="43"/>
  <c r="M100" i="43"/>
  <c r="L100" i="43"/>
  <c r="K100" i="43"/>
  <c r="J100" i="43"/>
  <c r="I100" i="43"/>
  <c r="H100" i="43"/>
  <c r="G100" i="43"/>
  <c r="F100" i="43"/>
  <c r="E100" i="43"/>
  <c r="D100" i="43"/>
  <c r="C100" i="43"/>
  <c r="N99" i="43"/>
  <c r="M99" i="43"/>
  <c r="L99" i="43"/>
  <c r="K99" i="43"/>
  <c r="J99" i="43"/>
  <c r="I99" i="43"/>
  <c r="H99" i="43"/>
  <c r="G99" i="43"/>
  <c r="F99" i="43"/>
  <c r="E99" i="43"/>
  <c r="D99" i="43"/>
  <c r="C99" i="43"/>
  <c r="N88" i="43"/>
  <c r="M88" i="43"/>
  <c r="K88" i="43"/>
  <c r="J88" i="43"/>
  <c r="H88" i="43"/>
  <c r="D88" i="43"/>
  <c r="B88" i="43"/>
  <c r="N87" i="43"/>
  <c r="M87" i="43"/>
  <c r="K87" i="43"/>
  <c r="J87" i="43"/>
  <c r="H87" i="43"/>
  <c r="D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D83" i="43"/>
  <c r="B83" i="43"/>
  <c r="N82" i="43"/>
  <c r="M82" i="43"/>
  <c r="K82" i="43"/>
  <c r="J82" i="43"/>
  <c r="H82" i="43"/>
  <c r="D82" i="43"/>
  <c r="B82" i="43"/>
  <c r="N81" i="43"/>
  <c r="M81" i="43"/>
  <c r="K81" i="43"/>
  <c r="J81" i="43"/>
  <c r="H81" i="43"/>
  <c r="F81" i="43"/>
  <c r="E81" i="43"/>
  <c r="D81" i="43"/>
  <c r="B81" i="43"/>
  <c r="B79" i="43"/>
  <c r="N78" i="43"/>
  <c r="M78" i="43"/>
  <c r="K78" i="43"/>
  <c r="J78" i="43"/>
  <c r="H78" i="43"/>
  <c r="D78" i="43"/>
  <c r="N77" i="43"/>
  <c r="M77" i="43"/>
  <c r="K77" i="43"/>
  <c r="J77" i="43"/>
  <c r="H77" i="43"/>
  <c r="D77" i="43"/>
  <c r="B77" i="43"/>
  <c r="N76" i="43"/>
  <c r="M76" i="43"/>
  <c r="K76" i="43"/>
  <c r="J76" i="43"/>
  <c r="H76" i="43"/>
  <c r="D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D72" i="43"/>
  <c r="B72" i="43"/>
  <c r="N71" i="43"/>
  <c r="M71" i="43"/>
  <c r="K71" i="43"/>
  <c r="J71" i="43"/>
  <c r="H71" i="43"/>
  <c r="D71" i="43"/>
  <c r="B71" i="43"/>
  <c r="N70" i="43"/>
  <c r="M70" i="43"/>
  <c r="K70" i="43"/>
  <c r="J70" i="43"/>
  <c r="H70" i="43"/>
  <c r="F70" i="43"/>
  <c r="E70" i="43"/>
  <c r="D70" i="43"/>
  <c r="B70" i="43"/>
  <c r="B68" i="43"/>
  <c r="N67" i="43"/>
  <c r="M67" i="43"/>
  <c r="K67" i="43"/>
  <c r="J67" i="43"/>
  <c r="H67" i="43"/>
  <c r="D67" i="43"/>
  <c r="B67" i="43"/>
  <c r="N66" i="43"/>
  <c r="M66" i="43"/>
  <c r="K66" i="43"/>
  <c r="J66" i="43"/>
  <c r="H66" i="43"/>
  <c r="D66" i="43"/>
  <c r="B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N61" i="43"/>
  <c r="M61" i="43"/>
  <c r="K61" i="43"/>
  <c r="J61" i="43"/>
  <c r="H61" i="43"/>
  <c r="D61" i="43"/>
  <c r="B61" i="43"/>
  <c r="N60" i="43"/>
  <c r="M60" i="43"/>
  <c r="K60" i="43"/>
  <c r="J60" i="43"/>
  <c r="H60" i="43"/>
  <c r="D60" i="43"/>
  <c r="B60" i="43"/>
  <c r="N59" i="43"/>
  <c r="M59" i="43"/>
  <c r="K59" i="43"/>
  <c r="J59" i="43"/>
  <c r="H59" i="43"/>
  <c r="F59" i="43"/>
  <c r="E59" i="43"/>
  <c r="D59" i="43"/>
  <c r="B59" i="43"/>
  <c r="B57" i="43"/>
  <c r="N56" i="43"/>
  <c r="M56" i="43"/>
  <c r="K56" i="43"/>
  <c r="J56" i="43"/>
  <c r="H56" i="43"/>
  <c r="D56" i="43"/>
  <c r="B56" i="43"/>
  <c r="N55" i="43"/>
  <c r="M55" i="43"/>
  <c r="K55" i="43"/>
  <c r="J55" i="43"/>
  <c r="H55" i="43"/>
  <c r="D55" i="43"/>
  <c r="B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N50" i="43"/>
  <c r="M50" i="43"/>
  <c r="K50" i="43"/>
  <c r="J50" i="43"/>
  <c r="H50" i="43"/>
  <c r="D50" i="43"/>
  <c r="B50" i="43"/>
  <c r="N49" i="43"/>
  <c r="M49" i="43"/>
  <c r="K49" i="43"/>
  <c r="J49" i="43"/>
  <c r="H49" i="43"/>
  <c r="D49" i="43"/>
  <c r="B49" i="43"/>
  <c r="N48" i="43"/>
  <c r="M48" i="43"/>
  <c r="K48" i="43"/>
  <c r="J48" i="43"/>
  <c r="H48" i="43"/>
  <c r="F48" i="43"/>
  <c r="E48" i="43"/>
  <c r="D48" i="43"/>
  <c r="B48" i="43"/>
  <c r="B46" i="43"/>
  <c r="G39" i="43"/>
  <c r="I39" i="43"/>
  <c r="H39" i="43"/>
  <c r="F39" i="43"/>
  <c r="E39" i="43"/>
  <c r="G38" i="43"/>
  <c r="I38" i="43"/>
  <c r="H38" i="43"/>
  <c r="F38" i="43"/>
  <c r="E38" i="43"/>
  <c r="G37" i="43"/>
  <c r="I37" i="43"/>
  <c r="H37" i="43"/>
  <c r="F37" i="43"/>
  <c r="E37" i="43"/>
  <c r="G36" i="43"/>
  <c r="I36" i="43"/>
  <c r="H36" i="43"/>
  <c r="F36" i="43"/>
  <c r="E36" i="43"/>
  <c r="G35" i="43"/>
  <c r="I35" i="43"/>
  <c r="H35" i="43"/>
  <c r="F35" i="43"/>
  <c r="E35" i="43"/>
  <c r="G34" i="43"/>
  <c r="I34" i="43"/>
  <c r="H34" i="43"/>
  <c r="F34" i="43"/>
  <c r="E34" i="43"/>
  <c r="H33" i="43"/>
  <c r="F33" i="43"/>
  <c r="P25" i="43"/>
  <c r="P24" i="43"/>
  <c r="C24" i="43"/>
  <c r="P23" i="43"/>
  <c r="P22" i="43"/>
  <c r="J22" i="43"/>
  <c r="P21" i="43"/>
  <c r="J20" i="43"/>
  <c r="E20" i="43"/>
  <c r="O19" i="43"/>
  <c r="M19" i="43"/>
  <c r="I19" i="43"/>
  <c r="C18" i="43"/>
  <c r="P17" i="43"/>
  <c r="O17" i="43"/>
  <c r="N17" i="43"/>
  <c r="M17" i="43"/>
  <c r="E17" i="43"/>
  <c r="C17" i="43"/>
  <c r="T16" i="43"/>
  <c r="V16" i="43"/>
  <c r="T15" i="43"/>
  <c r="V15" i="43"/>
  <c r="F15" i="43"/>
  <c r="E15" i="43"/>
  <c r="D15" i="43"/>
  <c r="C15" i="43"/>
  <c r="T14" i="43"/>
  <c r="V14" i="43"/>
  <c r="AJ11" i="43"/>
  <c r="AJ13" i="43"/>
  <c r="AI11" i="43"/>
  <c r="AI13" i="43"/>
  <c r="AH11" i="43"/>
  <c r="AH13" i="43"/>
  <c r="AG11" i="43"/>
  <c r="AG13" i="43"/>
  <c r="AF11" i="43"/>
  <c r="AF13" i="43"/>
  <c r="AE11" i="43"/>
  <c r="AE13" i="43"/>
  <c r="AD11" i="43"/>
  <c r="AD13" i="43"/>
  <c r="AC11" i="43"/>
  <c r="AC13" i="43"/>
  <c r="AB11" i="43"/>
  <c r="AB13" i="43"/>
  <c r="AA11" i="43"/>
  <c r="AA13" i="43"/>
  <c r="Z11" i="43"/>
  <c r="Z13" i="43"/>
  <c r="Y11" i="43"/>
  <c r="Y13" i="43"/>
  <c r="T13" i="43"/>
  <c r="V13" i="43"/>
  <c r="AJ12" i="43"/>
  <c r="AI12" i="43"/>
  <c r="AH12" i="43"/>
  <c r="AG12" i="43"/>
  <c r="AF12" i="43"/>
  <c r="AE12" i="43"/>
  <c r="AD12" i="43"/>
  <c r="AC12" i="43"/>
  <c r="AB12" i="43"/>
  <c r="AA12" i="43"/>
  <c r="Z12" i="43"/>
  <c r="Y12" i="43"/>
  <c r="T12" i="43"/>
  <c r="V12" i="43"/>
  <c r="N12" i="43"/>
  <c r="M12" i="43"/>
  <c r="C12" i="43"/>
  <c r="T11" i="43"/>
  <c r="V11" i="43"/>
  <c r="N11" i="43"/>
  <c r="M11" i="43"/>
  <c r="E11" i="43"/>
  <c r="C11" i="43"/>
  <c r="AJ10" i="43"/>
  <c r="AI10" i="43"/>
  <c r="AH10" i="43"/>
  <c r="AG10" i="43"/>
  <c r="AF10" i="43"/>
  <c r="AE10" i="43"/>
  <c r="AD10" i="43"/>
  <c r="AC10" i="43"/>
  <c r="AB10" i="43"/>
  <c r="AA10" i="43"/>
  <c r="Z10" i="43"/>
  <c r="Y10" i="43"/>
  <c r="T10" i="43"/>
  <c r="V10" i="43"/>
  <c r="N10" i="43"/>
  <c r="M10" i="43"/>
  <c r="E10" i="43"/>
  <c r="C10" i="43"/>
  <c r="AJ9" i="43"/>
  <c r="AI9" i="43"/>
  <c r="AH9" i="43"/>
  <c r="AG9" i="43"/>
  <c r="AF9" i="43"/>
  <c r="AE9" i="43"/>
  <c r="AD9" i="43"/>
  <c r="AC9" i="43"/>
  <c r="AB9" i="43"/>
  <c r="AA9" i="43"/>
  <c r="Z9" i="43"/>
  <c r="T9" i="43"/>
  <c r="V9" i="43"/>
  <c r="N9" i="43"/>
  <c r="M9" i="43"/>
  <c r="E9" i="43"/>
  <c r="C9" i="43"/>
  <c r="T8" i="43"/>
  <c r="V8" i="43"/>
  <c r="N8" i="43"/>
  <c r="M8" i="43"/>
  <c r="E8" i="43"/>
  <c r="Z7" i="43"/>
  <c r="X7" i="43"/>
  <c r="S7" i="43"/>
  <c r="T7" i="43"/>
  <c r="V7" i="43"/>
  <c r="N7" i="43"/>
  <c r="M7" i="43"/>
  <c r="C7" i="43"/>
  <c r="A7" i="43"/>
  <c r="S6" i="43"/>
  <c r="T6" i="43"/>
  <c r="V6" i="43"/>
  <c r="N6" i="43"/>
  <c r="M6" i="43"/>
  <c r="C6" i="43"/>
  <c r="S5" i="43"/>
  <c r="T5" i="43"/>
  <c r="V5" i="43"/>
  <c r="N5" i="43"/>
  <c r="M5" i="43"/>
  <c r="S4" i="43"/>
  <c r="T4" i="43"/>
  <c r="V4" i="43"/>
  <c r="N4" i="43"/>
  <c r="M4" i="43"/>
  <c r="S3" i="43"/>
  <c r="T3" i="43"/>
  <c r="V3" i="43"/>
  <c r="N3" i="43"/>
  <c r="M3" i="43"/>
  <c r="B3" i="43"/>
  <c r="S2" i="43"/>
  <c r="T2" i="43"/>
  <c r="V2" i="43"/>
  <c r="N2" i="43"/>
  <c r="M2" i="43"/>
  <c r="I2" i="43"/>
  <c r="G2" i="43"/>
  <c r="N1" i="43"/>
  <c r="M1" i="43"/>
  <c r="D1" i="43"/>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C7" i="40"/>
  <c r="C63" i="40"/>
  <c r="D63" i="40"/>
  <c r="E63" i="40"/>
  <c r="F63" i="40"/>
  <c r="G63" i="40"/>
  <c r="H63" i="40"/>
  <c r="I63" i="40"/>
  <c r="J63" i="40"/>
  <c r="K63" i="40"/>
  <c r="L63" i="40"/>
  <c r="M63" i="40"/>
  <c r="N63" i="40"/>
  <c r="O63" i="40"/>
  <c r="O65" i="40"/>
  <c r="N65" i="40"/>
  <c r="M65" i="40"/>
  <c r="L65" i="40"/>
  <c r="K65" i="40"/>
  <c r="J65" i="40"/>
  <c r="I65" i="40"/>
  <c r="H65" i="40"/>
  <c r="G65" i="40"/>
  <c r="F65" i="40"/>
  <c r="E65" i="40"/>
  <c r="D65" i="40"/>
  <c r="C65" i="40"/>
  <c r="F7" i="40"/>
  <c r="AA7" i="40"/>
  <c r="R42" i="40"/>
  <c r="R43" i="40"/>
  <c r="C43" i="40"/>
  <c r="H13" i="3"/>
  <c r="G13" i="3"/>
  <c r="H14" i="3"/>
  <c r="G14" i="3"/>
  <c r="H15" i="3"/>
  <c r="G15" i="3"/>
  <c r="H16" i="3"/>
  <c r="G16" i="3"/>
  <c r="H17" i="3"/>
  <c r="G17" i="3"/>
  <c r="H19" i="3"/>
  <c r="G19" i="3"/>
  <c r="H20" i="3"/>
  <c r="G20" i="3"/>
  <c r="H21" i="3"/>
  <c r="G21" i="3"/>
  <c r="H22" i="3"/>
  <c r="G22" i="3"/>
  <c r="H23" i="3"/>
  <c r="G23" i="3"/>
  <c r="H24" i="3"/>
  <c r="G24" i="3"/>
  <c r="H25" i="3"/>
  <c r="G25" i="3"/>
  <c r="H26" i="3"/>
  <c r="G26" i="3"/>
  <c r="H27" i="3"/>
  <c r="G27" i="3"/>
  <c r="H28" i="3"/>
  <c r="G28" i="3"/>
  <c r="H29" i="3"/>
  <c r="G29" i="3"/>
  <c r="H30" i="3"/>
  <c r="G30" i="3"/>
  <c r="H31" i="3"/>
  <c r="G31" i="3"/>
  <c r="H32" i="3"/>
  <c r="G32" i="3"/>
  <c r="H34" i="3"/>
  <c r="G34" i="3"/>
  <c r="H35" i="3"/>
  <c r="G35" i="3"/>
  <c r="H36" i="3"/>
  <c r="G36" i="3"/>
  <c r="H37" i="3"/>
  <c r="G37" i="3"/>
  <c r="H38" i="3"/>
  <c r="G38" i="3"/>
  <c r="H39" i="3"/>
  <c r="G39" i="3"/>
  <c r="H40" i="3"/>
  <c r="G40" i="3"/>
  <c r="H41" i="3"/>
  <c r="G41" i="3"/>
  <c r="H33" i="3"/>
  <c r="G33" i="3"/>
  <c r="H42" i="3"/>
  <c r="G42" i="3"/>
  <c r="H43" i="3"/>
  <c r="G43" i="3"/>
  <c r="H44" i="3"/>
  <c r="G44" i="3"/>
  <c r="H45" i="3"/>
  <c r="G45" i="3"/>
  <c r="H46" i="3"/>
  <c r="G46" i="3"/>
  <c r="H47" i="3"/>
  <c r="G47" i="3"/>
  <c r="H48" i="3"/>
  <c r="G48" i="3"/>
  <c r="H49" i="3"/>
  <c r="G49" i="3"/>
  <c r="H50" i="3"/>
  <c r="G50" i="3"/>
  <c r="H51" i="3"/>
  <c r="G51" i="3"/>
  <c r="H52" i="3"/>
  <c r="G52" i="3"/>
  <c r="H53" i="3"/>
  <c r="G53" i="3"/>
  <c r="H54" i="3"/>
  <c r="G54" i="3"/>
  <c r="H55" i="3"/>
  <c r="G55" i="3"/>
  <c r="H56" i="3"/>
  <c r="G56" i="3"/>
  <c r="H57" i="3"/>
  <c r="G57" i="3"/>
  <c r="H58" i="3"/>
  <c r="G58" i="3"/>
  <c r="H59" i="3"/>
  <c r="G59" i="3"/>
  <c r="H60" i="3"/>
  <c r="G60" i="3"/>
  <c r="H61" i="3"/>
  <c r="G61" i="3"/>
  <c r="H62" i="3"/>
  <c r="G62" i="3"/>
  <c r="H63" i="3"/>
  <c r="G63" i="3"/>
  <c r="H64" i="3"/>
  <c r="G64" i="3"/>
  <c r="H65" i="3"/>
  <c r="G65" i="3"/>
  <c r="H66" i="3"/>
  <c r="G66" i="3"/>
  <c r="H67" i="3"/>
  <c r="G67" i="3"/>
  <c r="H68" i="3"/>
  <c r="G68" i="3"/>
  <c r="H69" i="3"/>
  <c r="G69" i="3"/>
  <c r="H70" i="3"/>
  <c r="G70" i="3"/>
  <c r="H71" i="3"/>
  <c r="G71" i="3"/>
  <c r="H72" i="3"/>
  <c r="G72" i="3"/>
  <c r="H73" i="3"/>
  <c r="G73" i="3"/>
  <c r="H74" i="3"/>
  <c r="G74" i="3"/>
  <c r="H75" i="3"/>
  <c r="G75" i="3"/>
  <c r="H76" i="3"/>
  <c r="G76" i="3"/>
  <c r="H77" i="3"/>
  <c r="G77" i="3"/>
  <c r="H78" i="3"/>
  <c r="G78" i="3"/>
  <c r="H79" i="3"/>
  <c r="G79" i="3"/>
  <c r="H80" i="3"/>
  <c r="G80" i="3"/>
  <c r="H81" i="3"/>
  <c r="G81" i="3"/>
  <c r="H82" i="3"/>
  <c r="G82" i="3"/>
  <c r="H83" i="3"/>
  <c r="G83" i="3"/>
  <c r="H84" i="3"/>
  <c r="G84" i="3"/>
  <c r="H85" i="3"/>
  <c r="G85" i="3"/>
  <c r="H86" i="3"/>
  <c r="G86" i="3"/>
  <c r="H87" i="3"/>
  <c r="G87" i="3"/>
  <c r="H88" i="3"/>
  <c r="G88" i="3"/>
  <c r="H89" i="3"/>
  <c r="G89" i="3"/>
  <c r="H90" i="3"/>
  <c r="G90" i="3"/>
  <c r="H91" i="3"/>
  <c r="G91" i="3"/>
  <c r="H92" i="3"/>
  <c r="G92" i="3"/>
  <c r="H93" i="3"/>
  <c r="G93" i="3"/>
  <c r="H94" i="3"/>
  <c r="G94" i="3"/>
  <c r="H95" i="3"/>
  <c r="G95" i="3"/>
  <c r="H96" i="3"/>
  <c r="G96" i="3"/>
  <c r="H97" i="3"/>
  <c r="G97" i="3"/>
  <c r="H98" i="3"/>
  <c r="G98" i="3"/>
  <c r="H99" i="3"/>
  <c r="G99" i="3"/>
  <c r="H100" i="3"/>
  <c r="G100" i="3"/>
  <c r="H101" i="3"/>
  <c r="G101" i="3"/>
  <c r="H102" i="3"/>
  <c r="G102" i="3"/>
  <c r="H103" i="3"/>
  <c r="G103" i="3"/>
  <c r="H104" i="3"/>
  <c r="G104" i="3"/>
  <c r="H105" i="3"/>
  <c r="G105" i="3"/>
  <c r="H106" i="3"/>
  <c r="G106" i="3"/>
  <c r="H107" i="3"/>
  <c r="G107" i="3"/>
  <c r="H108" i="3"/>
  <c r="G108" i="3"/>
  <c r="H109" i="3"/>
  <c r="G109" i="3"/>
  <c r="AT5" i="3"/>
  <c r="I60" i="40"/>
  <c r="H60" i="40"/>
  <c r="B60" i="40"/>
  <c r="BB10" i="3"/>
  <c r="BB5" i="3"/>
  <c r="BC5" i="3"/>
  <c r="BC10" i="3"/>
  <c r="BD5" i="3"/>
  <c r="BE5" i="3"/>
  <c r="BF5" i="3"/>
  <c r="BG5" i="3"/>
  <c r="BH5" i="3"/>
  <c r="BI5" i="3"/>
  <c r="BJ5" i="3"/>
  <c r="BK5" i="3"/>
  <c r="E15" i="6"/>
  <c r="E60" i="40"/>
  <c r="F60" i="40"/>
  <c r="C60" i="40"/>
  <c r="I59" i="40"/>
  <c r="H59" i="40"/>
  <c r="B59" i="40"/>
  <c r="E14" i="6"/>
  <c r="E59" i="40"/>
  <c r="F59" i="40"/>
  <c r="C59" i="40"/>
  <c r="I58" i="40"/>
  <c r="H58" i="40"/>
  <c r="B58" i="40"/>
  <c r="E13" i="6"/>
  <c r="E58" i="40"/>
  <c r="F58" i="40"/>
  <c r="C58" i="40"/>
  <c r="I57" i="40"/>
  <c r="H57" i="40"/>
  <c r="B57" i="40"/>
  <c r="E12" i="6"/>
  <c r="E57" i="40"/>
  <c r="F57" i="40"/>
  <c r="C57" i="40"/>
  <c r="I56" i="40"/>
  <c r="H56" i="40"/>
  <c r="B56" i="40"/>
  <c r="BP5" i="3"/>
  <c r="E11" i="6"/>
  <c r="E56" i="40"/>
  <c r="F56" i="40"/>
  <c r="C56" i="40"/>
  <c r="I55" i="40"/>
  <c r="H55" i="40"/>
  <c r="B55" i="40"/>
  <c r="F55" i="40"/>
  <c r="C55" i="40"/>
  <c r="I54" i="40"/>
  <c r="H54" i="40"/>
  <c r="B54" i="40"/>
  <c r="F54" i="40"/>
  <c r="C54" i="40"/>
  <c r="I53" i="40"/>
  <c r="H53" i="40"/>
  <c r="B53" i="40"/>
  <c r="F53" i="40"/>
  <c r="C53" i="40"/>
  <c r="I52" i="40"/>
  <c r="H52" i="40"/>
  <c r="B52" i="40"/>
  <c r="F52" i="40"/>
  <c r="C52" i="40"/>
  <c r="B51" i="40"/>
  <c r="E51" i="40"/>
  <c r="F51" i="40"/>
  <c r="F35" i="4"/>
  <c r="J50" i="40"/>
  <c r="J48" i="40"/>
  <c r="I48" i="40"/>
  <c r="H48" i="40"/>
  <c r="G48" i="40"/>
  <c r="F48" i="40"/>
  <c r="E48" i="40"/>
  <c r="J7" i="40"/>
  <c r="AC7" i="40"/>
  <c r="V42" i="40"/>
  <c r="I42" i="40"/>
  <c r="E42" i="40"/>
  <c r="I47" i="40"/>
  <c r="J47" i="40"/>
  <c r="H7" i="40"/>
  <c r="AB7" i="40"/>
  <c r="T42" i="40"/>
  <c r="G42" i="40"/>
  <c r="G47" i="40"/>
  <c r="H47" i="40"/>
  <c r="E47" i="40"/>
  <c r="F47" i="40"/>
  <c r="I46" i="40"/>
  <c r="J46" i="40"/>
  <c r="G46" i="40"/>
  <c r="H46" i="40"/>
  <c r="E46" i="40"/>
  <c r="F46" i="40"/>
  <c r="P43" i="40"/>
  <c r="P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W7" i="40"/>
  <c r="U7" i="40"/>
  <c r="S7" i="40"/>
  <c r="V130" i="77"/>
  <c r="U130" i="77"/>
  <c r="S130" i="77"/>
  <c r="R130" i="77"/>
  <c r="Q130" i="77"/>
  <c r="P130" i="77"/>
  <c r="O130" i="77"/>
  <c r="N130" i="77"/>
  <c r="M130" i="77"/>
  <c r="L130" i="77"/>
  <c r="K130" i="77"/>
  <c r="I130" i="77"/>
  <c r="H130" i="77"/>
  <c r="G130" i="77"/>
  <c r="F130" i="77"/>
  <c r="E130" i="77"/>
  <c r="V129" i="77"/>
  <c r="U129" i="77"/>
  <c r="S129" i="77"/>
  <c r="R129" i="77"/>
  <c r="I129" i="77"/>
  <c r="H129" i="77"/>
  <c r="F129" i="77"/>
  <c r="E129" i="77"/>
  <c r="V128" i="77"/>
  <c r="U128" i="77"/>
  <c r="T128" i="77"/>
  <c r="I128" i="77"/>
  <c r="H128" i="77"/>
  <c r="F128" i="77"/>
  <c r="E128" i="77"/>
  <c r="V127" i="77"/>
  <c r="U127" i="77"/>
  <c r="T127" i="77"/>
  <c r="V126" i="77"/>
  <c r="U126" i="77"/>
  <c r="T126" i="77"/>
  <c r="V125" i="77"/>
  <c r="U125" i="77"/>
  <c r="T125" i="77"/>
  <c r="I125" i="77"/>
  <c r="H125" i="77"/>
  <c r="F125" i="77"/>
  <c r="E125" i="77"/>
  <c r="V124" i="77"/>
  <c r="U124" i="77"/>
  <c r="T124" i="77"/>
  <c r="V123" i="77"/>
  <c r="U123" i="77"/>
  <c r="T123" i="77"/>
  <c r="V122" i="77"/>
  <c r="U122" i="77"/>
  <c r="T122" i="77"/>
  <c r="S122" i="77"/>
  <c r="R122" i="77"/>
  <c r="I122" i="77"/>
  <c r="H122" i="77"/>
  <c r="F122" i="77"/>
  <c r="E122" i="77"/>
  <c r="V121" i="77"/>
  <c r="U121" i="77"/>
  <c r="T121" i="77"/>
  <c r="S121" i="77"/>
  <c r="V120" i="77"/>
  <c r="U120" i="77"/>
  <c r="T120" i="77"/>
  <c r="S120" i="77"/>
  <c r="V119" i="77"/>
  <c r="U119" i="77"/>
  <c r="T119" i="77"/>
  <c r="S119" i="77"/>
  <c r="R119" i="77"/>
  <c r="I119" i="77"/>
  <c r="H119" i="77"/>
  <c r="F119" i="77"/>
  <c r="E119" i="77"/>
  <c r="V118" i="77"/>
  <c r="U118" i="77"/>
  <c r="T118" i="77"/>
  <c r="S118" i="77"/>
  <c r="F118" i="77"/>
  <c r="V117" i="77"/>
  <c r="U117" i="77"/>
  <c r="T117" i="77"/>
  <c r="S117" i="77"/>
  <c r="V116" i="77"/>
  <c r="U116" i="77"/>
  <c r="T116" i="77"/>
  <c r="S116" i="77"/>
  <c r="R116" i="77"/>
  <c r="I116" i="77"/>
  <c r="H116" i="77"/>
  <c r="F116" i="77"/>
  <c r="E116" i="77"/>
  <c r="V115" i="77"/>
  <c r="U115" i="77"/>
  <c r="T115" i="77"/>
  <c r="I115" i="77"/>
  <c r="H115" i="77"/>
  <c r="F115" i="77"/>
  <c r="E115" i="77"/>
  <c r="V114" i="77"/>
  <c r="U114" i="77"/>
  <c r="T114" i="77"/>
  <c r="V113" i="77"/>
  <c r="U113" i="77"/>
  <c r="T113" i="77"/>
  <c r="V112" i="77"/>
  <c r="U112" i="77"/>
  <c r="T112" i="77"/>
  <c r="V111" i="77"/>
  <c r="U111" i="77"/>
  <c r="T111" i="77"/>
  <c r="V110" i="77"/>
  <c r="U110" i="77"/>
  <c r="T110" i="77"/>
  <c r="I110" i="77"/>
  <c r="H110" i="77"/>
  <c r="F110" i="77"/>
  <c r="E110" i="77"/>
  <c r="V109" i="77"/>
  <c r="U109" i="77"/>
  <c r="T109" i="77"/>
  <c r="V108" i="77"/>
  <c r="U108" i="77"/>
  <c r="T108" i="77"/>
  <c r="V107" i="77"/>
  <c r="U107" i="77"/>
  <c r="T107" i="77"/>
  <c r="V106" i="77"/>
  <c r="U106" i="77"/>
  <c r="T106" i="77"/>
  <c r="V105" i="77"/>
  <c r="U105" i="77"/>
  <c r="T105" i="77"/>
  <c r="I105" i="77"/>
  <c r="H105" i="77"/>
  <c r="F105" i="77"/>
  <c r="E105" i="77"/>
  <c r="V104" i="77"/>
  <c r="U104" i="77"/>
  <c r="T104" i="77"/>
  <c r="V103" i="77"/>
  <c r="U103" i="77"/>
  <c r="T103" i="77"/>
  <c r="V102" i="77"/>
  <c r="U102" i="77"/>
  <c r="T102" i="77"/>
  <c r="V101" i="77"/>
  <c r="U101" i="77"/>
  <c r="T101" i="77"/>
  <c r="V100" i="77"/>
  <c r="U100" i="77"/>
  <c r="T100" i="77"/>
  <c r="S100" i="77"/>
  <c r="R100" i="77"/>
  <c r="I100" i="77"/>
  <c r="H100" i="77"/>
  <c r="F100" i="77"/>
  <c r="E100" i="77"/>
  <c r="V99" i="77"/>
  <c r="U99" i="77"/>
  <c r="T99" i="77"/>
  <c r="V98" i="77"/>
  <c r="U98" i="77"/>
  <c r="T98" i="77"/>
  <c r="S98" i="77"/>
  <c r="V97" i="77"/>
  <c r="U97" i="77"/>
  <c r="T97" i="77"/>
  <c r="S97" i="77"/>
  <c r="V96" i="77"/>
  <c r="U96" i="77"/>
  <c r="T96" i="77"/>
  <c r="S96" i="77"/>
  <c r="V95" i="77"/>
  <c r="U95" i="77"/>
  <c r="T95" i="77"/>
  <c r="S95" i="77"/>
  <c r="R95" i="77"/>
  <c r="I95" i="77"/>
  <c r="H95" i="77"/>
  <c r="F95" i="77"/>
  <c r="E95" i="77"/>
  <c r="V94" i="77"/>
  <c r="U94" i="77"/>
  <c r="T94" i="77"/>
  <c r="S94" i="77"/>
  <c r="R94" i="77"/>
  <c r="I94" i="77"/>
  <c r="H94" i="77"/>
  <c r="F94" i="77"/>
  <c r="E94" i="77"/>
  <c r="Z93" i="77"/>
  <c r="Y93" i="77"/>
  <c r="V93" i="77"/>
  <c r="U93" i="77"/>
  <c r="T93" i="77"/>
  <c r="S93" i="77"/>
  <c r="Z92" i="77"/>
  <c r="Y92" i="77"/>
  <c r="V92" i="77"/>
  <c r="U92" i="77"/>
  <c r="T92" i="77"/>
  <c r="Z91" i="77"/>
  <c r="Y91" i="77"/>
  <c r="V91" i="77"/>
  <c r="U91" i="77"/>
  <c r="T91" i="77"/>
  <c r="S91" i="77"/>
  <c r="Z90" i="77"/>
  <c r="Y90" i="77"/>
  <c r="V90" i="77"/>
  <c r="U90" i="77"/>
  <c r="T90" i="77"/>
  <c r="V89" i="77"/>
  <c r="U89" i="77"/>
  <c r="T89" i="77"/>
  <c r="S89" i="77"/>
  <c r="R89" i="77"/>
  <c r="I89" i="77"/>
  <c r="H89" i="77"/>
  <c r="F89" i="77"/>
  <c r="E89" i="77"/>
  <c r="Z88" i="77"/>
  <c r="Y88" i="77"/>
  <c r="V88" i="77"/>
  <c r="U88" i="77"/>
  <c r="T88" i="77"/>
  <c r="S88" i="77"/>
  <c r="Z87" i="77"/>
  <c r="Y87" i="77"/>
  <c r="V87" i="77"/>
  <c r="U87" i="77"/>
  <c r="T87" i="77"/>
  <c r="Z86" i="77"/>
  <c r="Y86" i="77"/>
  <c r="V86" i="77"/>
  <c r="U86" i="77"/>
  <c r="T86" i="77"/>
  <c r="S86" i="77"/>
  <c r="Z85" i="77"/>
  <c r="Y85" i="77"/>
  <c r="V85" i="77"/>
  <c r="U85" i="77"/>
  <c r="T85" i="77"/>
  <c r="Z84" i="77"/>
  <c r="Y84" i="77"/>
  <c r="V84" i="77"/>
  <c r="U84" i="77"/>
  <c r="T84" i="77"/>
  <c r="S84" i="77"/>
  <c r="R84" i="77"/>
  <c r="I84" i="77"/>
  <c r="H84" i="77"/>
  <c r="F84" i="77"/>
  <c r="E84" i="77"/>
  <c r="Z83" i="77"/>
  <c r="Y83" i="77"/>
  <c r="V83" i="77"/>
  <c r="U83" i="77"/>
  <c r="T83" i="77"/>
  <c r="S83" i="77"/>
  <c r="Z82" i="77"/>
  <c r="Y82" i="77"/>
  <c r="V82" i="77"/>
  <c r="U82" i="77"/>
  <c r="T82" i="77"/>
  <c r="S82" i="77"/>
  <c r="Z81" i="77"/>
  <c r="Y81" i="77"/>
  <c r="V81" i="77"/>
  <c r="U81" i="77"/>
  <c r="T81" i="77"/>
  <c r="S81" i="77"/>
  <c r="Z80" i="77"/>
  <c r="Y80" i="77"/>
  <c r="V80" i="77"/>
  <c r="U80" i="77"/>
  <c r="T80" i="77"/>
  <c r="S80" i="77"/>
  <c r="Z79" i="77"/>
  <c r="Y79" i="77"/>
  <c r="V79" i="77"/>
  <c r="U79" i="77"/>
  <c r="T79" i="77"/>
  <c r="S79" i="77"/>
  <c r="R79" i="77"/>
  <c r="I79" i="77"/>
  <c r="H79" i="77"/>
  <c r="F79" i="77"/>
  <c r="E79" i="77"/>
  <c r="Z78" i="77"/>
  <c r="Y78" i="77"/>
  <c r="V78" i="77"/>
  <c r="U78" i="77"/>
  <c r="T78" i="77"/>
  <c r="S78" i="77"/>
  <c r="Z77" i="77"/>
  <c r="Y77" i="77"/>
  <c r="V77" i="77"/>
  <c r="U77" i="77"/>
  <c r="T77" i="77"/>
  <c r="S77" i="77"/>
  <c r="Z76" i="77"/>
  <c r="Y76" i="77"/>
  <c r="V76" i="77"/>
  <c r="U76" i="77"/>
  <c r="T76" i="77"/>
  <c r="S76" i="77"/>
  <c r="Z75" i="77"/>
  <c r="Y75" i="77"/>
  <c r="V75" i="77"/>
  <c r="U75" i="77"/>
  <c r="T75" i="77"/>
  <c r="S75" i="77"/>
  <c r="V74" i="77"/>
  <c r="U74" i="77"/>
  <c r="T74" i="77"/>
  <c r="S74" i="77"/>
  <c r="R74" i="77"/>
  <c r="L74" i="77"/>
  <c r="K74" i="77"/>
  <c r="I74" i="77"/>
  <c r="H74" i="77"/>
  <c r="F74" i="77"/>
  <c r="E74" i="77"/>
  <c r="Z73" i="77"/>
  <c r="Y73" i="77"/>
  <c r="V73" i="77"/>
  <c r="U73" i="77"/>
  <c r="T73" i="77"/>
  <c r="S73" i="77"/>
  <c r="R73" i="77"/>
  <c r="L73" i="77"/>
  <c r="K73" i="77"/>
  <c r="I73" i="77"/>
  <c r="H73" i="77"/>
  <c r="F73" i="77"/>
  <c r="E73" i="77"/>
  <c r="Z72" i="77"/>
  <c r="Y72" i="77"/>
  <c r="V72" i="77"/>
  <c r="U72" i="77"/>
  <c r="T72" i="77"/>
  <c r="S72" i="77"/>
  <c r="L72" i="77"/>
  <c r="K72" i="77"/>
  <c r="Z71" i="77"/>
  <c r="Y71" i="77"/>
  <c r="V71" i="77"/>
  <c r="U71" i="77"/>
  <c r="T71" i="77"/>
  <c r="S71" i="77"/>
  <c r="L71" i="77"/>
  <c r="K71" i="77"/>
  <c r="Z70" i="77"/>
  <c r="Y70" i="77"/>
  <c r="V70" i="77"/>
  <c r="U70" i="77"/>
  <c r="T70" i="77"/>
  <c r="S70" i="77"/>
  <c r="L70" i="77"/>
  <c r="K70" i="77"/>
  <c r="Z69" i="77"/>
  <c r="Y69" i="77"/>
  <c r="V69" i="77"/>
  <c r="U69" i="77"/>
  <c r="T69" i="77"/>
  <c r="S69" i="77"/>
  <c r="L69" i="77"/>
  <c r="K69" i="77"/>
  <c r="V68" i="77"/>
  <c r="U68" i="77"/>
  <c r="T68" i="77"/>
  <c r="S68" i="77"/>
  <c r="R68" i="77"/>
  <c r="L68" i="77"/>
  <c r="K68" i="77"/>
  <c r="I68" i="77"/>
  <c r="H68" i="77"/>
  <c r="F68" i="77"/>
  <c r="E68" i="77"/>
  <c r="V67" i="77"/>
  <c r="U67" i="77"/>
  <c r="T67" i="77"/>
  <c r="S67" i="77"/>
  <c r="L67" i="77"/>
  <c r="K67" i="77"/>
  <c r="V66" i="77"/>
  <c r="U66" i="77"/>
  <c r="T66" i="77"/>
  <c r="S66" i="77"/>
  <c r="L66" i="77"/>
  <c r="K66" i="77"/>
  <c r="V65" i="77"/>
  <c r="U65" i="77"/>
  <c r="T65" i="77"/>
  <c r="S65" i="77"/>
  <c r="L65" i="77"/>
  <c r="K65" i="77"/>
  <c r="V64" i="77"/>
  <c r="U64" i="77"/>
  <c r="T64" i="77"/>
  <c r="S64" i="77"/>
  <c r="L64" i="77"/>
  <c r="K64" i="77"/>
  <c r="F64" i="77"/>
  <c r="V63" i="77"/>
  <c r="U63" i="77"/>
  <c r="T63" i="77"/>
  <c r="S63" i="77"/>
  <c r="R63" i="77"/>
  <c r="L63" i="77"/>
  <c r="K63" i="77"/>
  <c r="I63" i="77"/>
  <c r="H63" i="77"/>
  <c r="F63" i="77"/>
  <c r="E63" i="77"/>
  <c r="V62" i="77"/>
  <c r="U62" i="77"/>
  <c r="T62" i="77"/>
  <c r="S62" i="77"/>
  <c r="L62" i="77"/>
  <c r="K62" i="77"/>
  <c r="V61" i="77"/>
  <c r="U61" i="77"/>
  <c r="T61" i="77"/>
  <c r="S61" i="77"/>
  <c r="L61" i="77"/>
  <c r="K61" i="77"/>
  <c r="V60" i="77"/>
  <c r="U60" i="77"/>
  <c r="T60" i="77"/>
  <c r="S60" i="77"/>
  <c r="L60" i="77"/>
  <c r="K60" i="77"/>
  <c r="V59" i="77"/>
  <c r="U59" i="77"/>
  <c r="T59" i="77"/>
  <c r="S59" i="77"/>
  <c r="L59" i="77"/>
  <c r="K59" i="77"/>
  <c r="V58" i="77"/>
  <c r="U58" i="77"/>
  <c r="T58" i="77"/>
  <c r="S58" i="77"/>
  <c r="R58" i="77"/>
  <c r="L58" i="77"/>
  <c r="K58" i="77"/>
  <c r="I58" i="77"/>
  <c r="H58" i="77"/>
  <c r="F58" i="77"/>
  <c r="E58" i="77"/>
  <c r="V57" i="77"/>
  <c r="U57" i="77"/>
  <c r="T57" i="77"/>
  <c r="L57" i="77"/>
  <c r="K57" i="77"/>
  <c r="V56" i="77"/>
  <c r="U56" i="77"/>
  <c r="T56" i="77"/>
  <c r="L56" i="77"/>
  <c r="K56" i="77"/>
  <c r="V55" i="77"/>
  <c r="U55" i="77"/>
  <c r="T55" i="77"/>
  <c r="S55" i="77"/>
  <c r="L55" i="77"/>
  <c r="K55" i="77"/>
  <c r="V54" i="77"/>
  <c r="U54" i="77"/>
  <c r="T54" i="77"/>
  <c r="S54" i="77"/>
  <c r="L54" i="77"/>
  <c r="K54" i="77"/>
  <c r="Z53" i="77"/>
  <c r="Y53" i="77"/>
  <c r="V53" i="77"/>
  <c r="U53" i="77"/>
  <c r="T53" i="77"/>
  <c r="S53" i="77"/>
  <c r="R53" i="77"/>
  <c r="L53" i="77"/>
  <c r="K53" i="77"/>
  <c r="I53" i="77"/>
  <c r="H53" i="77"/>
  <c r="F53" i="77"/>
  <c r="E53" i="77"/>
  <c r="Z52" i="77"/>
  <c r="Y52" i="77"/>
  <c r="V52" i="77"/>
  <c r="U52" i="77"/>
  <c r="T52" i="77"/>
  <c r="S52" i="77"/>
  <c r="R52" i="77"/>
  <c r="L52" i="77"/>
  <c r="K52" i="77"/>
  <c r="I52" i="77"/>
  <c r="H52" i="77"/>
  <c r="F52" i="77"/>
  <c r="E52" i="77"/>
  <c r="Z51" i="77"/>
  <c r="Y51" i="77"/>
  <c r="V51" i="77"/>
  <c r="U51" i="77"/>
  <c r="T51" i="77"/>
  <c r="L51" i="77"/>
  <c r="K51" i="77"/>
  <c r="Z50" i="77"/>
  <c r="Y50" i="77"/>
  <c r="V50" i="77"/>
  <c r="U50" i="77"/>
  <c r="T50" i="77"/>
  <c r="S50" i="77"/>
  <c r="L50" i="77"/>
  <c r="K50" i="77"/>
  <c r="Z49" i="77"/>
  <c r="Y49" i="77"/>
  <c r="V49" i="77"/>
  <c r="U49" i="77"/>
  <c r="T49" i="77"/>
  <c r="S49" i="77"/>
  <c r="L49" i="77"/>
  <c r="K49" i="77"/>
  <c r="Z48" i="77"/>
  <c r="Y48" i="77"/>
  <c r="V48" i="77"/>
  <c r="U48" i="77"/>
  <c r="T48" i="77"/>
  <c r="S48" i="77"/>
  <c r="L48" i="77"/>
  <c r="K48" i="77"/>
  <c r="Z47" i="77"/>
  <c r="Y47" i="77"/>
  <c r="V47" i="77"/>
  <c r="U47" i="77"/>
  <c r="T47" i="77"/>
  <c r="S47" i="77"/>
  <c r="L47" i="77"/>
  <c r="K47" i="77"/>
  <c r="Z46" i="77"/>
  <c r="Y46" i="77"/>
  <c r="V46" i="77"/>
  <c r="U46" i="77"/>
  <c r="T46" i="77"/>
  <c r="S46" i="77"/>
  <c r="L46" i="77"/>
  <c r="K46" i="77"/>
  <c r="Z45" i="77"/>
  <c r="Y45" i="77"/>
  <c r="V45" i="77"/>
  <c r="U45" i="77"/>
  <c r="T45" i="77"/>
  <c r="S45" i="77"/>
  <c r="R45" i="77"/>
  <c r="L45" i="77"/>
  <c r="K45" i="77"/>
  <c r="I45" i="77"/>
  <c r="H45" i="77"/>
  <c r="F45" i="77"/>
  <c r="E45" i="77"/>
  <c r="Z44" i="77"/>
  <c r="Y44" i="77"/>
  <c r="V44" i="77"/>
  <c r="U44" i="77"/>
  <c r="T44" i="77"/>
  <c r="L44" i="77"/>
  <c r="K44" i="77"/>
  <c r="Z43" i="77"/>
  <c r="Y43" i="77"/>
  <c r="V43" i="77"/>
  <c r="U43" i="77"/>
  <c r="T43" i="77"/>
  <c r="L43" i="77"/>
  <c r="K43" i="77"/>
  <c r="Z42" i="77"/>
  <c r="Y42" i="77"/>
  <c r="V42" i="77"/>
  <c r="U42" i="77"/>
  <c r="T42" i="77"/>
  <c r="S42" i="77"/>
  <c r="L42" i="77"/>
  <c r="K42" i="77"/>
  <c r="Z41" i="77"/>
  <c r="Y41" i="77"/>
  <c r="V41" i="77"/>
  <c r="U41" i="77"/>
  <c r="T41" i="77"/>
  <c r="L41" i="77"/>
  <c r="K41" i="77"/>
  <c r="Z40" i="77"/>
  <c r="Y40" i="77"/>
  <c r="V40" i="77"/>
  <c r="U40" i="77"/>
  <c r="T40" i="77"/>
  <c r="S40" i="77"/>
  <c r="L40" i="77"/>
  <c r="K40" i="77"/>
  <c r="Z39" i="77"/>
  <c r="Y39" i="77"/>
  <c r="V39" i="77"/>
  <c r="U39" i="77"/>
  <c r="T39" i="77"/>
  <c r="S39" i="77"/>
  <c r="L39" i="77"/>
  <c r="K39" i="77"/>
  <c r="Z38" i="77"/>
  <c r="Y38" i="77"/>
  <c r="V38" i="77"/>
  <c r="U38" i="77"/>
  <c r="T38" i="77"/>
  <c r="S38" i="77"/>
  <c r="R38" i="77"/>
  <c r="L38" i="77"/>
  <c r="K38" i="77"/>
  <c r="I38" i="77"/>
  <c r="H38" i="77"/>
  <c r="F38" i="77"/>
  <c r="E38" i="77"/>
  <c r="Z37" i="77"/>
  <c r="Y37" i="77"/>
  <c r="V37" i="77"/>
  <c r="U37" i="77"/>
  <c r="T37" i="77"/>
  <c r="L37" i="77"/>
  <c r="K37" i="77"/>
  <c r="Z36" i="77"/>
  <c r="Y36" i="77"/>
  <c r="V36" i="77"/>
  <c r="U36" i="77"/>
  <c r="T36" i="77"/>
  <c r="S36" i="77"/>
  <c r="L36" i="77"/>
  <c r="K36" i="77"/>
  <c r="Z35" i="77"/>
  <c r="Y35" i="77"/>
  <c r="V35" i="77"/>
  <c r="U35" i="77"/>
  <c r="T35" i="77"/>
  <c r="S35" i="77"/>
  <c r="L35" i="77"/>
  <c r="K35" i="77"/>
  <c r="Z34" i="77"/>
  <c r="Y34" i="77"/>
  <c r="V34" i="77"/>
  <c r="U34" i="77"/>
  <c r="T34" i="77"/>
  <c r="S34" i="77"/>
  <c r="L34" i="77"/>
  <c r="K34" i="77"/>
  <c r="Z33" i="77"/>
  <c r="Y33" i="77"/>
  <c r="V33" i="77"/>
  <c r="U33" i="77"/>
  <c r="T33" i="77"/>
  <c r="S33" i="77"/>
  <c r="L33" i="77"/>
  <c r="K33" i="77"/>
  <c r="Z32" i="77"/>
  <c r="Y32" i="77"/>
  <c r="V32" i="77"/>
  <c r="U32" i="77"/>
  <c r="T32" i="77"/>
  <c r="S32" i="77"/>
  <c r="L32" i="77"/>
  <c r="K32" i="77"/>
  <c r="Z31" i="77"/>
  <c r="Y31" i="77"/>
  <c r="V31" i="77"/>
  <c r="U31" i="77"/>
  <c r="T31" i="77"/>
  <c r="S31" i="77"/>
  <c r="R31" i="77"/>
  <c r="L31" i="77"/>
  <c r="K31" i="77"/>
  <c r="I31" i="77"/>
  <c r="H31" i="77"/>
  <c r="F31" i="77"/>
  <c r="E31" i="77"/>
  <c r="Z30" i="77"/>
  <c r="Y30" i="77"/>
  <c r="V30" i="77"/>
  <c r="U30" i="77"/>
  <c r="T30" i="77"/>
  <c r="S30" i="77"/>
  <c r="L30" i="77"/>
  <c r="K30" i="77"/>
  <c r="Z29" i="77"/>
  <c r="Y29" i="77"/>
  <c r="V29" i="77"/>
  <c r="U29" i="77"/>
  <c r="T29" i="77"/>
  <c r="S29" i="77"/>
  <c r="L29" i="77"/>
  <c r="K29" i="77"/>
  <c r="Z28" i="77"/>
  <c r="Y28" i="77"/>
  <c r="V28" i="77"/>
  <c r="U28" i="77"/>
  <c r="T28" i="77"/>
  <c r="S28" i="77"/>
  <c r="L28" i="77"/>
  <c r="K28" i="77"/>
  <c r="Z27" i="77"/>
  <c r="Y27" i="77"/>
  <c r="V27" i="77"/>
  <c r="U27" i="77"/>
  <c r="T27" i="77"/>
  <c r="S27" i="77"/>
  <c r="L27" i="77"/>
  <c r="K27" i="77"/>
  <c r="Z26" i="77"/>
  <c r="Y26" i="77"/>
  <c r="V26" i="77"/>
  <c r="U26" i="77"/>
  <c r="T26" i="77"/>
  <c r="S26" i="77"/>
  <c r="L26" i="77"/>
  <c r="K26" i="77"/>
  <c r="Z25" i="77"/>
  <c r="Y25" i="77"/>
  <c r="V25" i="77"/>
  <c r="U25" i="77"/>
  <c r="T25" i="77"/>
  <c r="S25" i="77"/>
  <c r="L25" i="77"/>
  <c r="K25" i="77"/>
  <c r="Z24" i="77"/>
  <c r="Y24" i="77"/>
  <c r="V24" i="77"/>
  <c r="U24" i="77"/>
  <c r="T24" i="77"/>
  <c r="S24" i="77"/>
  <c r="R24" i="77"/>
  <c r="L24" i="77"/>
  <c r="K24" i="77"/>
  <c r="I24" i="77"/>
  <c r="H24" i="77"/>
  <c r="F24" i="77"/>
  <c r="E24" i="77"/>
  <c r="Z23" i="77"/>
  <c r="Y23" i="77"/>
  <c r="V23" i="77"/>
  <c r="U23" i="77"/>
  <c r="T23" i="77"/>
  <c r="S23" i="77"/>
  <c r="R23" i="77"/>
  <c r="L23" i="77"/>
  <c r="K23" i="77"/>
  <c r="I23" i="77"/>
  <c r="H23" i="77"/>
  <c r="F23" i="77"/>
  <c r="E23" i="77"/>
  <c r="Z22" i="77"/>
  <c r="Y22" i="77"/>
  <c r="V22" i="77"/>
  <c r="U22" i="77"/>
  <c r="T22" i="77"/>
  <c r="S22" i="77"/>
  <c r="L22" i="77"/>
  <c r="K22" i="77"/>
  <c r="Z21" i="77"/>
  <c r="Y21" i="77"/>
  <c r="V21" i="77"/>
  <c r="U21" i="77"/>
  <c r="T21" i="77"/>
  <c r="S21" i="77"/>
  <c r="L21" i="77"/>
  <c r="K21" i="77"/>
  <c r="Z20" i="77"/>
  <c r="Y20" i="77"/>
  <c r="V20" i="77"/>
  <c r="U20" i="77"/>
  <c r="T20" i="77"/>
  <c r="S20" i="77"/>
  <c r="L20" i="77"/>
  <c r="K20" i="77"/>
  <c r="Z19" i="77"/>
  <c r="Y19" i="77"/>
  <c r="V19" i="77"/>
  <c r="U19" i="77"/>
  <c r="T19" i="77"/>
  <c r="S19" i="77"/>
  <c r="L19" i="77"/>
  <c r="K19" i="77"/>
  <c r="Z18" i="77"/>
  <c r="Y18" i="77"/>
  <c r="V18" i="77"/>
  <c r="U18" i="77"/>
  <c r="T18" i="77"/>
  <c r="S18" i="77"/>
  <c r="R18" i="77"/>
  <c r="L18" i="77"/>
  <c r="K18" i="77"/>
  <c r="I18" i="77"/>
  <c r="H18" i="77"/>
  <c r="F18" i="77"/>
  <c r="E18" i="77"/>
  <c r="Z17" i="77"/>
  <c r="Y17" i="77"/>
  <c r="V17" i="77"/>
  <c r="U17" i="77"/>
  <c r="T17" i="77"/>
  <c r="S17" i="77"/>
  <c r="L17" i="77"/>
  <c r="K17" i="77"/>
  <c r="Z16" i="77"/>
  <c r="Y16" i="77"/>
  <c r="V16" i="77"/>
  <c r="U16" i="77"/>
  <c r="T16" i="77"/>
  <c r="S16" i="77"/>
  <c r="L16" i="77"/>
  <c r="K16" i="77"/>
  <c r="Z15" i="77"/>
  <c r="Y15" i="77"/>
  <c r="V15" i="77"/>
  <c r="U15" i="77"/>
  <c r="T15" i="77"/>
  <c r="S15" i="77"/>
  <c r="L15" i="77"/>
  <c r="K15" i="77"/>
  <c r="Z14" i="77"/>
  <c r="Y14" i="77"/>
  <c r="V14" i="77"/>
  <c r="U14" i="77"/>
  <c r="T14" i="77"/>
  <c r="S14" i="77"/>
  <c r="L14" i="77"/>
  <c r="K14" i="77"/>
  <c r="Z13" i="77"/>
  <c r="Y13" i="77"/>
  <c r="V13" i="77"/>
  <c r="U13" i="77"/>
  <c r="T13" i="77"/>
  <c r="S13" i="77"/>
  <c r="R13" i="77"/>
  <c r="L13" i="77"/>
  <c r="K13" i="77"/>
  <c r="I13" i="77"/>
  <c r="H13" i="77"/>
  <c r="F13" i="77"/>
  <c r="E13" i="77"/>
  <c r="Z12" i="77"/>
  <c r="Y12" i="77"/>
  <c r="V12" i="77"/>
  <c r="U12" i="77"/>
  <c r="T12" i="77"/>
  <c r="S12" i="77"/>
  <c r="L12" i="77"/>
  <c r="K12" i="77"/>
  <c r="Z11" i="77"/>
  <c r="Y11" i="77"/>
  <c r="V11" i="77"/>
  <c r="U11" i="77"/>
  <c r="T11" i="77"/>
  <c r="S11" i="77"/>
  <c r="L11" i="77"/>
  <c r="K11" i="77"/>
  <c r="Z10" i="77"/>
  <c r="Y10" i="77"/>
  <c r="V10" i="77"/>
  <c r="U10" i="77"/>
  <c r="T10" i="77"/>
  <c r="S10" i="77"/>
  <c r="L10" i="77"/>
  <c r="K10" i="77"/>
  <c r="Z9" i="77"/>
  <c r="Y9" i="77"/>
  <c r="V9" i="77"/>
  <c r="U9" i="77"/>
  <c r="T9" i="77"/>
  <c r="S9" i="77"/>
  <c r="L9" i="77"/>
  <c r="K9" i="77"/>
  <c r="Z8" i="77"/>
  <c r="Y8" i="77"/>
  <c r="V8" i="77"/>
  <c r="U8" i="77"/>
  <c r="T8" i="77"/>
  <c r="S8" i="77"/>
  <c r="R8" i="77"/>
  <c r="I8" i="77"/>
  <c r="H8" i="77"/>
  <c r="F8" i="77"/>
  <c r="E8" i="77"/>
  <c r="Z7" i="77"/>
  <c r="Y7" i="77"/>
  <c r="V7" i="77"/>
  <c r="U7" i="77"/>
  <c r="T7" i="77"/>
  <c r="S7" i="77"/>
  <c r="Z6" i="77"/>
  <c r="Y6" i="77"/>
  <c r="V6" i="77"/>
  <c r="U6" i="77"/>
  <c r="T6" i="77"/>
  <c r="S6" i="77"/>
  <c r="Z5" i="77"/>
  <c r="Y5" i="77"/>
  <c r="V5" i="77"/>
  <c r="U5" i="77"/>
  <c r="T5" i="77"/>
  <c r="S5" i="77"/>
  <c r="Z4" i="77"/>
  <c r="Y4" i="77"/>
  <c r="V4" i="77"/>
  <c r="U4" i="77"/>
  <c r="T4" i="77"/>
  <c r="S4" i="77"/>
  <c r="B131" i="39"/>
  <c r="B129" i="39"/>
  <c r="B127" i="39"/>
  <c r="D126" i="39"/>
  <c r="E126" i="39"/>
  <c r="F126" i="39"/>
  <c r="G126" i="39"/>
  <c r="H126" i="39"/>
  <c r="I126" i="39"/>
  <c r="J126" i="39"/>
  <c r="K126" i="39"/>
  <c r="L126" i="39"/>
  <c r="M126" i="39"/>
  <c r="D124" i="39"/>
  <c r="E124" i="39"/>
  <c r="F124" i="39"/>
  <c r="G124" i="39"/>
  <c r="H124" i="39"/>
  <c r="I124" i="39"/>
  <c r="J124" i="39"/>
  <c r="K124" i="39"/>
  <c r="L124" i="39"/>
  <c r="M124" i="39"/>
  <c r="D122" i="39"/>
  <c r="E122" i="39"/>
  <c r="F122" i="39"/>
  <c r="G122" i="39"/>
  <c r="H122" i="39"/>
  <c r="I122" i="39"/>
  <c r="J122" i="39"/>
  <c r="K122" i="39"/>
  <c r="L122" i="39"/>
  <c r="M122" i="39"/>
  <c r="D120" i="39"/>
  <c r="E120" i="39"/>
  <c r="F120" i="39"/>
  <c r="G120" i="39"/>
  <c r="H120" i="39"/>
  <c r="I120" i="39"/>
  <c r="J120" i="39"/>
  <c r="K120" i="39"/>
  <c r="L120" i="39"/>
  <c r="M120" i="39"/>
  <c r="M116" i="39"/>
  <c r="L116" i="39"/>
  <c r="K116" i="39"/>
  <c r="J116" i="39"/>
  <c r="I116" i="39"/>
  <c r="H116" i="39"/>
  <c r="G116" i="39"/>
  <c r="F116" i="39"/>
  <c r="E116" i="39"/>
  <c r="D116" i="39"/>
  <c r="C116" i="39"/>
  <c r="B114" i="39"/>
  <c r="B112" i="39"/>
  <c r="B110" i="39"/>
  <c r="D109" i="39"/>
  <c r="E109" i="39"/>
  <c r="F109" i="39"/>
  <c r="G109" i="39"/>
  <c r="H109" i="39"/>
  <c r="I109" i="39"/>
  <c r="J109" i="39"/>
  <c r="K109" i="39"/>
  <c r="L109" i="39"/>
  <c r="M109" i="39"/>
  <c r="D107" i="39"/>
  <c r="E107" i="39"/>
  <c r="F107" i="39"/>
  <c r="G107" i="39"/>
  <c r="H107" i="39"/>
  <c r="I107" i="39"/>
  <c r="J107" i="39"/>
  <c r="K107" i="39"/>
  <c r="L107" i="39"/>
  <c r="M107" i="39"/>
  <c r="D105" i="39"/>
  <c r="E105" i="39"/>
  <c r="F105" i="39"/>
  <c r="G105" i="39"/>
  <c r="H105" i="39"/>
  <c r="I105" i="39"/>
  <c r="J105" i="39"/>
  <c r="K105" i="39"/>
  <c r="L105" i="39"/>
  <c r="M105" i="39"/>
  <c r="B104" i="39"/>
  <c r="D103" i="39"/>
  <c r="E103" i="39"/>
  <c r="F103" i="39"/>
  <c r="G103" i="39"/>
  <c r="D101" i="39"/>
  <c r="E101" i="39"/>
  <c r="F101" i="39"/>
  <c r="G101" i="39"/>
  <c r="D99" i="39"/>
  <c r="E99" i="39"/>
  <c r="F99" i="39"/>
  <c r="G99" i="39"/>
  <c r="D97" i="39"/>
  <c r="E97" i="39"/>
  <c r="F97" i="39"/>
  <c r="G97" i="39"/>
  <c r="D95" i="39"/>
  <c r="E95" i="39"/>
  <c r="F95" i="39"/>
  <c r="G95" i="39"/>
  <c r="D93" i="39"/>
  <c r="E93" i="39"/>
  <c r="F93" i="39"/>
  <c r="G93" i="39"/>
  <c r="D91" i="39"/>
  <c r="E91" i="39"/>
  <c r="F91" i="39"/>
  <c r="G91" i="39"/>
  <c r="D89" i="39"/>
  <c r="E89" i="39"/>
  <c r="F89" i="39"/>
  <c r="G89" i="39"/>
  <c r="B86" i="39"/>
  <c r="B84" i="39"/>
  <c r="B82" i="39"/>
  <c r="D81" i="39"/>
  <c r="E81" i="39"/>
  <c r="F81" i="39"/>
  <c r="G81" i="39"/>
  <c r="H81" i="39"/>
  <c r="I81" i="39"/>
  <c r="J81" i="39"/>
  <c r="K81" i="39"/>
  <c r="L81" i="39"/>
  <c r="M81" i="39"/>
  <c r="M79" i="39"/>
  <c r="L79" i="39"/>
  <c r="K79" i="39"/>
  <c r="J79" i="39"/>
  <c r="I79" i="39"/>
  <c r="H79" i="39"/>
  <c r="G79" i="39"/>
  <c r="F79" i="39"/>
  <c r="E79" i="39"/>
  <c r="D79" i="39"/>
  <c r="C79" i="39"/>
  <c r="B71" i="39"/>
  <c r="C7" i="39"/>
  <c r="C68" i="39"/>
  <c r="D68" i="39"/>
  <c r="E68" i="39"/>
  <c r="F68" i="39"/>
  <c r="G68" i="39"/>
  <c r="H68" i="39"/>
  <c r="I68" i="39"/>
  <c r="J68" i="39"/>
  <c r="K68" i="39"/>
  <c r="L68" i="39"/>
  <c r="M68" i="39"/>
  <c r="N68" i="39"/>
  <c r="O68" i="39"/>
  <c r="O70" i="39"/>
  <c r="N70" i="39"/>
  <c r="M70" i="39"/>
  <c r="L70" i="39"/>
  <c r="K70" i="39"/>
  <c r="J70" i="39"/>
  <c r="I70" i="39"/>
  <c r="H70" i="39"/>
  <c r="G70" i="39"/>
  <c r="F70" i="39"/>
  <c r="E70" i="39"/>
  <c r="D70" i="39"/>
  <c r="C70" i="39"/>
  <c r="F8" i="39"/>
  <c r="AA8" i="39"/>
  <c r="D6" i="1"/>
  <c r="F6" i="1"/>
  <c r="G6" i="1"/>
  <c r="D7" i="1"/>
  <c r="F7" i="1"/>
  <c r="G7" i="1"/>
  <c r="D8" i="1"/>
  <c r="F8" i="1"/>
  <c r="G8" i="1"/>
  <c r="D9" i="1"/>
  <c r="F9" i="1"/>
  <c r="G9" i="1"/>
  <c r="D10" i="1"/>
  <c r="F10" i="1"/>
  <c r="G10" i="1"/>
  <c r="D11" i="1"/>
  <c r="F11" i="1"/>
  <c r="G11" i="1"/>
  <c r="D12" i="1"/>
  <c r="F12" i="1"/>
  <c r="G12" i="1"/>
  <c r="G16" i="1"/>
  <c r="F10" i="39"/>
  <c r="AA10" i="39"/>
  <c r="F9" i="39"/>
  <c r="AA9" i="39"/>
  <c r="R46" i="39"/>
  <c r="F38" i="39"/>
  <c r="AA38" i="39"/>
  <c r="F11" i="39"/>
  <c r="AA11" i="39"/>
  <c r="F32" i="39"/>
  <c r="AA32" i="39"/>
  <c r="H38" i="39"/>
  <c r="AB38" i="39"/>
  <c r="H32" i="39"/>
  <c r="AB32" i="39"/>
  <c r="H11" i="39"/>
  <c r="AB11" i="39"/>
  <c r="J38" i="39"/>
  <c r="AC38" i="39"/>
  <c r="J32" i="39"/>
  <c r="AC32" i="39"/>
  <c r="J11" i="39"/>
  <c r="AC11" i="39"/>
  <c r="E56" i="39"/>
  <c r="E61" i="39"/>
  <c r="E62" i="39"/>
  <c r="E63" i="39"/>
  <c r="E64" i="39"/>
  <c r="E65" i="39"/>
  <c r="E66" i="39"/>
  <c r="I65" i="39"/>
  <c r="H65" i="39"/>
  <c r="C65" i="39"/>
  <c r="I64" i="39"/>
  <c r="H64" i="39"/>
  <c r="C64" i="39"/>
  <c r="I63" i="39"/>
  <c r="H63" i="39"/>
  <c r="C63" i="39"/>
  <c r="I62" i="39"/>
  <c r="H62" i="39"/>
  <c r="C62" i="39"/>
  <c r="I61" i="39"/>
  <c r="H61" i="39"/>
  <c r="C61" i="39"/>
  <c r="I60" i="39"/>
  <c r="H60" i="39"/>
  <c r="C60" i="39"/>
  <c r="I59" i="39"/>
  <c r="H59" i="39"/>
  <c r="C59" i="39"/>
  <c r="I58" i="39"/>
  <c r="H58" i="39"/>
  <c r="C58" i="39"/>
  <c r="I57" i="39"/>
  <c r="H57" i="39"/>
  <c r="C57" i="39"/>
  <c r="J55" i="39"/>
  <c r="I53" i="39"/>
  <c r="J53" i="39"/>
  <c r="G53" i="39"/>
  <c r="H53" i="39"/>
  <c r="E53" i="39"/>
  <c r="F53" i="39"/>
  <c r="J8" i="39"/>
  <c r="AC8" i="39"/>
  <c r="J10" i="39"/>
  <c r="AC10" i="39"/>
  <c r="J9" i="39"/>
  <c r="AC9" i="39"/>
  <c r="V46" i="39"/>
  <c r="I47" i="39"/>
  <c r="E47" i="39"/>
  <c r="I52" i="39"/>
  <c r="J52" i="39"/>
  <c r="H8" i="39"/>
  <c r="AB8" i="39"/>
  <c r="H10" i="39"/>
  <c r="AB10" i="39"/>
  <c r="H9" i="39"/>
  <c r="AB9" i="39"/>
  <c r="T46" i="39"/>
  <c r="G47" i="39"/>
  <c r="G52" i="39"/>
  <c r="H52" i="39"/>
  <c r="E52" i="39"/>
  <c r="F52" i="39"/>
  <c r="I51" i="39"/>
  <c r="J51" i="39"/>
  <c r="G51" i="39"/>
  <c r="H51" i="39"/>
  <c r="E51" i="39"/>
  <c r="F51" i="39"/>
  <c r="P48" i="39"/>
  <c r="P47" i="39"/>
  <c r="C47" i="39"/>
  <c r="P46" i="39"/>
  <c r="J45" i="39"/>
  <c r="AC45" i="39"/>
  <c r="H45" i="39"/>
  <c r="AB45" i="39"/>
  <c r="F45" i="39"/>
  <c r="AA45" i="39"/>
  <c r="Q45" i="39"/>
  <c r="Z45" i="39"/>
  <c r="W45" i="39"/>
  <c r="U45" i="39"/>
  <c r="S45" i="39"/>
  <c r="J44" i="39"/>
  <c r="AC44" i="39"/>
  <c r="H44" i="39"/>
  <c r="AB44" i="39"/>
  <c r="F44" i="39"/>
  <c r="AA44" i="39"/>
  <c r="Q44" i="39"/>
  <c r="Z44" i="39"/>
  <c r="W44" i="39"/>
  <c r="U44" i="39"/>
  <c r="S44" i="39"/>
  <c r="J43" i="39"/>
  <c r="AC43" i="39"/>
  <c r="H43" i="39"/>
  <c r="AB43" i="39"/>
  <c r="F43" i="39"/>
  <c r="AA43" i="39"/>
  <c r="Q43" i="39"/>
  <c r="Z43" i="39"/>
  <c r="W43" i="39"/>
  <c r="U43" i="39"/>
  <c r="S43" i="39"/>
  <c r="J42" i="39"/>
  <c r="AC42" i="39"/>
  <c r="H42" i="39"/>
  <c r="AB42" i="39"/>
  <c r="F42" i="39"/>
  <c r="AA42" i="39"/>
  <c r="Z42" i="39"/>
  <c r="W42" i="39"/>
  <c r="U42" i="39"/>
  <c r="S42" i="39"/>
  <c r="Q42" i="39"/>
  <c r="J41" i="39"/>
  <c r="AC41" i="39"/>
  <c r="H41" i="39"/>
  <c r="AB41" i="39"/>
  <c r="F41" i="39"/>
  <c r="AA41" i="39"/>
  <c r="Z41" i="39"/>
  <c r="W41" i="39"/>
  <c r="U41" i="39"/>
  <c r="S41" i="39"/>
  <c r="Q41" i="39"/>
  <c r="J40" i="39"/>
  <c r="AC40" i="39"/>
  <c r="H40" i="39"/>
  <c r="AB40" i="39"/>
  <c r="F40" i="39"/>
  <c r="AA40" i="39"/>
  <c r="Z40" i="39"/>
  <c r="W40" i="39"/>
  <c r="U40" i="39"/>
  <c r="S40" i="39"/>
  <c r="Q40" i="39"/>
  <c r="J39" i="39"/>
  <c r="AC39" i="39"/>
  <c r="H39" i="39"/>
  <c r="AB39" i="39"/>
  <c r="F39" i="39"/>
  <c r="AA39" i="39"/>
  <c r="Z39" i="39"/>
  <c r="W39" i="39"/>
  <c r="U39" i="39"/>
  <c r="S39" i="39"/>
  <c r="Q39" i="39"/>
  <c r="Z38" i="39"/>
  <c r="W38" i="39"/>
  <c r="U38" i="39"/>
  <c r="S38" i="39"/>
  <c r="Q38" i="39"/>
  <c r="J37" i="39"/>
  <c r="AC37" i="39"/>
  <c r="H37" i="39"/>
  <c r="AB37" i="39"/>
  <c r="F37" i="39"/>
  <c r="AA37" i="39"/>
  <c r="Q37" i="39"/>
  <c r="Z37" i="39"/>
  <c r="W37" i="39"/>
  <c r="U37" i="39"/>
  <c r="S37" i="39"/>
  <c r="J36" i="39"/>
  <c r="AC36" i="39"/>
  <c r="H36" i="39"/>
  <c r="AB36" i="39"/>
  <c r="F36" i="39"/>
  <c r="AA36" i="39"/>
  <c r="Q36" i="39"/>
  <c r="Z36" i="39"/>
  <c r="W36" i="39"/>
  <c r="U36" i="39"/>
  <c r="S36" i="39"/>
  <c r="J35" i="39"/>
  <c r="AC35" i="39"/>
  <c r="H35" i="39"/>
  <c r="AB35" i="39"/>
  <c r="F35" i="39"/>
  <c r="AA35" i="39"/>
  <c r="Q35" i="39"/>
  <c r="Z35" i="39"/>
  <c r="W35" i="39"/>
  <c r="U35" i="39"/>
  <c r="S35" i="39"/>
  <c r="J34" i="39"/>
  <c r="AC34" i="39"/>
  <c r="H34" i="39"/>
  <c r="AB34" i="39"/>
  <c r="F34" i="39"/>
  <c r="AA34" i="39"/>
  <c r="Q34" i="39"/>
  <c r="Z34" i="39"/>
  <c r="W34" i="39"/>
  <c r="U34" i="39"/>
  <c r="S34" i="39"/>
  <c r="Z32" i="39"/>
  <c r="W32" i="39"/>
  <c r="U32" i="39"/>
  <c r="S32" i="39"/>
  <c r="Q32" i="39"/>
  <c r="J31" i="39"/>
  <c r="AC31" i="39"/>
  <c r="H31" i="39"/>
  <c r="AB31" i="39"/>
  <c r="F31" i="39"/>
  <c r="AA31" i="39"/>
  <c r="Z31" i="39"/>
  <c r="W31" i="39"/>
  <c r="U31" i="39"/>
  <c r="S31" i="39"/>
  <c r="Q31" i="39"/>
  <c r="J29" i="39"/>
  <c r="AC29" i="39"/>
  <c r="H29" i="39"/>
  <c r="AB29" i="39"/>
  <c r="F29" i="39"/>
  <c r="AA29" i="39"/>
  <c r="Z29" i="39"/>
  <c r="W29" i="39"/>
  <c r="U29" i="39"/>
  <c r="S29" i="39"/>
  <c r="Q29" i="39"/>
  <c r="C29" i="39"/>
  <c r="J27" i="39"/>
  <c r="AC27" i="39"/>
  <c r="H27" i="39"/>
  <c r="AB27" i="39"/>
  <c r="F27" i="39"/>
  <c r="AA27" i="39"/>
  <c r="Z27" i="39"/>
  <c r="W27" i="39"/>
  <c r="U27" i="39"/>
  <c r="S27" i="39"/>
  <c r="Q27" i="39"/>
  <c r="C27" i="39"/>
  <c r="J25" i="39"/>
  <c r="AC25" i="39"/>
  <c r="H25" i="39"/>
  <c r="AB25" i="39"/>
  <c r="F25" i="39"/>
  <c r="AA25" i="39"/>
  <c r="Z25" i="39"/>
  <c r="W25" i="39"/>
  <c r="U25" i="39"/>
  <c r="S25" i="39"/>
  <c r="Q25" i="39"/>
  <c r="C25" i="39"/>
  <c r="J23" i="39"/>
  <c r="AC23" i="39"/>
  <c r="H23" i="39"/>
  <c r="AB23" i="39"/>
  <c r="F23" i="39"/>
  <c r="AA23" i="39"/>
  <c r="Z23" i="39"/>
  <c r="W23" i="39"/>
  <c r="U23" i="39"/>
  <c r="S23" i="39"/>
  <c r="Q23" i="39"/>
  <c r="C23" i="39"/>
  <c r="J21" i="39"/>
  <c r="AC21" i="39"/>
  <c r="H21" i="39"/>
  <c r="AB21" i="39"/>
  <c r="F21" i="39"/>
  <c r="AA21" i="39"/>
  <c r="Z21" i="39"/>
  <c r="W21" i="39"/>
  <c r="U21" i="39"/>
  <c r="S21" i="39"/>
  <c r="Q21" i="39"/>
  <c r="C21" i="39"/>
  <c r="J19" i="39"/>
  <c r="AC19" i="39"/>
  <c r="H19" i="39"/>
  <c r="AB19" i="39"/>
  <c r="F19" i="39"/>
  <c r="AA19" i="39"/>
  <c r="Z19" i="39"/>
  <c r="W19" i="39"/>
  <c r="U19" i="39"/>
  <c r="S19" i="39"/>
  <c r="Q19" i="39"/>
  <c r="C19" i="39"/>
  <c r="J17" i="39"/>
  <c r="AC17" i="39"/>
  <c r="H17" i="39"/>
  <c r="AB17" i="39"/>
  <c r="F17" i="39"/>
  <c r="AA17" i="39"/>
  <c r="Z17" i="39"/>
  <c r="W17" i="39"/>
  <c r="U17" i="39"/>
  <c r="S17" i="39"/>
  <c r="Q17" i="39"/>
  <c r="C17" i="39"/>
  <c r="J15" i="39"/>
  <c r="AC15" i="39"/>
  <c r="H15" i="39"/>
  <c r="AB15" i="39"/>
  <c r="F15" i="39"/>
  <c r="AA15" i="39"/>
  <c r="Q15" i="39"/>
  <c r="Z15" i="39"/>
  <c r="W15" i="39"/>
  <c r="U15" i="39"/>
  <c r="S15" i="39"/>
  <c r="C15" i="39"/>
  <c r="J14" i="39"/>
  <c r="AC14" i="39"/>
  <c r="H14" i="39"/>
  <c r="AB14" i="39"/>
  <c r="F14" i="39"/>
  <c r="AA14" i="39"/>
  <c r="Q14" i="39"/>
  <c r="Z14" i="39"/>
  <c r="W14" i="39"/>
  <c r="U14" i="39"/>
  <c r="S14" i="39"/>
  <c r="J13" i="39"/>
  <c r="AC13" i="39"/>
  <c r="H13" i="39"/>
  <c r="AB13" i="39"/>
  <c r="F13" i="39"/>
  <c r="AA13" i="39"/>
  <c r="Q13" i="39"/>
  <c r="Z13" i="39"/>
  <c r="W13" i="39"/>
  <c r="U13" i="39"/>
  <c r="S13" i="39"/>
  <c r="J12" i="39"/>
  <c r="AC12" i="39"/>
  <c r="H12" i="39"/>
  <c r="AB12" i="39"/>
  <c r="F12" i="39"/>
  <c r="AA12" i="39"/>
  <c r="Q12" i="39"/>
  <c r="Z12" i="39"/>
  <c r="W12" i="39"/>
  <c r="U12" i="39"/>
  <c r="S12" i="39"/>
  <c r="Z11" i="39"/>
  <c r="W11" i="39"/>
  <c r="U11" i="39"/>
  <c r="S11" i="39"/>
  <c r="Q11" i="39"/>
  <c r="Z10" i="39"/>
  <c r="Q10" i="39"/>
  <c r="Z9" i="39"/>
  <c r="W9" i="39"/>
  <c r="U9" i="39"/>
  <c r="S9" i="39"/>
  <c r="Q9" i="39"/>
  <c r="W8" i="39"/>
  <c r="U8" i="39"/>
  <c r="S8" i="39"/>
  <c r="W7" i="39"/>
  <c r="U7" i="39"/>
  <c r="S7" i="39"/>
  <c r="B3"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I54" i="36"/>
  <c r="H54" i="36"/>
  <c r="G54" i="36"/>
  <c r="F54" i="36"/>
  <c r="C51" i="36"/>
  <c r="C7" i="36"/>
  <c r="C46" i="36"/>
  <c r="D46" i="36"/>
  <c r="E46" i="36"/>
  <c r="F46" i="36"/>
  <c r="G46" i="36"/>
  <c r="H46" i="36"/>
  <c r="I46" i="36"/>
  <c r="J46" i="36"/>
  <c r="K46" i="36"/>
  <c r="L46" i="36"/>
  <c r="M46" i="36"/>
  <c r="N46" i="36"/>
  <c r="O46" i="36"/>
  <c r="J42" i="36"/>
  <c r="I42" i="36"/>
  <c r="H42" i="36"/>
  <c r="G42" i="36"/>
  <c r="F42" i="36"/>
  <c r="E42" i="36"/>
  <c r="J7" i="36"/>
  <c r="AC7" i="36"/>
  <c r="V36" i="36"/>
  <c r="I36" i="36"/>
  <c r="F7" i="36"/>
  <c r="AA7" i="36"/>
  <c r="R36" i="36"/>
  <c r="E36" i="36"/>
  <c r="I41" i="36"/>
  <c r="J41" i="36"/>
  <c r="H7" i="36"/>
  <c r="AB7" i="36"/>
  <c r="T36" i="36"/>
  <c r="G36" i="36"/>
  <c r="G41" i="36"/>
  <c r="H41" i="36"/>
  <c r="E41" i="36"/>
  <c r="F41" i="36"/>
  <c r="I40" i="36"/>
  <c r="J40" i="36"/>
  <c r="G40" i="36"/>
  <c r="H40" i="36"/>
  <c r="E40" i="36"/>
  <c r="F40" i="36"/>
  <c r="R37" i="36"/>
  <c r="P37" i="36"/>
  <c r="C37" i="36"/>
  <c r="P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W7" i="36"/>
  <c r="U7" i="36"/>
  <c r="S7" i="36"/>
  <c r="D3" i="36"/>
  <c r="D2" i="36"/>
  <c r="B2" i="36"/>
  <c r="B3"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I56" i="35"/>
  <c r="H56" i="35"/>
  <c r="G56" i="35"/>
  <c r="F56" i="35"/>
  <c r="C53" i="35"/>
  <c r="C7" i="35"/>
  <c r="C48" i="35"/>
  <c r="D48" i="35"/>
  <c r="E48" i="35"/>
  <c r="F48" i="35"/>
  <c r="G48" i="35"/>
  <c r="H48" i="35"/>
  <c r="I48" i="35"/>
  <c r="J48" i="35"/>
  <c r="K48" i="35"/>
  <c r="L48" i="35"/>
  <c r="M48" i="35"/>
  <c r="N48" i="35"/>
  <c r="O48" i="35"/>
  <c r="J44" i="35"/>
  <c r="I44" i="35"/>
  <c r="H44" i="35"/>
  <c r="G44" i="35"/>
  <c r="F44" i="35"/>
  <c r="E44" i="35"/>
  <c r="J7" i="35"/>
  <c r="AC7" i="35"/>
  <c r="V38" i="35"/>
  <c r="I38" i="35"/>
  <c r="F7" i="35"/>
  <c r="AA7" i="35"/>
  <c r="R38" i="35"/>
  <c r="E38" i="35"/>
  <c r="I43" i="35"/>
  <c r="J43" i="35"/>
  <c r="H7" i="35"/>
  <c r="AB7" i="35"/>
  <c r="T38" i="35"/>
  <c r="G38" i="35"/>
  <c r="G43" i="35"/>
  <c r="H43" i="35"/>
  <c r="E43" i="35"/>
  <c r="F43" i="35"/>
  <c r="I42" i="35"/>
  <c r="J42" i="35"/>
  <c r="G42" i="35"/>
  <c r="H42" i="35"/>
  <c r="E42" i="35"/>
  <c r="F42" i="35"/>
  <c r="R39" i="35"/>
  <c r="P39" i="35"/>
  <c r="C39" i="35"/>
  <c r="P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W7" i="35"/>
  <c r="U7" i="35"/>
  <c r="S7" i="35"/>
  <c r="F3" i="35"/>
  <c r="D3" i="35"/>
  <c r="D2" i="35"/>
  <c r="B2" i="35"/>
  <c r="B3"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I60" i="37"/>
  <c r="H60" i="37"/>
  <c r="G60" i="37"/>
  <c r="F60" i="37"/>
  <c r="C57" i="37"/>
  <c r="C7" i="37"/>
  <c r="C52" i="37"/>
  <c r="D52" i="37"/>
  <c r="E52" i="37"/>
  <c r="F52" i="37"/>
  <c r="G52" i="37"/>
  <c r="H52" i="37"/>
  <c r="I52" i="37"/>
  <c r="J52" i="37"/>
  <c r="K52" i="37"/>
  <c r="L52" i="37"/>
  <c r="M52" i="37"/>
  <c r="N52" i="37"/>
  <c r="O52" i="37"/>
  <c r="J48" i="37"/>
  <c r="I48" i="37"/>
  <c r="H48" i="37"/>
  <c r="G48" i="37"/>
  <c r="F48" i="37"/>
  <c r="E48" i="37"/>
  <c r="J7" i="37"/>
  <c r="AC7" i="37"/>
  <c r="V42" i="37"/>
  <c r="I42" i="37"/>
  <c r="F7" i="37"/>
  <c r="AA7" i="37"/>
  <c r="R42" i="37"/>
  <c r="E42" i="37"/>
  <c r="I47" i="37"/>
  <c r="J47" i="37"/>
  <c r="H7" i="37"/>
  <c r="AB7" i="37"/>
  <c r="T42" i="37"/>
  <c r="G42" i="37"/>
  <c r="G47" i="37"/>
  <c r="H47" i="37"/>
  <c r="E47" i="37"/>
  <c r="F47" i="37"/>
  <c r="I46" i="37"/>
  <c r="J46" i="37"/>
  <c r="G46" i="37"/>
  <c r="H46" i="37"/>
  <c r="E46" i="37"/>
  <c r="F46" i="37"/>
  <c r="R43" i="37"/>
  <c r="P43" i="37"/>
  <c r="C43" i="37"/>
  <c r="P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W7" i="37"/>
  <c r="U7" i="37"/>
  <c r="S7" i="37"/>
  <c r="D3" i="37"/>
  <c r="D2" i="37"/>
  <c r="B2" i="37"/>
  <c r="B3"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I67" i="34"/>
  <c r="H67" i="34"/>
  <c r="G67" i="34"/>
  <c r="F67" i="34"/>
  <c r="C64" i="34"/>
  <c r="C7" i="34"/>
  <c r="C59" i="34"/>
  <c r="D59" i="34"/>
  <c r="E59" i="34"/>
  <c r="F59" i="34"/>
  <c r="G59" i="34"/>
  <c r="H59" i="34"/>
  <c r="I59" i="34"/>
  <c r="J59" i="34"/>
  <c r="K59" i="34"/>
  <c r="L59" i="34"/>
  <c r="M59" i="34"/>
  <c r="N59" i="34"/>
  <c r="O59" i="34"/>
  <c r="J55" i="34"/>
  <c r="I55" i="34"/>
  <c r="H55" i="34"/>
  <c r="G55" i="34"/>
  <c r="F55" i="34"/>
  <c r="E55" i="34"/>
  <c r="J7" i="34"/>
  <c r="AC7" i="34"/>
  <c r="V49" i="34"/>
  <c r="I49" i="34"/>
  <c r="F7" i="34"/>
  <c r="AA7" i="34"/>
  <c r="R49" i="34"/>
  <c r="E49" i="34"/>
  <c r="I54" i="34"/>
  <c r="J54" i="34"/>
  <c r="H7" i="34"/>
  <c r="AB7" i="34"/>
  <c r="T49" i="34"/>
  <c r="G49" i="34"/>
  <c r="G54" i="34"/>
  <c r="H54" i="34"/>
  <c r="E54" i="34"/>
  <c r="F54" i="34"/>
  <c r="I53" i="34"/>
  <c r="J53" i="34"/>
  <c r="G53" i="34"/>
  <c r="H53" i="34"/>
  <c r="E53" i="34"/>
  <c r="F53" i="34"/>
  <c r="R50" i="34"/>
  <c r="P50" i="34"/>
  <c r="C50" i="34"/>
  <c r="P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W7" i="34"/>
  <c r="U7" i="34"/>
  <c r="S7" i="34"/>
  <c r="D3" i="34"/>
  <c r="D2" i="34"/>
  <c r="B2" i="34"/>
  <c r="B3"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I66" i="33"/>
  <c r="H66" i="33"/>
  <c r="G66" i="33"/>
  <c r="C63" i="33"/>
  <c r="C7" i="33"/>
  <c r="C58" i="33"/>
  <c r="D58" i="33"/>
  <c r="E58" i="33"/>
  <c r="F58" i="33"/>
  <c r="G58" i="33"/>
  <c r="H58" i="33"/>
  <c r="I58" i="33"/>
  <c r="J58" i="33"/>
  <c r="K58" i="33"/>
  <c r="L58" i="33"/>
  <c r="M58" i="33"/>
  <c r="N58" i="33"/>
  <c r="O58" i="33"/>
  <c r="J54" i="33"/>
  <c r="I54" i="33"/>
  <c r="H54" i="33"/>
  <c r="G54" i="33"/>
  <c r="F54" i="33"/>
  <c r="E54" i="33"/>
  <c r="J7" i="33"/>
  <c r="AC7" i="33"/>
  <c r="V48" i="33"/>
  <c r="I48" i="33"/>
  <c r="F7" i="33"/>
  <c r="AA7" i="33"/>
  <c r="R48" i="33"/>
  <c r="E48" i="33"/>
  <c r="I53" i="33"/>
  <c r="J53" i="33"/>
  <c r="H7" i="33"/>
  <c r="AB7" i="33"/>
  <c r="T48" i="33"/>
  <c r="G48" i="33"/>
  <c r="G53" i="33"/>
  <c r="H53" i="33"/>
  <c r="E53" i="33"/>
  <c r="F53" i="33"/>
  <c r="I52" i="33"/>
  <c r="J52" i="33"/>
  <c r="G52" i="33"/>
  <c r="H52" i="33"/>
  <c r="E52" i="33"/>
  <c r="F52" i="33"/>
  <c r="R49" i="33"/>
  <c r="P49" i="33"/>
  <c r="C49" i="33"/>
  <c r="P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W7" i="33"/>
  <c r="U7" i="33"/>
  <c r="S7" i="33"/>
  <c r="D3" i="33"/>
  <c r="D2" i="33"/>
  <c r="B2" i="33"/>
  <c r="B3"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I66" i="21"/>
  <c r="H66" i="21"/>
  <c r="G66" i="21"/>
  <c r="F66" i="21"/>
  <c r="E66" i="21"/>
  <c r="D66" i="21"/>
  <c r="C63" i="21"/>
  <c r="C7" i="21"/>
  <c r="C58" i="21"/>
  <c r="D58" i="21"/>
  <c r="E58" i="21"/>
  <c r="F58" i="21"/>
  <c r="G58" i="21"/>
  <c r="H58" i="21"/>
  <c r="I58" i="21"/>
  <c r="J58" i="21"/>
  <c r="K58" i="21"/>
  <c r="L58" i="21"/>
  <c r="M58" i="21"/>
  <c r="N58" i="21"/>
  <c r="O58" i="21"/>
  <c r="J54" i="21"/>
  <c r="I54" i="21"/>
  <c r="H54" i="21"/>
  <c r="G54" i="21"/>
  <c r="F54" i="21"/>
  <c r="E54" i="21"/>
  <c r="J7" i="21"/>
  <c r="AC7" i="21"/>
  <c r="V48" i="21"/>
  <c r="I48" i="21"/>
  <c r="F7" i="21"/>
  <c r="AA7" i="21"/>
  <c r="R48" i="21"/>
  <c r="E48" i="21"/>
  <c r="I53" i="21"/>
  <c r="J53" i="21"/>
  <c r="H7" i="21"/>
  <c r="AB7" i="21"/>
  <c r="T48" i="21"/>
  <c r="G48" i="21"/>
  <c r="G53" i="21"/>
  <c r="H53" i="21"/>
  <c r="E53" i="21"/>
  <c r="F53" i="21"/>
  <c r="I52" i="21"/>
  <c r="J52" i="21"/>
  <c r="G52" i="21"/>
  <c r="H52" i="21"/>
  <c r="E52" i="21"/>
  <c r="F52" i="21"/>
  <c r="R49" i="21"/>
  <c r="P49" i="21"/>
  <c r="C49" i="21"/>
  <c r="P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W7" i="21"/>
  <c r="U7" i="21"/>
  <c r="S7" i="21"/>
  <c r="D3" i="21"/>
  <c r="D2" i="21"/>
  <c r="B2" i="21"/>
  <c r="B3" i="21"/>
  <c r="C32" i="66"/>
  <c r="C31" i="66"/>
  <c r="C30" i="66"/>
  <c r="C27" i="66"/>
  <c r="E26" i="66"/>
  <c r="I23" i="66"/>
  <c r="I21" i="66"/>
  <c r="I20" i="66"/>
  <c r="D20" i="66"/>
  <c r="I19" i="66"/>
  <c r="I18" i="66"/>
  <c r="I17" i="66"/>
  <c r="I15" i="66"/>
  <c r="E15" i="66"/>
  <c r="I14" i="66"/>
  <c r="I13" i="66"/>
  <c r="I12" i="66"/>
  <c r="I10" i="66"/>
  <c r="E10" i="66"/>
  <c r="I9" i="66"/>
  <c r="I8" i="66"/>
  <c r="I7" i="66"/>
  <c r="I6" i="66"/>
  <c r="I5" i="66"/>
  <c r="I4" i="66"/>
  <c r="I3" i="66"/>
  <c r="D1" i="66"/>
  <c r="E13" i="70"/>
  <c r="AO13" i="1"/>
  <c r="B13" i="70"/>
  <c r="A13" i="70"/>
  <c r="E12" i="70"/>
  <c r="AO12" i="1"/>
  <c r="B12" i="70"/>
  <c r="A12" i="70"/>
  <c r="E11" i="70"/>
  <c r="AO11" i="1"/>
  <c r="B11" i="70"/>
  <c r="A11" i="70"/>
  <c r="E10" i="70"/>
  <c r="AO10" i="1"/>
  <c r="B10" i="70"/>
  <c r="A10" i="70"/>
  <c r="E9" i="70"/>
  <c r="AO9" i="1"/>
  <c r="B9" i="70"/>
  <c r="A9" i="70"/>
  <c r="E8" i="70"/>
  <c r="AO8" i="1"/>
  <c r="B8" i="70"/>
  <c r="A8" i="70"/>
  <c r="E7" i="70"/>
  <c r="AO7" i="1"/>
  <c r="B7" i="70"/>
  <c r="A7" i="70"/>
  <c r="A6" i="70"/>
  <c r="BA5" i="3"/>
  <c r="E27" i="6"/>
  <c r="K19" i="6"/>
  <c r="S6" i="1"/>
  <c r="E6" i="70"/>
  <c r="G1" i="15"/>
  <c r="F32" i="15"/>
  <c r="S13" i="1"/>
  <c r="T13" i="1"/>
  <c r="S10" i="1"/>
  <c r="T10" i="1"/>
  <c r="F15" i="15"/>
  <c r="F17" i="15"/>
  <c r="F18" i="15"/>
  <c r="F20" i="15"/>
  <c r="F21" i="15"/>
  <c r="F28" i="15"/>
  <c r="C28" i="15"/>
  <c r="F33" i="15"/>
  <c r="R13" i="1"/>
  <c r="R10" i="1"/>
  <c r="AE13" i="1"/>
  <c r="AE10" i="1"/>
  <c r="M47" i="15"/>
  <c r="J50" i="15"/>
  <c r="J51" i="15"/>
  <c r="C76" i="15"/>
  <c r="L51" i="15"/>
  <c r="L57" i="15"/>
  <c r="L47" i="15"/>
  <c r="L58" i="15"/>
  <c r="L59" i="15"/>
  <c r="L60" i="15"/>
  <c r="AO6" i="1"/>
  <c r="B6" i="70"/>
  <c r="B2" i="70"/>
  <c r="E2" i="70"/>
  <c r="B3" i="70"/>
  <c r="G1" i="67"/>
  <c r="F43" i="67"/>
  <c r="K20" i="6"/>
  <c r="S7" i="1"/>
  <c r="K21" i="6"/>
  <c r="S8" i="1"/>
  <c r="K22" i="6"/>
  <c r="S9" i="1"/>
  <c r="K23" i="6"/>
  <c r="K24" i="6"/>
  <c r="S11" i="1"/>
  <c r="K25" i="6"/>
  <c r="S12" i="1"/>
  <c r="C14" i="67"/>
  <c r="F15" i="67"/>
  <c r="C15" i="67"/>
  <c r="F16" i="67"/>
  <c r="C16" i="67"/>
  <c r="F17" i="67"/>
  <c r="C17" i="67"/>
  <c r="F18" i="67"/>
  <c r="C18" i="67"/>
  <c r="C19" i="67"/>
  <c r="F20" i="67"/>
  <c r="C20" i="67"/>
  <c r="F24" i="67"/>
  <c r="F23" i="67"/>
  <c r="C23" i="67"/>
  <c r="F26" i="67"/>
  <c r="C26" i="67"/>
  <c r="F21" i="67"/>
  <c r="C24" i="67"/>
  <c r="C27" i="67"/>
  <c r="F28" i="67"/>
  <c r="C28" i="67"/>
  <c r="C29" i="67"/>
  <c r="F13" i="67"/>
  <c r="C13" i="67"/>
  <c r="F6" i="67"/>
  <c r="F8" i="67"/>
  <c r="F7" i="67"/>
  <c r="F9" i="67"/>
  <c r="C6" i="67"/>
  <c r="F11" i="67"/>
  <c r="C10" i="67"/>
  <c r="C5" i="67"/>
  <c r="F32" i="67"/>
  <c r="C32" i="67"/>
  <c r="C33" i="67"/>
  <c r="L19" i="6"/>
  <c r="M19" i="6"/>
  <c r="I19" i="6"/>
  <c r="L20" i="6"/>
  <c r="M20" i="6"/>
  <c r="I20" i="6"/>
  <c r="L21" i="6"/>
  <c r="M21" i="6"/>
  <c r="I21" i="6"/>
  <c r="L22" i="6"/>
  <c r="M22" i="6"/>
  <c r="I22" i="6"/>
  <c r="L23" i="6"/>
  <c r="M23" i="6"/>
  <c r="I23" i="6"/>
  <c r="L24" i="6"/>
  <c r="M24" i="6"/>
  <c r="I24" i="6"/>
  <c r="L25" i="6"/>
  <c r="M25" i="6"/>
  <c r="I25" i="6"/>
  <c r="F35" i="67"/>
  <c r="F34" i="67"/>
  <c r="C34" i="67"/>
  <c r="C31" i="67"/>
  <c r="F36" i="67"/>
  <c r="C36" i="67"/>
  <c r="F37" i="67"/>
  <c r="C37" i="67"/>
  <c r="F38" i="67"/>
  <c r="C38" i="67"/>
  <c r="C30" i="67"/>
  <c r="C39" i="67"/>
  <c r="F42" i="67"/>
  <c r="F40" i="67"/>
  <c r="AE11" i="1"/>
  <c r="AE12" i="1"/>
  <c r="F41" i="67"/>
  <c r="C40" i="67"/>
  <c r="C83" i="67"/>
  <c r="C82" i="67"/>
  <c r="C76" i="67"/>
  <c r="C75" i="67"/>
  <c r="C80" i="67"/>
  <c r="C79" i="67"/>
  <c r="M6" i="67"/>
  <c r="M8" i="67"/>
  <c r="M7" i="67"/>
  <c r="M9" i="67"/>
  <c r="J6" i="67"/>
  <c r="M11" i="67"/>
  <c r="J10" i="67"/>
  <c r="J5" i="67"/>
  <c r="J26" i="67"/>
  <c r="J29" i="67"/>
  <c r="Q65" i="67"/>
  <c r="L48" i="67"/>
  <c r="L51" i="67"/>
  <c r="J51" i="67"/>
  <c r="L57" i="67"/>
  <c r="L47" i="67"/>
  <c r="L58" i="67"/>
  <c r="L59" i="67"/>
  <c r="L60" i="67"/>
  <c r="Q66" i="67"/>
  <c r="Q75" i="67"/>
  <c r="Q74" i="67"/>
  <c r="P74" i="67"/>
  <c r="Q73" i="67"/>
  <c r="Q72" i="67"/>
  <c r="Q71" i="67"/>
  <c r="F71" i="67"/>
  <c r="F51" i="67"/>
  <c r="F50" i="67"/>
  <c r="C49" i="67"/>
  <c r="C53" i="67"/>
  <c r="C48" i="67"/>
  <c r="F60" i="67"/>
  <c r="C60" i="67"/>
  <c r="C57" i="67"/>
  <c r="C61" i="67"/>
  <c r="F63" i="67"/>
  <c r="F62" i="67"/>
  <c r="C62" i="67"/>
  <c r="C59" i="67"/>
  <c r="F64" i="67"/>
  <c r="C64" i="67"/>
  <c r="C56" i="67"/>
  <c r="F65" i="67"/>
  <c r="C65" i="67"/>
  <c r="F66" i="67"/>
  <c r="C66" i="67"/>
  <c r="C58" i="67"/>
  <c r="C67" i="67"/>
  <c r="F70" i="67"/>
  <c r="F68" i="67"/>
  <c r="F69" i="67"/>
  <c r="C68" i="67"/>
  <c r="C71" i="67"/>
  <c r="Q70" i="67"/>
  <c r="Q69" i="67"/>
  <c r="Q68" i="67"/>
  <c r="Q67" i="67"/>
  <c r="Q56" i="67"/>
  <c r="Q57" i="67"/>
  <c r="Q62" i="67"/>
  <c r="Q61" i="67"/>
  <c r="P61" i="67"/>
  <c r="F61" i="67"/>
  <c r="Q60" i="67"/>
  <c r="J57" i="67"/>
  <c r="J55" i="67"/>
  <c r="J58" i="67"/>
  <c r="J59" i="67"/>
  <c r="J53" i="67"/>
  <c r="J60" i="67"/>
  <c r="Q59" i="67"/>
  <c r="N59" i="67"/>
  <c r="M59" i="67"/>
  <c r="K59" i="67"/>
  <c r="F59" i="67"/>
  <c r="Q58" i="67"/>
  <c r="L56" i="67"/>
  <c r="I54" i="67"/>
  <c r="Q47" i="67"/>
  <c r="Q48" i="67"/>
  <c r="Q53" i="67"/>
  <c r="Q52" i="67"/>
  <c r="Q51" i="67"/>
  <c r="Q50" i="67"/>
  <c r="J50" i="67"/>
  <c r="Q49" i="67"/>
  <c r="M47" i="67"/>
  <c r="L46" i="67"/>
  <c r="D46" i="67"/>
  <c r="C45" i="67"/>
  <c r="C46" i="67"/>
  <c r="C43" i="67"/>
  <c r="F33" i="67"/>
  <c r="F31" i="67"/>
  <c r="M29" i="67"/>
  <c r="M28" i="67"/>
  <c r="AG6" i="1"/>
  <c r="M27" i="67"/>
  <c r="M26" i="67"/>
  <c r="M18" i="67"/>
  <c r="J18" i="67"/>
  <c r="J19" i="67"/>
  <c r="M21" i="67"/>
  <c r="M20" i="67"/>
  <c r="J20" i="67"/>
  <c r="J17" i="67"/>
  <c r="J14" i="67"/>
  <c r="M22" i="67"/>
  <c r="J22" i="67"/>
  <c r="J15" i="67"/>
  <c r="J13" i="67"/>
  <c r="M23" i="67"/>
  <c r="J23" i="67"/>
  <c r="M24" i="67"/>
  <c r="J24" i="67"/>
  <c r="J16" i="67"/>
  <c r="J25" i="67"/>
  <c r="D24" i="67"/>
  <c r="D23" i="67"/>
  <c r="D22" i="67"/>
  <c r="M19" i="67"/>
  <c r="M17" i="67"/>
  <c r="D2" i="67"/>
  <c r="B3" i="67"/>
  <c r="B2" i="67"/>
  <c r="F1" i="67"/>
  <c r="T6" i="1"/>
  <c r="T7" i="1"/>
  <c r="T8" i="1"/>
  <c r="T9" i="1"/>
  <c r="T11" i="1"/>
  <c r="T12" i="1"/>
  <c r="F23" i="15"/>
  <c r="C83" i="15"/>
  <c r="C82" i="15"/>
  <c r="C75" i="15"/>
  <c r="C80" i="15"/>
  <c r="C79" i="15"/>
  <c r="Q65" i="15"/>
  <c r="Q66" i="15"/>
  <c r="Q75" i="15"/>
  <c r="Q74" i="15"/>
  <c r="K59" i="15"/>
  <c r="P74" i="15"/>
  <c r="Q73" i="15"/>
  <c r="Q72" i="15"/>
  <c r="Q71" i="15"/>
  <c r="F71" i="15"/>
  <c r="F51" i="15"/>
  <c r="F50" i="15"/>
  <c r="C49" i="15"/>
  <c r="C53" i="15"/>
  <c r="C48" i="15"/>
  <c r="F60" i="15"/>
  <c r="C60" i="15"/>
  <c r="C57" i="15"/>
  <c r="F61" i="15"/>
  <c r="C61" i="15"/>
  <c r="F63" i="15"/>
  <c r="F62" i="15"/>
  <c r="C62" i="15"/>
  <c r="C59" i="15"/>
  <c r="F64" i="15"/>
  <c r="C64" i="15"/>
  <c r="C56" i="15"/>
  <c r="F65" i="15"/>
  <c r="C65" i="15"/>
  <c r="F66" i="15"/>
  <c r="C66" i="15"/>
  <c r="C58" i="15"/>
  <c r="C67" i="15"/>
  <c r="F68" i="15"/>
  <c r="F69" i="15"/>
  <c r="C68" i="15"/>
  <c r="C71" i="15"/>
  <c r="Q70" i="15"/>
  <c r="Q69" i="15"/>
  <c r="Q68" i="15"/>
  <c r="Q67" i="15"/>
  <c r="Q56" i="15"/>
  <c r="Q57" i="15"/>
  <c r="Q62" i="15"/>
  <c r="Q61" i="15"/>
  <c r="P61" i="15"/>
  <c r="Q60" i="15"/>
  <c r="Q59" i="15"/>
  <c r="N59" i="15"/>
  <c r="M59" i="15"/>
  <c r="F59" i="15"/>
  <c r="Q58" i="15"/>
  <c r="L56" i="15"/>
  <c r="I54" i="15"/>
  <c r="Q47" i="15"/>
  <c r="Q48" i="15"/>
  <c r="Q53" i="15"/>
  <c r="Q52" i="15"/>
  <c r="Q51" i="15"/>
  <c r="Q50" i="15"/>
  <c r="Q49" i="15"/>
  <c r="D46" i="15"/>
  <c r="C46" i="15"/>
  <c r="C43" i="15"/>
  <c r="F31" i="15"/>
  <c r="M29" i="15"/>
  <c r="M28" i="15"/>
  <c r="M27" i="15"/>
  <c r="M26" i="15"/>
  <c r="M18" i="15"/>
  <c r="J18" i="15"/>
  <c r="J19" i="15"/>
  <c r="M21" i="15"/>
  <c r="M20" i="15"/>
  <c r="J20" i="15"/>
  <c r="J17" i="15"/>
  <c r="J14" i="15"/>
  <c r="M22" i="15"/>
  <c r="J22" i="15"/>
  <c r="J15" i="15"/>
  <c r="J13" i="15"/>
  <c r="M23" i="15"/>
  <c r="J23" i="15"/>
  <c r="M24" i="15"/>
  <c r="J24" i="15"/>
  <c r="J16" i="15"/>
  <c r="J25" i="15"/>
  <c r="D24" i="15"/>
  <c r="D23" i="15"/>
  <c r="D22" i="15"/>
  <c r="M19" i="15"/>
  <c r="M17" i="15"/>
  <c r="O6" i="1"/>
  <c r="P6" i="1"/>
  <c r="O7" i="1"/>
  <c r="P7" i="1"/>
  <c r="O8" i="1"/>
  <c r="P8" i="1"/>
  <c r="O9" i="1"/>
  <c r="P9" i="1"/>
  <c r="O10" i="1"/>
  <c r="P10" i="1"/>
  <c r="O11" i="1"/>
  <c r="P11" i="1"/>
  <c r="O12" i="1"/>
  <c r="P12" i="1"/>
  <c r="O13" i="1"/>
  <c r="P13" i="1"/>
  <c r="O14" i="1"/>
  <c r="P14" i="1"/>
  <c r="P16" i="1"/>
  <c r="C11" i="12"/>
  <c r="F12" i="12"/>
  <c r="C12" i="12"/>
  <c r="F13" i="12"/>
  <c r="C13" i="12"/>
  <c r="D14" i="12"/>
  <c r="F11" i="12"/>
  <c r="E14" i="12"/>
  <c r="C14" i="12"/>
  <c r="F15" i="12"/>
  <c r="C15" i="12"/>
  <c r="C16" i="12"/>
  <c r="D17" i="12"/>
  <c r="E17" i="12"/>
  <c r="C17" i="12"/>
  <c r="D19" i="12"/>
  <c r="E19" i="12"/>
  <c r="C19" i="12"/>
  <c r="D20" i="12"/>
  <c r="E20" i="12"/>
  <c r="C20" i="12"/>
  <c r="F23" i="12"/>
  <c r="C23" i="12"/>
  <c r="F25" i="12"/>
  <c r="F28" i="12"/>
  <c r="F24" i="12"/>
  <c r="C24" i="12"/>
  <c r="C26" i="12"/>
  <c r="D25" i="12"/>
  <c r="C29" i="12"/>
  <c r="D28" i="12"/>
  <c r="F31" i="12"/>
  <c r="C31" i="12"/>
  <c r="G27" i="12"/>
  <c r="G26" i="12"/>
  <c r="G25" i="12"/>
  <c r="F22" i="12"/>
  <c r="K7" i="12"/>
  <c r="J7" i="12"/>
  <c r="I7" i="12"/>
  <c r="H7" i="12"/>
  <c r="G7" i="12"/>
  <c r="F7" i="12"/>
  <c r="E7" i="12"/>
  <c r="D7" i="12"/>
  <c r="C7" i="12"/>
  <c r="C4" i="12"/>
  <c r="K1" i="12"/>
  <c r="C34" i="69"/>
  <c r="F35" i="69"/>
  <c r="C35" i="69"/>
  <c r="AP6" i="1"/>
  <c r="AP7" i="1"/>
  <c r="AP8" i="1"/>
  <c r="AP9" i="1"/>
  <c r="AP10" i="1"/>
  <c r="AP11" i="1"/>
  <c r="AP12" i="1"/>
  <c r="AP13" i="1"/>
  <c r="F36" i="69"/>
  <c r="C36" i="69"/>
  <c r="D9" i="69"/>
  <c r="D10" i="69"/>
  <c r="D19" i="69"/>
  <c r="D37" i="69"/>
  <c r="E37" i="69"/>
  <c r="C37" i="69"/>
  <c r="F38" i="69"/>
  <c r="C38" i="69"/>
  <c r="C33" i="69"/>
  <c r="F20" i="69"/>
  <c r="C39" i="69"/>
  <c r="F22" i="69"/>
  <c r="C42" i="69"/>
  <c r="C43" i="69"/>
  <c r="C41" i="69"/>
  <c r="F27" i="69"/>
  <c r="C46" i="69"/>
  <c r="C45" i="69"/>
  <c r="F21" i="69"/>
  <c r="C40" i="69"/>
  <c r="C44" i="69"/>
  <c r="D41" i="69"/>
  <c r="C47" i="69"/>
  <c r="D45" i="69"/>
  <c r="F30" i="69"/>
  <c r="C48" i="69"/>
  <c r="C49" i="69"/>
  <c r="F50" i="69"/>
  <c r="C51" i="69"/>
  <c r="E9" i="69"/>
  <c r="C9" i="69"/>
  <c r="E10" i="69"/>
  <c r="C10" i="69"/>
  <c r="C8" i="69"/>
  <c r="F7" i="69"/>
  <c r="C7" i="69"/>
  <c r="C5" i="69"/>
  <c r="E19" i="69"/>
  <c r="C19" i="69"/>
  <c r="C20" i="69"/>
  <c r="C23" i="69"/>
  <c r="C24" i="69"/>
  <c r="C25" i="69"/>
  <c r="C22" i="69"/>
  <c r="C28" i="69"/>
  <c r="C27" i="69"/>
  <c r="C26" i="69"/>
  <c r="D22" i="69"/>
  <c r="C21" i="69"/>
  <c r="C29" i="69"/>
  <c r="D27" i="69"/>
  <c r="C30" i="69"/>
  <c r="C31" i="69"/>
  <c r="C52" i="69"/>
  <c r="C57" i="69"/>
  <c r="C56" i="69"/>
  <c r="G41" i="69"/>
  <c r="G22" i="69"/>
  <c r="B2" i="69"/>
  <c r="B3" i="69"/>
  <c r="E2" i="69"/>
  <c r="H1" i="69"/>
  <c r="G1" i="69"/>
  <c r="F35" i="68"/>
  <c r="F36" i="68"/>
  <c r="E37" i="68"/>
  <c r="F38" i="68"/>
  <c r="F20" i="68"/>
  <c r="F21" i="68"/>
  <c r="C40" i="68"/>
  <c r="F30" i="68"/>
  <c r="C48" i="68"/>
  <c r="C19" i="68"/>
  <c r="C21" i="68"/>
  <c r="C30" i="68"/>
  <c r="G41" i="68"/>
  <c r="G22" i="68"/>
  <c r="E19" i="68"/>
  <c r="E10" i="68"/>
  <c r="E9" i="68"/>
  <c r="C9" i="68"/>
  <c r="F7" i="68"/>
  <c r="C7" i="68"/>
  <c r="E2" i="68"/>
  <c r="G1" i="68"/>
  <c r="E111" i="9"/>
  <c r="H111" i="9"/>
  <c r="D126" i="9"/>
  <c r="D127" i="9"/>
  <c r="A126" i="9"/>
  <c r="E109" i="9"/>
  <c r="H101" i="9"/>
  <c r="H109" i="9"/>
  <c r="D124" i="9"/>
  <c r="D125" i="9"/>
  <c r="A124" i="9"/>
  <c r="E107" i="9"/>
  <c r="H107" i="9"/>
  <c r="D122" i="9"/>
  <c r="D123" i="9"/>
  <c r="A122" i="9"/>
  <c r="D121" i="9"/>
  <c r="A120" i="9"/>
  <c r="K120" i="9"/>
  <c r="D120" i="9"/>
  <c r="H119" i="9"/>
  <c r="D35" i="9"/>
  <c r="C35" i="9"/>
  <c r="F118" i="9"/>
  <c r="F119" i="9"/>
  <c r="C34" i="9"/>
  <c r="D118" i="9"/>
  <c r="D119" i="9"/>
  <c r="M18" i="9"/>
  <c r="B118" i="9"/>
  <c r="I118" i="9"/>
  <c r="G118" i="9"/>
  <c r="E118" i="9"/>
  <c r="S2" i="4"/>
  <c r="A118" i="9"/>
  <c r="H112" i="9"/>
  <c r="H110" i="9"/>
  <c r="H108" i="9"/>
  <c r="H106" i="9"/>
  <c r="H105" i="9"/>
  <c r="C105" i="9"/>
  <c r="H104" i="9"/>
  <c r="C104" i="9"/>
  <c r="H103" i="9"/>
  <c r="D20" i="9"/>
  <c r="D103" i="9"/>
  <c r="B3" i="68"/>
  <c r="C20" i="9"/>
  <c r="C103" i="9"/>
  <c r="H102" i="9"/>
  <c r="D102" i="9"/>
  <c r="C102" i="9"/>
  <c r="D101" i="9"/>
  <c r="C101" i="9"/>
  <c r="D45" i="9"/>
  <c r="C85" i="9"/>
  <c r="C91" i="9"/>
  <c r="D89" i="9"/>
  <c r="C89" i="9"/>
  <c r="C87" i="9"/>
  <c r="C92" i="9"/>
  <c r="D93" i="9"/>
  <c r="C93" i="9"/>
  <c r="C94" i="9"/>
  <c r="C86" i="9"/>
  <c r="C95" i="9"/>
  <c r="C96" i="9"/>
  <c r="E96" i="9"/>
  <c r="E97" i="9"/>
  <c r="C97" i="9"/>
  <c r="E90" i="9"/>
  <c r="C72" i="9"/>
  <c r="D78" i="9"/>
  <c r="C78" i="9"/>
  <c r="D77" i="9"/>
  <c r="C77" i="9"/>
  <c r="C74" i="9"/>
  <c r="C73" i="9"/>
  <c r="C79" i="9"/>
  <c r="C80" i="9"/>
  <c r="E80" i="9"/>
  <c r="E81" i="9"/>
  <c r="C81" i="9"/>
  <c r="H77" i="9"/>
  <c r="C76" i="9"/>
  <c r="M49" i="9"/>
  <c r="L63" i="9"/>
  <c r="M63" i="9"/>
  <c r="L64" i="9"/>
  <c r="M64" i="9"/>
  <c r="L65" i="9"/>
  <c r="M65" i="9"/>
  <c r="L66" i="9"/>
  <c r="M66" i="9"/>
  <c r="L67" i="9"/>
  <c r="M67" i="9"/>
  <c r="L68" i="9"/>
  <c r="M68" i="9"/>
  <c r="M69" i="9"/>
  <c r="N69" i="9"/>
  <c r="D68" i="9"/>
  <c r="C64" i="9"/>
  <c r="C63" i="9"/>
  <c r="C67" i="9"/>
  <c r="C68" i="9"/>
  <c r="D48" i="9"/>
  <c r="M52" i="9"/>
  <c r="I55" i="9"/>
  <c r="D55" i="9"/>
  <c r="M53" i="9"/>
  <c r="D58" i="9"/>
  <c r="D56" i="9"/>
  <c r="M54" i="9"/>
  <c r="D59" i="9"/>
  <c r="M55" i="9"/>
  <c r="K6" i="4"/>
  <c r="M56" i="9"/>
  <c r="N57" i="9"/>
  <c r="N59" i="9"/>
  <c r="N61" i="9"/>
  <c r="J56" i="9"/>
  <c r="J57" i="9"/>
  <c r="J59" i="9"/>
  <c r="J61" i="9"/>
  <c r="N60" i="9"/>
  <c r="F59" i="9"/>
  <c r="E59" i="9"/>
  <c r="N58" i="9"/>
  <c r="P57" i="9"/>
  <c r="N56" i="9"/>
  <c r="K56" i="9"/>
  <c r="F56" i="9"/>
  <c r="O55" i="9"/>
  <c r="N55" i="9"/>
  <c r="K55" i="9"/>
  <c r="J55" i="9"/>
  <c r="F55" i="9"/>
  <c r="O54" i="9"/>
  <c r="N54" i="9"/>
  <c r="F54" i="9"/>
  <c r="D54" i="9"/>
  <c r="O53" i="9"/>
  <c r="N53" i="9"/>
  <c r="F53" i="9"/>
  <c r="D53" i="9"/>
  <c r="F48" i="9"/>
  <c r="O52" i="9"/>
  <c r="N52" i="9"/>
  <c r="F52" i="9"/>
  <c r="D52" i="9"/>
  <c r="K49" i="9"/>
  <c r="M48" i="9"/>
  <c r="E48" i="9"/>
  <c r="M47" i="9"/>
  <c r="D34" i="9"/>
  <c r="F33" i="9"/>
  <c r="D27" i="9"/>
  <c r="C25" i="9"/>
  <c r="C24" i="9"/>
  <c r="D22" i="9"/>
  <c r="G20" i="9"/>
  <c r="L18" i="9"/>
  <c r="L4" i="9"/>
  <c r="K4" i="9"/>
  <c r="A2" i="9"/>
  <c r="H1" i="9"/>
  <c r="F23" i="74"/>
  <c r="E23" i="74"/>
  <c r="F22" i="74"/>
  <c r="E22" i="74"/>
  <c r="F21" i="74"/>
  <c r="E21" i="74"/>
  <c r="F20" i="74"/>
  <c r="E20" i="74"/>
  <c r="F15" i="74"/>
  <c r="E15" i="74"/>
  <c r="I14" i="74"/>
  <c r="H14" i="74"/>
  <c r="G14" i="74"/>
  <c r="B14" i="74"/>
  <c r="B8" i="74"/>
  <c r="B1" i="74"/>
  <c r="C8" i="74"/>
  <c r="B7" i="74"/>
  <c r="C7" i="74"/>
  <c r="B3" i="74"/>
  <c r="C24" i="20"/>
  <c r="C22" i="20"/>
  <c r="C21" i="20"/>
  <c r="G20" i="20"/>
  <c r="C20" i="20"/>
  <c r="G19" i="20"/>
  <c r="G18" i="20"/>
  <c r="C18" i="20"/>
  <c r="C17" i="20"/>
  <c r="G16" i="20"/>
  <c r="C16" i="20"/>
  <c r="G15" i="20"/>
  <c r="C15" i="20"/>
  <c r="T16" i="1"/>
  <c r="S16" i="1"/>
  <c r="O16" i="1"/>
  <c r="L16" i="1"/>
  <c r="BM5" i="3"/>
  <c r="BO5" i="3"/>
  <c r="F29" i="6"/>
  <c r="BN5" i="3"/>
  <c r="G29" i="6"/>
  <c r="E29" i="6"/>
  <c r="K15" i="1"/>
  <c r="K16" i="1"/>
  <c r="H16" i="1"/>
  <c r="AR13" i="1"/>
  <c r="AQ13" i="1"/>
  <c r="AG13" i="1"/>
  <c r="F13" i="1"/>
  <c r="D13" i="1"/>
  <c r="G13" i="1"/>
  <c r="E13" i="1"/>
  <c r="B13" i="1"/>
  <c r="A13" i="1"/>
  <c r="AR12" i="1"/>
  <c r="AQ12" i="1"/>
  <c r="AG12" i="1"/>
  <c r="B12" i="1"/>
  <c r="E12" i="1"/>
  <c r="AR11" i="1"/>
  <c r="AQ11" i="1"/>
  <c r="AG11" i="1"/>
  <c r="B11" i="1"/>
  <c r="E11" i="1"/>
  <c r="AR10" i="1"/>
  <c r="AQ10" i="1"/>
  <c r="AG10" i="1"/>
  <c r="B10" i="1"/>
  <c r="E10" i="1"/>
  <c r="AR9" i="1"/>
  <c r="AQ9" i="1"/>
  <c r="AG9" i="1"/>
  <c r="B9" i="1"/>
  <c r="E9" i="1"/>
  <c r="AR8" i="1"/>
  <c r="AQ8" i="1"/>
  <c r="AG8" i="1"/>
  <c r="B8" i="1"/>
  <c r="E8" i="1"/>
  <c r="AR7" i="1"/>
  <c r="AQ7" i="1"/>
  <c r="AG7" i="1"/>
  <c r="B7" i="1"/>
  <c r="E7" i="1"/>
  <c r="AR6" i="1"/>
  <c r="AQ6" i="1"/>
  <c r="B6" i="1"/>
  <c r="E6" i="1"/>
  <c r="T4" i="1"/>
  <c r="E32" i="6"/>
  <c r="G27" i="6"/>
  <c r="G30" i="6"/>
  <c r="G31" i="6"/>
  <c r="F30" i="6"/>
  <c r="E30" i="6"/>
  <c r="E31" i="6"/>
  <c r="S19" i="6"/>
  <c r="S20" i="6"/>
  <c r="S21" i="6"/>
  <c r="S22" i="6"/>
  <c r="S23" i="6"/>
  <c r="S24" i="6"/>
  <c r="S25" i="6"/>
  <c r="K26" i="6"/>
  <c r="L26" i="6"/>
  <c r="M26" i="6"/>
  <c r="I26" i="6"/>
  <c r="S26" i="6"/>
  <c r="S27" i="6"/>
  <c r="P27" i="6"/>
  <c r="O27" i="6"/>
  <c r="N27" i="6"/>
  <c r="M27" i="6"/>
  <c r="L27" i="6"/>
  <c r="K27" i="6"/>
  <c r="I27" i="6"/>
  <c r="P26" i="6"/>
  <c r="E26" i="6"/>
  <c r="P25" i="6"/>
  <c r="E25" i="6"/>
  <c r="P24" i="6"/>
  <c r="E24" i="6"/>
  <c r="P23" i="6"/>
  <c r="E23" i="6"/>
  <c r="P22" i="6"/>
  <c r="P21" i="6"/>
  <c r="P20" i="6"/>
  <c r="P19" i="6"/>
  <c r="E10" i="6"/>
  <c r="E16" i="6"/>
  <c r="BT587" i="3"/>
  <c r="BS587" i="3"/>
  <c r="BR587" i="3"/>
  <c r="BQ587" i="3"/>
  <c r="BP587" i="3"/>
  <c r="BO587" i="3"/>
  <c r="BN587" i="3"/>
  <c r="BM587" i="3"/>
  <c r="BL587" i="3"/>
  <c r="BK587" i="3"/>
  <c r="BJ587" i="3"/>
  <c r="BI587" i="3"/>
  <c r="BH587" i="3"/>
  <c r="BG587" i="3"/>
  <c r="BF587" i="3"/>
  <c r="BE587" i="3"/>
  <c r="BD587" i="3"/>
  <c r="BC587" i="3"/>
  <c r="BB587" i="3"/>
  <c r="BA587" i="3"/>
  <c r="AZ587" i="3"/>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c r="AZ586" i="3"/>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c r="AZ585" i="3"/>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c r="AZ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c r="AZ583" i="3"/>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c r="AZ582" i="3"/>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c r="AZ581" i="3"/>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c r="AZ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c r="AZ579" i="3"/>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c r="AZ578" i="3"/>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c r="AZ577" i="3"/>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c r="AZ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c r="AZ575" i="3"/>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c r="AZ574" i="3"/>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c r="AZ573" i="3"/>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AX109" i="3"/>
  <c r="AW109" i="3"/>
  <c r="AV109" i="3"/>
  <c r="AC109" i="3"/>
  <c r="BT108" i="3"/>
  <c r="BS108" i="3"/>
  <c r="BR108" i="3"/>
  <c r="BQ108" i="3"/>
  <c r="BP108" i="3"/>
  <c r="BO108" i="3"/>
  <c r="BN108" i="3"/>
  <c r="BM108" i="3"/>
  <c r="BL108" i="3"/>
  <c r="BK108" i="3"/>
  <c r="BJ108" i="3"/>
  <c r="BI108" i="3"/>
  <c r="BH108" i="3"/>
  <c r="BG108" i="3"/>
  <c r="BF108" i="3"/>
  <c r="BE108" i="3"/>
  <c r="BD108" i="3"/>
  <c r="AX108" i="3"/>
  <c r="AW108" i="3"/>
  <c r="AV108" i="3"/>
  <c r="AC108" i="3"/>
  <c r="BT107" i="3"/>
  <c r="BS107" i="3"/>
  <c r="BR107" i="3"/>
  <c r="BQ107" i="3"/>
  <c r="BP107" i="3"/>
  <c r="BO107" i="3"/>
  <c r="BN107" i="3"/>
  <c r="BM107" i="3"/>
  <c r="BL107" i="3"/>
  <c r="BK107" i="3"/>
  <c r="BJ107" i="3"/>
  <c r="BI107" i="3"/>
  <c r="BH107" i="3"/>
  <c r="BG107" i="3"/>
  <c r="BF107" i="3"/>
  <c r="BE107" i="3"/>
  <c r="BD107" i="3"/>
  <c r="AX107" i="3"/>
  <c r="AW107" i="3"/>
  <c r="AV107" i="3"/>
  <c r="AC107" i="3"/>
  <c r="BT106" i="3"/>
  <c r="BS106" i="3"/>
  <c r="BR106" i="3"/>
  <c r="BQ106" i="3"/>
  <c r="BP106" i="3"/>
  <c r="BO106" i="3"/>
  <c r="BN106" i="3"/>
  <c r="BM106" i="3"/>
  <c r="BL106" i="3"/>
  <c r="BK106" i="3"/>
  <c r="BJ106" i="3"/>
  <c r="BI106" i="3"/>
  <c r="BH106" i="3"/>
  <c r="BG106" i="3"/>
  <c r="BF106" i="3"/>
  <c r="BE106" i="3"/>
  <c r="BD106" i="3"/>
  <c r="AX106" i="3"/>
  <c r="AW106" i="3"/>
  <c r="AV106" i="3"/>
  <c r="AC106" i="3"/>
  <c r="BT105" i="3"/>
  <c r="BS105" i="3"/>
  <c r="BR105" i="3"/>
  <c r="BQ105" i="3"/>
  <c r="BP105" i="3"/>
  <c r="BO105" i="3"/>
  <c r="BN105" i="3"/>
  <c r="BM105" i="3"/>
  <c r="BL105" i="3"/>
  <c r="BK105" i="3"/>
  <c r="BJ105" i="3"/>
  <c r="BI105" i="3"/>
  <c r="BH105" i="3"/>
  <c r="BG105" i="3"/>
  <c r="BF105" i="3"/>
  <c r="BE105" i="3"/>
  <c r="BD105" i="3"/>
  <c r="AX105" i="3"/>
  <c r="AW105" i="3"/>
  <c r="AV105" i="3"/>
  <c r="AC105" i="3"/>
  <c r="BT104" i="3"/>
  <c r="BS104" i="3"/>
  <c r="BR104" i="3"/>
  <c r="BQ104" i="3"/>
  <c r="BP104" i="3"/>
  <c r="BO104" i="3"/>
  <c r="BN104" i="3"/>
  <c r="BM104" i="3"/>
  <c r="BL104" i="3"/>
  <c r="BK104" i="3"/>
  <c r="BJ104" i="3"/>
  <c r="BI104" i="3"/>
  <c r="BH104" i="3"/>
  <c r="BG104" i="3"/>
  <c r="BF104" i="3"/>
  <c r="BE104" i="3"/>
  <c r="BD104" i="3"/>
  <c r="AX104" i="3"/>
  <c r="AW104" i="3"/>
  <c r="AV104" i="3"/>
  <c r="AC104" i="3"/>
  <c r="BT103" i="3"/>
  <c r="BS103" i="3"/>
  <c r="BR103" i="3"/>
  <c r="BQ103" i="3"/>
  <c r="BP103" i="3"/>
  <c r="BO103" i="3"/>
  <c r="BN103" i="3"/>
  <c r="BM103" i="3"/>
  <c r="BL103" i="3"/>
  <c r="BK103" i="3"/>
  <c r="BJ103" i="3"/>
  <c r="BI103" i="3"/>
  <c r="BH103" i="3"/>
  <c r="BG103" i="3"/>
  <c r="BF103" i="3"/>
  <c r="BE103" i="3"/>
  <c r="BD103" i="3"/>
  <c r="AX103" i="3"/>
  <c r="AW103" i="3"/>
  <c r="AV103" i="3"/>
  <c r="AC103" i="3"/>
  <c r="BT102" i="3"/>
  <c r="BS102" i="3"/>
  <c r="BR102" i="3"/>
  <c r="BQ102" i="3"/>
  <c r="BP102" i="3"/>
  <c r="BO102" i="3"/>
  <c r="BN102" i="3"/>
  <c r="BM102" i="3"/>
  <c r="BL102" i="3"/>
  <c r="BK102" i="3"/>
  <c r="BJ102" i="3"/>
  <c r="BI102" i="3"/>
  <c r="BH102" i="3"/>
  <c r="BG102" i="3"/>
  <c r="BF102" i="3"/>
  <c r="BE102" i="3"/>
  <c r="BD102" i="3"/>
  <c r="AX102" i="3"/>
  <c r="AW102" i="3"/>
  <c r="AV102" i="3"/>
  <c r="AC102" i="3"/>
  <c r="BT101" i="3"/>
  <c r="BS101" i="3"/>
  <c r="BR101" i="3"/>
  <c r="BQ101" i="3"/>
  <c r="BP101" i="3"/>
  <c r="BO101" i="3"/>
  <c r="BN101" i="3"/>
  <c r="BM101" i="3"/>
  <c r="BL101" i="3"/>
  <c r="BK101" i="3"/>
  <c r="BJ101" i="3"/>
  <c r="BI101" i="3"/>
  <c r="BH101" i="3"/>
  <c r="BG101" i="3"/>
  <c r="BF101" i="3"/>
  <c r="BE101" i="3"/>
  <c r="BD101" i="3"/>
  <c r="AX101" i="3"/>
  <c r="AW101" i="3"/>
  <c r="AV101" i="3"/>
  <c r="AC101" i="3"/>
  <c r="BT100" i="3"/>
  <c r="BS100" i="3"/>
  <c r="BR100" i="3"/>
  <c r="BQ100" i="3"/>
  <c r="BP100" i="3"/>
  <c r="BO100" i="3"/>
  <c r="BN100" i="3"/>
  <c r="BM100" i="3"/>
  <c r="BL100" i="3"/>
  <c r="BK100" i="3"/>
  <c r="BJ100" i="3"/>
  <c r="BI100" i="3"/>
  <c r="BH100" i="3"/>
  <c r="BG100" i="3"/>
  <c r="BF100" i="3"/>
  <c r="BE100" i="3"/>
  <c r="BD100" i="3"/>
  <c r="AX100" i="3"/>
  <c r="AW100" i="3"/>
  <c r="AV100" i="3"/>
  <c r="AC100" i="3"/>
  <c r="BT99" i="3"/>
  <c r="BS99" i="3"/>
  <c r="BR99" i="3"/>
  <c r="BQ99" i="3"/>
  <c r="BP99" i="3"/>
  <c r="BO99" i="3"/>
  <c r="BN99" i="3"/>
  <c r="BM99" i="3"/>
  <c r="BL99" i="3"/>
  <c r="BK99" i="3"/>
  <c r="BJ99" i="3"/>
  <c r="BI99" i="3"/>
  <c r="BH99" i="3"/>
  <c r="BG99" i="3"/>
  <c r="BF99" i="3"/>
  <c r="BE99" i="3"/>
  <c r="BD99" i="3"/>
  <c r="AX99" i="3"/>
  <c r="AW99" i="3"/>
  <c r="AV99" i="3"/>
  <c r="AC99" i="3"/>
  <c r="BT98" i="3"/>
  <c r="BS98" i="3"/>
  <c r="BR98" i="3"/>
  <c r="BQ98" i="3"/>
  <c r="BP98" i="3"/>
  <c r="BO98" i="3"/>
  <c r="BN98" i="3"/>
  <c r="BM98" i="3"/>
  <c r="BL98" i="3"/>
  <c r="BK98" i="3"/>
  <c r="BJ98" i="3"/>
  <c r="BI98" i="3"/>
  <c r="BH98" i="3"/>
  <c r="BG98" i="3"/>
  <c r="BF98" i="3"/>
  <c r="BE98" i="3"/>
  <c r="BD98" i="3"/>
  <c r="AX98" i="3"/>
  <c r="AW98" i="3"/>
  <c r="AV98" i="3"/>
  <c r="AC98" i="3"/>
  <c r="BT97" i="3"/>
  <c r="BS97" i="3"/>
  <c r="BR97" i="3"/>
  <c r="BQ97" i="3"/>
  <c r="BP97" i="3"/>
  <c r="BO97" i="3"/>
  <c r="BN97" i="3"/>
  <c r="BM97" i="3"/>
  <c r="BL97" i="3"/>
  <c r="BK97" i="3"/>
  <c r="BJ97" i="3"/>
  <c r="BI97" i="3"/>
  <c r="BH97" i="3"/>
  <c r="BG97" i="3"/>
  <c r="BF97" i="3"/>
  <c r="BE97" i="3"/>
  <c r="BD97" i="3"/>
  <c r="AX97" i="3"/>
  <c r="AW97" i="3"/>
  <c r="AV97" i="3"/>
  <c r="AC97" i="3"/>
  <c r="BT96" i="3"/>
  <c r="BS96" i="3"/>
  <c r="BR96" i="3"/>
  <c r="BQ96" i="3"/>
  <c r="BP96" i="3"/>
  <c r="BO96" i="3"/>
  <c r="BN96" i="3"/>
  <c r="BM96" i="3"/>
  <c r="BL96" i="3"/>
  <c r="BK96" i="3"/>
  <c r="BJ96" i="3"/>
  <c r="BI96" i="3"/>
  <c r="BH96" i="3"/>
  <c r="BG96" i="3"/>
  <c r="BF96" i="3"/>
  <c r="BE96" i="3"/>
  <c r="BD96" i="3"/>
  <c r="AX96" i="3"/>
  <c r="AW96" i="3"/>
  <c r="AV96" i="3"/>
  <c r="AC96" i="3"/>
  <c r="BT95" i="3"/>
  <c r="BS95" i="3"/>
  <c r="BR95" i="3"/>
  <c r="BQ95" i="3"/>
  <c r="BP95" i="3"/>
  <c r="BO95" i="3"/>
  <c r="BN95" i="3"/>
  <c r="BM95" i="3"/>
  <c r="BL95" i="3"/>
  <c r="BK95" i="3"/>
  <c r="BJ95" i="3"/>
  <c r="BI95" i="3"/>
  <c r="BH95" i="3"/>
  <c r="BG95" i="3"/>
  <c r="BF95" i="3"/>
  <c r="BE95" i="3"/>
  <c r="BD95" i="3"/>
  <c r="AX95" i="3"/>
  <c r="AW95" i="3"/>
  <c r="AV95" i="3"/>
  <c r="AC95" i="3"/>
  <c r="BT94" i="3"/>
  <c r="BS94" i="3"/>
  <c r="BR94" i="3"/>
  <c r="BQ94" i="3"/>
  <c r="BP94" i="3"/>
  <c r="BO94" i="3"/>
  <c r="BN94" i="3"/>
  <c r="BM94" i="3"/>
  <c r="BL94" i="3"/>
  <c r="BK94" i="3"/>
  <c r="BJ94" i="3"/>
  <c r="BI94" i="3"/>
  <c r="BH94" i="3"/>
  <c r="BG94" i="3"/>
  <c r="BF94" i="3"/>
  <c r="BE94" i="3"/>
  <c r="BD94" i="3"/>
  <c r="AX94" i="3"/>
  <c r="AW94" i="3"/>
  <c r="AV94" i="3"/>
  <c r="AC94" i="3"/>
  <c r="BT93" i="3"/>
  <c r="BS93" i="3"/>
  <c r="BR93" i="3"/>
  <c r="BQ93" i="3"/>
  <c r="BP93" i="3"/>
  <c r="BO93" i="3"/>
  <c r="BN93" i="3"/>
  <c r="BM93" i="3"/>
  <c r="BL93" i="3"/>
  <c r="BK93" i="3"/>
  <c r="BJ93" i="3"/>
  <c r="BI93" i="3"/>
  <c r="BH93" i="3"/>
  <c r="BG93" i="3"/>
  <c r="BF93" i="3"/>
  <c r="BE93" i="3"/>
  <c r="BD93" i="3"/>
  <c r="AX93" i="3"/>
  <c r="AW93" i="3"/>
  <c r="AV93" i="3"/>
  <c r="AC93" i="3"/>
  <c r="BT92" i="3"/>
  <c r="BS92" i="3"/>
  <c r="BR92" i="3"/>
  <c r="BQ92" i="3"/>
  <c r="BP92" i="3"/>
  <c r="BO92" i="3"/>
  <c r="BN92" i="3"/>
  <c r="BM92" i="3"/>
  <c r="BL92" i="3"/>
  <c r="BK92" i="3"/>
  <c r="BJ92" i="3"/>
  <c r="BI92" i="3"/>
  <c r="BH92" i="3"/>
  <c r="BG92" i="3"/>
  <c r="BF92" i="3"/>
  <c r="BE92" i="3"/>
  <c r="AX92" i="3"/>
  <c r="AW92" i="3"/>
  <c r="AV92" i="3"/>
  <c r="AC92" i="3"/>
  <c r="BT91" i="3"/>
  <c r="BS91" i="3"/>
  <c r="BR91" i="3"/>
  <c r="BQ91" i="3"/>
  <c r="BP91" i="3"/>
  <c r="BO91" i="3"/>
  <c r="BN91" i="3"/>
  <c r="BM91" i="3"/>
  <c r="BL91" i="3"/>
  <c r="BK91" i="3"/>
  <c r="BJ91" i="3"/>
  <c r="BI91" i="3"/>
  <c r="BH91" i="3"/>
  <c r="BG91" i="3"/>
  <c r="BF91" i="3"/>
  <c r="BE91" i="3"/>
  <c r="AX91" i="3"/>
  <c r="AW91" i="3"/>
  <c r="AV91" i="3"/>
  <c r="AC91" i="3"/>
  <c r="BT90" i="3"/>
  <c r="BS90" i="3"/>
  <c r="BR90" i="3"/>
  <c r="BQ90" i="3"/>
  <c r="BP90" i="3"/>
  <c r="BO90" i="3"/>
  <c r="BN90" i="3"/>
  <c r="BM90" i="3"/>
  <c r="BL90" i="3"/>
  <c r="BK90" i="3"/>
  <c r="BJ90" i="3"/>
  <c r="BI90" i="3"/>
  <c r="BH90" i="3"/>
  <c r="BG90" i="3"/>
  <c r="BF90" i="3"/>
  <c r="BE90" i="3"/>
  <c r="AX90" i="3"/>
  <c r="AW90" i="3"/>
  <c r="AV90" i="3"/>
  <c r="AC90" i="3"/>
  <c r="BT89" i="3"/>
  <c r="BS89" i="3"/>
  <c r="BR89" i="3"/>
  <c r="BQ89" i="3"/>
  <c r="BP89" i="3"/>
  <c r="BO89" i="3"/>
  <c r="BN89" i="3"/>
  <c r="BM89" i="3"/>
  <c r="BL89" i="3"/>
  <c r="BK89" i="3"/>
  <c r="BJ89" i="3"/>
  <c r="BI89" i="3"/>
  <c r="BH89" i="3"/>
  <c r="BG89" i="3"/>
  <c r="BF89" i="3"/>
  <c r="BE89" i="3"/>
  <c r="AX89" i="3"/>
  <c r="AW89" i="3"/>
  <c r="AV89" i="3"/>
  <c r="AC89" i="3"/>
  <c r="BT88" i="3"/>
  <c r="BS88" i="3"/>
  <c r="BR88" i="3"/>
  <c r="BQ88" i="3"/>
  <c r="BP88" i="3"/>
  <c r="BO88" i="3"/>
  <c r="BN88" i="3"/>
  <c r="BM88" i="3"/>
  <c r="BL88" i="3"/>
  <c r="BK88" i="3"/>
  <c r="BJ88" i="3"/>
  <c r="BI88" i="3"/>
  <c r="BH88" i="3"/>
  <c r="BG88" i="3"/>
  <c r="BF88" i="3"/>
  <c r="BE88" i="3"/>
  <c r="AX88" i="3"/>
  <c r="AW88" i="3"/>
  <c r="AV88" i="3"/>
  <c r="AC88" i="3"/>
  <c r="BT87" i="3"/>
  <c r="BS87" i="3"/>
  <c r="BR87" i="3"/>
  <c r="BQ87" i="3"/>
  <c r="BP87" i="3"/>
  <c r="BO87" i="3"/>
  <c r="BN87" i="3"/>
  <c r="BM87" i="3"/>
  <c r="BL87" i="3"/>
  <c r="BK87" i="3"/>
  <c r="BJ87" i="3"/>
  <c r="BI87" i="3"/>
  <c r="BH87" i="3"/>
  <c r="BG87" i="3"/>
  <c r="BF87" i="3"/>
  <c r="BE87" i="3"/>
  <c r="AX87" i="3"/>
  <c r="AW87" i="3"/>
  <c r="AV87" i="3"/>
  <c r="AC87" i="3"/>
  <c r="BT86" i="3"/>
  <c r="BS86" i="3"/>
  <c r="BR86" i="3"/>
  <c r="BQ86" i="3"/>
  <c r="BP86" i="3"/>
  <c r="BO86" i="3"/>
  <c r="BN86" i="3"/>
  <c r="BM86" i="3"/>
  <c r="BL86" i="3"/>
  <c r="BK86" i="3"/>
  <c r="BJ86" i="3"/>
  <c r="BI86" i="3"/>
  <c r="BH86" i="3"/>
  <c r="BG86" i="3"/>
  <c r="BF86" i="3"/>
  <c r="BE86" i="3"/>
  <c r="AX86" i="3"/>
  <c r="AW86" i="3"/>
  <c r="AV86" i="3"/>
  <c r="AC86" i="3"/>
  <c r="BT85" i="3"/>
  <c r="BS85" i="3"/>
  <c r="BR85" i="3"/>
  <c r="BQ85" i="3"/>
  <c r="BP85" i="3"/>
  <c r="BO85" i="3"/>
  <c r="BN85" i="3"/>
  <c r="BM85" i="3"/>
  <c r="BL85" i="3"/>
  <c r="BK85" i="3"/>
  <c r="BJ85" i="3"/>
  <c r="BI85" i="3"/>
  <c r="BH85" i="3"/>
  <c r="BG85" i="3"/>
  <c r="BF85" i="3"/>
  <c r="BE85" i="3"/>
  <c r="AX85" i="3"/>
  <c r="AW85" i="3"/>
  <c r="AV85" i="3"/>
  <c r="AC85" i="3"/>
  <c r="BT84" i="3"/>
  <c r="BS84" i="3"/>
  <c r="BR84" i="3"/>
  <c r="BQ84" i="3"/>
  <c r="BP84" i="3"/>
  <c r="BO84" i="3"/>
  <c r="BN84" i="3"/>
  <c r="BM84" i="3"/>
  <c r="BL84" i="3"/>
  <c r="BK84" i="3"/>
  <c r="BJ84" i="3"/>
  <c r="BI84" i="3"/>
  <c r="BH84" i="3"/>
  <c r="BG84" i="3"/>
  <c r="BF84" i="3"/>
  <c r="BE84" i="3"/>
  <c r="AX84" i="3"/>
  <c r="AW84" i="3"/>
  <c r="AV84" i="3"/>
  <c r="AC84" i="3"/>
  <c r="BT83" i="3"/>
  <c r="BS83" i="3"/>
  <c r="BR83" i="3"/>
  <c r="BQ83" i="3"/>
  <c r="BP83" i="3"/>
  <c r="BO83" i="3"/>
  <c r="BN83" i="3"/>
  <c r="BM83" i="3"/>
  <c r="BL83" i="3"/>
  <c r="BK83" i="3"/>
  <c r="BJ83" i="3"/>
  <c r="BI83" i="3"/>
  <c r="BH83" i="3"/>
  <c r="BG83" i="3"/>
  <c r="BF83" i="3"/>
  <c r="BE83" i="3"/>
  <c r="AX83" i="3"/>
  <c r="AW83" i="3"/>
  <c r="AV83" i="3"/>
  <c r="AC83" i="3"/>
  <c r="BT82" i="3"/>
  <c r="BS82" i="3"/>
  <c r="BR82" i="3"/>
  <c r="BQ82" i="3"/>
  <c r="BP82" i="3"/>
  <c r="BO82" i="3"/>
  <c r="BN82" i="3"/>
  <c r="BM82" i="3"/>
  <c r="BL82" i="3"/>
  <c r="BK82" i="3"/>
  <c r="BJ82" i="3"/>
  <c r="BI82" i="3"/>
  <c r="BH82" i="3"/>
  <c r="BG82" i="3"/>
  <c r="BF82" i="3"/>
  <c r="BE82" i="3"/>
  <c r="AX82" i="3"/>
  <c r="AW82" i="3"/>
  <c r="AV82" i="3"/>
  <c r="AC82" i="3"/>
  <c r="BT81" i="3"/>
  <c r="BS81" i="3"/>
  <c r="BR81" i="3"/>
  <c r="BQ81" i="3"/>
  <c r="BP81" i="3"/>
  <c r="BO81" i="3"/>
  <c r="BN81" i="3"/>
  <c r="BM81" i="3"/>
  <c r="BL81" i="3"/>
  <c r="BK81" i="3"/>
  <c r="BJ81" i="3"/>
  <c r="BI81" i="3"/>
  <c r="BH81" i="3"/>
  <c r="BG81" i="3"/>
  <c r="BF81" i="3"/>
  <c r="BE81" i="3"/>
  <c r="AX81" i="3"/>
  <c r="AW81" i="3"/>
  <c r="AV81" i="3"/>
  <c r="AC81" i="3"/>
  <c r="BT80" i="3"/>
  <c r="BS80" i="3"/>
  <c r="BR80" i="3"/>
  <c r="BQ80" i="3"/>
  <c r="BP80" i="3"/>
  <c r="BO80" i="3"/>
  <c r="BN80" i="3"/>
  <c r="BM80" i="3"/>
  <c r="BL80" i="3"/>
  <c r="BK80" i="3"/>
  <c r="BJ80" i="3"/>
  <c r="BI80" i="3"/>
  <c r="BH80" i="3"/>
  <c r="BG80" i="3"/>
  <c r="BF80" i="3"/>
  <c r="BE80" i="3"/>
  <c r="AX80" i="3"/>
  <c r="AW80" i="3"/>
  <c r="AV80" i="3"/>
  <c r="AC80" i="3"/>
  <c r="BT79" i="3"/>
  <c r="BS79" i="3"/>
  <c r="BR79" i="3"/>
  <c r="BQ79" i="3"/>
  <c r="BP79" i="3"/>
  <c r="BO79" i="3"/>
  <c r="BN79" i="3"/>
  <c r="BM79" i="3"/>
  <c r="BL79" i="3"/>
  <c r="BK79" i="3"/>
  <c r="BJ79" i="3"/>
  <c r="BI79" i="3"/>
  <c r="BH79" i="3"/>
  <c r="BG79" i="3"/>
  <c r="BF79" i="3"/>
  <c r="BE79" i="3"/>
  <c r="AX79" i="3"/>
  <c r="AW79" i="3"/>
  <c r="AV79" i="3"/>
  <c r="AC79" i="3"/>
  <c r="BT78" i="3"/>
  <c r="BS78" i="3"/>
  <c r="BR78" i="3"/>
  <c r="BQ78" i="3"/>
  <c r="BP78" i="3"/>
  <c r="BO78" i="3"/>
  <c r="BN78" i="3"/>
  <c r="BM78" i="3"/>
  <c r="BL78" i="3"/>
  <c r="BK78" i="3"/>
  <c r="BJ78" i="3"/>
  <c r="BI78" i="3"/>
  <c r="BH78" i="3"/>
  <c r="BG78" i="3"/>
  <c r="BF78" i="3"/>
  <c r="BE78" i="3"/>
  <c r="AX78" i="3"/>
  <c r="AW78" i="3"/>
  <c r="AV78" i="3"/>
  <c r="AC78" i="3"/>
  <c r="BT77" i="3"/>
  <c r="BS77" i="3"/>
  <c r="BR77" i="3"/>
  <c r="BQ77" i="3"/>
  <c r="BP77" i="3"/>
  <c r="BO77" i="3"/>
  <c r="BN77" i="3"/>
  <c r="BM77" i="3"/>
  <c r="BL77" i="3"/>
  <c r="BK77" i="3"/>
  <c r="BJ77" i="3"/>
  <c r="BI77" i="3"/>
  <c r="BH77" i="3"/>
  <c r="BG77" i="3"/>
  <c r="BF77" i="3"/>
  <c r="BE77" i="3"/>
  <c r="AX77" i="3"/>
  <c r="AW77" i="3"/>
  <c r="AV77" i="3"/>
  <c r="AC77" i="3"/>
  <c r="BT76" i="3"/>
  <c r="BS76" i="3"/>
  <c r="BR76" i="3"/>
  <c r="BQ76" i="3"/>
  <c r="BP76" i="3"/>
  <c r="BO76" i="3"/>
  <c r="BN76" i="3"/>
  <c r="BM76" i="3"/>
  <c r="BL76" i="3"/>
  <c r="BK76" i="3"/>
  <c r="BJ76" i="3"/>
  <c r="BI76" i="3"/>
  <c r="BH76" i="3"/>
  <c r="BG76" i="3"/>
  <c r="BF76" i="3"/>
  <c r="BE76" i="3"/>
  <c r="AX76" i="3"/>
  <c r="AW76" i="3"/>
  <c r="AV76" i="3"/>
  <c r="AC76" i="3"/>
  <c r="BT75" i="3"/>
  <c r="BS75" i="3"/>
  <c r="BR75" i="3"/>
  <c r="BQ75" i="3"/>
  <c r="BP75" i="3"/>
  <c r="BO75" i="3"/>
  <c r="BN75" i="3"/>
  <c r="BM75" i="3"/>
  <c r="BL75" i="3"/>
  <c r="BK75" i="3"/>
  <c r="BJ75" i="3"/>
  <c r="BI75" i="3"/>
  <c r="BH75" i="3"/>
  <c r="BG75" i="3"/>
  <c r="BF75" i="3"/>
  <c r="BE75" i="3"/>
  <c r="AX75" i="3"/>
  <c r="AW75" i="3"/>
  <c r="AV75" i="3"/>
  <c r="AC75" i="3"/>
  <c r="BT74" i="3"/>
  <c r="BS74" i="3"/>
  <c r="BR74" i="3"/>
  <c r="BQ74" i="3"/>
  <c r="BP74" i="3"/>
  <c r="BO74" i="3"/>
  <c r="BN74" i="3"/>
  <c r="BM74" i="3"/>
  <c r="BL74" i="3"/>
  <c r="BK74" i="3"/>
  <c r="BJ74" i="3"/>
  <c r="BI74" i="3"/>
  <c r="BH74" i="3"/>
  <c r="BG74" i="3"/>
  <c r="BF74" i="3"/>
  <c r="BE74" i="3"/>
  <c r="AX74" i="3"/>
  <c r="AW74" i="3"/>
  <c r="AV74" i="3"/>
  <c r="AC74" i="3"/>
  <c r="BT73" i="3"/>
  <c r="BS73" i="3"/>
  <c r="BR73" i="3"/>
  <c r="BQ73" i="3"/>
  <c r="BP73" i="3"/>
  <c r="BO73" i="3"/>
  <c r="BN73" i="3"/>
  <c r="BM73" i="3"/>
  <c r="BL73" i="3"/>
  <c r="BK73" i="3"/>
  <c r="BJ73" i="3"/>
  <c r="BI73" i="3"/>
  <c r="BH73" i="3"/>
  <c r="BG73" i="3"/>
  <c r="BF73" i="3"/>
  <c r="BE73" i="3"/>
  <c r="AX73" i="3"/>
  <c r="AW73" i="3"/>
  <c r="AV73" i="3"/>
  <c r="AC73" i="3"/>
  <c r="BT72" i="3"/>
  <c r="BS72" i="3"/>
  <c r="BR72" i="3"/>
  <c r="BQ72" i="3"/>
  <c r="BP72" i="3"/>
  <c r="BO72" i="3"/>
  <c r="BN72" i="3"/>
  <c r="BM72" i="3"/>
  <c r="BL72" i="3"/>
  <c r="BK72" i="3"/>
  <c r="BJ72" i="3"/>
  <c r="BI72" i="3"/>
  <c r="BH72" i="3"/>
  <c r="BG72" i="3"/>
  <c r="BF72" i="3"/>
  <c r="BE72" i="3"/>
  <c r="AX72" i="3"/>
  <c r="AW72" i="3"/>
  <c r="AV72" i="3"/>
  <c r="AC72" i="3"/>
  <c r="BT71" i="3"/>
  <c r="BS71" i="3"/>
  <c r="BR71" i="3"/>
  <c r="BQ71" i="3"/>
  <c r="BP71" i="3"/>
  <c r="BO71" i="3"/>
  <c r="BN71" i="3"/>
  <c r="BM71" i="3"/>
  <c r="BL71" i="3"/>
  <c r="BK71" i="3"/>
  <c r="BJ71" i="3"/>
  <c r="BI71" i="3"/>
  <c r="BH71" i="3"/>
  <c r="BG71" i="3"/>
  <c r="BF71" i="3"/>
  <c r="BE71" i="3"/>
  <c r="AX71" i="3"/>
  <c r="AW71" i="3"/>
  <c r="AV71" i="3"/>
  <c r="AC71" i="3"/>
  <c r="BT70" i="3"/>
  <c r="BS70" i="3"/>
  <c r="BR70" i="3"/>
  <c r="BQ70" i="3"/>
  <c r="BP70" i="3"/>
  <c r="BO70" i="3"/>
  <c r="BN70" i="3"/>
  <c r="BM70" i="3"/>
  <c r="BL70" i="3"/>
  <c r="BK70" i="3"/>
  <c r="BJ70" i="3"/>
  <c r="BI70" i="3"/>
  <c r="BH70" i="3"/>
  <c r="BG70" i="3"/>
  <c r="BF70" i="3"/>
  <c r="BE70" i="3"/>
  <c r="AX70" i="3"/>
  <c r="AW70" i="3"/>
  <c r="AV70" i="3"/>
  <c r="AC70" i="3"/>
  <c r="BT69" i="3"/>
  <c r="BS69" i="3"/>
  <c r="BR69" i="3"/>
  <c r="BQ69" i="3"/>
  <c r="BP69" i="3"/>
  <c r="BO69" i="3"/>
  <c r="BN69" i="3"/>
  <c r="BM69" i="3"/>
  <c r="BL69" i="3"/>
  <c r="BK69" i="3"/>
  <c r="BJ69" i="3"/>
  <c r="BI69" i="3"/>
  <c r="BH69" i="3"/>
  <c r="BG69" i="3"/>
  <c r="BF69" i="3"/>
  <c r="BE69" i="3"/>
  <c r="AX69" i="3"/>
  <c r="AW69" i="3"/>
  <c r="AV69" i="3"/>
  <c r="AC69" i="3"/>
  <c r="BT68" i="3"/>
  <c r="BS68" i="3"/>
  <c r="BR68" i="3"/>
  <c r="BQ68" i="3"/>
  <c r="BP68" i="3"/>
  <c r="BO68" i="3"/>
  <c r="BN68" i="3"/>
  <c r="BM68" i="3"/>
  <c r="BL68" i="3"/>
  <c r="BK68" i="3"/>
  <c r="BJ68" i="3"/>
  <c r="BI68" i="3"/>
  <c r="BH68" i="3"/>
  <c r="BG68" i="3"/>
  <c r="BF68" i="3"/>
  <c r="BE68" i="3"/>
  <c r="AX68" i="3"/>
  <c r="AW68" i="3"/>
  <c r="AV68" i="3"/>
  <c r="AC68" i="3"/>
  <c r="BT67" i="3"/>
  <c r="BS67" i="3"/>
  <c r="BR67" i="3"/>
  <c r="BQ67" i="3"/>
  <c r="BP67" i="3"/>
  <c r="BO67" i="3"/>
  <c r="BN67" i="3"/>
  <c r="BM67" i="3"/>
  <c r="BL67" i="3"/>
  <c r="BK67" i="3"/>
  <c r="BJ67" i="3"/>
  <c r="BI67" i="3"/>
  <c r="BH67" i="3"/>
  <c r="BG67" i="3"/>
  <c r="BF67" i="3"/>
  <c r="BE67" i="3"/>
  <c r="AX67" i="3"/>
  <c r="AW67" i="3"/>
  <c r="AV67" i="3"/>
  <c r="AC67" i="3"/>
  <c r="BT66" i="3"/>
  <c r="BS66" i="3"/>
  <c r="BR66" i="3"/>
  <c r="BQ66" i="3"/>
  <c r="BP66" i="3"/>
  <c r="BO66" i="3"/>
  <c r="BN66" i="3"/>
  <c r="BM66" i="3"/>
  <c r="BL66" i="3"/>
  <c r="BK66" i="3"/>
  <c r="BJ66" i="3"/>
  <c r="BI66" i="3"/>
  <c r="BH66" i="3"/>
  <c r="BG66" i="3"/>
  <c r="BF66" i="3"/>
  <c r="BE66" i="3"/>
  <c r="AX66" i="3"/>
  <c r="AW66" i="3"/>
  <c r="AV66" i="3"/>
  <c r="AC66" i="3"/>
  <c r="BT65" i="3"/>
  <c r="BS65" i="3"/>
  <c r="BR65" i="3"/>
  <c r="BQ65" i="3"/>
  <c r="BP65" i="3"/>
  <c r="BO65" i="3"/>
  <c r="BN65" i="3"/>
  <c r="BM65" i="3"/>
  <c r="BL65" i="3"/>
  <c r="BK65" i="3"/>
  <c r="BJ65" i="3"/>
  <c r="BI65" i="3"/>
  <c r="BH65" i="3"/>
  <c r="BG65" i="3"/>
  <c r="BF65" i="3"/>
  <c r="BE65" i="3"/>
  <c r="AX65" i="3"/>
  <c r="AW65" i="3"/>
  <c r="AV65" i="3"/>
  <c r="AC65" i="3"/>
  <c r="BT64" i="3"/>
  <c r="BS64" i="3"/>
  <c r="BR64" i="3"/>
  <c r="BQ64" i="3"/>
  <c r="BP64" i="3"/>
  <c r="BO64" i="3"/>
  <c r="BN64" i="3"/>
  <c r="BM64" i="3"/>
  <c r="BL64" i="3"/>
  <c r="BK64" i="3"/>
  <c r="BJ64" i="3"/>
  <c r="BI64" i="3"/>
  <c r="BH64" i="3"/>
  <c r="BG64" i="3"/>
  <c r="BF64" i="3"/>
  <c r="BE64" i="3"/>
  <c r="AX64" i="3"/>
  <c r="AW64" i="3"/>
  <c r="AV64" i="3"/>
  <c r="AC64" i="3"/>
  <c r="BT63" i="3"/>
  <c r="BS63" i="3"/>
  <c r="BR63" i="3"/>
  <c r="BQ63" i="3"/>
  <c r="BP63" i="3"/>
  <c r="BO63" i="3"/>
  <c r="BN63" i="3"/>
  <c r="BM63" i="3"/>
  <c r="BL63" i="3"/>
  <c r="BK63" i="3"/>
  <c r="BJ63" i="3"/>
  <c r="BI63" i="3"/>
  <c r="BH63" i="3"/>
  <c r="BG63" i="3"/>
  <c r="BF63" i="3"/>
  <c r="BE63" i="3"/>
  <c r="AX63" i="3"/>
  <c r="AW63" i="3"/>
  <c r="AV63" i="3"/>
  <c r="AC63" i="3"/>
  <c r="BT62" i="3"/>
  <c r="BS62" i="3"/>
  <c r="BR62" i="3"/>
  <c r="BQ62" i="3"/>
  <c r="BP62" i="3"/>
  <c r="BO62" i="3"/>
  <c r="BN62" i="3"/>
  <c r="BM62" i="3"/>
  <c r="BL62" i="3"/>
  <c r="BK62" i="3"/>
  <c r="BJ62" i="3"/>
  <c r="BI62" i="3"/>
  <c r="BH62" i="3"/>
  <c r="BG62" i="3"/>
  <c r="BF62" i="3"/>
  <c r="BE62" i="3"/>
  <c r="AX62" i="3"/>
  <c r="AW62" i="3"/>
  <c r="AV62" i="3"/>
  <c r="AC62" i="3"/>
  <c r="BT61" i="3"/>
  <c r="BS61" i="3"/>
  <c r="BR61" i="3"/>
  <c r="BQ61" i="3"/>
  <c r="BP61" i="3"/>
  <c r="BO61" i="3"/>
  <c r="BN61" i="3"/>
  <c r="BM61" i="3"/>
  <c r="BL61" i="3"/>
  <c r="BK61" i="3"/>
  <c r="BJ61" i="3"/>
  <c r="BI61" i="3"/>
  <c r="BH61" i="3"/>
  <c r="BG61" i="3"/>
  <c r="BF61" i="3"/>
  <c r="BE61" i="3"/>
  <c r="AX61" i="3"/>
  <c r="AW61" i="3"/>
  <c r="AV61" i="3"/>
  <c r="AC61" i="3"/>
  <c r="BT60" i="3"/>
  <c r="BS60" i="3"/>
  <c r="BR60" i="3"/>
  <c r="BQ60" i="3"/>
  <c r="BP60" i="3"/>
  <c r="BO60" i="3"/>
  <c r="BN60" i="3"/>
  <c r="BM60" i="3"/>
  <c r="BL60" i="3"/>
  <c r="BK60" i="3"/>
  <c r="BJ60" i="3"/>
  <c r="BI60" i="3"/>
  <c r="BH60" i="3"/>
  <c r="BG60" i="3"/>
  <c r="BF60" i="3"/>
  <c r="BE60" i="3"/>
  <c r="AX60" i="3"/>
  <c r="AW60" i="3"/>
  <c r="AV60" i="3"/>
  <c r="AC60" i="3"/>
  <c r="BT59" i="3"/>
  <c r="BS59" i="3"/>
  <c r="BR59" i="3"/>
  <c r="BQ59" i="3"/>
  <c r="BP59" i="3"/>
  <c r="BO59" i="3"/>
  <c r="BN59" i="3"/>
  <c r="BM59" i="3"/>
  <c r="BL59" i="3"/>
  <c r="BK59" i="3"/>
  <c r="BJ59" i="3"/>
  <c r="BI59" i="3"/>
  <c r="BH59" i="3"/>
  <c r="BG59" i="3"/>
  <c r="BF59" i="3"/>
  <c r="BE59" i="3"/>
  <c r="AX59" i="3"/>
  <c r="AW59" i="3"/>
  <c r="AV59" i="3"/>
  <c r="AC59" i="3"/>
  <c r="BT58" i="3"/>
  <c r="BS58" i="3"/>
  <c r="BR58" i="3"/>
  <c r="BQ58" i="3"/>
  <c r="BP58" i="3"/>
  <c r="BO58" i="3"/>
  <c r="BN58" i="3"/>
  <c r="BM58" i="3"/>
  <c r="BL58" i="3"/>
  <c r="BK58" i="3"/>
  <c r="BJ58" i="3"/>
  <c r="BI58" i="3"/>
  <c r="BH58" i="3"/>
  <c r="BG58" i="3"/>
  <c r="BF58" i="3"/>
  <c r="BE58" i="3"/>
  <c r="AX58" i="3"/>
  <c r="AW58" i="3"/>
  <c r="AV58" i="3"/>
  <c r="AC58" i="3"/>
  <c r="BT57" i="3"/>
  <c r="BS57" i="3"/>
  <c r="BR57" i="3"/>
  <c r="BQ57" i="3"/>
  <c r="BP57" i="3"/>
  <c r="BO57" i="3"/>
  <c r="BN57" i="3"/>
  <c r="BM57" i="3"/>
  <c r="BL57" i="3"/>
  <c r="BK57" i="3"/>
  <c r="BJ57" i="3"/>
  <c r="BI57" i="3"/>
  <c r="BH57" i="3"/>
  <c r="BG57" i="3"/>
  <c r="BF57" i="3"/>
  <c r="BE57" i="3"/>
  <c r="AX57" i="3"/>
  <c r="AW57" i="3"/>
  <c r="AV57" i="3"/>
  <c r="AC57" i="3"/>
  <c r="BT56" i="3"/>
  <c r="BS56" i="3"/>
  <c r="BR56" i="3"/>
  <c r="BQ56" i="3"/>
  <c r="BP56" i="3"/>
  <c r="BO56" i="3"/>
  <c r="BN56" i="3"/>
  <c r="BM56" i="3"/>
  <c r="BL56" i="3"/>
  <c r="BK56" i="3"/>
  <c r="BJ56" i="3"/>
  <c r="BI56" i="3"/>
  <c r="BH56" i="3"/>
  <c r="BG56" i="3"/>
  <c r="BF56" i="3"/>
  <c r="BE56" i="3"/>
  <c r="AX56" i="3"/>
  <c r="AW56" i="3"/>
  <c r="AV56" i="3"/>
  <c r="AC56" i="3"/>
  <c r="BT55" i="3"/>
  <c r="BS55" i="3"/>
  <c r="BR55" i="3"/>
  <c r="BQ55" i="3"/>
  <c r="BP55" i="3"/>
  <c r="BO55" i="3"/>
  <c r="BN55" i="3"/>
  <c r="BM55" i="3"/>
  <c r="BL55" i="3"/>
  <c r="BK55" i="3"/>
  <c r="BJ55" i="3"/>
  <c r="BI55" i="3"/>
  <c r="BH55" i="3"/>
  <c r="BG55" i="3"/>
  <c r="BF55" i="3"/>
  <c r="BE55" i="3"/>
  <c r="AX55" i="3"/>
  <c r="AW55" i="3"/>
  <c r="AV55" i="3"/>
  <c r="AC55" i="3"/>
  <c r="BT54" i="3"/>
  <c r="BS54" i="3"/>
  <c r="BR54" i="3"/>
  <c r="BQ54" i="3"/>
  <c r="BP54" i="3"/>
  <c r="BO54" i="3"/>
  <c r="BN54" i="3"/>
  <c r="BM54" i="3"/>
  <c r="BL54" i="3"/>
  <c r="BK54" i="3"/>
  <c r="BJ54" i="3"/>
  <c r="BI54" i="3"/>
  <c r="BH54" i="3"/>
  <c r="BG54" i="3"/>
  <c r="BF54" i="3"/>
  <c r="BE54" i="3"/>
  <c r="AX54" i="3"/>
  <c r="AW54" i="3"/>
  <c r="AV54" i="3"/>
  <c r="AC54" i="3"/>
  <c r="BT53" i="3"/>
  <c r="BS53" i="3"/>
  <c r="BR53" i="3"/>
  <c r="BQ53" i="3"/>
  <c r="BP53" i="3"/>
  <c r="BO53" i="3"/>
  <c r="BN53" i="3"/>
  <c r="BM53" i="3"/>
  <c r="BL53" i="3"/>
  <c r="BK53" i="3"/>
  <c r="BJ53" i="3"/>
  <c r="BI53" i="3"/>
  <c r="BH53" i="3"/>
  <c r="BG53" i="3"/>
  <c r="BF53" i="3"/>
  <c r="BE53" i="3"/>
  <c r="AX53" i="3"/>
  <c r="AW53" i="3"/>
  <c r="AV53" i="3"/>
  <c r="AC53" i="3"/>
  <c r="BT52" i="3"/>
  <c r="BS52" i="3"/>
  <c r="BR52" i="3"/>
  <c r="BQ52" i="3"/>
  <c r="BP52" i="3"/>
  <c r="BO52" i="3"/>
  <c r="BN52" i="3"/>
  <c r="BM52" i="3"/>
  <c r="BL52" i="3"/>
  <c r="BK52" i="3"/>
  <c r="BJ52" i="3"/>
  <c r="BI52" i="3"/>
  <c r="BH52" i="3"/>
  <c r="BG52" i="3"/>
  <c r="BF52" i="3"/>
  <c r="BE52" i="3"/>
  <c r="AX52" i="3"/>
  <c r="AW52" i="3"/>
  <c r="AV52" i="3"/>
  <c r="AC52" i="3"/>
  <c r="BT51" i="3"/>
  <c r="BS51" i="3"/>
  <c r="BR51" i="3"/>
  <c r="BQ51" i="3"/>
  <c r="BP51" i="3"/>
  <c r="BO51" i="3"/>
  <c r="BN51" i="3"/>
  <c r="BM51" i="3"/>
  <c r="BL51" i="3"/>
  <c r="BK51" i="3"/>
  <c r="BJ51" i="3"/>
  <c r="BI51" i="3"/>
  <c r="BH51" i="3"/>
  <c r="BG51" i="3"/>
  <c r="BF51" i="3"/>
  <c r="BE51" i="3"/>
  <c r="AX51" i="3"/>
  <c r="AW51" i="3"/>
  <c r="AV51" i="3"/>
  <c r="AC51" i="3"/>
  <c r="BT50" i="3"/>
  <c r="BS50" i="3"/>
  <c r="BR50" i="3"/>
  <c r="BQ50" i="3"/>
  <c r="BP50" i="3"/>
  <c r="BO50" i="3"/>
  <c r="BN50" i="3"/>
  <c r="BM50" i="3"/>
  <c r="BL50" i="3"/>
  <c r="BK50" i="3"/>
  <c r="BJ50" i="3"/>
  <c r="BI50" i="3"/>
  <c r="BH50" i="3"/>
  <c r="BG50" i="3"/>
  <c r="BF50" i="3"/>
  <c r="BE50" i="3"/>
  <c r="AX50" i="3"/>
  <c r="AW50" i="3"/>
  <c r="AV50" i="3"/>
  <c r="AC50" i="3"/>
  <c r="BT49" i="3"/>
  <c r="BS49" i="3"/>
  <c r="BR49" i="3"/>
  <c r="BQ49" i="3"/>
  <c r="BP49" i="3"/>
  <c r="BO49" i="3"/>
  <c r="BN49" i="3"/>
  <c r="BM49" i="3"/>
  <c r="BL49" i="3"/>
  <c r="BK49" i="3"/>
  <c r="BJ49" i="3"/>
  <c r="BI49" i="3"/>
  <c r="BH49" i="3"/>
  <c r="BG49" i="3"/>
  <c r="BF49" i="3"/>
  <c r="BE49" i="3"/>
  <c r="AX49" i="3"/>
  <c r="AW49" i="3"/>
  <c r="AV49" i="3"/>
  <c r="AC49" i="3"/>
  <c r="BT48" i="3"/>
  <c r="BS48" i="3"/>
  <c r="BR48" i="3"/>
  <c r="BQ48" i="3"/>
  <c r="BP48" i="3"/>
  <c r="BO48" i="3"/>
  <c r="BN48" i="3"/>
  <c r="BM48" i="3"/>
  <c r="BL48" i="3"/>
  <c r="BK48" i="3"/>
  <c r="BJ48" i="3"/>
  <c r="BI48" i="3"/>
  <c r="BH48" i="3"/>
  <c r="BG48" i="3"/>
  <c r="BF48" i="3"/>
  <c r="BE48" i="3"/>
  <c r="AX48" i="3"/>
  <c r="AW48" i="3"/>
  <c r="AV48" i="3"/>
  <c r="AC48" i="3"/>
  <c r="BT47" i="3"/>
  <c r="BS47" i="3"/>
  <c r="BR47" i="3"/>
  <c r="BQ47" i="3"/>
  <c r="BP47" i="3"/>
  <c r="BO47" i="3"/>
  <c r="BN47" i="3"/>
  <c r="BM47" i="3"/>
  <c r="BL47" i="3"/>
  <c r="BK47" i="3"/>
  <c r="BJ47" i="3"/>
  <c r="BI47" i="3"/>
  <c r="BH47" i="3"/>
  <c r="BG47" i="3"/>
  <c r="BF47" i="3"/>
  <c r="BE47" i="3"/>
  <c r="AX47" i="3"/>
  <c r="AW47" i="3"/>
  <c r="AV47" i="3"/>
  <c r="AC47" i="3"/>
  <c r="BT46" i="3"/>
  <c r="BS46" i="3"/>
  <c r="BR46" i="3"/>
  <c r="BQ46" i="3"/>
  <c r="BP46" i="3"/>
  <c r="BO46" i="3"/>
  <c r="BN46" i="3"/>
  <c r="BM46" i="3"/>
  <c r="BL46" i="3"/>
  <c r="BK46" i="3"/>
  <c r="BJ46" i="3"/>
  <c r="BI46" i="3"/>
  <c r="BH46" i="3"/>
  <c r="BG46" i="3"/>
  <c r="BF46" i="3"/>
  <c r="BE46" i="3"/>
  <c r="AX46" i="3"/>
  <c r="AW46" i="3"/>
  <c r="AV46" i="3"/>
  <c r="AC46" i="3"/>
  <c r="BT45" i="3"/>
  <c r="BS45" i="3"/>
  <c r="BR45" i="3"/>
  <c r="BQ45" i="3"/>
  <c r="BP45" i="3"/>
  <c r="BO45" i="3"/>
  <c r="BN45" i="3"/>
  <c r="BM45" i="3"/>
  <c r="BL45" i="3"/>
  <c r="BK45" i="3"/>
  <c r="BJ45" i="3"/>
  <c r="BI45" i="3"/>
  <c r="BH45" i="3"/>
  <c r="BG45" i="3"/>
  <c r="BF45" i="3"/>
  <c r="BE45" i="3"/>
  <c r="AX45" i="3"/>
  <c r="AW45" i="3"/>
  <c r="AV45" i="3"/>
  <c r="AC45" i="3"/>
  <c r="BT44" i="3"/>
  <c r="BS44" i="3"/>
  <c r="BR44" i="3"/>
  <c r="BQ44" i="3"/>
  <c r="BP44" i="3"/>
  <c r="BO44" i="3"/>
  <c r="BN44" i="3"/>
  <c r="BM44" i="3"/>
  <c r="BL44" i="3"/>
  <c r="BK44" i="3"/>
  <c r="BJ44" i="3"/>
  <c r="BI44" i="3"/>
  <c r="BH44" i="3"/>
  <c r="BG44" i="3"/>
  <c r="BF44" i="3"/>
  <c r="BE44" i="3"/>
  <c r="AX44" i="3"/>
  <c r="AW44" i="3"/>
  <c r="AV44" i="3"/>
  <c r="AC44" i="3"/>
  <c r="BT43" i="3"/>
  <c r="BS43" i="3"/>
  <c r="BR43" i="3"/>
  <c r="BQ43" i="3"/>
  <c r="BP43" i="3"/>
  <c r="BO43" i="3"/>
  <c r="BN43" i="3"/>
  <c r="BM43" i="3"/>
  <c r="BL43" i="3"/>
  <c r="BK43" i="3"/>
  <c r="BJ43" i="3"/>
  <c r="BI43" i="3"/>
  <c r="BH43" i="3"/>
  <c r="BG43" i="3"/>
  <c r="BF43" i="3"/>
  <c r="BE43" i="3"/>
  <c r="AX43" i="3"/>
  <c r="AW43" i="3"/>
  <c r="AV43" i="3"/>
  <c r="AC43" i="3"/>
  <c r="BT42" i="3"/>
  <c r="BS42" i="3"/>
  <c r="BR42" i="3"/>
  <c r="BQ42" i="3"/>
  <c r="BP42" i="3"/>
  <c r="BO42" i="3"/>
  <c r="BN42" i="3"/>
  <c r="BM42" i="3"/>
  <c r="BL42" i="3"/>
  <c r="BK42" i="3"/>
  <c r="BJ42" i="3"/>
  <c r="BI42" i="3"/>
  <c r="BH42" i="3"/>
  <c r="BG42" i="3"/>
  <c r="BF42" i="3"/>
  <c r="BE42" i="3"/>
  <c r="AX42" i="3"/>
  <c r="AW42" i="3"/>
  <c r="AV42" i="3"/>
  <c r="AC42" i="3"/>
  <c r="BT41" i="3"/>
  <c r="BS41" i="3"/>
  <c r="BR41" i="3"/>
  <c r="BQ41" i="3"/>
  <c r="BP41" i="3"/>
  <c r="BO41" i="3"/>
  <c r="BN41" i="3"/>
  <c r="BM41" i="3"/>
  <c r="BL41" i="3"/>
  <c r="BK41" i="3"/>
  <c r="BJ41" i="3"/>
  <c r="BI41" i="3"/>
  <c r="BH41" i="3"/>
  <c r="BG41" i="3"/>
  <c r="BF41" i="3"/>
  <c r="BE41" i="3"/>
  <c r="AX41" i="3"/>
  <c r="AW41" i="3"/>
  <c r="AV41" i="3"/>
  <c r="AC41" i="3"/>
  <c r="BT40" i="3"/>
  <c r="BS40" i="3"/>
  <c r="BR40" i="3"/>
  <c r="BQ40" i="3"/>
  <c r="BP40" i="3"/>
  <c r="BO40" i="3"/>
  <c r="BN40" i="3"/>
  <c r="BM40" i="3"/>
  <c r="BL40" i="3"/>
  <c r="BK40" i="3"/>
  <c r="BJ40" i="3"/>
  <c r="BI40" i="3"/>
  <c r="BH40" i="3"/>
  <c r="BG40" i="3"/>
  <c r="BF40" i="3"/>
  <c r="BE40" i="3"/>
  <c r="AX40" i="3"/>
  <c r="AW40" i="3"/>
  <c r="AV40" i="3"/>
  <c r="AC40" i="3"/>
  <c r="BT39" i="3"/>
  <c r="BS39" i="3"/>
  <c r="BR39" i="3"/>
  <c r="BQ39" i="3"/>
  <c r="BP39" i="3"/>
  <c r="BO39" i="3"/>
  <c r="BN39" i="3"/>
  <c r="BM39" i="3"/>
  <c r="BL39" i="3"/>
  <c r="BK39" i="3"/>
  <c r="BJ39" i="3"/>
  <c r="BI39" i="3"/>
  <c r="BH39" i="3"/>
  <c r="BG39" i="3"/>
  <c r="BF39" i="3"/>
  <c r="BE39" i="3"/>
  <c r="AX39" i="3"/>
  <c r="AW39" i="3"/>
  <c r="AV39" i="3"/>
  <c r="AC39" i="3"/>
  <c r="BT38" i="3"/>
  <c r="BS38" i="3"/>
  <c r="BR38" i="3"/>
  <c r="BQ38" i="3"/>
  <c r="BP38" i="3"/>
  <c r="BO38" i="3"/>
  <c r="BN38" i="3"/>
  <c r="BM38" i="3"/>
  <c r="BL38" i="3"/>
  <c r="BK38" i="3"/>
  <c r="BJ38" i="3"/>
  <c r="BI38" i="3"/>
  <c r="BH38" i="3"/>
  <c r="BG38" i="3"/>
  <c r="BF38" i="3"/>
  <c r="BE38" i="3"/>
  <c r="AX38" i="3"/>
  <c r="AW38" i="3"/>
  <c r="AV38" i="3"/>
  <c r="AC38" i="3"/>
  <c r="BT37" i="3"/>
  <c r="BS37" i="3"/>
  <c r="BR37" i="3"/>
  <c r="BQ37" i="3"/>
  <c r="BP37" i="3"/>
  <c r="BO37" i="3"/>
  <c r="BN37" i="3"/>
  <c r="BM37" i="3"/>
  <c r="BL37" i="3"/>
  <c r="BK37" i="3"/>
  <c r="BJ37" i="3"/>
  <c r="BI37" i="3"/>
  <c r="BH37" i="3"/>
  <c r="BG37" i="3"/>
  <c r="BF37" i="3"/>
  <c r="BE37" i="3"/>
  <c r="AX37" i="3"/>
  <c r="AW37" i="3"/>
  <c r="AV37" i="3"/>
  <c r="AC37" i="3"/>
  <c r="BT36" i="3"/>
  <c r="BS36" i="3"/>
  <c r="BR36" i="3"/>
  <c r="BQ36" i="3"/>
  <c r="BP36" i="3"/>
  <c r="BO36" i="3"/>
  <c r="BN36" i="3"/>
  <c r="BM36" i="3"/>
  <c r="BL36" i="3"/>
  <c r="BK36" i="3"/>
  <c r="BJ36" i="3"/>
  <c r="BI36" i="3"/>
  <c r="BH36" i="3"/>
  <c r="BG36" i="3"/>
  <c r="BF36" i="3"/>
  <c r="BE36" i="3"/>
  <c r="AX36" i="3"/>
  <c r="AW36" i="3"/>
  <c r="AV36" i="3"/>
  <c r="AC36" i="3"/>
  <c r="BT35" i="3"/>
  <c r="BS35" i="3"/>
  <c r="BR35" i="3"/>
  <c r="BQ35" i="3"/>
  <c r="BP35" i="3"/>
  <c r="BO35" i="3"/>
  <c r="BN35" i="3"/>
  <c r="BM35" i="3"/>
  <c r="BL35" i="3"/>
  <c r="BK35" i="3"/>
  <c r="BJ35" i="3"/>
  <c r="BI35" i="3"/>
  <c r="BH35" i="3"/>
  <c r="BG35" i="3"/>
  <c r="BF35" i="3"/>
  <c r="BE35" i="3"/>
  <c r="AX35" i="3"/>
  <c r="AW35" i="3"/>
  <c r="AV35" i="3"/>
  <c r="AC35" i="3"/>
  <c r="BT34" i="3"/>
  <c r="BS34" i="3"/>
  <c r="BR34" i="3"/>
  <c r="BQ34" i="3"/>
  <c r="BP34" i="3"/>
  <c r="BO34" i="3"/>
  <c r="BN34" i="3"/>
  <c r="BM34" i="3"/>
  <c r="BL34" i="3"/>
  <c r="BK34" i="3"/>
  <c r="BJ34" i="3"/>
  <c r="BI34" i="3"/>
  <c r="BH34" i="3"/>
  <c r="BG34" i="3"/>
  <c r="BF34" i="3"/>
  <c r="BE34" i="3"/>
  <c r="AX34" i="3"/>
  <c r="AW34" i="3"/>
  <c r="AV34" i="3"/>
  <c r="AC34" i="3"/>
  <c r="BT33" i="3"/>
  <c r="BS33" i="3"/>
  <c r="BR33" i="3"/>
  <c r="BQ33" i="3"/>
  <c r="BP33" i="3"/>
  <c r="BO33" i="3"/>
  <c r="BN33" i="3"/>
  <c r="BM33" i="3"/>
  <c r="BL33" i="3"/>
  <c r="BK33" i="3"/>
  <c r="BJ33" i="3"/>
  <c r="BI33" i="3"/>
  <c r="BH33" i="3"/>
  <c r="BG33" i="3"/>
  <c r="BF33" i="3"/>
  <c r="BE33" i="3"/>
  <c r="AX33" i="3"/>
  <c r="AW33" i="3"/>
  <c r="AV33" i="3"/>
  <c r="AC33" i="3"/>
  <c r="BT32" i="3"/>
  <c r="BS32" i="3"/>
  <c r="BR32" i="3"/>
  <c r="BQ32" i="3"/>
  <c r="BP32" i="3"/>
  <c r="BO32" i="3"/>
  <c r="BN32" i="3"/>
  <c r="BM32" i="3"/>
  <c r="BL32" i="3"/>
  <c r="BK32" i="3"/>
  <c r="BJ32" i="3"/>
  <c r="BI32" i="3"/>
  <c r="BH32" i="3"/>
  <c r="BG32" i="3"/>
  <c r="BF32" i="3"/>
  <c r="BE32" i="3"/>
  <c r="AX32" i="3"/>
  <c r="AW32" i="3"/>
  <c r="AV32" i="3"/>
  <c r="AC32" i="3"/>
  <c r="BT31" i="3"/>
  <c r="BS31" i="3"/>
  <c r="BR31" i="3"/>
  <c r="BQ31" i="3"/>
  <c r="BP31" i="3"/>
  <c r="BO31" i="3"/>
  <c r="BN31" i="3"/>
  <c r="BM31" i="3"/>
  <c r="BL31" i="3"/>
  <c r="BK31" i="3"/>
  <c r="BJ31" i="3"/>
  <c r="BI31" i="3"/>
  <c r="BH31" i="3"/>
  <c r="BG31" i="3"/>
  <c r="BF31" i="3"/>
  <c r="BE31" i="3"/>
  <c r="AX31" i="3"/>
  <c r="AW31" i="3"/>
  <c r="AV31" i="3"/>
  <c r="AC31" i="3"/>
  <c r="BT30" i="3"/>
  <c r="BS30" i="3"/>
  <c r="BR30" i="3"/>
  <c r="BQ30" i="3"/>
  <c r="BP30" i="3"/>
  <c r="BO30" i="3"/>
  <c r="BN30" i="3"/>
  <c r="BM30" i="3"/>
  <c r="BL30" i="3"/>
  <c r="BK30" i="3"/>
  <c r="BJ30" i="3"/>
  <c r="BI30" i="3"/>
  <c r="BH30" i="3"/>
  <c r="BG30" i="3"/>
  <c r="BF30" i="3"/>
  <c r="BE30" i="3"/>
  <c r="AX30" i="3"/>
  <c r="AW30" i="3"/>
  <c r="AV30" i="3"/>
  <c r="AC30" i="3"/>
  <c r="BT29" i="3"/>
  <c r="BS29" i="3"/>
  <c r="BR29" i="3"/>
  <c r="BQ29" i="3"/>
  <c r="BP29" i="3"/>
  <c r="BO29" i="3"/>
  <c r="BN29" i="3"/>
  <c r="BM29" i="3"/>
  <c r="BL29" i="3"/>
  <c r="BK29" i="3"/>
  <c r="BJ29" i="3"/>
  <c r="BI29" i="3"/>
  <c r="BH29" i="3"/>
  <c r="BG29" i="3"/>
  <c r="BF29" i="3"/>
  <c r="BE29" i="3"/>
  <c r="AX29" i="3"/>
  <c r="AW29" i="3"/>
  <c r="AV29" i="3"/>
  <c r="AC29" i="3"/>
  <c r="BT28" i="3"/>
  <c r="BS28" i="3"/>
  <c r="BR28" i="3"/>
  <c r="BQ28" i="3"/>
  <c r="BP28" i="3"/>
  <c r="BO28" i="3"/>
  <c r="BN28" i="3"/>
  <c r="BM28" i="3"/>
  <c r="BL28" i="3"/>
  <c r="BK28" i="3"/>
  <c r="BJ28" i="3"/>
  <c r="BI28" i="3"/>
  <c r="BH28" i="3"/>
  <c r="BG28" i="3"/>
  <c r="BF28" i="3"/>
  <c r="BE28" i="3"/>
  <c r="AX28" i="3"/>
  <c r="AW28" i="3"/>
  <c r="AV28" i="3"/>
  <c r="AC28" i="3"/>
  <c r="BT27" i="3"/>
  <c r="BS27" i="3"/>
  <c r="BR27" i="3"/>
  <c r="BQ27" i="3"/>
  <c r="BP27" i="3"/>
  <c r="BO27" i="3"/>
  <c r="BN27" i="3"/>
  <c r="BM27" i="3"/>
  <c r="BL27" i="3"/>
  <c r="BK27" i="3"/>
  <c r="BJ27" i="3"/>
  <c r="BI27" i="3"/>
  <c r="BH27" i="3"/>
  <c r="BG27" i="3"/>
  <c r="BF27" i="3"/>
  <c r="BE27" i="3"/>
  <c r="AX27" i="3"/>
  <c r="AW27" i="3"/>
  <c r="AV27" i="3"/>
  <c r="AC27" i="3"/>
  <c r="BT26" i="3"/>
  <c r="BS26" i="3"/>
  <c r="BR26" i="3"/>
  <c r="BQ26" i="3"/>
  <c r="BP26" i="3"/>
  <c r="BO26" i="3"/>
  <c r="BN26" i="3"/>
  <c r="BM26" i="3"/>
  <c r="BL26" i="3"/>
  <c r="BK26" i="3"/>
  <c r="BJ26" i="3"/>
  <c r="BI26" i="3"/>
  <c r="BH26" i="3"/>
  <c r="BG26" i="3"/>
  <c r="BF26" i="3"/>
  <c r="BE26" i="3"/>
  <c r="AX26" i="3"/>
  <c r="AW26" i="3"/>
  <c r="AV26" i="3"/>
  <c r="AC26" i="3"/>
  <c r="BT25" i="3"/>
  <c r="BS25" i="3"/>
  <c r="BR25" i="3"/>
  <c r="BQ25" i="3"/>
  <c r="BP25" i="3"/>
  <c r="BO25" i="3"/>
  <c r="BN25" i="3"/>
  <c r="BM25" i="3"/>
  <c r="BL25" i="3"/>
  <c r="BK25" i="3"/>
  <c r="BJ25" i="3"/>
  <c r="BI25" i="3"/>
  <c r="BH25" i="3"/>
  <c r="BG25" i="3"/>
  <c r="BF25" i="3"/>
  <c r="BE25" i="3"/>
  <c r="AX25" i="3"/>
  <c r="AW25" i="3"/>
  <c r="AV25" i="3"/>
  <c r="AC25" i="3"/>
  <c r="BT24" i="3"/>
  <c r="BS24" i="3"/>
  <c r="BR24" i="3"/>
  <c r="BQ24" i="3"/>
  <c r="BP24" i="3"/>
  <c r="BO24" i="3"/>
  <c r="BN24" i="3"/>
  <c r="BM24" i="3"/>
  <c r="BL24" i="3"/>
  <c r="BK24" i="3"/>
  <c r="BJ24" i="3"/>
  <c r="BI24" i="3"/>
  <c r="BH24" i="3"/>
  <c r="BG24" i="3"/>
  <c r="BF24" i="3"/>
  <c r="BE24" i="3"/>
  <c r="AX24" i="3"/>
  <c r="AW24" i="3"/>
  <c r="AV24" i="3"/>
  <c r="AC24" i="3"/>
  <c r="BT23" i="3"/>
  <c r="BS23" i="3"/>
  <c r="BR23" i="3"/>
  <c r="BQ23" i="3"/>
  <c r="BP23" i="3"/>
  <c r="BO23" i="3"/>
  <c r="BN23" i="3"/>
  <c r="BM23" i="3"/>
  <c r="BL23" i="3"/>
  <c r="BK23" i="3"/>
  <c r="BJ23" i="3"/>
  <c r="BI23" i="3"/>
  <c r="BH23" i="3"/>
  <c r="BG23" i="3"/>
  <c r="BF23" i="3"/>
  <c r="BE23" i="3"/>
  <c r="AX23" i="3"/>
  <c r="AW23" i="3"/>
  <c r="AV23" i="3"/>
  <c r="AC23" i="3"/>
  <c r="BT22" i="3"/>
  <c r="BS22" i="3"/>
  <c r="BR22" i="3"/>
  <c r="BQ22" i="3"/>
  <c r="BP22" i="3"/>
  <c r="BO22" i="3"/>
  <c r="BN22" i="3"/>
  <c r="BM22" i="3"/>
  <c r="BL22" i="3"/>
  <c r="BK22" i="3"/>
  <c r="BJ22" i="3"/>
  <c r="BI22" i="3"/>
  <c r="BH22" i="3"/>
  <c r="BG22" i="3"/>
  <c r="BF22" i="3"/>
  <c r="BE22" i="3"/>
  <c r="AX22" i="3"/>
  <c r="AW22" i="3"/>
  <c r="AV22" i="3"/>
  <c r="AC22" i="3"/>
  <c r="BT21" i="3"/>
  <c r="BS21" i="3"/>
  <c r="BR21" i="3"/>
  <c r="BQ21" i="3"/>
  <c r="BP21" i="3"/>
  <c r="BO21" i="3"/>
  <c r="BN21" i="3"/>
  <c r="BM21" i="3"/>
  <c r="BL21" i="3"/>
  <c r="BK21" i="3"/>
  <c r="BJ21" i="3"/>
  <c r="BI21" i="3"/>
  <c r="BH21" i="3"/>
  <c r="BG21" i="3"/>
  <c r="BF21" i="3"/>
  <c r="BE21" i="3"/>
  <c r="AX21" i="3"/>
  <c r="AW21" i="3"/>
  <c r="AV21" i="3"/>
  <c r="AC21" i="3"/>
  <c r="BT20" i="3"/>
  <c r="BS20" i="3"/>
  <c r="BR20" i="3"/>
  <c r="BQ20" i="3"/>
  <c r="BP20" i="3"/>
  <c r="BO20" i="3"/>
  <c r="BN20" i="3"/>
  <c r="BM20" i="3"/>
  <c r="BL20" i="3"/>
  <c r="BK20" i="3"/>
  <c r="BJ20" i="3"/>
  <c r="BI20" i="3"/>
  <c r="BH20" i="3"/>
  <c r="BG20" i="3"/>
  <c r="BF20" i="3"/>
  <c r="BE20" i="3"/>
  <c r="AX20" i="3"/>
  <c r="AW20" i="3"/>
  <c r="AV20" i="3"/>
  <c r="AC20" i="3"/>
  <c r="BT19" i="3"/>
  <c r="BS19" i="3"/>
  <c r="BR19" i="3"/>
  <c r="BQ19" i="3"/>
  <c r="BP19" i="3"/>
  <c r="BO19" i="3"/>
  <c r="BN19" i="3"/>
  <c r="BM19" i="3"/>
  <c r="BL19" i="3"/>
  <c r="BK19" i="3"/>
  <c r="BJ19" i="3"/>
  <c r="BI19" i="3"/>
  <c r="BH19" i="3"/>
  <c r="BG19" i="3"/>
  <c r="BF19" i="3"/>
  <c r="BE19" i="3"/>
  <c r="AX19" i="3"/>
  <c r="AW19" i="3"/>
  <c r="AV19" i="3"/>
  <c r="AC19" i="3"/>
  <c r="BT18" i="3"/>
  <c r="BS18" i="3"/>
  <c r="BR18" i="3"/>
  <c r="BQ18" i="3"/>
  <c r="BP18" i="3"/>
  <c r="BO18" i="3"/>
  <c r="BN18" i="3"/>
  <c r="BM18" i="3"/>
  <c r="BL18" i="3"/>
  <c r="BK18" i="3"/>
  <c r="BJ18" i="3"/>
  <c r="BI18" i="3"/>
  <c r="BH18" i="3"/>
  <c r="BG18" i="3"/>
  <c r="BF18" i="3"/>
  <c r="BE18" i="3"/>
  <c r="AX18" i="3"/>
  <c r="AW18" i="3"/>
  <c r="AV18" i="3"/>
  <c r="AC18" i="3"/>
  <c r="BT17" i="3"/>
  <c r="BS17" i="3"/>
  <c r="BR17" i="3"/>
  <c r="BQ17" i="3"/>
  <c r="BP17" i="3"/>
  <c r="BO17" i="3"/>
  <c r="BN17" i="3"/>
  <c r="BM17" i="3"/>
  <c r="BL17" i="3"/>
  <c r="BK17" i="3"/>
  <c r="BJ17" i="3"/>
  <c r="BI17" i="3"/>
  <c r="BH17" i="3"/>
  <c r="BG17" i="3"/>
  <c r="BF17" i="3"/>
  <c r="BE17" i="3"/>
  <c r="AX17" i="3"/>
  <c r="AW17" i="3"/>
  <c r="AV17" i="3"/>
  <c r="AC17" i="3"/>
  <c r="AX16" i="3"/>
  <c r="AW16" i="3"/>
  <c r="AV16" i="3"/>
  <c r="AC16" i="3"/>
  <c r="AX15" i="3"/>
  <c r="AW15" i="3"/>
  <c r="AV15" i="3"/>
  <c r="AC15" i="3"/>
  <c r="AX14" i="3"/>
  <c r="AW14" i="3"/>
  <c r="AV14" i="3"/>
  <c r="AC14" i="3"/>
  <c r="AX13" i="3"/>
  <c r="AW13" i="3"/>
  <c r="AV13" i="3"/>
  <c r="AC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T10" i="3"/>
  <c r="BS10" i="3"/>
  <c r="BR10" i="3"/>
  <c r="BQ10" i="3"/>
  <c r="BP10" i="3"/>
  <c r="BO10" i="3"/>
  <c r="BN10" i="3"/>
  <c r="BM10" i="3"/>
  <c r="BK10" i="3"/>
  <c r="BJ10" i="3"/>
  <c r="BI10" i="3"/>
  <c r="BH10" i="3"/>
  <c r="BG10" i="3"/>
  <c r="BF10" i="3"/>
  <c r="BE10" i="3"/>
  <c r="BD10" i="3"/>
  <c r="BL5" i="3"/>
  <c r="AT6" i="3"/>
  <c r="AS5" i="3"/>
  <c r="AR5" i="3"/>
  <c r="AQ5" i="3"/>
  <c r="AO5" i="3"/>
  <c r="AN5" i="3"/>
  <c r="AM5" i="3"/>
  <c r="AK5" i="3"/>
  <c r="AJ5" i="3"/>
  <c r="AI5" i="3"/>
  <c r="AG5" i="3"/>
  <c r="AF5" i="3"/>
  <c r="AE5" i="3"/>
  <c r="AB5" i="3"/>
  <c r="AA5" i="3"/>
  <c r="Z5" i="3"/>
  <c r="Y5" i="3"/>
  <c r="X5" i="3"/>
  <c r="W5" i="3"/>
  <c r="V5" i="3"/>
  <c r="U5" i="3"/>
  <c r="T5" i="3"/>
  <c r="S5" i="3"/>
  <c r="R5" i="3"/>
  <c r="Q5" i="3"/>
  <c r="P5" i="3"/>
  <c r="O5" i="3"/>
  <c r="N5" i="3"/>
  <c r="L5" i="3"/>
  <c r="J5" i="3"/>
  <c r="AC5" i="3"/>
  <c r="F5" i="3"/>
  <c r="T35" i="4"/>
  <c r="R35" i="4"/>
  <c r="Q35" i="4"/>
  <c r="P35" i="4"/>
  <c r="O35" i="4"/>
  <c r="N35" i="4"/>
  <c r="M35" i="4"/>
  <c r="L35" i="4"/>
  <c r="T34" i="4"/>
  <c r="K34" i="4"/>
  <c r="C33" i="4"/>
  <c r="C32" i="4"/>
  <c r="C31" i="4"/>
  <c r="L22" i="4"/>
  <c r="L21" i="4"/>
  <c r="L20" i="4"/>
  <c r="F19" i="4"/>
  <c r="C17" i="4"/>
  <c r="I15" i="4"/>
  <c r="H15" i="4"/>
  <c r="G15" i="4"/>
  <c r="F15" i="4"/>
  <c r="E15" i="4"/>
  <c r="D15" i="4"/>
  <c r="K5" i="4"/>
  <c r="C4" i="4"/>
  <c r="E4" i="4"/>
  <c r="K4" i="4"/>
  <c r="I4" i="4"/>
  <c r="G4" i="4"/>
  <c r="S1" i="4"/>
  <c r="B1" i="4"/>
  <c r="C53" i="10"/>
  <c r="C51" i="10"/>
  <c r="B51" i="10"/>
  <c r="B2" i="49"/>
  <c r="B23" i="49"/>
  <c r="E22" i="49"/>
  <c r="B22" i="49"/>
  <c r="E21" i="49"/>
  <c r="E16" i="49"/>
  <c r="B16" i="49"/>
  <c r="B14" i="49"/>
  <c r="B13" i="49"/>
  <c r="E11" i="49"/>
  <c r="B11" i="49"/>
  <c r="E10" i="49"/>
  <c r="B10" i="49"/>
  <c r="E9" i="49"/>
  <c r="B9" i="49"/>
  <c r="E8" i="49"/>
  <c r="B8" i="49"/>
  <c r="E7" i="49"/>
  <c r="B7" i="49"/>
  <c r="E6" i="49"/>
  <c r="B6" i="49"/>
  <c r="E5" i="49"/>
  <c r="B5" i="49"/>
  <c r="E4" i="49"/>
  <c r="B4" i="49"/>
  <c r="A21" i="62"/>
  <c r="A20" i="62"/>
  <c r="A19" i="62"/>
  <c r="A18" i="62"/>
  <c r="A15" i="62"/>
  <c r="A14" i="62"/>
  <c r="A13" i="62"/>
  <c r="A12" i="62"/>
  <c r="B5" i="62"/>
  <c r="A5" i="62"/>
  <c r="B4" i="62"/>
  <c r="A4" i="62"/>
  <c r="D13" i="52"/>
  <c r="D12" i="52"/>
  <c r="A12" i="52"/>
  <c r="D11" i="52"/>
  <c r="D10" i="52"/>
  <c r="A10" i="52"/>
  <c r="D9" i="52"/>
  <c r="D8" i="52"/>
  <c r="A8" i="52"/>
  <c r="D7" i="52"/>
  <c r="D6" i="52"/>
  <c r="A6" i="52"/>
  <c r="H5" i="52"/>
  <c r="F5" i="52"/>
  <c r="D5" i="52"/>
  <c r="I4" i="52"/>
  <c r="H4" i="52"/>
  <c r="G4" i="52"/>
  <c r="F4" i="52"/>
  <c r="E4" i="52"/>
  <c r="D4" i="52"/>
  <c r="B4" i="52"/>
  <c r="A4" i="52"/>
  <c r="H2" i="52"/>
  <c r="F2" i="52"/>
  <c r="D2" i="52"/>
  <c r="A1" i="52"/>
  <c r="D21" i="53"/>
  <c r="D19" i="53"/>
  <c r="D20" i="53"/>
  <c r="B19" i="53"/>
  <c r="D18" i="53"/>
  <c r="D16" i="53"/>
  <c r="D17" i="53"/>
  <c r="B16" i="53"/>
  <c r="D15" i="53"/>
  <c r="D13" i="53"/>
  <c r="D14" i="53"/>
  <c r="B13" i="53"/>
  <c r="D12" i="53"/>
  <c r="D11" i="53"/>
  <c r="D10" i="53"/>
  <c r="D9" i="53"/>
  <c r="D8" i="53"/>
  <c r="B8" i="53"/>
  <c r="D7" i="53"/>
  <c r="D5" i="53"/>
  <c r="D6" i="53"/>
  <c r="A3" i="53"/>
  <c r="A2" i="53"/>
  <c r="A24" i="51"/>
  <c r="A22" i="51"/>
  <c r="A21" i="51"/>
  <c r="A20" i="51"/>
  <c r="A19" i="51"/>
  <c r="A18" i="51"/>
  <c r="A15" i="51"/>
  <c r="A13" i="51"/>
  <c r="A4" i="51"/>
  <c r="A3" i="51"/>
  <c r="B49" i="48"/>
  <c r="B47" i="48"/>
  <c r="B46" i="48"/>
  <c r="B40" i="48"/>
  <c r="B37" i="48"/>
  <c r="B74" i="72"/>
  <c r="B73" i="72"/>
  <c r="B72" i="72"/>
  <c r="B71" i="72"/>
  <c r="B70" i="72"/>
  <c r="B69" i="72"/>
  <c r="B68" i="72"/>
  <c r="B67" i="72"/>
  <c r="B66" i="72"/>
  <c r="B65" i="72"/>
  <c r="B64" i="72"/>
  <c r="B63" i="72"/>
  <c r="B62" i="72"/>
  <c r="B61" i="72"/>
  <c r="B60" i="72"/>
  <c r="B59" i="72"/>
  <c r="B58" i="72"/>
  <c r="B57" i="72"/>
  <c r="B56" i="72"/>
  <c r="B55" i="72"/>
  <c r="B54" i="72"/>
  <c r="B53" i="72"/>
  <c r="B52" i="72"/>
  <c r="B51" i="72"/>
  <c r="B50" i="72"/>
  <c r="B49" i="72"/>
  <c r="B48" i="72"/>
  <c r="B47" i="72"/>
  <c r="B46" i="72"/>
  <c r="B44" i="72"/>
  <c r="B43" i="72"/>
  <c r="B42" i="72"/>
  <c r="B41" i="72"/>
  <c r="B40" i="72"/>
  <c r="B39" i="72"/>
  <c r="B38" i="72"/>
  <c r="B37" i="72"/>
  <c r="B36" i="72"/>
  <c r="B35" i="72"/>
  <c r="B34" i="72"/>
  <c r="B33" i="72"/>
  <c r="B32" i="72"/>
  <c r="B31" i="72"/>
  <c r="B30" i="72"/>
  <c r="B29" i="72"/>
  <c r="B28" i="72"/>
  <c r="B27" i="72"/>
  <c r="B26" i="72"/>
  <c r="B25" i="72"/>
  <c r="B24" i="72"/>
  <c r="B23" i="72"/>
  <c r="B22" i="72"/>
  <c r="B21" i="72"/>
  <c r="B20" i="72"/>
  <c r="B19" i="72"/>
  <c r="B18" i="72"/>
  <c r="B17" i="72"/>
  <c r="B16" i="72"/>
  <c r="B15" i="72"/>
  <c r="B14" i="72"/>
  <c r="B13" i="72"/>
  <c r="B12" i="72"/>
  <c r="B11" i="72"/>
  <c r="B10" i="72"/>
  <c r="B8" i="72"/>
  <c r="B6" i="72"/>
  <c r="B5" i="72"/>
  <c r="B4" i="72"/>
  <c r="B3" i="72"/>
  <c r="B2" i="72"/>
  <c r="S10" i="39"/>
  <c r="U10" i="39"/>
  <c r="W10" i="39"/>
  <c r="F10" i="40"/>
  <c r="S10" i="40"/>
  <c r="H10" i="40"/>
  <c r="U10" i="40"/>
  <c r="J10" i="40"/>
  <c r="W10" i="40"/>
  <c r="AA10" i="40"/>
  <c r="AB10" i="40"/>
  <c r="AC10" i="40"/>
  <c r="C57" i="68"/>
  <c r="C56" i="68"/>
  <c r="C18" i="12"/>
  <c r="C21" i="12"/>
  <c r="C22" i="12"/>
  <c r="C27" i="12"/>
  <c r="C25" i="12"/>
  <c r="C30" i="12"/>
  <c r="C28" i="12"/>
  <c r="C32" i="12"/>
  <c r="B2" i="12"/>
  <c r="B3" i="12"/>
  <c r="H18" i="3"/>
  <c r="G18" i="3"/>
  <c r="G5" i="3"/>
  <c r="B3" i="3"/>
  <c r="AY6" i="3"/>
  <c r="D3" i="6"/>
  <c r="C18" i="4"/>
  <c r="A7" i="51"/>
  <c r="B7" i="72"/>
  <c r="A10" i="51"/>
  <c r="B9" i="72"/>
  <c r="C4" i="52"/>
  <c r="B45" i="72"/>
  <c r="H5" i="3"/>
  <c r="I6" i="3"/>
  <c r="K6" i="3"/>
  <c r="M5" i="3"/>
  <c r="M6" i="3"/>
  <c r="O6" i="3"/>
  <c r="J6" i="3"/>
  <c r="L6" i="3"/>
  <c r="N6" i="3"/>
  <c r="P6" i="3"/>
  <c r="Q6" i="3"/>
  <c r="R6" i="3"/>
  <c r="S6" i="3"/>
  <c r="T6" i="3"/>
  <c r="U6" i="3"/>
  <c r="V6" i="3"/>
  <c r="W6" i="3"/>
  <c r="X6" i="3"/>
  <c r="Y6" i="3"/>
  <c r="Z6" i="3"/>
  <c r="AA6" i="3"/>
  <c r="AB6" i="3"/>
  <c r="H6" i="3"/>
  <c r="AD6" i="3"/>
  <c r="AF6" i="3"/>
  <c r="AH6" i="3"/>
  <c r="AJ6" i="3"/>
  <c r="AE6" i="3"/>
  <c r="AG6" i="3"/>
  <c r="AI6" i="3"/>
  <c r="AK6" i="3"/>
  <c r="AL6" i="3"/>
  <c r="AM6" i="3"/>
  <c r="AN6" i="3"/>
  <c r="AO6" i="3"/>
  <c r="AP6" i="3"/>
  <c r="AQ6" i="3"/>
  <c r="AR6" i="3"/>
  <c r="AS6" i="3"/>
  <c r="AC6" i="3"/>
  <c r="E6" i="3"/>
  <c r="BA6" i="3"/>
  <c r="BB6" i="3"/>
  <c r="BC6" i="3"/>
  <c r="BD6" i="3"/>
  <c r="BE6" i="3"/>
  <c r="BF6" i="3"/>
  <c r="BG6" i="3"/>
  <c r="BH6" i="3"/>
  <c r="BI6" i="3"/>
  <c r="BJ6" i="3"/>
  <c r="BK6" i="3"/>
  <c r="BL6" i="3"/>
  <c r="BM6" i="3"/>
  <c r="BN6" i="3"/>
  <c r="BO6" i="3"/>
  <c r="BP6" i="3"/>
  <c r="BQ6" i="3"/>
  <c r="BR6" i="3"/>
  <c r="BS6" i="3"/>
  <c r="BT6" i="3"/>
  <c r="E13" i="3"/>
  <c r="AY13" i="3"/>
  <c r="E14" i="3"/>
  <c r="AY14" i="3"/>
  <c r="E15" i="3"/>
  <c r="AY15" i="3"/>
  <c r="E16" i="3"/>
  <c r="AY16" i="3"/>
  <c r="E17" i="3"/>
  <c r="AY17" i="3"/>
  <c r="E18" i="3"/>
  <c r="AY18" i="3"/>
  <c r="E19" i="3"/>
  <c r="AY19" i="3"/>
  <c r="E20" i="3"/>
  <c r="AY20" i="3"/>
  <c r="E21" i="3"/>
  <c r="AY21" i="3"/>
  <c r="E22" i="3"/>
  <c r="AY22" i="3"/>
  <c r="E23" i="3"/>
  <c r="AY23" i="3"/>
  <c r="E24" i="3"/>
  <c r="AY24" i="3"/>
  <c r="E25" i="3"/>
  <c r="AY25" i="3"/>
  <c r="E26" i="3"/>
  <c r="AY26" i="3"/>
  <c r="E27" i="3"/>
  <c r="AY27" i="3"/>
  <c r="E28" i="3"/>
  <c r="AY28" i="3"/>
  <c r="E29" i="3"/>
  <c r="AY29" i="3"/>
  <c r="E30" i="3"/>
  <c r="AY30" i="3"/>
  <c r="E31" i="3"/>
  <c r="AY31" i="3"/>
  <c r="E32" i="3"/>
  <c r="AY32" i="3"/>
  <c r="E33" i="3"/>
  <c r="AY33" i="3"/>
  <c r="E34" i="3"/>
  <c r="AY34" i="3"/>
  <c r="E35" i="3"/>
  <c r="AY35" i="3"/>
  <c r="E36" i="3"/>
  <c r="AY36" i="3"/>
  <c r="E37" i="3"/>
  <c r="AY37" i="3"/>
  <c r="E38" i="3"/>
  <c r="AY38" i="3"/>
  <c r="E39" i="3"/>
  <c r="AY39" i="3"/>
  <c r="E40" i="3"/>
  <c r="AY40" i="3"/>
  <c r="E41" i="3"/>
  <c r="AY41" i="3"/>
  <c r="E42" i="3"/>
  <c r="AY42" i="3"/>
  <c r="E43" i="3"/>
  <c r="AY43" i="3"/>
  <c r="E44" i="3"/>
  <c r="AY44" i="3"/>
  <c r="E45" i="3"/>
  <c r="AY45" i="3"/>
  <c r="E46" i="3"/>
  <c r="AY46" i="3"/>
  <c r="E47" i="3"/>
  <c r="AY47" i="3"/>
  <c r="E48" i="3"/>
  <c r="AY48" i="3"/>
  <c r="E49" i="3"/>
  <c r="AY49" i="3"/>
  <c r="E50" i="3"/>
  <c r="AY50" i="3"/>
  <c r="E51" i="3"/>
  <c r="AY51" i="3"/>
  <c r="E52" i="3"/>
  <c r="AY52" i="3"/>
  <c r="E53" i="3"/>
  <c r="AY53" i="3"/>
  <c r="E54" i="3"/>
  <c r="AY54" i="3"/>
  <c r="E55" i="3"/>
  <c r="AY55" i="3"/>
  <c r="E56" i="3"/>
  <c r="AY56" i="3"/>
  <c r="E57" i="3"/>
  <c r="AY57" i="3"/>
  <c r="E58" i="3"/>
  <c r="AY58" i="3"/>
  <c r="E59" i="3"/>
  <c r="AY59" i="3"/>
  <c r="E60" i="3"/>
  <c r="AY60" i="3"/>
  <c r="E61" i="3"/>
  <c r="AY61" i="3"/>
  <c r="E62" i="3"/>
  <c r="AY62" i="3"/>
  <c r="E63" i="3"/>
  <c r="AY63" i="3"/>
  <c r="E64" i="3"/>
  <c r="AY64" i="3"/>
  <c r="E65" i="3"/>
  <c r="AY65" i="3"/>
  <c r="E66" i="3"/>
  <c r="AY66" i="3"/>
  <c r="E67" i="3"/>
  <c r="AY67" i="3"/>
  <c r="E68" i="3"/>
  <c r="AY68" i="3"/>
  <c r="E69" i="3"/>
  <c r="AY69" i="3"/>
  <c r="E70" i="3"/>
  <c r="AY70" i="3"/>
  <c r="E71" i="3"/>
  <c r="AY71" i="3"/>
  <c r="E72" i="3"/>
  <c r="AY72" i="3"/>
  <c r="E73" i="3"/>
  <c r="AY73" i="3"/>
  <c r="E74" i="3"/>
  <c r="AY74" i="3"/>
  <c r="E75" i="3"/>
  <c r="AY75" i="3"/>
  <c r="E76" i="3"/>
  <c r="AY76" i="3"/>
  <c r="E77" i="3"/>
  <c r="AY77" i="3"/>
  <c r="E78" i="3"/>
  <c r="AY78" i="3"/>
  <c r="E79" i="3"/>
  <c r="AY79" i="3"/>
  <c r="E80" i="3"/>
  <c r="AY80" i="3"/>
  <c r="E81" i="3"/>
  <c r="AY81" i="3"/>
  <c r="E82" i="3"/>
  <c r="AY82" i="3"/>
  <c r="E83" i="3"/>
  <c r="AY83" i="3"/>
  <c r="E84" i="3"/>
  <c r="AY84" i="3"/>
  <c r="E85" i="3"/>
  <c r="AY85" i="3"/>
  <c r="E86" i="3"/>
  <c r="AY86" i="3"/>
  <c r="E87" i="3"/>
  <c r="AY87" i="3"/>
  <c r="E88" i="3"/>
  <c r="AY88" i="3"/>
  <c r="E89" i="3"/>
  <c r="AY89" i="3"/>
  <c r="E90" i="3"/>
  <c r="AY90" i="3"/>
  <c r="E91" i="3"/>
  <c r="AY91" i="3"/>
  <c r="E92" i="3"/>
  <c r="AY92" i="3"/>
  <c r="E93" i="3"/>
  <c r="AY93" i="3"/>
  <c r="E94" i="3"/>
  <c r="AY94" i="3"/>
  <c r="E95" i="3"/>
  <c r="AY95" i="3"/>
  <c r="E96" i="3"/>
  <c r="AY96" i="3"/>
  <c r="E97" i="3"/>
  <c r="AY97" i="3"/>
  <c r="E98" i="3"/>
  <c r="AY98" i="3"/>
  <c r="E99" i="3"/>
  <c r="AY99" i="3"/>
  <c r="E100" i="3"/>
  <c r="AY100" i="3"/>
  <c r="E101" i="3"/>
  <c r="AY101" i="3"/>
  <c r="E102" i="3"/>
  <c r="AY102" i="3"/>
  <c r="E103" i="3"/>
  <c r="AY103" i="3"/>
  <c r="E104" i="3"/>
  <c r="AY104" i="3"/>
  <c r="E105" i="3"/>
  <c r="AY105" i="3"/>
  <c r="E106" i="3"/>
  <c r="AY106" i="3"/>
  <c r="E107" i="3"/>
  <c r="AY107" i="3"/>
  <c r="E108" i="3"/>
  <c r="AY108" i="3"/>
  <c r="E109" i="3"/>
  <c r="AY109" i="3"/>
  <c r="E110" i="3"/>
  <c r="AY110" i="3"/>
  <c r="E111" i="3"/>
  <c r="AY111" i="3"/>
  <c r="E112" i="3"/>
  <c r="AY112" i="3"/>
  <c r="E113" i="3"/>
  <c r="AY113" i="3"/>
  <c r="E114" i="3"/>
  <c r="AY114" i="3"/>
  <c r="E115" i="3"/>
  <c r="AY115" i="3"/>
  <c r="E116" i="3"/>
  <c r="AY116" i="3"/>
  <c r="E117" i="3"/>
  <c r="AY117" i="3"/>
  <c r="E118" i="3"/>
  <c r="AY118" i="3"/>
  <c r="E119" i="3"/>
  <c r="AY119" i="3"/>
  <c r="E120" i="3"/>
  <c r="AY120" i="3"/>
  <c r="E121" i="3"/>
  <c r="AY121" i="3"/>
  <c r="E122" i="3"/>
  <c r="AY122" i="3"/>
  <c r="E123" i="3"/>
  <c r="AY123" i="3"/>
  <c r="E124" i="3"/>
  <c r="AY124" i="3"/>
  <c r="E125" i="3"/>
  <c r="AY125" i="3"/>
  <c r="E126" i="3"/>
  <c r="AY126" i="3"/>
  <c r="E127" i="3"/>
  <c r="AY127" i="3"/>
  <c r="E128" i="3"/>
  <c r="AY128" i="3"/>
  <c r="E129" i="3"/>
  <c r="AY129" i="3"/>
  <c r="E130" i="3"/>
  <c r="AY130" i="3"/>
  <c r="E131" i="3"/>
  <c r="AY131" i="3"/>
  <c r="E132" i="3"/>
  <c r="AY132" i="3"/>
  <c r="E133" i="3"/>
  <c r="AY133" i="3"/>
  <c r="E134" i="3"/>
  <c r="AY134" i="3"/>
  <c r="E135" i="3"/>
  <c r="AY135" i="3"/>
  <c r="E136" i="3"/>
  <c r="AY136" i="3"/>
  <c r="E137" i="3"/>
  <c r="AY137" i="3"/>
  <c r="E138" i="3"/>
  <c r="AY138" i="3"/>
  <c r="E139" i="3"/>
  <c r="AY139" i="3"/>
  <c r="E140" i="3"/>
  <c r="AY140" i="3"/>
  <c r="E141" i="3"/>
  <c r="AY141" i="3"/>
  <c r="E142" i="3"/>
  <c r="AY142" i="3"/>
  <c r="E143" i="3"/>
  <c r="AY143" i="3"/>
  <c r="E144" i="3"/>
  <c r="AY144" i="3"/>
  <c r="E145" i="3"/>
  <c r="AY145" i="3"/>
  <c r="E146" i="3"/>
  <c r="AY146" i="3"/>
  <c r="E147" i="3"/>
  <c r="AY147" i="3"/>
  <c r="E148" i="3"/>
  <c r="AY148" i="3"/>
  <c r="E149" i="3"/>
  <c r="AY149" i="3"/>
  <c r="E150" i="3"/>
  <c r="AY150" i="3"/>
  <c r="E151" i="3"/>
  <c r="AY151" i="3"/>
  <c r="E152" i="3"/>
  <c r="AY152" i="3"/>
  <c r="E153" i="3"/>
  <c r="AY153" i="3"/>
  <c r="E154" i="3"/>
  <c r="AY154" i="3"/>
  <c r="E155" i="3"/>
  <c r="AY155" i="3"/>
  <c r="E156" i="3"/>
  <c r="AY156" i="3"/>
  <c r="E157" i="3"/>
  <c r="AY157" i="3"/>
  <c r="E158" i="3"/>
  <c r="AY158" i="3"/>
  <c r="E159" i="3"/>
  <c r="AY159" i="3"/>
  <c r="E160" i="3"/>
  <c r="AY160" i="3"/>
  <c r="E161" i="3"/>
  <c r="AY161" i="3"/>
  <c r="E162" i="3"/>
  <c r="AY162" i="3"/>
  <c r="E163" i="3"/>
  <c r="AY163" i="3"/>
  <c r="E164" i="3"/>
  <c r="AY164" i="3"/>
  <c r="E165" i="3"/>
  <c r="AY165" i="3"/>
  <c r="E166" i="3"/>
  <c r="AY166" i="3"/>
  <c r="E167" i="3"/>
  <c r="AY167" i="3"/>
  <c r="E168" i="3"/>
  <c r="AY168" i="3"/>
  <c r="E169" i="3"/>
  <c r="AY169" i="3"/>
  <c r="E170" i="3"/>
  <c r="AY170" i="3"/>
  <c r="E171" i="3"/>
  <c r="AY171" i="3"/>
  <c r="E172" i="3"/>
  <c r="AY172" i="3"/>
  <c r="E173" i="3"/>
  <c r="AY173" i="3"/>
  <c r="E174" i="3"/>
  <c r="AY174" i="3"/>
  <c r="E175" i="3"/>
  <c r="AY175" i="3"/>
  <c r="E176" i="3"/>
  <c r="AY176" i="3"/>
  <c r="E177" i="3"/>
  <c r="AY177" i="3"/>
  <c r="E178" i="3"/>
  <c r="AY178" i="3"/>
  <c r="E179" i="3"/>
  <c r="AY179" i="3"/>
  <c r="E180" i="3"/>
  <c r="AY180" i="3"/>
  <c r="E181" i="3"/>
  <c r="AY181" i="3"/>
  <c r="E182" i="3"/>
  <c r="AY182" i="3"/>
  <c r="E183" i="3"/>
  <c r="AY183" i="3"/>
  <c r="E184" i="3"/>
  <c r="AY184" i="3"/>
  <c r="E185" i="3"/>
  <c r="AY185" i="3"/>
  <c r="E186" i="3"/>
  <c r="AY186" i="3"/>
  <c r="E187" i="3"/>
  <c r="AY187" i="3"/>
  <c r="E188" i="3"/>
  <c r="AY188" i="3"/>
  <c r="E189" i="3"/>
  <c r="AY189" i="3"/>
  <c r="E190" i="3"/>
  <c r="AY190" i="3"/>
  <c r="E191" i="3"/>
  <c r="AY191" i="3"/>
  <c r="E192" i="3"/>
  <c r="AY192" i="3"/>
  <c r="E193" i="3"/>
  <c r="AY193" i="3"/>
  <c r="E194" i="3"/>
  <c r="AY194" i="3"/>
  <c r="E195" i="3"/>
  <c r="AY195" i="3"/>
  <c r="E196" i="3"/>
  <c r="AY196" i="3"/>
  <c r="E197" i="3"/>
  <c r="AY197" i="3"/>
  <c r="E198" i="3"/>
  <c r="AY198" i="3"/>
  <c r="E199" i="3"/>
  <c r="AY199" i="3"/>
  <c r="E200" i="3"/>
  <c r="AY200" i="3"/>
  <c r="E201" i="3"/>
  <c r="AY201" i="3"/>
  <c r="E202" i="3"/>
  <c r="AY202" i="3"/>
  <c r="E203" i="3"/>
  <c r="AY203" i="3"/>
  <c r="E204" i="3"/>
  <c r="AY204" i="3"/>
  <c r="E205" i="3"/>
  <c r="AY205" i="3"/>
  <c r="E206" i="3"/>
  <c r="AY206" i="3"/>
  <c r="E207" i="3"/>
  <c r="AY207" i="3"/>
  <c r="E208" i="3"/>
  <c r="AY208" i="3"/>
  <c r="E209" i="3"/>
  <c r="AY209" i="3"/>
  <c r="E210" i="3"/>
  <c r="AY210" i="3"/>
  <c r="E211" i="3"/>
  <c r="AY211" i="3"/>
  <c r="E212" i="3"/>
  <c r="AY212" i="3"/>
  <c r="E213" i="3"/>
  <c r="AY213" i="3"/>
  <c r="E214" i="3"/>
  <c r="AY214" i="3"/>
  <c r="E215" i="3"/>
  <c r="AY215" i="3"/>
  <c r="E216" i="3"/>
  <c r="AY216" i="3"/>
  <c r="E217" i="3"/>
  <c r="AY217" i="3"/>
  <c r="E218" i="3"/>
  <c r="AY218" i="3"/>
  <c r="E219" i="3"/>
  <c r="AY219" i="3"/>
  <c r="E220" i="3"/>
  <c r="AY220" i="3"/>
  <c r="E221" i="3"/>
  <c r="AY221" i="3"/>
  <c r="E222" i="3"/>
  <c r="AY222" i="3"/>
  <c r="E223" i="3"/>
  <c r="AY223" i="3"/>
  <c r="E224" i="3"/>
  <c r="AY224" i="3"/>
  <c r="E225" i="3"/>
  <c r="AY225" i="3"/>
  <c r="E226" i="3"/>
  <c r="AY226" i="3"/>
  <c r="E227" i="3"/>
  <c r="AY227" i="3"/>
  <c r="E228" i="3"/>
  <c r="AY228" i="3"/>
  <c r="E229" i="3"/>
  <c r="AY229" i="3"/>
  <c r="E230" i="3"/>
  <c r="AY230" i="3"/>
  <c r="E231" i="3"/>
  <c r="AY231" i="3"/>
  <c r="E232" i="3"/>
  <c r="AY232" i="3"/>
  <c r="E233" i="3"/>
  <c r="AY233" i="3"/>
  <c r="E234" i="3"/>
  <c r="AY234" i="3"/>
  <c r="E235" i="3"/>
  <c r="AY235" i="3"/>
  <c r="E236" i="3"/>
  <c r="AY236" i="3"/>
  <c r="E237" i="3"/>
  <c r="AY237" i="3"/>
  <c r="E238" i="3"/>
  <c r="AY238" i="3"/>
  <c r="E239" i="3"/>
  <c r="AY239" i="3"/>
  <c r="E240" i="3"/>
  <c r="AY240" i="3"/>
  <c r="E241" i="3"/>
  <c r="AY241" i="3"/>
  <c r="E242" i="3"/>
  <c r="AY242" i="3"/>
  <c r="E243" i="3"/>
  <c r="AY243" i="3"/>
  <c r="E244" i="3"/>
  <c r="AY244" i="3"/>
  <c r="E245" i="3"/>
  <c r="AY245" i="3"/>
  <c r="E246" i="3"/>
  <c r="AY246" i="3"/>
  <c r="E247" i="3"/>
  <c r="AY247" i="3"/>
  <c r="E248" i="3"/>
  <c r="AY248" i="3"/>
  <c r="E249" i="3"/>
  <c r="AY249" i="3"/>
  <c r="E250" i="3"/>
  <c r="AY250" i="3"/>
  <c r="E251" i="3"/>
  <c r="AY251" i="3"/>
  <c r="E252" i="3"/>
  <c r="AY252" i="3"/>
  <c r="E253" i="3"/>
  <c r="AY253" i="3"/>
  <c r="E254" i="3"/>
  <c r="AY254" i="3"/>
  <c r="E255" i="3"/>
  <c r="AY255" i="3"/>
  <c r="E256" i="3"/>
  <c r="AY256" i="3"/>
  <c r="E257" i="3"/>
  <c r="AY257" i="3"/>
  <c r="E258" i="3"/>
  <c r="AY258" i="3"/>
  <c r="E259" i="3"/>
  <c r="AY259" i="3"/>
  <c r="E260" i="3"/>
  <c r="AY260" i="3"/>
  <c r="E261" i="3"/>
  <c r="AY261" i="3"/>
  <c r="E262" i="3"/>
  <c r="AY262" i="3"/>
  <c r="E263" i="3"/>
  <c r="AY263" i="3"/>
  <c r="E264" i="3"/>
  <c r="AY264" i="3"/>
  <c r="E265" i="3"/>
  <c r="AY265" i="3"/>
  <c r="E266" i="3"/>
  <c r="AY266" i="3"/>
  <c r="E267" i="3"/>
  <c r="AY267" i="3"/>
  <c r="E268" i="3"/>
  <c r="AY268" i="3"/>
  <c r="E269" i="3"/>
  <c r="AY269" i="3"/>
  <c r="E270" i="3"/>
  <c r="AY270" i="3"/>
  <c r="E271" i="3"/>
  <c r="AY271" i="3"/>
  <c r="E272" i="3"/>
  <c r="AY272" i="3"/>
  <c r="E273" i="3"/>
  <c r="AY273" i="3"/>
  <c r="E274" i="3"/>
  <c r="AY274" i="3"/>
  <c r="E275" i="3"/>
  <c r="AY275" i="3"/>
  <c r="E276" i="3"/>
  <c r="AY276" i="3"/>
  <c r="E277" i="3"/>
  <c r="AY277" i="3"/>
  <c r="E278" i="3"/>
  <c r="AY278" i="3"/>
  <c r="E279" i="3"/>
  <c r="AY279" i="3"/>
  <c r="E280" i="3"/>
  <c r="AY280" i="3"/>
  <c r="E281" i="3"/>
  <c r="AY281" i="3"/>
  <c r="E282" i="3"/>
  <c r="AY282" i="3"/>
  <c r="E283" i="3"/>
  <c r="AY283" i="3"/>
  <c r="E284" i="3"/>
  <c r="AY284" i="3"/>
  <c r="E285" i="3"/>
  <c r="AY285" i="3"/>
  <c r="E286" i="3"/>
  <c r="AY286" i="3"/>
  <c r="E287" i="3"/>
  <c r="AY287" i="3"/>
  <c r="E288" i="3"/>
  <c r="AY288" i="3"/>
  <c r="E289" i="3"/>
  <c r="AY289" i="3"/>
  <c r="E290" i="3"/>
  <c r="AY290" i="3"/>
  <c r="E291" i="3"/>
  <c r="AY291" i="3"/>
  <c r="E292" i="3"/>
  <c r="AY292" i="3"/>
  <c r="E293" i="3"/>
  <c r="AY293" i="3"/>
  <c r="E294" i="3"/>
  <c r="AY294" i="3"/>
  <c r="E295" i="3"/>
  <c r="AY295" i="3"/>
  <c r="E296" i="3"/>
  <c r="AY296" i="3"/>
  <c r="E297" i="3"/>
  <c r="AY297" i="3"/>
  <c r="E298" i="3"/>
  <c r="AY298" i="3"/>
  <c r="E299" i="3"/>
  <c r="AY299" i="3"/>
  <c r="E300" i="3"/>
  <c r="AY300" i="3"/>
  <c r="E301" i="3"/>
  <c r="AY301" i="3"/>
  <c r="E302" i="3"/>
  <c r="AY302" i="3"/>
  <c r="E303" i="3"/>
  <c r="AY303" i="3"/>
  <c r="E304" i="3"/>
  <c r="AY304" i="3"/>
  <c r="E305" i="3"/>
  <c r="AY305" i="3"/>
  <c r="E306" i="3"/>
  <c r="AY306" i="3"/>
  <c r="E307" i="3"/>
  <c r="AY307" i="3"/>
  <c r="E308" i="3"/>
  <c r="AY308" i="3"/>
  <c r="E309" i="3"/>
  <c r="AY309" i="3"/>
  <c r="E310" i="3"/>
  <c r="AY310" i="3"/>
  <c r="E311" i="3"/>
  <c r="AY311" i="3"/>
  <c r="E312" i="3"/>
  <c r="AY312" i="3"/>
  <c r="E313" i="3"/>
  <c r="AY313" i="3"/>
  <c r="E314" i="3"/>
  <c r="AY314" i="3"/>
  <c r="E315" i="3"/>
  <c r="AY315" i="3"/>
  <c r="E316" i="3"/>
  <c r="AY316" i="3"/>
  <c r="E317" i="3"/>
  <c r="AY317" i="3"/>
  <c r="E318" i="3"/>
  <c r="AY318" i="3"/>
  <c r="E319" i="3"/>
  <c r="AY319" i="3"/>
  <c r="E320" i="3"/>
  <c r="AY320" i="3"/>
  <c r="E321" i="3"/>
  <c r="AY321" i="3"/>
  <c r="E322" i="3"/>
  <c r="AY322" i="3"/>
  <c r="E323" i="3"/>
  <c r="AY323" i="3"/>
  <c r="E324" i="3"/>
  <c r="AY324" i="3"/>
  <c r="E325" i="3"/>
  <c r="AY325" i="3"/>
  <c r="E326" i="3"/>
  <c r="AY326" i="3"/>
  <c r="E327" i="3"/>
  <c r="AY327" i="3"/>
  <c r="E328" i="3"/>
  <c r="AY328" i="3"/>
  <c r="E329" i="3"/>
  <c r="AY329" i="3"/>
  <c r="E330" i="3"/>
  <c r="AY330" i="3"/>
  <c r="E331" i="3"/>
  <c r="AY331" i="3"/>
  <c r="E332" i="3"/>
  <c r="AY332" i="3"/>
  <c r="E333" i="3"/>
  <c r="AY333" i="3"/>
  <c r="E334" i="3"/>
  <c r="AY334" i="3"/>
  <c r="E335" i="3"/>
  <c r="AY335" i="3"/>
  <c r="E336" i="3"/>
  <c r="AY336" i="3"/>
  <c r="E337" i="3"/>
  <c r="AY337" i="3"/>
  <c r="E338" i="3"/>
  <c r="AY338" i="3"/>
  <c r="E339" i="3"/>
  <c r="AY339" i="3"/>
  <c r="E340" i="3"/>
  <c r="AY340" i="3"/>
  <c r="E341" i="3"/>
  <c r="AY341" i="3"/>
  <c r="E342" i="3"/>
  <c r="AY342" i="3"/>
  <c r="E343" i="3"/>
  <c r="AY343" i="3"/>
  <c r="E344" i="3"/>
  <c r="AY344" i="3"/>
  <c r="E345" i="3"/>
  <c r="AY345" i="3"/>
  <c r="E346" i="3"/>
  <c r="AY346" i="3"/>
  <c r="E347" i="3"/>
  <c r="AY347" i="3"/>
  <c r="E348" i="3"/>
  <c r="AY348" i="3"/>
  <c r="E349" i="3"/>
  <c r="AY349" i="3"/>
  <c r="E350" i="3"/>
  <c r="AY350" i="3"/>
  <c r="E351" i="3"/>
  <c r="AY351" i="3"/>
  <c r="E352" i="3"/>
  <c r="AY352" i="3"/>
  <c r="E353" i="3"/>
  <c r="AY353" i="3"/>
  <c r="E354" i="3"/>
  <c r="AY354" i="3"/>
  <c r="E355" i="3"/>
  <c r="AY355" i="3"/>
  <c r="E356" i="3"/>
  <c r="AY356" i="3"/>
  <c r="E357" i="3"/>
  <c r="AY357" i="3"/>
  <c r="E358" i="3"/>
  <c r="AY358" i="3"/>
  <c r="E359" i="3"/>
  <c r="AY359" i="3"/>
  <c r="E360" i="3"/>
  <c r="AY360" i="3"/>
  <c r="E361" i="3"/>
  <c r="AY361" i="3"/>
  <c r="E362" i="3"/>
  <c r="AY362" i="3"/>
  <c r="E363" i="3"/>
  <c r="AY363" i="3"/>
  <c r="E364" i="3"/>
  <c r="AY364" i="3"/>
  <c r="E365" i="3"/>
  <c r="AY365" i="3"/>
  <c r="E366" i="3"/>
  <c r="AY366" i="3"/>
  <c r="E367" i="3"/>
  <c r="AY367" i="3"/>
  <c r="E368" i="3"/>
  <c r="AY368" i="3"/>
  <c r="E369" i="3"/>
  <c r="AY369" i="3"/>
  <c r="E370" i="3"/>
  <c r="AY370" i="3"/>
  <c r="E371" i="3"/>
  <c r="AY371" i="3"/>
  <c r="E372" i="3"/>
  <c r="AY372" i="3"/>
  <c r="E373" i="3"/>
  <c r="AY373" i="3"/>
  <c r="E374" i="3"/>
  <c r="AY374" i="3"/>
  <c r="E375" i="3"/>
  <c r="AY375" i="3"/>
  <c r="E376" i="3"/>
  <c r="AY376" i="3"/>
  <c r="E377" i="3"/>
  <c r="AY377" i="3"/>
  <c r="E378" i="3"/>
  <c r="AY378" i="3"/>
  <c r="E379" i="3"/>
  <c r="AY379" i="3"/>
  <c r="E380" i="3"/>
  <c r="AY380" i="3"/>
  <c r="E381" i="3"/>
  <c r="AY381" i="3"/>
  <c r="E382" i="3"/>
  <c r="AY382" i="3"/>
  <c r="E383" i="3"/>
  <c r="AY383" i="3"/>
  <c r="E384" i="3"/>
  <c r="AY384" i="3"/>
  <c r="E385" i="3"/>
  <c r="AY385" i="3"/>
  <c r="E386" i="3"/>
  <c r="AY386" i="3"/>
  <c r="E387" i="3"/>
  <c r="AY387" i="3"/>
  <c r="E388" i="3"/>
  <c r="AY388" i="3"/>
  <c r="E389" i="3"/>
  <c r="AY389" i="3"/>
  <c r="E390" i="3"/>
  <c r="AY390" i="3"/>
  <c r="E391" i="3"/>
  <c r="AY391" i="3"/>
  <c r="E392" i="3"/>
  <c r="AY392" i="3"/>
  <c r="E393" i="3"/>
  <c r="AY393" i="3"/>
  <c r="E394" i="3"/>
  <c r="AY394" i="3"/>
  <c r="E395" i="3"/>
  <c r="AY395" i="3"/>
  <c r="E396" i="3"/>
  <c r="AY396" i="3"/>
  <c r="E397" i="3"/>
  <c r="AY397" i="3"/>
  <c r="E398" i="3"/>
  <c r="AY398" i="3"/>
  <c r="E399" i="3"/>
  <c r="AY399" i="3"/>
  <c r="E400" i="3"/>
  <c r="AY400" i="3"/>
  <c r="E401" i="3"/>
  <c r="AY401" i="3"/>
  <c r="E402" i="3"/>
  <c r="AY402" i="3"/>
  <c r="E403" i="3"/>
  <c r="AY403" i="3"/>
  <c r="E404" i="3"/>
  <c r="AY404" i="3"/>
  <c r="E405" i="3"/>
  <c r="AY405" i="3"/>
  <c r="E406" i="3"/>
  <c r="AY406" i="3"/>
  <c r="E407" i="3"/>
  <c r="AY407" i="3"/>
  <c r="E408" i="3"/>
  <c r="AY408" i="3"/>
  <c r="E409" i="3"/>
  <c r="AY409" i="3"/>
  <c r="E410" i="3"/>
  <c r="AY410" i="3"/>
  <c r="E411" i="3"/>
  <c r="AY411" i="3"/>
  <c r="E412" i="3"/>
  <c r="AY412" i="3"/>
  <c r="E413" i="3"/>
  <c r="AY413" i="3"/>
  <c r="E414" i="3"/>
  <c r="AY414" i="3"/>
  <c r="E415" i="3"/>
  <c r="AY415" i="3"/>
  <c r="E416" i="3"/>
  <c r="AY416" i="3"/>
  <c r="E417" i="3"/>
  <c r="AY417" i="3"/>
  <c r="E418" i="3"/>
  <c r="AY418" i="3"/>
  <c r="E419" i="3"/>
  <c r="AY419" i="3"/>
  <c r="E420" i="3"/>
  <c r="AY420" i="3"/>
  <c r="E421" i="3"/>
  <c r="AY421" i="3"/>
  <c r="E422" i="3"/>
  <c r="AY422" i="3"/>
  <c r="E423" i="3"/>
  <c r="AY423" i="3"/>
  <c r="E424" i="3"/>
  <c r="AY424" i="3"/>
  <c r="E425" i="3"/>
  <c r="AY425" i="3"/>
  <c r="E426" i="3"/>
  <c r="AY426" i="3"/>
  <c r="E427" i="3"/>
  <c r="AY427" i="3"/>
  <c r="E428" i="3"/>
  <c r="AY428" i="3"/>
  <c r="E429" i="3"/>
  <c r="AY429" i="3"/>
  <c r="E430" i="3"/>
  <c r="AY430" i="3"/>
  <c r="E431" i="3"/>
  <c r="AY431" i="3"/>
  <c r="E432" i="3"/>
  <c r="AY432" i="3"/>
  <c r="E433" i="3"/>
  <c r="AY433" i="3"/>
  <c r="E434" i="3"/>
  <c r="AY434" i="3"/>
  <c r="E435" i="3"/>
  <c r="AY435" i="3"/>
  <c r="E436" i="3"/>
  <c r="AY436" i="3"/>
  <c r="E437" i="3"/>
  <c r="AY437" i="3"/>
  <c r="E438" i="3"/>
  <c r="AY438" i="3"/>
  <c r="E439" i="3"/>
  <c r="AY439" i="3"/>
  <c r="E440" i="3"/>
  <c r="AY440" i="3"/>
  <c r="E441" i="3"/>
  <c r="AY441" i="3"/>
  <c r="E442" i="3"/>
  <c r="AY442" i="3"/>
  <c r="E443" i="3"/>
  <c r="AY443" i="3"/>
  <c r="E444" i="3"/>
  <c r="AY444" i="3"/>
  <c r="E445" i="3"/>
  <c r="AY445" i="3"/>
  <c r="E446" i="3"/>
  <c r="AY446" i="3"/>
  <c r="E447" i="3"/>
  <c r="AY447" i="3"/>
  <c r="E448" i="3"/>
  <c r="AY448" i="3"/>
  <c r="E449" i="3"/>
  <c r="AY449" i="3"/>
  <c r="E450" i="3"/>
  <c r="AY450" i="3"/>
  <c r="E451" i="3"/>
  <c r="AY451" i="3"/>
  <c r="E452" i="3"/>
  <c r="AY452" i="3"/>
  <c r="E453" i="3"/>
  <c r="AY453" i="3"/>
  <c r="E454" i="3"/>
  <c r="AY454" i="3"/>
  <c r="E455" i="3"/>
  <c r="AY455" i="3"/>
  <c r="E456" i="3"/>
  <c r="AY456" i="3"/>
  <c r="E457" i="3"/>
  <c r="AY457" i="3"/>
  <c r="E458" i="3"/>
  <c r="AY458" i="3"/>
  <c r="E459" i="3"/>
  <c r="AY459" i="3"/>
  <c r="E460" i="3"/>
  <c r="AY460" i="3"/>
  <c r="E461" i="3"/>
  <c r="AY461" i="3"/>
  <c r="E462" i="3"/>
  <c r="AY462" i="3"/>
  <c r="E463" i="3"/>
  <c r="AY463" i="3"/>
  <c r="E464" i="3"/>
  <c r="AY464" i="3"/>
  <c r="E465" i="3"/>
  <c r="AY465" i="3"/>
  <c r="E466" i="3"/>
  <c r="AY466" i="3"/>
  <c r="E467" i="3"/>
  <c r="AY467" i="3"/>
  <c r="E468" i="3"/>
  <c r="AY468" i="3"/>
  <c r="E469" i="3"/>
  <c r="AY469" i="3"/>
  <c r="E470" i="3"/>
  <c r="AY470" i="3"/>
  <c r="E471" i="3"/>
  <c r="AY471" i="3"/>
  <c r="E472" i="3"/>
  <c r="AY472" i="3"/>
  <c r="E473" i="3"/>
  <c r="AY473" i="3"/>
  <c r="E474" i="3"/>
  <c r="AY474" i="3"/>
  <c r="E475" i="3"/>
  <c r="AY475" i="3"/>
  <c r="E476" i="3"/>
  <c r="AY476" i="3"/>
  <c r="E477" i="3"/>
  <c r="AY477" i="3"/>
  <c r="E478" i="3"/>
  <c r="AY478" i="3"/>
  <c r="E479" i="3"/>
  <c r="AY479" i="3"/>
  <c r="E480" i="3"/>
  <c r="AY480" i="3"/>
  <c r="E481" i="3"/>
  <c r="AY481" i="3"/>
  <c r="E482" i="3"/>
  <c r="AY482" i="3"/>
  <c r="E483" i="3"/>
  <c r="AY483" i="3"/>
  <c r="E484" i="3"/>
  <c r="AY484" i="3"/>
  <c r="E485" i="3"/>
  <c r="AY485" i="3"/>
  <c r="E486" i="3"/>
  <c r="AY486" i="3"/>
  <c r="E487" i="3"/>
  <c r="AY487" i="3"/>
  <c r="E488" i="3"/>
  <c r="AY488" i="3"/>
  <c r="E489" i="3"/>
  <c r="AY489" i="3"/>
  <c r="E490" i="3"/>
  <c r="AY490" i="3"/>
  <c r="E491" i="3"/>
  <c r="AY491" i="3"/>
  <c r="E492" i="3"/>
  <c r="AY492" i="3"/>
  <c r="E493" i="3"/>
  <c r="AY493" i="3"/>
  <c r="E494" i="3"/>
  <c r="AY494" i="3"/>
  <c r="E495" i="3"/>
  <c r="AY495" i="3"/>
  <c r="E496" i="3"/>
  <c r="AY496" i="3"/>
  <c r="E497" i="3"/>
  <c r="AY497" i="3"/>
  <c r="E498" i="3"/>
  <c r="AY498" i="3"/>
  <c r="E499" i="3"/>
  <c r="AY499" i="3"/>
  <c r="E500" i="3"/>
  <c r="AY500" i="3"/>
  <c r="E501" i="3"/>
  <c r="AY501" i="3"/>
  <c r="E502" i="3"/>
  <c r="AY502" i="3"/>
  <c r="E503" i="3"/>
  <c r="AY503" i="3"/>
  <c r="E504" i="3"/>
  <c r="AY504" i="3"/>
  <c r="E505" i="3"/>
  <c r="AY505" i="3"/>
  <c r="E506" i="3"/>
  <c r="AY506" i="3"/>
  <c r="E507" i="3"/>
  <c r="AY507" i="3"/>
  <c r="E508" i="3"/>
  <c r="AY508" i="3"/>
  <c r="E509" i="3"/>
  <c r="AY509" i="3"/>
  <c r="E510" i="3"/>
  <c r="AY510" i="3"/>
  <c r="E511" i="3"/>
  <c r="AY511" i="3"/>
  <c r="E512" i="3"/>
  <c r="AY512" i="3"/>
  <c r="E513" i="3"/>
  <c r="AY513" i="3"/>
  <c r="E514" i="3"/>
  <c r="AY514" i="3"/>
  <c r="E515" i="3"/>
  <c r="AY515" i="3"/>
  <c r="E516" i="3"/>
  <c r="AY516" i="3"/>
  <c r="E517" i="3"/>
  <c r="AY517" i="3"/>
  <c r="E518" i="3"/>
  <c r="AY518" i="3"/>
  <c r="E519" i="3"/>
  <c r="AY519" i="3"/>
  <c r="E520" i="3"/>
  <c r="AY520" i="3"/>
  <c r="E521" i="3"/>
  <c r="AY521" i="3"/>
  <c r="E522" i="3"/>
  <c r="AY522" i="3"/>
  <c r="E523" i="3"/>
  <c r="AY523" i="3"/>
  <c r="E524" i="3"/>
  <c r="AY524" i="3"/>
  <c r="E525" i="3"/>
  <c r="AY525" i="3"/>
  <c r="E526" i="3"/>
  <c r="AY526" i="3"/>
  <c r="E527" i="3"/>
  <c r="AY527" i="3"/>
  <c r="E528" i="3"/>
  <c r="AY528" i="3"/>
  <c r="E529" i="3"/>
  <c r="AY529" i="3"/>
  <c r="E530" i="3"/>
  <c r="AY530" i="3"/>
  <c r="E531" i="3"/>
  <c r="AY531" i="3"/>
  <c r="E532" i="3"/>
  <c r="AY532" i="3"/>
  <c r="E533" i="3"/>
  <c r="AY533" i="3"/>
  <c r="E534" i="3"/>
  <c r="AY534" i="3"/>
  <c r="E535" i="3"/>
  <c r="AY535" i="3"/>
  <c r="E536" i="3"/>
  <c r="AY536" i="3"/>
  <c r="E537" i="3"/>
  <c r="AY537" i="3"/>
  <c r="E538" i="3"/>
  <c r="AY538" i="3"/>
  <c r="E539" i="3"/>
  <c r="AY539" i="3"/>
  <c r="E540" i="3"/>
  <c r="AY540" i="3"/>
  <c r="E541" i="3"/>
  <c r="AY541" i="3"/>
  <c r="E542" i="3"/>
  <c r="AY542" i="3"/>
  <c r="E543" i="3"/>
  <c r="AY543" i="3"/>
  <c r="E544" i="3"/>
  <c r="AY544" i="3"/>
  <c r="E545" i="3"/>
  <c r="AY545" i="3"/>
  <c r="E546" i="3"/>
  <c r="AY546" i="3"/>
  <c r="E547" i="3"/>
  <c r="AY547" i="3"/>
  <c r="E548" i="3"/>
  <c r="AY548" i="3"/>
  <c r="E549" i="3"/>
  <c r="AY549" i="3"/>
  <c r="E550" i="3"/>
  <c r="AY550" i="3"/>
  <c r="E551" i="3"/>
  <c r="AY551" i="3"/>
  <c r="E552" i="3"/>
  <c r="AY552" i="3"/>
  <c r="E553" i="3"/>
  <c r="AY553" i="3"/>
  <c r="E554" i="3"/>
  <c r="AY554" i="3"/>
  <c r="E555" i="3"/>
  <c r="AY555" i="3"/>
  <c r="E556" i="3"/>
  <c r="AY556" i="3"/>
  <c r="E557" i="3"/>
  <c r="AY557" i="3"/>
  <c r="E558" i="3"/>
  <c r="AY558" i="3"/>
  <c r="E559" i="3"/>
  <c r="AY559" i="3"/>
  <c r="E560" i="3"/>
  <c r="AY560" i="3"/>
  <c r="E561" i="3"/>
  <c r="AY561" i="3"/>
  <c r="E562" i="3"/>
  <c r="AY562" i="3"/>
  <c r="E563" i="3"/>
  <c r="AY563" i="3"/>
  <c r="E564" i="3"/>
  <c r="AY564" i="3"/>
  <c r="E565" i="3"/>
  <c r="AY565" i="3"/>
  <c r="E566" i="3"/>
  <c r="AY566" i="3"/>
  <c r="E567" i="3"/>
  <c r="AY567" i="3"/>
  <c r="E568" i="3"/>
  <c r="AY568" i="3"/>
  <c r="E569" i="3"/>
  <c r="AY569" i="3"/>
  <c r="E570" i="3"/>
  <c r="AY570" i="3"/>
  <c r="E571" i="3"/>
  <c r="AY571" i="3"/>
  <c r="E572" i="3"/>
  <c r="AY572" i="3"/>
  <c r="E573" i="3"/>
  <c r="AY573" i="3"/>
  <c r="E574" i="3"/>
  <c r="AY574" i="3"/>
  <c r="E575" i="3"/>
  <c r="AY575" i="3"/>
  <c r="E576" i="3"/>
  <c r="AY576" i="3"/>
  <c r="E577" i="3"/>
  <c r="AY577" i="3"/>
  <c r="E578" i="3"/>
  <c r="AY578" i="3"/>
  <c r="E579" i="3"/>
  <c r="AY579" i="3"/>
  <c r="E580" i="3"/>
  <c r="AY580" i="3"/>
  <c r="E581" i="3"/>
  <c r="AY581" i="3"/>
  <c r="E582" i="3"/>
  <c r="AY582" i="3"/>
  <c r="E583" i="3"/>
  <c r="AY583" i="3"/>
  <c r="E584" i="3"/>
  <c r="AY584" i="3"/>
  <c r="E585" i="3"/>
  <c r="AY585" i="3"/>
  <c r="E586" i="3"/>
  <c r="AY586" i="3"/>
  <c r="E587" i="3"/>
  <c r="AY587" i="3"/>
  <c r="I3" i="6"/>
  <c r="D5" i="6"/>
  <c r="D19" i="6"/>
  <c r="D20" i="6"/>
  <c r="D21" i="6"/>
  <c r="D22" i="6"/>
  <c r="D23" i="6"/>
  <c r="D24" i="6"/>
  <c r="D25" i="6"/>
  <c r="D26" i="6"/>
  <c r="D27" i="6"/>
  <c r="D28" i="6"/>
  <c r="D29" i="6"/>
  <c r="D30" i="6"/>
  <c r="D31" i="6"/>
  <c r="I5" i="6"/>
  <c r="D6" i="6"/>
  <c r="I6" i="6"/>
  <c r="D8" i="6"/>
  <c r="D9" i="6"/>
  <c r="D10" i="6"/>
  <c r="D11" i="6"/>
  <c r="D12" i="6"/>
  <c r="D13" i="6"/>
  <c r="D14" i="6"/>
  <c r="D15" i="6"/>
  <c r="D16" i="6"/>
  <c r="H19" i="6"/>
  <c r="H20" i="6"/>
  <c r="H21" i="6"/>
  <c r="H22" i="6"/>
  <c r="H23" i="6"/>
  <c r="H24" i="6"/>
  <c r="H25" i="6"/>
  <c r="H26" i="6"/>
  <c r="H27" i="6"/>
  <c r="R19" i="6"/>
  <c r="R20" i="6"/>
  <c r="R21" i="6"/>
  <c r="R22" i="6"/>
  <c r="R23" i="6"/>
  <c r="R24" i="6"/>
  <c r="R25" i="6"/>
  <c r="R26" i="6"/>
  <c r="R27" i="6"/>
  <c r="R11" i="1"/>
  <c r="R12" i="1"/>
  <c r="R16" i="1"/>
  <c r="M19" i="9"/>
  <c r="C118" i="9"/>
  <c r="C14" i="74"/>
  <c r="B2" i="74"/>
  <c r="D7" i="74"/>
  <c r="D8" i="74"/>
  <c r="L19" i="9"/>
  <c r="C21" i="9"/>
  <c r="D21" i="9"/>
  <c r="G21" i="9"/>
  <c r="E61" i="40"/>
  <c r="F61" i="40"/>
  <c r="B2" i="40"/>
  <c r="B3" i="40"/>
  <c r="E16" i="74"/>
  <c r="F16" i="74"/>
  <c r="F17" i="74"/>
  <c r="E17" i="74"/>
  <c r="F18" i="74"/>
  <c r="E18" i="74"/>
  <c r="B5" i="74"/>
  <c r="D5" i="74"/>
  <c r="C5" i="74"/>
  <c r="F19" i="74"/>
  <c r="G19" i="74"/>
  <c r="B6" i="74"/>
  <c r="D6" i="74"/>
  <c r="C6" i="74"/>
  <c r="E19" i="74"/>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在建项目均选择“是”</t>
        </r>
      </text>
    </comment>
    <comment ref="F59"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1">
      <text>
        <r>
          <rPr>
            <sz val="10"/>
            <rFont val="宋体"/>
            <family val="3"/>
            <charset val="134"/>
          </rPr>
          <t xml:space="preserve">在建
</t>
        </r>
      </text>
    </comment>
    <comment ref="N59" authorId="1">
      <text>
        <r>
          <rPr>
            <sz val="10"/>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在建项目均选择“是”</t>
        </r>
      </text>
    </comment>
    <comment ref="F59"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1">
      <text>
        <r>
          <rPr>
            <sz val="10"/>
            <rFont val="宋体"/>
            <family val="3"/>
            <charset val="134"/>
          </rPr>
          <t xml:space="preserve">在建
</t>
        </r>
      </text>
    </comment>
    <comment ref="N59" authorId="1">
      <text>
        <r>
          <rPr>
            <sz val="10"/>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在建项目均选择“是”</t>
        </r>
      </text>
    </comment>
    <comment ref="F59"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1">
      <text>
        <r>
          <rPr>
            <sz val="10"/>
            <rFont val="宋体"/>
            <family val="3"/>
            <charset val="134"/>
          </rPr>
          <t xml:space="preserve">在建
</t>
        </r>
      </text>
    </comment>
    <comment ref="N59" authorId="1">
      <text>
        <r>
          <rPr>
            <sz val="10"/>
            <rFont val="宋体"/>
            <family val="3"/>
            <charset val="134"/>
          </rPr>
          <t xml:space="preserve">土地
</t>
        </r>
      </text>
    </comment>
  </commentList>
</comments>
</file>

<file path=xl/comments14.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在建项目均选择“是”</t>
        </r>
      </text>
    </comment>
    <comment ref="F59"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1">
      <text>
        <r>
          <rPr>
            <sz val="10"/>
            <rFont val="宋体"/>
            <family val="3"/>
            <charset val="134"/>
          </rPr>
          <t xml:space="preserve">在建
</t>
        </r>
      </text>
    </comment>
    <comment ref="N59" authorId="1">
      <text>
        <r>
          <rPr>
            <sz val="10"/>
            <rFont val="宋体"/>
            <family val="3"/>
            <charset val="134"/>
          </rPr>
          <t xml:space="preserve">土地
</t>
        </r>
      </text>
    </comment>
  </commentList>
</comments>
</file>

<file path=xl/comments15.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0"/>
            <rFont val="宋体"/>
            <family val="3"/>
            <charset val="134"/>
          </rPr>
          <t xml:space="preserve">需注意，采用基准地价系数修正法中土地结果计算时，土地报酬率应采用该方法中报酬率（还原率）。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 xml:space="preserve">在建项目均选择“是”
</t>
        </r>
      </text>
    </comment>
    <comment ref="F59"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9" authorId="0">
      <text>
        <r>
          <rPr>
            <b/>
            <sz val="12"/>
            <rFont val="宋体"/>
            <family val="3"/>
            <charset val="134"/>
          </rPr>
          <t>价值时点所在月度</t>
        </r>
        <r>
          <rPr>
            <sz val="12"/>
            <rFont val="宋体"/>
            <family val="3"/>
            <charset val="134"/>
          </rPr>
          <t xml:space="preserve">
</t>
        </r>
      </text>
    </comment>
    <comment ref="B103"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family val="3"/>
            <charset val="134"/>
          </rPr>
          <t>没有时，请选择"——"</t>
        </r>
        <r>
          <rPr>
            <sz val="9"/>
            <rFont val="宋体"/>
            <family val="3"/>
            <charset val="134"/>
          </rPr>
          <t xml:space="preserve">
</t>
        </r>
      </text>
    </comment>
    <comment ref="H4" authorId="0">
      <text>
        <r>
          <rPr>
            <sz val="12"/>
            <rFont val="仿宋_GB2312"/>
            <family val="3"/>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2"/>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C52" authorId="0">
      <text>
        <r>
          <rPr>
            <b/>
            <sz val="12"/>
            <rFont val="宋体"/>
            <family val="3"/>
            <charset val="134"/>
          </rPr>
          <t>价值时点所在月度</t>
        </r>
        <r>
          <rPr>
            <sz val="12"/>
            <rFont val="宋体"/>
            <family val="3"/>
            <charset val="134"/>
          </rPr>
          <t xml:space="preserve">
</t>
        </r>
      </text>
    </comment>
    <comment ref="B90"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1" authorId="0">
      <text>
        <r>
          <rPr>
            <b/>
            <sz val="12"/>
            <rFont val="宋体"/>
            <family val="3"/>
            <charset val="134"/>
          </rPr>
          <t>主用途</t>
        </r>
        <r>
          <rPr>
            <sz val="12"/>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23.xml><?xml version="1.0" encoding="utf-8"?>
<comments xmlns="http://schemas.openxmlformats.org/spreadsheetml/2006/main">
  <authors>
    <author>USER</author>
    <author>崔锴</author>
  </authors>
  <commentList>
    <comment ref="C65" authorId="0">
      <text>
        <r>
          <rPr>
            <b/>
            <sz val="12"/>
            <rFont val="宋体"/>
            <family val="3"/>
            <charset val="134"/>
          </rPr>
          <t>价值时点所在季度</t>
        </r>
        <r>
          <rPr>
            <sz val="12"/>
            <rFont val="宋体"/>
            <family val="3"/>
            <charset val="134"/>
          </rPr>
          <t xml:space="preserve">
</t>
        </r>
      </text>
    </comment>
    <comment ref="B66" authorId="1">
      <text>
        <r>
          <rPr>
            <sz val="11"/>
            <rFont val="宋体"/>
            <family val="3"/>
            <charset val="134"/>
          </rPr>
          <t>北京市公示数据计算的平均涨幅</t>
        </r>
        <r>
          <rPr>
            <sz val="9"/>
            <rFont val="宋体"/>
            <family val="3"/>
            <charset val="134"/>
          </rPr>
          <t xml:space="preserve">
</t>
        </r>
      </text>
    </comment>
  </commentList>
</comments>
</file>

<file path=xl/comments24.xml><?xml version="1.0" encoding="utf-8"?>
<comments xmlns="http://schemas.openxmlformats.org/spreadsheetml/2006/main">
  <authors>
    <author>Sky123.Org</author>
    <author>崔锴</author>
    <author>USER</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E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25.xml><?xml version="1.0" encoding="utf-8"?>
<comments xmlns="http://schemas.openxmlformats.org/spreadsheetml/2006/main">
  <authors>
    <author>USER</author>
  </authors>
  <commentList>
    <comment ref="F9" authorId="0">
      <text>
        <r>
          <rPr>
            <b/>
            <sz val="9"/>
            <color indexed="81"/>
            <rFont val="宋体"/>
            <family val="3"/>
            <charset val="134"/>
          </rPr>
          <t>USER:</t>
        </r>
        <r>
          <rPr>
            <sz val="9"/>
            <color indexed="81"/>
            <rFont val="宋体"/>
            <family val="3"/>
            <charset val="134"/>
          </rPr>
          <t xml:space="preserve">
来源：附图</t>
        </r>
      </text>
    </comment>
    <comment ref="F10" authorId="0">
      <text>
        <r>
          <rPr>
            <b/>
            <sz val="9"/>
            <color indexed="81"/>
            <rFont val="宋体"/>
            <family val="3"/>
            <charset val="134"/>
          </rPr>
          <t>USER:</t>
        </r>
        <r>
          <rPr>
            <sz val="9"/>
            <color indexed="81"/>
            <rFont val="宋体"/>
            <family val="3"/>
            <charset val="134"/>
          </rPr>
          <t xml:space="preserve">
来源：附图</t>
        </r>
      </text>
    </comment>
    <comment ref="F11" authorId="0">
      <text>
        <r>
          <rPr>
            <b/>
            <sz val="9"/>
            <color indexed="81"/>
            <rFont val="宋体"/>
            <family val="3"/>
            <charset val="134"/>
          </rPr>
          <t>USER:</t>
        </r>
        <r>
          <rPr>
            <sz val="9"/>
            <color indexed="81"/>
            <rFont val="宋体"/>
            <family val="3"/>
            <charset val="134"/>
          </rPr>
          <t xml:space="preserve">
来源：附图</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2"/>
            <rFont val="宋体"/>
            <family val="3"/>
            <charset val="134"/>
          </rPr>
          <t>取值范围：
1.5%-2.5%</t>
        </r>
        <r>
          <rPr>
            <sz val="9"/>
            <rFont val="宋体"/>
            <family val="3"/>
            <charset val="134"/>
          </rPr>
          <t xml:space="preserve">
</t>
        </r>
      </text>
    </comment>
    <comment ref="AL5" authorId="0">
      <text>
        <r>
          <rPr>
            <sz val="12"/>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2"/>
            <rFont val="宋体"/>
            <family val="3"/>
            <charset val="134"/>
          </rPr>
          <t>取值范围：
1%-3%</t>
        </r>
        <r>
          <rPr>
            <sz val="9"/>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text>
        <r>
          <rPr>
            <b/>
            <sz val="12"/>
            <rFont val="宋体"/>
            <family val="3"/>
            <charset val="134"/>
          </rPr>
          <t>价值时点所在季度</t>
        </r>
        <r>
          <rPr>
            <sz val="12"/>
            <rFont val="宋体"/>
            <family val="3"/>
            <charset val="134"/>
          </rPr>
          <t xml:space="preserve">
</t>
        </r>
      </text>
    </comment>
    <comment ref="B71" authorId="1">
      <text>
        <r>
          <rPr>
            <sz val="11"/>
            <rFont val="宋体"/>
            <family val="3"/>
            <charset val="134"/>
          </rPr>
          <t xml:space="preserve">北京市公示数据计算的平均涨幅
</t>
        </r>
      </text>
    </comment>
  </commentList>
</comments>
</file>

<file path=xl/sharedStrings.xml><?xml version="1.0" encoding="utf-8"?>
<sst xmlns="http://schemas.openxmlformats.org/spreadsheetml/2006/main" count="11083" uniqueCount="3419">
  <si>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</si>
  <si>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</si>
  <si>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</si>
  <si>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</si>
  <si>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</si>
  <si>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</si>
  <si>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</si>
  <si>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</si>
  <si>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</si>
  <si>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</si>
  <si>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</si>
  <si>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</si>
  <si>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</si>
  <si>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</si>
  <si>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</si>
  <si>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</si>
  <si>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</si>
  <si>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</si>
  <si>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</si>
  <si>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</si>
  <si>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</si>
  <si>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</si>
  <si>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</si>
  <si>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</si>
  <si>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</si>
  <si>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</si>
  <si>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</si>
  <si>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</si>
  <si>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</si>
  <si>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</si>
  <si>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</si>
  <si>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</si>
  <si>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</si>
  <si>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</si>
  <si>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</si>
  <si>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</si>
  <si>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</si>
  <si>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</si>
  <si>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</si>
  <si>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</si>
  <si>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</si>
  <si>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</si>
  <si>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</si>
  <si>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</si>
  <si>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</si>
  <si>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</si>
  <si>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</si>
  <si>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</si>
  <si>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</si>
  <si>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</si>
  <si>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</si>
  <si>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</si>
  <si>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</si>
  <si>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</si>
  <si>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</si>
  <si>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</si>
  <si>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</si>
  <si>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</si>
  <si>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</si>
  <si>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</si>
  <si>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</si>
  <si>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</si>
  <si>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</si>
  <si>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</si>
  <si>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</si>
  <si>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</si>
  <si>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</si>
  <si>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</si>
  <si>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</si>
  <si>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</si>
  <si>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</si>
  <si>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</si>
  <si>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</si>
  <si>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</si>
  <si>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</si>
  <si>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</si>
  <si>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</si>
  <si>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</si>
  <si>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</si>
  <si>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</si>
  <si>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</si>
  <si>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</si>
  <si>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</si>
  <si>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</si>
  <si>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</si>
  <si>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</si>
  <si>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</si>
  <si>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</si>
  <si>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</si>
  <si>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</si>
  <si>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</si>
  <si>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</si>
  <si>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</si>
  <si>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</si>
  <si>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</si>
  <si>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</si>
  <si>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</si>
  <si>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</si>
  <si>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</si>
  <si>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</si>
  <si>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</si>
  <si>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</si>
  <si>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</si>
  <si>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</si>
  <si>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</si>
  <si>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</si>
  <si>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</si>
  <si>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</si>
  <si>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</si>
  <si>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</si>
  <si>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</si>
  <si>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</si>
  <si>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</si>
  <si>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</si>
  <si>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</si>
  <si>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</si>
  <si>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</si>
  <si>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</si>
  <si>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</si>
  <si>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</si>
  <si>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</si>
  <si>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</si>
  <si>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</si>
  <si>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</si>
  <si>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</si>
  <si>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</si>
  <si>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</si>
  <si>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</si>
  <si>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</si>
  <si>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</si>
  <si>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</si>
  <si>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</si>
  <si>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</si>
  <si>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</si>
  <si>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</si>
  <si>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</si>
  <si>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</si>
  <si>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</si>
  <si>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</si>
  <si>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</si>
  <si>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</si>
  <si>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</si>
  <si>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</si>
  <si>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</si>
  <si>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</si>
  <si>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</si>
  <si>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</si>
  <si>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</si>
  <si>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</si>
  <si>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</si>
  <si>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</si>
  <si>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</si>
  <si>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</si>
  <si>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</si>
  <si>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</si>
  <si>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</si>
  <si>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</si>
  <si>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</si>
  <si>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</si>
  <si>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</si>
  <si>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</si>
  <si>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</si>
  <si>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</si>
  <si>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</si>
  <si>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</si>
  <si>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</si>
  <si>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</si>
  <si>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</si>
  <si>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</si>
  <si>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</si>
  <si>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</si>
  <si>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</si>
  <si>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</si>
  <si>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</si>
  <si>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</si>
  <si>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</si>
  <si>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</si>
  <si>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</si>
  <si>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</si>
  <si>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</si>
  <si>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土地估价师</t>
  </si>
  <si>
    <t>证号</t>
  </si>
  <si>
    <t>梁津</t>
  </si>
  <si>
    <t>李立</t>
  </si>
  <si>
    <t>叶凌</t>
  </si>
  <si>
    <t>王鹏</t>
  </si>
  <si>
    <t>欧红伟</t>
  </si>
  <si>
    <t>吴薇</t>
  </si>
  <si>
    <t>陈颖</t>
  </si>
  <si>
    <t>崔锴</t>
  </si>
  <si>
    <t>白景生</t>
  </si>
  <si>
    <t>郑燚</t>
  </si>
  <si>
    <t>马琳琳</t>
  </si>
  <si>
    <t>杨红英</t>
  </si>
  <si>
    <t>刘梅</t>
  </si>
  <si>
    <t>赵雯</t>
  </si>
  <si>
    <t>刘敬东</t>
  </si>
  <si>
    <t>王萌</t>
  </si>
  <si>
    <t>估价机构</t>
  </si>
  <si>
    <t>房地产</t>
  </si>
  <si>
    <t>土地</t>
  </si>
  <si>
    <t>证书名称</t>
  </si>
  <si>
    <t>号码</t>
  </si>
  <si>
    <t>资质证书：一级</t>
  </si>
  <si>
    <t>建房估证字[2013]081号</t>
  </si>
  <si>
    <t>注册证书</t>
  </si>
  <si>
    <t>A201111009</t>
  </si>
  <si>
    <t>资信等级：A级</t>
  </si>
  <si>
    <t>2017A-006</t>
  </si>
  <si>
    <t>用途类型</t>
  </si>
  <si>
    <r>
      <rPr>
        <sz val="11"/>
        <color indexed="8"/>
        <rFont val="宋体"/>
        <family val="3"/>
        <charset val="134"/>
        <scheme val="minor"/>
      </rPr>
      <t>估价方法</t>
    </r>
  </si>
  <si>
    <t>土地级别</t>
  </si>
  <si>
    <r>
      <rPr>
        <sz val="11"/>
        <color indexed="8"/>
        <rFont val="宋体"/>
        <family val="3"/>
        <charset val="134"/>
        <scheme val="minor"/>
      </rPr>
      <t>判定</t>
    </r>
  </si>
  <si>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</si>
  <si>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</si>
  <si>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</si>
  <si>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</si>
  <si>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</si>
  <si>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</si>
  <si>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</si>
  <si>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</si>
  <si>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</si>
  <si>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</si>
  <si>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</si>
  <si>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</si>
  <si>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</si>
  <si>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</si>
  <si>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</si>
  <si>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</si>
  <si>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</si>
  <si>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</si>
  <si>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</si>
  <si>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</si>
  <si>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</si>
  <si>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</si>
  <si>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</si>
  <si>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r>
      <rPr>
        <sz val="11"/>
        <color theme="1"/>
        <rFont val="宋体"/>
        <family val="3"/>
        <charset val="134"/>
        <scheme val="minor"/>
      </rPr>
      <t>60-70</t>
    </r>
    <r>
      <rPr>
        <sz val="11"/>
        <color indexed="8"/>
        <rFont val="宋体"/>
        <family val="3"/>
        <charset val="134"/>
        <scheme val="minor"/>
      </rPr>
      <t>（含）</t>
    </r>
  </si>
  <si>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</si>
  <si>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</si>
  <si>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</si>
  <si>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</si>
  <si>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</si>
  <si>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</si>
  <si>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</si>
  <si>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</si>
  <si>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</si>
  <si>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r>
      <rPr>
        <sz val="11"/>
        <color theme="1"/>
        <rFont val="宋体"/>
        <family val="3"/>
        <charset val="134"/>
        <scheme val="minor"/>
      </rPr>
      <t>50-60</t>
    </r>
    <r>
      <rPr>
        <sz val="11"/>
        <color indexed="8"/>
        <rFont val="宋体"/>
        <family val="3"/>
        <charset val="134"/>
        <scheme val="minor"/>
      </rPr>
      <t>（含）</t>
    </r>
  </si>
  <si>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</si>
  <si>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</si>
  <si>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</si>
  <si>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</si>
  <si>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</si>
  <si>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</si>
  <si>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</si>
  <si>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</si>
  <si>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</si>
  <si>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r>
      <rPr>
        <sz val="11"/>
        <color theme="1"/>
        <rFont val="宋体"/>
        <family val="3"/>
        <charset val="134"/>
        <scheme val="minor"/>
      </rPr>
      <t>40-50</t>
    </r>
    <r>
      <rPr>
        <sz val="11"/>
        <color indexed="8"/>
        <rFont val="宋体"/>
        <family val="3"/>
        <charset val="134"/>
        <scheme val="minor"/>
      </rPr>
      <t>（含）</t>
    </r>
  </si>
  <si>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</si>
  <si>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</si>
  <si>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</si>
  <si>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</si>
  <si>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</si>
  <si>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</si>
  <si>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</si>
  <si>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r>
      <rPr>
        <sz val="11"/>
        <color theme="1"/>
        <rFont val="宋体"/>
        <family val="3"/>
        <charset val="134"/>
        <scheme val="minor"/>
      </rPr>
      <t>30-40</t>
    </r>
    <r>
      <rPr>
        <sz val="11"/>
        <color indexed="8"/>
        <rFont val="宋体"/>
        <family val="3"/>
        <charset val="134"/>
        <scheme val="minor"/>
      </rPr>
      <t>（含）</t>
    </r>
  </si>
  <si>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</si>
  <si>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</si>
  <si>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</si>
  <si>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</si>
  <si>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</si>
  <si>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</si>
  <si>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r>
      <rPr>
        <sz val="11"/>
        <color theme="1"/>
        <rFont val="宋体"/>
        <family val="3"/>
        <charset val="134"/>
        <scheme val="minor"/>
      </rPr>
      <t>20-30</t>
    </r>
    <r>
      <rPr>
        <sz val="11"/>
        <color indexed="8"/>
        <rFont val="宋体"/>
        <family val="3"/>
        <charset val="134"/>
        <scheme val="minor"/>
      </rPr>
      <t>（含）</t>
    </r>
  </si>
  <si>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</si>
  <si>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</si>
  <si>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</si>
  <si>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</si>
  <si>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</si>
  <si>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</si>
  <si>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r>
      <rPr>
        <sz val="11"/>
        <color theme="1"/>
        <rFont val="宋体"/>
        <family val="3"/>
        <charset val="134"/>
        <scheme val="minor"/>
      </rPr>
      <t>10-20</t>
    </r>
    <r>
      <rPr>
        <sz val="11"/>
        <color indexed="8"/>
        <rFont val="宋体"/>
        <family val="3"/>
        <charset val="134"/>
        <scheme val="minor"/>
      </rPr>
      <t>（含）</t>
    </r>
  </si>
  <si>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</si>
  <si>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</si>
  <si>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</si>
  <si>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</si>
  <si>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r>
      <rPr>
        <sz val="11"/>
        <color theme="1"/>
        <rFont val="宋体"/>
        <family val="3"/>
        <charset val="134"/>
        <scheme val="minor"/>
      </rPr>
      <t>0-10</t>
    </r>
    <r>
      <rPr>
        <sz val="11"/>
        <color indexed="8"/>
        <rFont val="宋体"/>
        <family val="3"/>
        <charset val="134"/>
        <scheme val="minor"/>
      </rPr>
      <t>（含）</t>
    </r>
  </si>
  <si>
    <r>
      <rPr>
        <sz val="11"/>
        <color indexed="8"/>
        <rFont val="宋体"/>
        <family val="3"/>
        <charset val="134"/>
        <scheme val="minor"/>
      </rPr>
      <t>联排</t>
    </r>
  </si>
  <si>
    <r>
      <rPr>
        <sz val="11"/>
        <color indexed="8"/>
        <rFont val="宋体"/>
        <family val="3"/>
        <charset val="134"/>
        <scheme val="minor"/>
      </rPr>
      <t>比较法-商业</t>
    </r>
  </si>
  <si>
    <t>八级</t>
  </si>
  <si>
    <r>
      <rPr>
        <sz val="11"/>
        <color indexed="8"/>
        <rFont val="宋体"/>
        <family val="3"/>
        <charset val="134"/>
        <scheme val="minor"/>
      </rPr>
      <t>双拼</t>
    </r>
  </si>
  <si>
    <r>
      <rPr>
        <sz val="11"/>
        <color indexed="8"/>
        <rFont val="宋体"/>
        <family val="3"/>
        <charset val="134"/>
        <scheme val="minor"/>
      </rPr>
      <t>比较法-办公</t>
    </r>
  </si>
  <si>
    <t>九级</t>
  </si>
  <si>
    <r>
      <rPr>
        <sz val="11"/>
        <color indexed="8"/>
        <rFont val="宋体"/>
        <family val="3"/>
        <charset val="134"/>
        <scheme val="minor"/>
      </rPr>
      <t>独栋</t>
    </r>
  </si>
  <si>
    <r>
      <rPr>
        <sz val="11"/>
        <color indexed="8"/>
        <rFont val="宋体"/>
        <family val="3"/>
        <charset val="134"/>
        <scheme val="minor"/>
      </rPr>
      <t>比较法-工业</t>
    </r>
  </si>
  <si>
    <t>十级</t>
  </si>
  <si>
    <r>
      <rPr>
        <sz val="11"/>
        <color indexed="8"/>
        <rFont val="宋体"/>
        <family val="3"/>
        <charset val="134"/>
        <scheme val="minor"/>
      </rPr>
      <t>底商</t>
    </r>
  </si>
  <si>
    <r>
      <rPr>
        <sz val="11"/>
        <color indexed="8"/>
        <rFont val="宋体"/>
        <family val="3"/>
        <charset val="134"/>
        <scheme val="minor"/>
      </rPr>
      <t>比较法-车位</t>
    </r>
  </si>
  <si>
    <t>十一级</t>
  </si>
  <si>
    <r>
      <rPr>
        <sz val="11"/>
        <color indexed="8"/>
        <rFont val="宋体"/>
        <family val="3"/>
        <charset val="134"/>
        <scheme val="minor"/>
      </rPr>
      <t>独立商业</t>
    </r>
  </si>
  <si>
    <r>
      <rPr>
        <sz val="11"/>
        <color indexed="8"/>
        <rFont val="宋体"/>
        <family val="3"/>
        <charset val="134"/>
        <scheme val="minor"/>
      </rPr>
      <t>比较法-仓储</t>
    </r>
  </si>
  <si>
    <t>十二级</t>
  </si>
  <si>
    <r>
      <rPr>
        <sz val="11"/>
        <color indexed="8"/>
        <rFont val="宋体"/>
        <family val="3"/>
        <charset val="134"/>
        <scheme val="minor"/>
      </rPr>
      <t>商业街</t>
    </r>
  </si>
  <si>
    <r>
      <rPr>
        <sz val="11"/>
        <color indexed="8"/>
        <rFont val="宋体"/>
        <family val="3"/>
        <charset val="134"/>
        <scheme val="minor"/>
      </rPr>
      <t>土地比较法-住宅、综合</t>
    </r>
  </si>
  <si>
    <r>
      <rPr>
        <sz val="11"/>
        <color indexed="8"/>
        <rFont val="宋体"/>
        <family val="3"/>
        <charset val="134"/>
        <scheme val="minor"/>
      </rPr>
      <t>酒店</t>
    </r>
  </si>
  <si>
    <r>
      <rPr>
        <sz val="11"/>
        <color indexed="8"/>
        <rFont val="宋体"/>
        <family val="3"/>
        <charset val="134"/>
        <scheme val="minor"/>
      </rPr>
      <t>土地比较法-工业</t>
    </r>
  </si>
  <si>
    <r>
      <rPr>
        <sz val="11"/>
        <color indexed="8"/>
        <rFont val="宋体"/>
        <family val="3"/>
        <charset val="134"/>
        <scheme val="minor"/>
      </rPr>
      <t>标准厂房</t>
    </r>
  </si>
  <si>
    <t>基准地价修正</t>
  </si>
  <si>
    <r>
      <rPr>
        <sz val="11"/>
        <color indexed="8"/>
        <rFont val="宋体"/>
        <family val="3"/>
        <charset val="134"/>
        <scheme val="minor"/>
      </rPr>
      <t>特殊厂房</t>
    </r>
  </si>
  <si>
    <t>*</t>
  </si>
  <si>
    <r>
      <rPr>
        <sz val="11"/>
        <color indexed="8"/>
        <rFont val="宋体"/>
        <family val="3"/>
        <charset val="134"/>
        <scheme val="minor"/>
      </rPr>
      <t>办公楼</t>
    </r>
  </si>
  <si>
    <r>
      <rPr>
        <sz val="11"/>
        <color indexed="8"/>
        <rFont val="宋体"/>
        <family val="3"/>
        <charset val="134"/>
        <scheme val="minor"/>
      </rPr>
      <t>宿舍</t>
    </r>
  </si>
  <si>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</si>
  <si>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</si>
  <si>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</si>
  <si>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</si>
  <si>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</si>
  <si>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</si>
  <si>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</si>
  <si>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</si>
  <si>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</si>
  <si>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</si>
  <si>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</si>
  <si>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</si>
  <si>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</si>
  <si>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</si>
  <si>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</si>
  <si>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</si>
  <si>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</si>
  <si>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</si>
  <si>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</si>
  <si>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</si>
  <si>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</si>
  <si>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</si>
  <si>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2"/>
        <color indexed="8"/>
        <rFont val="宋体"/>
        <family val="3"/>
        <charset val="134"/>
      </rPr>
      <t>估价项目名称</t>
    </r>
  </si>
  <si>
    <r>
      <rPr>
        <sz val="12"/>
        <color indexed="8"/>
        <rFont val="宋体"/>
        <family val="3"/>
        <charset val="134"/>
      </rPr>
      <t>报告编号</t>
    </r>
  </si>
  <si>
    <r>
      <rPr>
        <sz val="12"/>
        <color indexed="8"/>
        <rFont val="宋体"/>
        <family val="3"/>
        <charset val="134"/>
      </rPr>
      <t>现场勘查日</t>
    </r>
  </si>
  <si>
    <r>
      <rPr>
        <sz val="12"/>
        <color indexed="8"/>
        <rFont val="宋体"/>
        <family val="3"/>
        <charset val="134"/>
      </rPr>
      <t>价值时点</t>
    </r>
  </si>
  <si>
    <r>
      <rPr>
        <sz val="12"/>
        <color indexed="8"/>
        <rFont val="宋体"/>
        <family val="3"/>
        <charset val="134"/>
      </rPr>
      <t>签字估价师</t>
    </r>
  </si>
  <si>
    <r>
      <rPr>
        <sz val="12"/>
        <color indexed="8"/>
        <rFont val="宋体"/>
        <family val="3"/>
        <charset val="134"/>
      </rPr>
      <t>估价委托人</t>
    </r>
    <r>
      <rPr>
        <sz val="12"/>
        <color indexed="8"/>
        <rFont val="Arial"/>
        <family val="2"/>
      </rPr>
      <t xml:space="preserve">  </t>
    </r>
  </si>
  <si>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</si>
  <si>
    <r>
      <rPr>
        <sz val="12"/>
        <color indexed="8"/>
        <rFont val="宋体"/>
        <family val="3"/>
        <charset val="134"/>
      </rPr>
      <t>借款方</t>
    </r>
  </si>
  <si>
    <r>
      <rPr>
        <sz val="12"/>
        <color indexed="8"/>
        <rFont val="宋体"/>
        <family val="3"/>
        <charset val="134"/>
      </rPr>
      <t>估价目的</t>
    </r>
  </si>
  <si>
    <r>
      <rPr>
        <sz val="12"/>
        <color indexed="8"/>
        <rFont val="宋体"/>
        <family val="3"/>
        <charset val="134"/>
      </rPr>
      <t>抵押结果包含：</t>
    </r>
  </si>
  <si>
    <r>
      <rPr>
        <sz val="12"/>
        <color indexed="8"/>
        <rFont val="宋体"/>
        <family val="3"/>
        <charset val="134"/>
      </rPr>
      <t>价值类型</t>
    </r>
  </si>
  <si>
    <r>
      <rPr>
        <sz val="12"/>
        <color indexed="8"/>
        <rFont val="宋体"/>
        <family val="3"/>
        <charset val="134"/>
      </rPr>
      <t>项目所在城市</t>
    </r>
  </si>
  <si>
    <r>
      <rPr>
        <sz val="12"/>
        <color indexed="8"/>
        <rFont val="宋体"/>
        <family val="3"/>
        <charset val="134"/>
      </rPr>
      <t>坐落</t>
    </r>
  </si>
  <si>
    <r>
      <rPr>
        <sz val="12"/>
        <color indexed="8"/>
        <rFont val="宋体"/>
        <family val="3"/>
        <charset val="134"/>
      </rPr>
      <t>不动产权利人</t>
    </r>
  </si>
  <si>
    <r>
      <rPr>
        <sz val="12"/>
        <color indexed="8"/>
        <rFont val="宋体"/>
        <family val="3"/>
        <charset val="134"/>
      </rPr>
      <t>土地性质</t>
    </r>
  </si>
  <si>
    <r>
      <rPr>
        <sz val="11"/>
        <color indexed="8"/>
        <rFont val="宋体"/>
        <family val="3"/>
        <charset val="134"/>
      </rPr>
      <t>用途</t>
    </r>
  </si>
  <si>
    <r>
      <rPr>
        <sz val="11"/>
        <color indexed="8"/>
        <rFont val="宋体"/>
        <family val="3"/>
        <charset val="134"/>
      </rPr>
      <t>住宅</t>
    </r>
  </si>
  <si>
    <r>
      <rPr>
        <sz val="11"/>
        <color indexed="8"/>
        <rFont val="宋体"/>
        <family val="3"/>
        <charset val="134"/>
      </rPr>
      <t>商业</t>
    </r>
  </si>
  <si>
    <r>
      <rPr>
        <sz val="11"/>
        <color indexed="8"/>
        <rFont val="宋体"/>
        <family val="3"/>
        <charset val="134"/>
      </rPr>
      <t>办公</t>
    </r>
  </si>
  <si>
    <r>
      <rPr>
        <sz val="11"/>
        <color indexed="8"/>
        <rFont val="宋体"/>
        <family val="3"/>
        <charset val="134"/>
      </rPr>
      <t>车库</t>
    </r>
  </si>
  <si>
    <r>
      <rPr>
        <sz val="11"/>
        <color indexed="8"/>
        <rFont val="宋体"/>
        <family val="3"/>
        <charset val="134"/>
      </rPr>
      <t>仓储</t>
    </r>
  </si>
  <si>
    <r>
      <rPr>
        <sz val="11"/>
        <color indexed="8"/>
        <rFont val="宋体"/>
        <family val="3"/>
        <charset val="134"/>
      </rPr>
      <t>工业</t>
    </r>
  </si>
  <si>
    <r>
      <rPr>
        <sz val="12"/>
        <color indexed="8"/>
        <rFont val="宋体"/>
        <family val="3"/>
        <charset val="134"/>
      </rPr>
      <t>终止日期</t>
    </r>
  </si>
  <si>
    <r>
      <rPr>
        <sz val="12"/>
        <color indexed="8"/>
        <rFont val="宋体"/>
        <family val="3"/>
        <charset val="134"/>
      </rPr>
      <t>出让年限</t>
    </r>
  </si>
  <si>
    <r>
      <rPr>
        <sz val="12"/>
        <color indexed="8"/>
        <rFont val="宋体"/>
        <family val="3"/>
        <charset val="134"/>
      </rPr>
      <t>剩余年限</t>
    </r>
  </si>
  <si>
    <r>
      <rPr>
        <sz val="12"/>
        <color indexed="8"/>
        <rFont val="宋体"/>
        <family val="3"/>
        <charset val="134"/>
      </rPr>
      <t>估价对象用途明细</t>
    </r>
  </si>
  <si>
    <r>
      <rPr>
        <sz val="12"/>
        <color indexed="8"/>
        <rFont val="宋体"/>
        <family val="3"/>
        <charset val="134"/>
      </rPr>
      <t>剩余土地年限</t>
    </r>
  </si>
  <si>
    <r>
      <rPr>
        <sz val="12"/>
        <color indexed="8"/>
        <rFont val="宋体"/>
        <family val="3"/>
        <charset val="134"/>
      </rPr>
      <t>面积指标</t>
    </r>
  </si>
  <si>
    <r>
      <rPr>
        <sz val="12"/>
        <color indexed="8"/>
        <rFont val="宋体"/>
        <family val="3"/>
        <charset val="134"/>
      </rPr>
      <t>面积依据</t>
    </r>
  </si>
  <si>
    <r>
      <rPr>
        <sz val="12"/>
        <color indexed="8"/>
        <rFont val="宋体"/>
        <family val="3"/>
        <charset val="134"/>
      </rPr>
      <t>建筑与土地面积依据相同</t>
    </r>
  </si>
  <si>
    <r>
      <rPr>
        <sz val="12"/>
        <color indexed="8"/>
        <rFont val="宋体"/>
        <family val="3"/>
        <charset val="134"/>
      </rPr>
      <t>土地面积</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</si>
  <si>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</si>
  <si>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</si>
  <si>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</si>
  <si>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</si>
  <si>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</si>
  <si>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</si>
  <si>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</si>
  <si>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</si>
  <si>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</si>
  <si>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</si>
  <si>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</si>
  <si>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</si>
  <si>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</si>
  <si>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</si>
  <si>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</si>
  <si>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</si>
  <si>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</si>
  <si>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</si>
  <si>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2"/>
        <color indexed="8"/>
        <rFont val="宋体"/>
        <family val="3"/>
        <charset val="134"/>
      </rPr>
      <t>项目类型</t>
    </r>
  </si>
  <si>
    <r>
      <rPr>
        <sz val="12"/>
        <color indexed="8"/>
        <rFont val="宋体"/>
        <family val="3"/>
        <charset val="134"/>
      </rPr>
      <t>按主用途</t>
    </r>
  </si>
  <si>
    <r>
      <rPr>
        <sz val="12"/>
        <color indexed="8"/>
        <rFont val="宋体"/>
        <family val="3"/>
        <charset val="134"/>
      </rPr>
      <t>特殊细项</t>
    </r>
  </si>
  <si>
    <r>
      <rPr>
        <sz val="12"/>
        <color indexed="8"/>
        <rFont val="宋体"/>
        <family val="3"/>
        <charset val="134"/>
      </rPr>
      <t>是否配建</t>
    </r>
  </si>
  <si>
    <r>
      <rPr>
        <sz val="12"/>
        <color indexed="8"/>
        <rFont val="宋体"/>
        <family val="3"/>
        <charset val="134"/>
      </rPr>
      <t>配建类型</t>
    </r>
  </si>
  <si>
    <r>
      <rPr>
        <sz val="12"/>
        <color indexed="8"/>
        <rFont val="宋体"/>
        <family val="3"/>
        <charset val="134"/>
      </rPr>
      <t>项目现状</t>
    </r>
  </si>
  <si>
    <r>
      <rPr>
        <sz val="12"/>
        <color indexed="8"/>
        <rFont val="宋体"/>
        <family val="3"/>
        <charset val="134"/>
      </rPr>
      <t>红线外市政</t>
    </r>
  </si>
  <si>
    <r>
      <rPr>
        <sz val="11"/>
        <color indexed="8"/>
        <rFont val="宋体"/>
        <family val="3"/>
        <charset val="134"/>
      </rPr>
      <t>一通</t>
    </r>
  </si>
  <si>
    <r>
      <rPr>
        <sz val="11"/>
        <color indexed="8"/>
        <rFont val="宋体"/>
        <family val="3"/>
        <charset val="134"/>
      </rPr>
      <t>二通</t>
    </r>
  </si>
  <si>
    <r>
      <rPr>
        <sz val="11"/>
        <color indexed="8"/>
        <rFont val="宋体"/>
        <family val="3"/>
        <charset val="134"/>
      </rPr>
      <t>三通</t>
    </r>
  </si>
  <si>
    <r>
      <rPr>
        <sz val="11"/>
        <color indexed="8"/>
        <rFont val="宋体"/>
        <family val="3"/>
        <charset val="134"/>
      </rPr>
      <t>四通</t>
    </r>
  </si>
  <si>
    <r>
      <rPr>
        <sz val="11"/>
        <color indexed="8"/>
        <rFont val="宋体"/>
        <family val="3"/>
        <charset val="134"/>
      </rPr>
      <t>五通</t>
    </r>
  </si>
  <si>
    <r>
      <rPr>
        <sz val="11"/>
        <color indexed="8"/>
        <rFont val="宋体"/>
        <family val="3"/>
        <charset val="134"/>
      </rPr>
      <t>六通</t>
    </r>
  </si>
  <si>
    <r>
      <rPr>
        <sz val="11"/>
        <color indexed="8"/>
        <rFont val="宋体"/>
        <family val="3"/>
        <charset val="134"/>
      </rPr>
      <t>七通</t>
    </r>
  </si>
  <si>
    <r>
      <rPr>
        <sz val="11"/>
        <color indexed="8"/>
        <rFont val="宋体"/>
        <family val="3"/>
        <charset val="134"/>
      </rPr>
      <t>估价对象</t>
    </r>
  </si>
  <si>
    <r>
      <rPr>
        <sz val="12"/>
        <color indexed="8"/>
        <rFont val="宋体"/>
        <family val="3"/>
        <charset val="134"/>
      </rPr>
      <t>北京市</t>
    </r>
  </si>
  <si>
    <r>
      <rPr>
        <sz val="12"/>
        <color indexed="8"/>
        <rFont val="宋体"/>
        <family val="3"/>
        <charset val="134"/>
      </rPr>
      <t>商业</t>
    </r>
  </si>
  <si>
    <r>
      <rPr>
        <sz val="12"/>
        <color indexed="8"/>
        <rFont val="宋体"/>
        <family val="3"/>
        <charset val="134"/>
      </rPr>
      <t>办公</t>
    </r>
  </si>
  <si>
    <r>
      <rPr>
        <sz val="12"/>
        <color indexed="8"/>
        <rFont val="宋体"/>
        <family val="3"/>
        <charset val="134"/>
      </rPr>
      <t>住宅</t>
    </r>
  </si>
  <si>
    <r>
      <rPr>
        <sz val="12"/>
        <color indexed="8"/>
        <rFont val="宋体"/>
        <family val="3"/>
        <charset val="134"/>
      </rPr>
      <t>工业</t>
    </r>
  </si>
  <si>
    <r>
      <rPr>
        <sz val="12"/>
        <color indexed="8"/>
        <rFont val="宋体"/>
        <family val="3"/>
        <charset val="134"/>
      </rPr>
      <t>土地级别</t>
    </r>
  </si>
  <si>
    <r>
      <rPr>
        <sz val="12"/>
        <color indexed="8"/>
        <rFont val="宋体"/>
        <family val="3"/>
        <charset val="134"/>
      </rPr>
      <t>区片编号</t>
    </r>
  </si>
  <si>
    <r>
      <rPr>
        <b/>
        <sz val="16"/>
        <color rgb="FFFF0000"/>
        <rFont val="宋体"/>
        <family val="3"/>
        <charset val="134"/>
      </rPr>
      <t>虚线以上为必填</t>
    </r>
  </si>
  <si>
    <r>
      <rPr>
        <b/>
        <sz val="11"/>
        <color indexed="8"/>
        <rFont val="宋体"/>
        <family val="3"/>
        <charset val="134"/>
      </rPr>
      <t>证件取得及他项权利状况</t>
    </r>
  </si>
  <si>
    <r>
      <rPr>
        <sz val="11"/>
        <color indexed="8"/>
        <rFont val="宋体"/>
        <family val="3"/>
        <charset val="134"/>
      </rPr>
      <t>地块编号</t>
    </r>
  </si>
  <si>
    <r>
      <rPr>
        <sz val="11"/>
        <color indexed="8"/>
        <rFont val="宋体"/>
        <family val="3"/>
        <charset val="134"/>
      </rPr>
      <t>建设内容</t>
    </r>
    <r>
      <rPr>
        <sz val="11"/>
        <color indexed="8"/>
        <rFont val="Arial"/>
        <family val="2"/>
      </rPr>
      <t>/</t>
    </r>
    <r>
      <rPr>
        <sz val="11"/>
        <color indexed="8"/>
        <rFont val="宋体"/>
        <family val="3"/>
        <charset val="134"/>
      </rPr>
      <t>楼号</t>
    </r>
  </si>
  <si>
    <r>
      <rPr>
        <sz val="11"/>
        <color indexed="8"/>
        <rFont val="宋体"/>
        <family val="3"/>
        <charset val="134"/>
      </rPr>
      <t>出让合同</t>
    </r>
  </si>
  <si>
    <r>
      <rPr>
        <sz val="11"/>
        <color indexed="8"/>
        <rFont val="宋体"/>
        <family val="3"/>
        <charset val="134"/>
      </rPr>
      <t>用地规划</t>
    </r>
  </si>
  <si>
    <r>
      <rPr>
        <sz val="11"/>
        <color indexed="8"/>
        <rFont val="宋体"/>
        <family val="3"/>
        <charset val="134"/>
      </rPr>
      <t>规划意见复函</t>
    </r>
  </si>
  <si>
    <r>
      <rPr>
        <sz val="11"/>
        <color indexed="8"/>
        <rFont val="宋体"/>
        <family val="3"/>
        <charset val="134"/>
      </rPr>
      <t>工程规划</t>
    </r>
  </si>
  <si>
    <r>
      <rPr>
        <sz val="11"/>
        <color indexed="8"/>
        <rFont val="宋体"/>
        <family val="3"/>
        <charset val="134"/>
      </rPr>
      <t>施工证</t>
    </r>
  </si>
  <si>
    <r>
      <rPr>
        <sz val="11"/>
        <color indexed="8"/>
        <rFont val="宋体"/>
        <family val="3"/>
        <charset val="134"/>
      </rPr>
      <t>预售证</t>
    </r>
  </si>
  <si>
    <r>
      <rPr>
        <sz val="11"/>
        <color indexed="8"/>
        <rFont val="宋体"/>
        <family val="3"/>
        <charset val="134"/>
      </rPr>
      <t>竣工备案</t>
    </r>
  </si>
  <si>
    <r>
      <rPr>
        <sz val="11"/>
        <color indexed="8"/>
        <rFont val="宋体"/>
        <family val="3"/>
        <charset val="134"/>
      </rPr>
      <t>测绘报告</t>
    </r>
  </si>
  <si>
    <r>
      <rPr>
        <sz val="11"/>
        <color indexed="8"/>
        <rFont val="宋体"/>
        <family val="3"/>
        <charset val="134"/>
      </rPr>
      <t>现状</t>
    </r>
  </si>
  <si>
    <r>
      <rPr>
        <sz val="11"/>
        <color indexed="8"/>
        <rFont val="宋体"/>
        <family val="3"/>
        <charset val="134"/>
      </rPr>
      <t>用地性质</t>
    </r>
    <r>
      <rPr>
        <sz val="11"/>
        <color indexed="8"/>
        <rFont val="Arial"/>
        <family val="2"/>
      </rPr>
      <t>/</t>
    </r>
    <r>
      <rPr>
        <sz val="11"/>
        <color indexed="8"/>
        <rFont val="宋体"/>
        <family val="3"/>
        <charset val="134"/>
      </rPr>
      <t>土地用途</t>
    </r>
  </si>
  <si>
    <r>
      <rPr>
        <sz val="11"/>
        <color indexed="8"/>
        <rFont val="宋体"/>
        <family val="3"/>
        <charset val="134"/>
      </rPr>
      <t>不动产权证书</t>
    </r>
  </si>
  <si>
    <r>
      <rPr>
        <sz val="11"/>
        <color indexed="8"/>
        <rFont val="宋体"/>
        <family val="3"/>
        <charset val="134"/>
      </rPr>
      <t>国土证</t>
    </r>
  </si>
  <si>
    <r>
      <rPr>
        <sz val="11"/>
        <color indexed="8"/>
        <rFont val="宋体"/>
        <family val="3"/>
        <charset val="134"/>
      </rPr>
      <t>房产证</t>
    </r>
  </si>
  <si>
    <r>
      <rPr>
        <sz val="11"/>
        <color indexed="8"/>
        <rFont val="宋体"/>
        <family val="3"/>
        <charset val="134"/>
      </rPr>
      <t>他项权利</t>
    </r>
    <r>
      <rPr>
        <sz val="11"/>
        <color indexed="8"/>
        <rFont val="Arial"/>
        <family val="2"/>
      </rPr>
      <t>——</t>
    </r>
    <r>
      <rPr>
        <sz val="11"/>
        <color indexed="8"/>
        <rFont val="宋体"/>
        <family val="3"/>
        <charset val="134"/>
      </rPr>
      <t>抵押</t>
    </r>
  </si>
  <si>
    <r>
      <rPr>
        <sz val="11"/>
        <color indexed="8"/>
        <rFont val="宋体"/>
        <family val="3"/>
        <charset val="134"/>
      </rPr>
      <t>他项权利</t>
    </r>
    <r>
      <rPr>
        <sz val="11"/>
        <color indexed="8"/>
        <rFont val="Arial"/>
        <family val="2"/>
      </rPr>
      <t>——</t>
    </r>
    <r>
      <rPr>
        <sz val="11"/>
        <color indexed="8"/>
        <rFont val="宋体"/>
        <family val="3"/>
        <charset val="134"/>
      </rPr>
      <t>租赁</t>
    </r>
  </si>
  <si>
    <r>
      <rPr>
        <sz val="11"/>
        <color indexed="8"/>
        <rFont val="宋体"/>
        <family val="3"/>
        <charset val="134"/>
      </rPr>
      <t>他项权利</t>
    </r>
    <r>
      <rPr>
        <sz val="11"/>
        <color indexed="8"/>
        <rFont val="Arial"/>
        <family val="2"/>
      </rPr>
      <t>——</t>
    </r>
    <r>
      <rPr>
        <sz val="11"/>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</si>
  <si>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</si>
  <si>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</si>
  <si>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土地面积</t>
    </r>
  </si>
  <si>
    <r>
      <rPr>
        <sz val="10"/>
        <color indexed="8"/>
        <rFont val="宋体"/>
        <family val="3"/>
        <charset val="134"/>
      </rPr>
      <t>建筑面积</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</si>
  <si>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</si>
  <si>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</si>
  <si>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</si>
  <si>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</si>
  <si>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</si>
  <si>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</si>
  <si>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</si>
  <si>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</si>
  <si>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</si>
  <si>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</si>
  <si>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</si>
  <si>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</si>
  <si>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</si>
  <si>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</si>
  <si>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</si>
  <si>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</si>
  <si>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</si>
  <si>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</si>
  <si>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</si>
  <si>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</si>
  <si>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</si>
  <si>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</si>
  <si>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</si>
  <si>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</si>
  <si>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</si>
  <si>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</si>
  <si>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</si>
  <si>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</si>
  <si>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</si>
  <si>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</si>
  <si>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</si>
  <si>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</si>
  <si>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</si>
  <si>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</si>
  <si>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</si>
  <si>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</si>
  <si>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</si>
  <si>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</si>
  <si>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</si>
  <si>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</si>
  <si>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</si>
  <si>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</si>
  <si>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</si>
  <si>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</si>
  <si>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</si>
  <si>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</si>
  <si>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</si>
  <si>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</si>
  <si>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</si>
  <si>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</si>
  <si>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</si>
  <si>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</si>
  <si>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</si>
  <si>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</si>
  <si>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</si>
  <si>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</si>
  <si>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</si>
  <si>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</si>
  <si>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</si>
  <si>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</si>
  <si>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</si>
  <si>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</si>
  <si>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</si>
  <si>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</si>
  <si>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</si>
  <si>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</si>
  <si>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</si>
  <si>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非住宅</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</si>
  <si>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</si>
  <si>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</si>
  <si>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</si>
  <si>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</si>
  <si>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</si>
  <si>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</si>
  <si>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</si>
  <si>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</si>
  <si>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</si>
  <si>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</si>
  <si>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</si>
  <si>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</si>
  <si>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</si>
  <si>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</si>
  <si>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</si>
  <si>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</si>
  <si>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</si>
  <si>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</si>
  <si>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</si>
  <si>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</si>
  <si>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</si>
  <si>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</si>
  <si>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</si>
  <si>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</si>
  <si>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</si>
  <si>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</si>
  <si>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</si>
  <si>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</si>
  <si>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</si>
  <si>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</si>
  <si>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</si>
  <si>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</si>
  <si>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</si>
  <si>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</si>
  <si>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</si>
  <si>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</si>
  <si>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</si>
  <si>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</si>
  <si>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</si>
  <si>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</si>
  <si>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</si>
  <si>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</si>
  <si>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</si>
  <si>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</si>
  <si>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</si>
  <si>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</si>
  <si>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</si>
  <si>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</si>
  <si>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</si>
  <si>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</si>
  <si>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</si>
  <si>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</si>
  <si>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</si>
  <si>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</si>
  <si>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</si>
  <si>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</si>
  <si>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</si>
  <si>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</si>
  <si>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</si>
  <si>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</si>
  <si>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</si>
  <si>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</si>
  <si>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</si>
  <si>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</si>
  <si>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</si>
  <si>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</si>
  <si>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</si>
  <si>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</si>
  <si>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</si>
  <si>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</si>
  <si>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</si>
  <si>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</si>
  <si>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</si>
  <si>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</si>
  <si>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</si>
  <si>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</si>
  <si>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</si>
  <si>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</si>
  <si>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</si>
  <si>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</si>
  <si>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</si>
  <si>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r>
      <rPr>
        <sz val="11"/>
        <color indexed="8"/>
        <rFont val="宋体"/>
        <family val="3"/>
        <charset val="134"/>
      </rPr>
      <t>默认为已完成的土地开发期</t>
    </r>
  </si>
  <si>
    <r>
      <rPr>
        <sz val="11"/>
        <rFont val="宋体"/>
        <family val="3"/>
        <charset val="134"/>
      </rPr>
      <t>建设期</t>
    </r>
  </si>
  <si>
    <r>
      <rPr>
        <sz val="11"/>
        <color indexed="8"/>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</si>
  <si>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</si>
  <si>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</si>
  <si>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</si>
  <si>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</si>
  <si>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</si>
  <si>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</si>
  <si>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</si>
  <si>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</si>
  <si>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r>
      <rPr>
        <sz val="11"/>
        <color theme="1"/>
        <rFont val="宋体"/>
        <family val="3"/>
        <charset val="134"/>
      </rPr>
      <t>请录依据文件名称：</t>
    </r>
  </si>
  <si>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</si>
  <si>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</si>
  <si>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theme="1"/>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</si>
  <si>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</si>
  <si>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</si>
  <si>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</si>
  <si>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</si>
  <si>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theme="1"/>
        <rFont val="宋体"/>
        <family val="3"/>
        <charset val="134"/>
      </rPr>
      <t>范围：</t>
    </r>
    <r>
      <rPr>
        <sz val="10"/>
        <color theme="1"/>
        <rFont val="Arial"/>
        <family val="2"/>
      </rPr>
      <t>3%-5%</t>
    </r>
  </si>
  <si>
    <r>
      <rPr>
        <sz val="11"/>
        <color indexed="8"/>
        <rFont val="宋体"/>
        <family val="3"/>
        <charset val="134"/>
      </rPr>
      <t>公共配套设施费用</t>
    </r>
  </si>
  <si>
    <r>
      <rPr>
        <sz val="10"/>
        <color theme="1"/>
        <rFont val="宋体"/>
        <family val="3"/>
        <charset val="134"/>
      </rPr>
      <t>范围：</t>
    </r>
    <r>
      <rPr>
        <sz val="10"/>
        <color theme="1"/>
        <rFont val="Arial"/>
        <family val="2"/>
      </rPr>
      <t>0-10%</t>
    </r>
  </si>
  <si>
    <r>
      <rPr>
        <sz val="11"/>
        <color indexed="8"/>
        <rFont val="宋体"/>
        <family val="3"/>
        <charset val="134"/>
      </rPr>
      <t>非住宅项目及用公共配套计算实为</t>
    </r>
    <r>
      <rPr>
        <sz val="11"/>
        <color indexed="8"/>
        <rFont val="Arial"/>
        <family val="2"/>
      </rPr>
      <t>0</t>
    </r>
  </si>
  <si>
    <r>
      <rPr>
        <sz val="11"/>
        <color indexed="8"/>
        <rFont val="宋体"/>
        <family val="3"/>
        <charset val="134"/>
      </rPr>
      <t>红线内市政基础设施</t>
    </r>
  </si>
  <si>
    <r>
      <rPr>
        <sz val="10"/>
        <color theme="1"/>
        <rFont val="宋体"/>
        <family val="3"/>
        <charset val="134"/>
      </rPr>
      <t>变化</t>
    </r>
  </si>
  <si>
    <r>
      <rPr>
        <sz val="11"/>
        <color indexed="8"/>
        <rFont val="宋体"/>
        <family val="3"/>
        <charset val="134"/>
      </rPr>
      <t>建造成本中相关税费</t>
    </r>
  </si>
  <si>
    <r>
      <rPr>
        <sz val="10"/>
        <color theme="1"/>
        <rFont val="宋体"/>
        <family val="3"/>
        <charset val="134"/>
      </rPr>
      <t>定值：</t>
    </r>
    <r>
      <rPr>
        <sz val="10"/>
        <color theme="1"/>
        <rFont val="Arial"/>
        <family val="2"/>
      </rPr>
      <t>1.5%</t>
    </r>
  </si>
  <si>
    <r>
      <rPr>
        <sz val="11"/>
        <color indexed="8"/>
        <rFont val="宋体"/>
        <family val="3"/>
        <charset val="134"/>
      </rPr>
      <t>管理费用</t>
    </r>
  </si>
  <si>
    <r>
      <rPr>
        <sz val="10"/>
        <color theme="1"/>
        <rFont val="宋体"/>
        <family val="3"/>
        <charset val="134"/>
      </rPr>
      <t>范围：</t>
    </r>
    <r>
      <rPr>
        <sz val="10"/>
        <color theme="1"/>
        <rFont val="Arial"/>
        <family val="2"/>
      </rPr>
      <t>1%-3%</t>
    </r>
  </si>
  <si>
    <r>
      <rPr>
        <sz val="11"/>
        <color indexed="8"/>
        <rFont val="宋体"/>
        <family val="3"/>
        <charset val="134"/>
      </rPr>
      <t>销售费用</t>
    </r>
  </si>
  <si>
    <r>
      <rPr>
        <sz val="11"/>
        <color indexed="8"/>
        <rFont val="宋体"/>
        <family val="3"/>
        <charset val="134"/>
      </rPr>
      <t>一年期存款利率</t>
    </r>
  </si>
  <si>
    <r>
      <rPr>
        <sz val="11"/>
        <color indexed="8"/>
        <rFont val="宋体"/>
        <family val="3"/>
        <charset val="134"/>
      </rPr>
      <t>贷款利息</t>
    </r>
  </si>
  <si>
    <r>
      <rPr>
        <sz val="10"/>
        <color theme="1"/>
        <rFont val="宋体"/>
        <family val="3"/>
        <charset val="134"/>
      </rPr>
      <t>当前利率</t>
    </r>
    <r>
      <rPr>
        <sz val="10"/>
        <color theme="1"/>
        <rFont val="Arial"/>
        <family val="2"/>
      </rPr>
      <t>,</t>
    </r>
    <r>
      <rPr>
        <sz val="10"/>
        <color theme="1"/>
        <rFont val="宋体"/>
        <family val="3"/>
        <charset val="134"/>
      </rPr>
      <t>对应项目开发期</t>
    </r>
  </si>
  <si>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</si>
  <si>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</si>
  <si>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</si>
  <si>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</si>
  <si>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</si>
  <si>
    <r>
      <rPr>
        <sz val="11"/>
        <color indexed="8"/>
        <rFont val="宋体"/>
        <family val="3"/>
        <charset val="134"/>
      </rPr>
      <t>教育费附加</t>
    </r>
  </si>
  <si>
    <r>
      <rPr>
        <sz val="11"/>
        <color theme="1"/>
        <rFont val="宋体"/>
        <family val="3"/>
        <charset val="134"/>
      </rPr>
      <t>北京：</t>
    </r>
    <r>
      <rPr>
        <sz val="11"/>
        <color theme="1"/>
        <rFont val="Arial"/>
        <family val="2"/>
      </rPr>
      <t>3%</t>
    </r>
  </si>
  <si>
    <r>
      <rPr>
        <sz val="11"/>
        <color indexed="8"/>
        <rFont val="宋体"/>
        <family val="3"/>
        <charset val="134"/>
      </rPr>
      <t>地方教育费附加</t>
    </r>
  </si>
  <si>
    <r>
      <rPr>
        <sz val="11"/>
        <color theme="1"/>
        <rFont val="宋体"/>
        <family val="3"/>
        <charset val="134"/>
      </rPr>
      <t>北京：</t>
    </r>
    <r>
      <rPr>
        <sz val="11"/>
        <color theme="1"/>
        <rFont val="Arial"/>
        <family val="2"/>
      </rPr>
      <t>2%</t>
    </r>
  </si>
  <si>
    <r>
      <rPr>
        <sz val="11"/>
        <color indexed="8"/>
        <rFont val="宋体"/>
        <family val="3"/>
        <charset val="134"/>
      </rPr>
      <t>其他税种</t>
    </r>
  </si>
  <si>
    <r>
      <rPr>
        <sz val="11"/>
        <color indexed="8"/>
        <rFont val="宋体"/>
        <family val="3"/>
        <charset val="134"/>
      </rPr>
      <t>契税</t>
    </r>
  </si>
  <si>
    <r>
      <rPr>
        <sz val="11"/>
        <color indexed="8"/>
        <rFont val="宋体"/>
        <family val="3"/>
        <charset val="134"/>
      </rPr>
      <t>北京：</t>
    </r>
    <r>
      <rPr>
        <sz val="11"/>
        <color indexed="8"/>
        <rFont val="Arial"/>
        <family val="2"/>
      </rPr>
      <t>3%</t>
    </r>
  </si>
  <si>
    <r>
      <rPr>
        <sz val="11"/>
        <color indexed="8"/>
        <rFont val="宋体"/>
        <family val="3"/>
        <charset val="134"/>
      </rPr>
      <t>印花税</t>
    </r>
  </si>
  <si>
    <r>
      <rPr>
        <sz val="11"/>
        <color indexed="8"/>
        <rFont val="宋体"/>
        <family val="3"/>
        <charset val="134"/>
      </rPr>
      <t>北京：</t>
    </r>
    <r>
      <rPr>
        <sz val="11"/>
        <color indexed="8"/>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</si>
  <si>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</si>
  <si>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</si>
  <si>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</si>
  <si>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</si>
  <si>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</si>
  <si>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</si>
  <si>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</si>
  <si>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</si>
  <si>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</si>
  <si>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</si>
  <si>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</si>
  <si>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</si>
  <si>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</si>
  <si>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</si>
  <si>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</si>
  <si>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</si>
  <si>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4"/>
        <color indexed="10"/>
        <rFont val="宋体"/>
        <family val="3"/>
        <charset val="134"/>
      </rPr>
      <t>房地产修正因素</t>
    </r>
  </si>
  <si>
    <r>
      <rPr>
        <b/>
        <sz val="11"/>
        <color indexed="8"/>
        <rFont val="宋体"/>
        <family val="3"/>
        <charset val="134"/>
      </rPr>
      <t>住宅、办公及商业</t>
    </r>
  </si>
  <si>
    <r>
      <rPr>
        <b/>
        <sz val="11"/>
        <color indexed="8"/>
        <rFont val="宋体"/>
        <family val="3"/>
        <charset val="134"/>
      </rPr>
      <t>工业</t>
    </r>
  </si>
  <si>
    <r>
      <rPr>
        <b/>
        <sz val="11"/>
        <color indexed="8"/>
        <rFont val="宋体"/>
        <family val="3"/>
        <charset val="134"/>
      </rPr>
      <t>区位状况</t>
    </r>
  </si>
  <si>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</si>
  <si>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</si>
  <si>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</si>
  <si>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</si>
  <si>
    <r>
      <rPr>
        <sz val="11"/>
        <color indexed="8"/>
        <rFont val="宋体"/>
        <family val="3"/>
        <charset val="134"/>
      </rPr>
      <t>商业繁华度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</si>
  <si>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</si>
  <si>
    <r>
      <rPr>
        <sz val="11"/>
        <color indexed="8"/>
        <rFont val="宋体"/>
        <family val="3"/>
        <charset val="134"/>
      </rPr>
      <t>交通便捷度</t>
    </r>
  </si>
  <si>
    <r>
      <rPr>
        <sz val="11"/>
        <color theme="9" tint="-0.249977111117893"/>
        <rFont val="宋体"/>
        <family val="3"/>
        <charset val="134"/>
      </rPr>
      <t>估价对象周边道路状况、公共交通通达情况、停车便捷程度，综合评价交通便捷度较好</t>
    </r>
  </si>
  <si>
    <r>
      <rPr>
        <sz val="11"/>
        <color indexed="8"/>
        <rFont val="宋体"/>
        <family val="3"/>
        <charset val="134"/>
      </rPr>
      <t>办公集聚程度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</si>
  <si>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</si>
  <si>
    <r>
      <rPr>
        <sz val="11"/>
        <color indexed="8"/>
        <rFont val="宋体"/>
        <family val="3"/>
        <charset val="134"/>
      </rPr>
      <t>公共配套设施</t>
    </r>
  </si>
  <si>
    <r>
      <rPr>
        <sz val="11"/>
        <color theme="9" tint="-0.249977111117893"/>
        <rFont val="宋体"/>
        <family val="3"/>
        <charset val="134"/>
      </rPr>
      <t>估价对象所在区域公共配套设施齐备情况</t>
    </r>
  </si>
  <si>
    <r>
      <rPr>
        <sz val="11"/>
        <color indexed="8"/>
        <rFont val="宋体"/>
        <family val="3"/>
        <charset val="134"/>
      </rPr>
      <t>基础设施水平</t>
    </r>
  </si>
  <si>
    <r>
      <rPr>
        <sz val="11"/>
        <color theme="9" tint="-0.249977111117893"/>
        <rFont val="宋体"/>
        <family val="3"/>
        <charset val="134"/>
      </rPr>
      <t>估价对象所在区域基础设施水平</t>
    </r>
  </si>
  <si>
    <r>
      <rPr>
        <sz val="11"/>
        <color indexed="8"/>
        <rFont val="宋体"/>
        <family val="3"/>
        <charset val="134"/>
      </rPr>
      <t>环境状况</t>
    </r>
  </si>
  <si>
    <r>
      <rPr>
        <sz val="11"/>
        <color theme="9" tint="-0.249977111117893"/>
        <rFont val="宋体"/>
        <family val="3"/>
        <charset val="134"/>
      </rPr>
      <t>该园区内是否有污染型企业，绿化情况，卫生条件，整体环境状况判断</t>
    </r>
  </si>
  <si>
    <r>
      <rPr>
        <sz val="11"/>
        <color indexed="8"/>
        <rFont val="宋体"/>
        <family val="3"/>
        <charset val="134"/>
      </rPr>
      <t>自然及人文环境</t>
    </r>
  </si>
  <si>
    <r>
      <rPr>
        <sz val="11"/>
        <color theme="9" tint="-0.249977111117893"/>
        <rFont val="宋体"/>
        <family val="3"/>
        <charset val="134"/>
      </rPr>
      <t>区域自然环境：；人文环境；综合评价环境状况一般</t>
    </r>
  </si>
  <si>
    <r>
      <rPr>
        <sz val="11"/>
        <color indexed="8"/>
        <rFont val="宋体"/>
        <family val="3"/>
        <charset val="134"/>
      </rPr>
      <t>毗邻道路的类型与等级</t>
    </r>
  </si>
  <si>
    <r>
      <rPr>
        <b/>
        <sz val="14"/>
        <color indexed="10"/>
        <rFont val="宋体"/>
        <family val="3"/>
        <charset val="134"/>
      </rPr>
      <t>土地修正因素</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</si>
  <si>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</si>
  <si>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</si>
  <si>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临街状况</t>
    </r>
  </si>
  <si>
    <r>
      <rPr>
        <sz val="11"/>
        <color indexed="8"/>
        <rFont val="宋体"/>
        <family val="3"/>
        <charset val="134"/>
      </rPr>
      <t>土地级别</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</si>
  <si>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</si>
  <si>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</si>
  <si>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</si>
  <si>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</si>
  <si>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</si>
  <si>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</si>
  <si>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</si>
  <si>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</si>
  <si>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</si>
  <si>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</si>
  <si>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</si>
  <si>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</si>
  <si>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</si>
  <si>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</si>
  <si>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</si>
  <si>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</si>
  <si>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</si>
  <si>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</si>
  <si>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</si>
  <si>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</si>
  <si>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</si>
  <si>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</si>
  <si>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</si>
  <si>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</si>
  <si>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</si>
  <si>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</si>
  <si>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</si>
  <si>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</si>
  <si>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</si>
  <si>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</si>
  <si>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</si>
  <si>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</si>
  <si>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</si>
  <si>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</si>
  <si>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</si>
  <si>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</si>
  <si>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</si>
  <si>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</si>
  <si>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</si>
  <si>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</si>
  <si>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</si>
  <si>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</si>
  <si>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</si>
  <si>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</si>
  <si>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</si>
  <si>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</si>
  <si>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</si>
  <si>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</si>
  <si>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</si>
  <si>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</si>
  <si>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</si>
  <si>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</si>
  <si>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</si>
  <si>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</si>
  <si>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</si>
  <si>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</si>
  <si>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</si>
  <si>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</si>
  <si>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</si>
  <si>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</si>
  <si>
    <r>
      <rPr>
        <b/>
        <sz val="11"/>
        <color indexed="8"/>
        <rFont val="宋体"/>
        <family val="3"/>
        <charset val="134"/>
      </rPr>
      <t>房地产价值</t>
    </r>
  </si>
  <si>
    <r>
      <rPr>
        <b/>
        <sz val="11"/>
        <color indexed="8"/>
        <rFont val="宋体"/>
        <family val="3"/>
        <charset val="134"/>
      </rPr>
      <t>总价</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</si>
  <si>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</si>
  <si>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</si>
  <si>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</si>
  <si>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</si>
  <si>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</si>
  <si>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</si>
  <si>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</si>
  <si>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</si>
  <si>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</si>
  <si>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</si>
  <si>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</si>
  <si>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</si>
  <si>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</si>
  <si>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</si>
  <si>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</si>
  <si>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</si>
  <si>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</si>
  <si>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</si>
  <si>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</si>
  <si>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</si>
  <si>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</si>
  <si>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</si>
  <si>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</si>
  <si>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</si>
  <si>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</si>
  <si>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</si>
  <si>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</si>
  <si>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</si>
  <si>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</si>
  <si>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</si>
  <si>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</si>
  <si>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sz val="10"/>
        <color indexed="8"/>
        <rFont val="宋体"/>
        <family val="3"/>
        <charset val="134"/>
      </rPr>
      <t>情况</t>
    </r>
    <r>
      <rPr>
        <sz val="10"/>
        <color indexed="8"/>
        <rFont val="Arial"/>
        <family val="2"/>
      </rPr>
      <t>1</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</si>
  <si>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</si>
  <si>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</si>
  <si>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</si>
  <si>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</si>
  <si>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</si>
  <si>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b/>
        <sz val="10"/>
        <color theme="1"/>
        <rFont val="宋体"/>
        <family val="3"/>
        <charset val="134"/>
      </rPr>
      <t>处置时需缴纳的相关税费</t>
    </r>
  </si>
  <si>
    <r>
      <rPr>
        <sz val="10"/>
        <color indexed="8"/>
        <rFont val="宋体"/>
        <family val="3"/>
        <charset val="134"/>
      </rPr>
      <t>个体工商户购买的住宅</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</si>
  <si>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</si>
  <si>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</si>
  <si>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</si>
  <si>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</si>
  <si>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</si>
  <si>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</si>
  <si>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</si>
  <si>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</si>
  <si>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</si>
  <si>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</si>
  <si>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</si>
  <si>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</si>
  <si>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</si>
  <si>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</si>
  <si>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</si>
  <si>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</si>
  <si>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</si>
  <si>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</si>
  <si>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宋体"/>
        <family val="3"/>
        <charset val="134"/>
      </rPr>
      <t>正常</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</si>
  <si>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</si>
  <si>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</si>
  <si>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</si>
  <si>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</si>
  <si>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</si>
  <si>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</si>
  <si>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</si>
  <si>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indexed="8"/>
        <rFont val="宋体"/>
        <family val="3"/>
        <charset val="134"/>
      </rPr>
      <t>自行开发建设</t>
    </r>
  </si>
  <si>
    <r>
      <rPr>
        <sz val="10"/>
        <color theme="1"/>
        <rFont val="宋体"/>
        <family val="3"/>
        <charset val="134"/>
      </rPr>
      <t>大写</t>
    </r>
  </si>
  <si>
    <r>
      <rPr>
        <sz val="10"/>
        <color indexed="8"/>
        <rFont val="Arial"/>
        <family val="2"/>
      </rPr>
      <t>4.</t>
    </r>
    <r>
      <rPr>
        <sz val="10"/>
        <color indexed="8"/>
        <rFont val="宋体"/>
        <family val="3"/>
        <charset val="134"/>
      </rPr>
      <t>个人所得税</t>
    </r>
  </si>
  <si>
    <r>
      <rPr>
        <sz val="10"/>
        <color indexed="8"/>
        <rFont val="宋体"/>
        <family val="3"/>
        <charset val="134"/>
      </rPr>
      <t>非个人房产</t>
    </r>
  </si>
  <si>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</si>
  <si>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</si>
  <si>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</si>
  <si>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</si>
  <si>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</si>
  <si>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</si>
  <si>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</si>
  <si>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</si>
  <si>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</si>
  <si>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</si>
  <si>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</si>
  <si>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</si>
  <si>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</si>
  <si>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</si>
  <si>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</si>
  <si>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</si>
  <si>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</si>
  <si>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</si>
  <si>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</si>
  <si>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</si>
  <si>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</si>
  <si>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</si>
  <si>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</si>
  <si>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</si>
  <si>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</si>
  <si>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</si>
  <si>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</si>
  <si>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</si>
  <si>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</si>
  <si>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</si>
  <si>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</si>
  <si>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</si>
  <si>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</si>
  <si>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</si>
  <si>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</si>
  <si>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买卖合同</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</si>
  <si>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</si>
  <si>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</si>
  <si>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</si>
  <si>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</si>
  <si>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</si>
  <si>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</si>
  <si>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</si>
  <si>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color indexed="8"/>
        <rFont val="Arial"/>
        <family val="2"/>
      </rP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</si>
  <si>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</si>
  <si>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</si>
  <si>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</si>
  <si>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</si>
  <si>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</si>
  <si>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</si>
  <si>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</si>
  <si>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</si>
  <si>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</si>
  <si>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</si>
  <si>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</si>
  <si>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r>
      <rPr>
        <sz val="10"/>
        <color indexed="8"/>
        <rFont val="宋体"/>
        <family val="3"/>
        <charset val="134"/>
      </rPr>
      <t>契税及印花税</t>
    </r>
  </si>
  <si>
    <r>
      <rPr>
        <sz val="10"/>
        <rFont val="宋体"/>
        <family val="3"/>
        <charset val="134"/>
      </rPr>
      <t>土地开发费</t>
    </r>
  </si>
  <si>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</si>
  <si>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</si>
  <si>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</si>
  <si>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</si>
  <si>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</si>
  <si>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</si>
  <si>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</si>
  <si>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</si>
  <si>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</si>
  <si>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</si>
  <si>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</si>
  <si>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</si>
  <si>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</si>
  <si>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</si>
  <si>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</si>
  <si>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</si>
  <si>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</si>
  <si>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</si>
  <si>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</si>
  <si>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</si>
  <si>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</si>
  <si>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</si>
  <si>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</si>
  <si>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</si>
  <si>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</si>
  <si>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</si>
  <si>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</si>
  <si>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</si>
  <si>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</si>
  <si>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</si>
  <si>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</si>
  <si>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</si>
  <si>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</si>
  <si>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</si>
  <si>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</si>
  <si>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</si>
  <si>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</si>
  <si>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</si>
  <si>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</si>
  <si>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</si>
  <si>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</si>
  <si>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</si>
  <si>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</si>
  <si>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</si>
  <si>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</si>
  <si>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</si>
  <si>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</si>
  <si>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</si>
  <si>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</si>
  <si>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</si>
  <si>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</si>
  <si>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</si>
  <si>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</si>
  <si>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</si>
  <si>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</si>
  <si>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</si>
  <si>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</si>
  <si>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</si>
  <si>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</si>
  <si>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</si>
  <si>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</si>
  <si>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</si>
  <si>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</si>
  <si>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</si>
  <si>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</si>
  <si>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</si>
  <si>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</si>
  <si>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</si>
  <si>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</si>
  <si>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</si>
  <si>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</si>
  <si>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</si>
  <si>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</si>
  <si>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</si>
  <si>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</si>
  <si>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</si>
  <si>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</si>
  <si>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</si>
  <si>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</si>
  <si>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</si>
  <si>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</si>
  <si>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</si>
  <si>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</si>
  <si>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</si>
  <si>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</si>
  <si>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</si>
  <si>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</si>
  <si>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</si>
  <si>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</si>
  <si>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</si>
  <si>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</si>
  <si>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</si>
  <si>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</si>
  <si>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</si>
  <si>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</si>
  <si>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</si>
  <si>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</si>
  <si>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</si>
  <si>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</si>
  <si>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</si>
  <si>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</si>
  <si>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</si>
  <si>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</si>
  <si>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</si>
  <si>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</si>
  <si>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</si>
  <si>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</si>
  <si>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</si>
  <si>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</si>
  <si>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</si>
  <si>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</si>
  <si>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</si>
  <si>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</si>
  <si>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</si>
  <si>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</si>
  <si>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</si>
  <si>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</si>
  <si>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</si>
  <si>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</si>
  <si>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</si>
  <si>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</si>
  <si>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</si>
  <si>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</si>
  <si>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</si>
  <si>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</si>
  <si>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</si>
  <si>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</si>
  <si>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</si>
  <si>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</si>
  <si>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</si>
  <si>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</si>
  <si>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</si>
  <si>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</si>
  <si>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</si>
  <si>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</si>
  <si>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</si>
  <si>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</si>
  <si>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</si>
  <si>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</si>
  <si>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</si>
  <si>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</si>
  <si>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</si>
  <si>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</si>
  <si>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</si>
  <si>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</si>
  <si>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</si>
  <si>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</si>
  <si>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</si>
  <si>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</si>
  <si>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</si>
  <si>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</si>
  <si>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</si>
  <si>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</si>
  <si>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</si>
  <si>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</si>
  <si>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</si>
  <si>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</si>
  <si>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</si>
  <si>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</si>
  <si>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</si>
  <si>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</si>
  <si>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</si>
  <si>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</si>
  <si>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</si>
  <si>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</si>
  <si>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</si>
  <si>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</si>
  <si>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</si>
  <si>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</si>
  <si>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</si>
  <si>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</si>
  <si>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</si>
  <si>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</si>
  <si>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</si>
  <si>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</si>
  <si>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</si>
  <si>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</si>
  <si>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住宅</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</si>
  <si>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</si>
  <si>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</si>
  <si>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</si>
  <si>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</si>
  <si>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</si>
  <si>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</si>
  <si>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</si>
  <si>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</si>
  <si>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</si>
  <si>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</si>
  <si>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</si>
  <si>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</si>
  <si>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</si>
  <si>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</si>
  <si>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</si>
  <si>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</si>
  <si>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</si>
  <si>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</si>
  <si>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</si>
  <si>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</si>
  <si>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</si>
  <si>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</si>
  <si>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</si>
  <si>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</si>
  <si>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</si>
  <si>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</si>
  <si>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</si>
  <si>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</si>
  <si>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</si>
  <si>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</si>
  <si>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</si>
  <si>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</si>
  <si>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</si>
  <si>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</si>
  <si>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</si>
  <si>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</si>
  <si>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</si>
  <si>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</si>
  <si>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</si>
  <si>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</si>
  <si>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</si>
  <si>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</si>
  <si>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</si>
  <si>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</si>
  <si>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</si>
  <si>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</si>
  <si>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b/>
        <sz val="10"/>
        <color indexed="8"/>
        <rFont val="宋体"/>
        <family val="3"/>
        <charset val="134"/>
      </rPr>
      <t>押二</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</si>
  <si>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</si>
  <si>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</si>
  <si>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</si>
  <si>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</si>
  <si>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</si>
  <si>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</si>
  <si>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</si>
  <si>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</si>
  <si>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</si>
  <si>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</si>
  <si>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</si>
  <si>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</si>
  <si>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</si>
  <si>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</si>
  <si>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</si>
  <si>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</si>
  <si>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</si>
  <si>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</si>
  <si>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</si>
  <si>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</si>
  <si>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</si>
  <si>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</si>
  <si>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</si>
  <si>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</si>
  <si>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</si>
  <si>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</si>
  <si>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</si>
  <si>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</si>
  <si>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</si>
  <si>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</si>
  <si>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</si>
  <si>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</si>
  <si>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</si>
  <si>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</si>
  <si>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</si>
  <si>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</si>
  <si>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</si>
  <si>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</si>
  <si>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</si>
  <si>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</si>
  <si>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</si>
  <si>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</si>
  <si>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</si>
  <si>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</si>
  <si>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</si>
  <si>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</si>
  <si>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</si>
  <si>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</si>
  <si>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</si>
  <si>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</si>
  <si>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</si>
  <si>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</si>
  <si>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</si>
  <si>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</si>
  <si>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</si>
  <si>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</si>
  <si>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</si>
  <si>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</si>
  <si>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</si>
  <si>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</si>
  <si>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</si>
  <si>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</si>
  <si>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</si>
  <si>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</si>
  <si>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</si>
  <si>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</si>
  <si>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</si>
  <si>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</si>
  <si>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</si>
  <si>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</si>
  <si>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</si>
  <si>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</si>
  <si>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</si>
  <si>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</si>
  <si>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</si>
  <si>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</si>
  <si>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</si>
  <si>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</si>
  <si>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</si>
  <si>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</si>
  <si>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</si>
  <si>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</si>
  <si>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</si>
  <si>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</si>
  <si>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</si>
  <si>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</si>
  <si>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</si>
  <si>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</si>
  <si>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</si>
  <si>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</si>
  <si>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</si>
  <si>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</si>
  <si>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</si>
  <si>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</si>
  <si>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</si>
  <si>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</si>
  <si>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</si>
  <si>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</si>
  <si>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</si>
  <si>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</si>
  <si>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</si>
  <si>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</si>
  <si>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</si>
  <si>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</si>
  <si>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</si>
  <si>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</si>
  <si>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</si>
  <si>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</si>
  <si>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</si>
  <si>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</si>
  <si>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</si>
  <si>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</si>
  <si>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</si>
  <si>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</si>
  <si>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</si>
  <si>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</si>
  <si>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</si>
  <si>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</si>
  <si>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</si>
  <si>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</si>
  <si>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</si>
  <si>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</si>
  <si>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</si>
  <si>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</si>
  <si>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</si>
  <si>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</si>
  <si>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</si>
  <si>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</si>
  <si>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</si>
  <si>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</si>
  <si>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</si>
  <si>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</si>
  <si>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</si>
  <si>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</si>
  <si>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</si>
  <si>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</si>
  <si>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</si>
  <si>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</si>
  <si>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</si>
  <si>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</si>
  <si>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</si>
  <si>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</si>
  <si>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</si>
  <si>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</si>
  <si>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</si>
  <si>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</si>
  <si>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</si>
  <si>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</si>
  <si>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</si>
  <si>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</si>
  <si>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</si>
  <si>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</si>
  <si>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</si>
  <si>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</si>
  <si>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</si>
  <si>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</si>
  <si>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</si>
  <si>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</si>
  <si>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</si>
  <si>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</si>
  <si>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</si>
  <si>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</si>
  <si>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</si>
  <si>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</si>
  <si>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</si>
  <si>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</si>
  <si>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</si>
  <si>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</si>
  <si>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</si>
  <si>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</si>
  <si>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</si>
  <si>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</si>
  <si>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</si>
  <si>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</si>
  <si>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</si>
  <si>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</si>
  <si>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</si>
  <si>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</si>
  <si>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</si>
  <si>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</si>
  <si>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</si>
  <si>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</si>
  <si>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</si>
  <si>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</si>
  <si>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</si>
  <si>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</si>
  <si>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</si>
  <si>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</si>
  <si>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</si>
  <si>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</si>
  <si>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</si>
  <si>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</si>
  <si>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</si>
  <si>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</si>
  <si>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</si>
  <si>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</si>
  <si>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</si>
  <si>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</si>
  <si>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</si>
  <si>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</si>
  <si>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</si>
  <si>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</si>
  <si>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</si>
  <si>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</si>
  <si>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</si>
  <si>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</si>
  <si>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</si>
  <si>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</si>
  <si>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</si>
  <si>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</si>
  <si>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</si>
  <si>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</si>
  <si>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</si>
  <si>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</si>
  <si>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</si>
  <si>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</si>
  <si>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</si>
  <si>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</si>
  <si>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</si>
  <si>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</si>
  <si>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</si>
  <si>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</si>
  <si>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</si>
  <si>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</si>
  <si>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</si>
  <si>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</si>
  <si>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</si>
  <si>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</si>
  <si>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</si>
  <si>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</si>
  <si>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</si>
  <si>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</si>
  <si>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</si>
  <si>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</si>
  <si>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</si>
  <si>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</si>
  <si>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</si>
  <si>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</si>
  <si>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</si>
  <si>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</si>
  <si>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</si>
  <si>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</si>
  <si>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</si>
  <si>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</si>
  <si>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</si>
  <si>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</si>
  <si>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</si>
  <si>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</si>
  <si>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</si>
  <si>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</si>
  <si>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</si>
  <si>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</si>
  <si>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</si>
  <si>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</si>
  <si>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</si>
  <si>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</si>
  <si>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</si>
  <si>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</si>
  <si>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</si>
  <si>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</si>
  <si>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r>
      <rPr>
        <sz val="11"/>
        <color indexed="8"/>
        <rFont val="宋体"/>
        <family val="3"/>
        <charset val="134"/>
      </rPr>
      <t>交易情况</t>
    </r>
  </si>
  <si>
    <r>
      <rPr>
        <b/>
        <sz val="11"/>
        <color indexed="8"/>
        <rFont val="宋体"/>
        <family val="3"/>
        <charset val="134"/>
      </rPr>
      <t>权益状况</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</si>
  <si>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</si>
  <si>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</si>
  <si>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</si>
  <si>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</si>
  <si>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</si>
  <si>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rFont val="宋体"/>
        <family val="3"/>
        <charset val="134"/>
      </rPr>
      <t>区位状况</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</si>
  <si>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</si>
  <si>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</si>
  <si>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</si>
  <si>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</si>
  <si>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</si>
  <si>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</si>
  <si>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</si>
  <si>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</si>
  <si>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</si>
  <si>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</si>
  <si>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</si>
  <si>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</si>
  <si>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</si>
  <si>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</si>
  <si>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</si>
  <si>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</si>
  <si>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</si>
  <si>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</si>
  <si>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</si>
  <si>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</si>
  <si>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</si>
  <si>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</si>
  <si>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</si>
  <si>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</si>
  <si>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</si>
  <si>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</si>
  <si>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</si>
  <si>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</si>
  <si>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</si>
  <si>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</si>
  <si>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</si>
  <si>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</si>
  <si>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</si>
  <si>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</si>
  <si>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</si>
  <si>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</si>
  <si>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</si>
  <si>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</si>
  <si>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</si>
  <si>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</si>
  <si>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</si>
  <si>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</si>
  <si>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</si>
  <si>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</si>
  <si>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</si>
  <si>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</si>
  <si>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</si>
  <si>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</si>
  <si>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</si>
  <si>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</si>
  <si>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</si>
  <si>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</si>
  <si>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</si>
  <si>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</si>
  <si>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</si>
  <si>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</si>
  <si>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</si>
  <si>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</si>
  <si>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</si>
  <si>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</si>
  <si>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</si>
  <si>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</si>
  <si>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</si>
  <si>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</si>
  <si>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</si>
  <si>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</si>
  <si>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</si>
  <si>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</si>
  <si>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</si>
  <si>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</si>
  <si>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t>-</t>
  </si>
  <si>
    <r>
      <rPr>
        <sz val="11"/>
        <color indexed="8"/>
        <rFont val="宋体"/>
        <family val="3"/>
        <charset val="134"/>
      </rPr>
      <t>进深比</t>
    </r>
  </si>
  <si>
    <r>
      <rPr>
        <b/>
        <sz val="16"/>
        <rFont val="宋体"/>
        <family val="3"/>
        <charset val="134"/>
      </rPr>
      <t>办公</t>
    </r>
  </si>
  <si>
    <r>
      <rPr>
        <sz val="11"/>
        <color indexed="8"/>
        <rFont val="宋体"/>
        <family val="3"/>
        <charset val="134"/>
      </rPr>
      <t>环境质量</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</si>
  <si>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</si>
  <si>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</si>
  <si>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</si>
  <si>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</si>
  <si>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</si>
  <si>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</si>
  <si>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</si>
  <si>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</si>
  <si>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</si>
  <si>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</si>
  <si>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</si>
  <si>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</si>
  <si>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</si>
  <si>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</si>
  <si>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</si>
  <si>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</si>
  <si>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r>
      <rPr>
        <b/>
        <sz val="11"/>
        <rFont val="宋体"/>
        <family val="3"/>
        <charset val="134"/>
      </rPr>
      <t>元</t>
    </r>
    <r>
      <rPr>
        <b/>
        <sz val="11"/>
        <rFont val="Arial"/>
        <family val="2"/>
      </rPr>
      <t>/</t>
    </r>
    <r>
      <rPr>
        <b/>
        <sz val="11"/>
        <rFont val="宋体"/>
        <family val="3"/>
        <charset val="134"/>
      </rPr>
      <t>车位</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</si>
  <si>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</si>
  <si>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</si>
  <si>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</si>
  <si>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</si>
  <si>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</si>
  <si>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</si>
  <si>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</si>
  <si>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</si>
  <si>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</si>
  <si>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</si>
  <si>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</si>
  <si>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</si>
  <si>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</si>
  <si>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</si>
  <si>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</si>
  <si>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</si>
  <si>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</si>
  <si>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</si>
  <si>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</si>
  <si>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</si>
  <si>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</si>
  <si>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</si>
  <si>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</si>
  <si>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</si>
  <si>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</si>
  <si>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</si>
  <si>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</si>
  <si>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</si>
  <si>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</si>
  <si>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地下商业（</t>
    </r>
    <r>
      <rPr>
        <sz val="10"/>
        <rFont val="Arial"/>
        <family val="2"/>
      </rPr>
      <t>-4</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</si>
  <si>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</si>
  <si>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</si>
  <si>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</si>
  <si>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</si>
  <si>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</si>
  <si>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</si>
  <si>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</si>
  <si>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</si>
  <si>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</si>
  <si>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</si>
  <si>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</si>
  <si>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</si>
  <si>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</si>
  <si>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</si>
  <si>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</si>
  <si>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t>1-6号楼统计表</t>
  </si>
  <si>
    <t>楼号</t>
  </si>
  <si>
    <t>楼层</t>
  </si>
  <si>
    <t>区位</t>
  </si>
  <si>
    <t>业态</t>
  </si>
  <si>
    <t>总数量（间）</t>
  </si>
  <si>
    <t>总面积（㎡）</t>
  </si>
  <si>
    <t>销售现房证面积</t>
  </si>
  <si>
    <t>已售商铺数</t>
  </si>
  <si>
    <t>公司自持商铺</t>
  </si>
  <si>
    <t>已租商铺数</t>
  </si>
  <si>
    <t>公司空置商铺数</t>
  </si>
  <si>
    <t>建设情况</t>
  </si>
  <si>
    <t>不动产权证</t>
  </si>
  <si>
    <t>备注</t>
  </si>
  <si>
    <t>证件及数据</t>
  </si>
  <si>
    <t>证件</t>
  </si>
  <si>
    <t>已售间数</t>
  </si>
  <si>
    <t>已售面积</t>
  </si>
  <si>
    <t>已售均价</t>
  </si>
  <si>
    <t>自持间数</t>
  </si>
  <si>
    <t>自持面积</t>
  </si>
  <si>
    <t>计容面积</t>
  </si>
  <si>
    <t>有产权面积</t>
  </si>
  <si>
    <t>已租间数</t>
  </si>
  <si>
    <t>开业间数</t>
  </si>
  <si>
    <t>已租面积</t>
  </si>
  <si>
    <t>17年已收租金</t>
  </si>
  <si>
    <t>平均租金</t>
  </si>
  <si>
    <t>空置间数</t>
  </si>
  <si>
    <t>空置面积</t>
  </si>
  <si>
    <t>在建面积</t>
  </si>
  <si>
    <t>未建面积</t>
  </si>
  <si>
    <t>面积</t>
  </si>
  <si>
    <r>
      <rPr>
        <sz val="10"/>
        <color indexed="8"/>
        <rFont val="Tahoma"/>
        <family val="2"/>
      </rPr>
      <t>1</t>
    </r>
    <r>
      <rPr>
        <sz val="10"/>
        <color indexed="8"/>
        <rFont val="宋体"/>
        <family val="3"/>
        <charset val="134"/>
      </rPr>
      <t>号楼</t>
    </r>
  </si>
  <si>
    <r>
      <rPr>
        <sz val="10"/>
        <color indexed="8"/>
        <rFont val="Tahoma"/>
        <family val="2"/>
      </rPr>
      <t>1</t>
    </r>
    <r>
      <rPr>
        <sz val="10"/>
        <color indexed="8"/>
        <rFont val="宋体"/>
        <family val="3"/>
        <charset val="134"/>
      </rPr>
      <t>层</t>
    </r>
  </si>
  <si>
    <t>A区</t>
  </si>
  <si>
    <t>女装</t>
  </si>
  <si>
    <t>/</t>
  </si>
  <si>
    <r>
      <rPr>
        <sz val="10"/>
        <color rgb="FF000000"/>
        <rFont val="宋体"/>
        <family val="3"/>
        <charset val="134"/>
      </rPr>
      <t>空置商铺中</t>
    </r>
    <r>
      <rPr>
        <sz val="10"/>
        <color rgb="FF000000"/>
        <rFont val="Tahoma"/>
        <family val="2"/>
      </rPr>
      <t>4</t>
    </r>
    <r>
      <rPr>
        <sz val="10"/>
        <color rgb="FF000000"/>
        <rFont val="宋体"/>
        <family val="3"/>
        <charset val="134"/>
      </rPr>
      <t xml:space="preserve">间保留为维修保洁安保办公室，面积373㎡；
</t>
    </r>
    <r>
      <rPr>
        <sz val="10"/>
        <color rgb="FF000000"/>
        <rFont val="Tahoma"/>
        <family val="2"/>
      </rPr>
      <t>1</t>
    </r>
    <r>
      <rPr>
        <sz val="10"/>
        <color rgb="FF000000"/>
        <rFont val="宋体"/>
        <family val="3"/>
        <charset val="134"/>
      </rPr>
      <t>间保留为招商中心，面积49.97㎡</t>
    </r>
  </si>
  <si>
    <t>附件1：1#楼现房证
套数：6170套
建筑面积：293239.87方</t>
  </si>
  <si>
    <t xml:space="preserve">附件：一号地块国有土地使用证
附件：2012-02地块建设用地规划许可证
附件：1#楼 建设工程竣工规划认可证
附件：1#地块、1#-E楼施工许可证
附件：1#、3#地面  建设工程规划许可证（最新）
</t>
  </si>
  <si>
    <t>B区</t>
  </si>
  <si>
    <t>C区</t>
  </si>
  <si>
    <t>D区</t>
  </si>
  <si>
    <t>1层小计</t>
  </si>
  <si>
    <r>
      <rPr>
        <sz val="10"/>
        <color indexed="8"/>
        <rFont val="Tahoma"/>
        <family val="2"/>
      </rPr>
      <t>2</t>
    </r>
    <r>
      <rPr>
        <sz val="10"/>
        <color indexed="8"/>
        <rFont val="宋体"/>
        <family val="3"/>
        <charset val="134"/>
      </rPr>
      <t>层</t>
    </r>
  </si>
  <si>
    <t>男装</t>
  </si>
  <si>
    <r>
      <rPr>
        <sz val="10"/>
        <color rgb="FF000000"/>
        <rFont val="Tahoma"/>
        <family val="2"/>
      </rPr>
      <t>283\368</t>
    </r>
    <r>
      <rPr>
        <sz val="10"/>
        <color rgb="FF000000"/>
        <rFont val="宋体"/>
        <family val="3"/>
        <charset val="134"/>
      </rPr>
      <t>号商铺已改为观光梯通道，实际商铺数</t>
    </r>
    <r>
      <rPr>
        <sz val="10"/>
        <color rgb="FF000000"/>
        <rFont val="Tahoma"/>
        <family val="2"/>
      </rPr>
      <t>384</t>
    </r>
    <r>
      <rPr>
        <sz val="10"/>
        <color rgb="FF000000"/>
        <rFont val="宋体"/>
        <family val="3"/>
        <charset val="134"/>
      </rPr>
      <t>间</t>
    </r>
  </si>
  <si>
    <r>
      <rPr>
        <sz val="10"/>
        <color rgb="FF000000"/>
        <rFont val="Tahoma"/>
        <family val="2"/>
      </rPr>
      <t>442</t>
    </r>
    <r>
      <rPr>
        <sz val="10"/>
        <color rgb="FF000000"/>
        <rFont val="宋体"/>
        <family val="3"/>
        <charset val="134"/>
      </rPr>
      <t>号商铺已改为观光梯通道，实际商铺数</t>
    </r>
    <r>
      <rPr>
        <sz val="10"/>
        <color rgb="FF000000"/>
        <rFont val="Tahoma"/>
        <family val="2"/>
      </rPr>
      <t>440</t>
    </r>
    <r>
      <rPr>
        <sz val="10"/>
        <color rgb="FF000000"/>
        <rFont val="宋体"/>
        <family val="3"/>
        <charset val="134"/>
      </rPr>
      <t>间</t>
    </r>
  </si>
  <si>
    <t>2层小计</t>
  </si>
  <si>
    <r>
      <rPr>
        <sz val="10"/>
        <color indexed="8"/>
        <rFont val="Tahoma"/>
        <family val="2"/>
      </rPr>
      <t>3</t>
    </r>
    <r>
      <rPr>
        <sz val="10"/>
        <color indexed="8"/>
        <rFont val="宋体"/>
        <family val="3"/>
        <charset val="134"/>
      </rPr>
      <t>层</t>
    </r>
  </si>
  <si>
    <t>休闲运动装</t>
  </si>
  <si>
    <r>
      <rPr>
        <sz val="10"/>
        <color rgb="FF000000"/>
        <rFont val="宋体"/>
        <family val="3"/>
        <charset val="134"/>
      </rPr>
      <t>空置中</t>
    </r>
    <r>
      <rPr>
        <sz val="10"/>
        <color rgb="FF000000"/>
        <rFont val="Tahoma"/>
        <family val="2"/>
      </rPr>
      <t>15</t>
    </r>
    <r>
      <rPr>
        <sz val="10"/>
        <color rgb="FF000000"/>
        <rFont val="宋体"/>
        <family val="3"/>
        <charset val="134"/>
      </rPr>
      <t>间商铺保留为商会办公室，建筑面积</t>
    </r>
    <r>
      <rPr>
        <sz val="10"/>
        <color rgb="FF000000"/>
        <rFont val="Tahoma"/>
        <family val="2"/>
      </rPr>
      <t>878.96</t>
    </r>
    <r>
      <rPr>
        <sz val="10"/>
        <color rgb="FF000000"/>
        <rFont val="宋体"/>
        <family val="3"/>
        <charset val="134"/>
      </rPr>
      <t xml:space="preserve">㎡；
</t>
    </r>
    <r>
      <rPr>
        <sz val="10"/>
        <color rgb="FF000000"/>
        <rFont val="Tahoma"/>
        <family val="2"/>
      </rPr>
      <t>283/368</t>
    </r>
    <r>
      <rPr>
        <sz val="10"/>
        <color rgb="FF000000"/>
        <rFont val="宋体"/>
        <family val="3"/>
        <charset val="134"/>
      </rPr>
      <t>号商铺已改为观光梯通道，实际商铺数</t>
    </r>
    <r>
      <rPr>
        <sz val="10"/>
        <color rgb="FF000000"/>
        <rFont val="Tahoma"/>
        <family val="2"/>
      </rPr>
      <t>382</t>
    </r>
    <r>
      <rPr>
        <sz val="10"/>
        <color rgb="FF000000"/>
        <rFont val="宋体"/>
        <family val="3"/>
        <charset val="134"/>
      </rPr>
      <t>间</t>
    </r>
  </si>
  <si>
    <t>精品女装</t>
  </si>
  <si>
    <r>
      <rPr>
        <sz val="10"/>
        <color rgb="FF000000"/>
        <rFont val="Tahoma"/>
        <family val="2"/>
      </rPr>
      <t>439</t>
    </r>
    <r>
      <rPr>
        <sz val="10"/>
        <color rgb="FF000000"/>
        <rFont val="宋体"/>
        <family val="3"/>
        <charset val="134"/>
      </rPr>
      <t>号商铺已改为观光梯通道，实际商铺数</t>
    </r>
    <r>
      <rPr>
        <sz val="10"/>
        <color rgb="FF000000"/>
        <rFont val="Tahoma"/>
        <family val="2"/>
      </rPr>
      <t>438</t>
    </r>
    <r>
      <rPr>
        <sz val="10"/>
        <color rgb="FF000000"/>
        <rFont val="宋体"/>
        <family val="3"/>
        <charset val="134"/>
      </rPr>
      <t>间</t>
    </r>
  </si>
  <si>
    <t>童装</t>
  </si>
  <si>
    <r>
      <rPr>
        <sz val="10"/>
        <color rgb="FF000000"/>
        <rFont val="Tahoma"/>
        <family val="2"/>
      </rPr>
      <t>020</t>
    </r>
    <r>
      <rPr>
        <sz val="10"/>
        <color rgb="FF000000"/>
        <rFont val="宋体"/>
        <family val="3"/>
        <charset val="134"/>
      </rPr>
      <t>自用</t>
    </r>
    <r>
      <rPr>
        <sz val="10"/>
        <color rgb="FF000000"/>
        <rFont val="Tahoma"/>
        <family val="2"/>
      </rPr>
      <t>8</t>
    </r>
    <r>
      <rPr>
        <sz val="10"/>
        <color rgb="FF000000"/>
        <rFont val="宋体"/>
        <family val="3"/>
        <charset val="134"/>
      </rPr>
      <t>间</t>
    </r>
    <r>
      <rPr>
        <sz val="10"/>
        <color rgb="FF000000"/>
        <rFont val="Tahoma"/>
        <family val="2"/>
      </rPr>
      <t>,</t>
    </r>
    <r>
      <rPr>
        <sz val="10"/>
        <color rgb="FF000000"/>
        <rFont val="宋体"/>
        <family val="3"/>
        <charset val="134"/>
      </rPr>
      <t>建筑面积</t>
    </r>
    <r>
      <rPr>
        <sz val="10"/>
        <color rgb="FF000000"/>
        <rFont val="Tahoma"/>
        <family val="2"/>
      </rPr>
      <t>481.87</t>
    </r>
    <r>
      <rPr>
        <sz val="10"/>
        <color rgb="FF000000"/>
        <rFont val="宋体"/>
        <family val="3"/>
        <charset val="134"/>
      </rPr>
      <t>㎡</t>
    </r>
  </si>
  <si>
    <t>精品男装</t>
  </si>
  <si>
    <r>
      <rPr>
        <sz val="10"/>
        <color rgb="FF000000"/>
        <rFont val="Tahoma"/>
        <family val="2"/>
      </rPr>
      <t>020</t>
    </r>
    <r>
      <rPr>
        <sz val="10"/>
        <color rgb="FF000000"/>
        <rFont val="宋体"/>
        <family val="3"/>
        <charset val="134"/>
      </rPr>
      <t>自用</t>
    </r>
    <r>
      <rPr>
        <sz val="10"/>
        <color rgb="FF000000"/>
        <rFont val="Tahoma"/>
        <family val="2"/>
      </rPr>
      <t>75</t>
    </r>
    <r>
      <rPr>
        <sz val="10"/>
        <color rgb="FF000000"/>
        <rFont val="宋体"/>
        <family val="3"/>
        <charset val="134"/>
      </rPr>
      <t>间，建筑面积</t>
    </r>
    <r>
      <rPr>
        <sz val="10"/>
        <color rgb="FF000000"/>
        <rFont val="Tahoma"/>
        <family val="2"/>
      </rPr>
      <t>3393.6</t>
    </r>
    <r>
      <rPr>
        <sz val="10"/>
        <color rgb="FF000000"/>
        <rFont val="宋体"/>
        <family val="3"/>
        <charset val="134"/>
      </rPr>
      <t>㎡</t>
    </r>
  </si>
  <si>
    <t>3层小计</t>
  </si>
  <si>
    <r>
      <rPr>
        <sz val="10"/>
        <color indexed="8"/>
        <rFont val="Tahoma"/>
        <family val="2"/>
      </rPr>
      <t>4</t>
    </r>
    <r>
      <rPr>
        <sz val="10"/>
        <color indexed="8"/>
        <rFont val="宋体"/>
        <family val="3"/>
        <charset val="134"/>
      </rPr>
      <t>层</t>
    </r>
  </si>
  <si>
    <t>针织内衣</t>
  </si>
  <si>
    <r>
      <rPr>
        <sz val="10"/>
        <color rgb="FF000000"/>
        <rFont val="Tahoma"/>
        <family val="2"/>
      </rPr>
      <t>283/368</t>
    </r>
    <r>
      <rPr>
        <sz val="10"/>
        <color rgb="FF000000"/>
        <rFont val="宋体"/>
        <family val="3"/>
        <charset val="134"/>
      </rPr>
      <t>号商铺已改为观光梯通道，实际商铺数</t>
    </r>
    <r>
      <rPr>
        <sz val="10"/>
        <color rgb="FF000000"/>
        <rFont val="Tahoma"/>
        <family val="2"/>
      </rPr>
      <t>380</t>
    </r>
    <r>
      <rPr>
        <sz val="10"/>
        <color rgb="FF000000"/>
        <rFont val="宋体"/>
        <family val="3"/>
        <charset val="134"/>
      </rPr>
      <t>间；</t>
    </r>
    <r>
      <rPr>
        <sz val="10"/>
        <color rgb="FF000000"/>
        <rFont val="Tahoma"/>
        <family val="2"/>
      </rPr>
      <t xml:space="preserve">
</t>
    </r>
    <r>
      <rPr>
        <sz val="10"/>
        <color rgb="FF000000"/>
        <rFont val="宋体"/>
        <family val="3"/>
        <charset val="134"/>
      </rPr>
      <t>空置商铺中</t>
    </r>
    <r>
      <rPr>
        <sz val="10"/>
        <color rgb="FF000000"/>
        <rFont val="Tahoma"/>
        <family val="2"/>
      </rPr>
      <t>3</t>
    </r>
    <r>
      <rPr>
        <sz val="10"/>
        <color rgb="FF000000"/>
        <rFont val="宋体"/>
        <family val="3"/>
        <charset val="134"/>
      </rPr>
      <t>间，面积</t>
    </r>
    <r>
      <rPr>
        <sz val="10"/>
        <color rgb="FF000000"/>
        <rFont val="Tahoma"/>
        <family val="2"/>
      </rPr>
      <t>173.27</t>
    </r>
    <r>
      <rPr>
        <sz val="10"/>
        <color rgb="FF000000"/>
        <rFont val="宋体"/>
        <family val="3"/>
        <charset val="134"/>
      </rPr>
      <t>保留为招商物业办公室</t>
    </r>
  </si>
  <si>
    <r>
      <rPr>
        <sz val="10"/>
        <color rgb="FF000000"/>
        <rFont val="Tahoma"/>
        <family val="2"/>
      </rPr>
      <t>439</t>
    </r>
    <r>
      <rPr>
        <sz val="10"/>
        <color rgb="FF000000"/>
        <rFont val="宋体"/>
        <family val="3"/>
        <charset val="134"/>
      </rPr>
      <t>号商铺已改为观光梯通道，实际商铺数</t>
    </r>
    <r>
      <rPr>
        <sz val="10"/>
        <color rgb="FF000000"/>
        <rFont val="Tahoma"/>
        <family val="2"/>
      </rPr>
      <t>436</t>
    </r>
    <r>
      <rPr>
        <sz val="10"/>
        <color rgb="FF000000"/>
        <rFont val="宋体"/>
        <family val="3"/>
        <charset val="134"/>
      </rPr>
      <t>间</t>
    </r>
  </si>
  <si>
    <t>4层小计</t>
  </si>
  <si>
    <r>
      <rPr>
        <sz val="10"/>
        <color indexed="8"/>
        <rFont val="Tahoma"/>
        <family val="2"/>
      </rPr>
      <t>1</t>
    </r>
    <r>
      <rPr>
        <sz val="10"/>
        <color indexed="8"/>
        <rFont val="宋体"/>
        <family val="3"/>
        <charset val="134"/>
      </rPr>
      <t>号楼小计</t>
    </r>
  </si>
  <si>
    <r>
      <rPr>
        <sz val="10"/>
        <color indexed="8"/>
        <rFont val="Tahoma"/>
        <family val="2"/>
      </rPr>
      <t>2</t>
    </r>
    <r>
      <rPr>
        <sz val="10"/>
        <color indexed="8"/>
        <rFont val="宋体"/>
        <family val="3"/>
        <charset val="134"/>
      </rPr>
      <t>号楼</t>
    </r>
  </si>
  <si>
    <t>鞋类</t>
  </si>
  <si>
    <t>附件2：2#楼现房证
套数：6587套
建筑面积：333865.4方</t>
  </si>
  <si>
    <t>附件：二号地块国有土地使用证
附件：2#地块、2#-G楼施工许可证
附件：2#地块建设工程规划许可证（档案馆）</t>
  </si>
  <si>
    <r>
      <rPr>
        <sz val="10"/>
        <color rgb="FF000000"/>
        <rFont val="宋体"/>
        <family val="3"/>
        <charset val="134"/>
      </rPr>
      <t>车管所保留</t>
    </r>
    <r>
      <rPr>
        <sz val="10"/>
        <color indexed="8"/>
        <rFont val="Tahoma"/>
        <family val="2"/>
      </rPr>
      <t>53</t>
    </r>
    <r>
      <rPr>
        <sz val="10"/>
        <color rgb="FF000000"/>
        <rFont val="宋体"/>
        <family val="3"/>
        <charset val="134"/>
      </rPr>
      <t>间，建筑面积2913.47㎡</t>
    </r>
  </si>
  <si>
    <t>E区</t>
  </si>
  <si>
    <t>F区</t>
  </si>
  <si>
    <t>皮草</t>
  </si>
  <si>
    <r>
      <rPr>
        <sz val="10"/>
        <color rgb="FF000000"/>
        <rFont val="Tahoma"/>
        <family val="2"/>
      </rPr>
      <t>293</t>
    </r>
    <r>
      <rPr>
        <sz val="10"/>
        <color rgb="FF000000"/>
        <rFont val="宋体"/>
        <family val="3"/>
        <charset val="134"/>
      </rPr>
      <t>号商铺已改为观光通道，实际商铺数</t>
    </r>
    <r>
      <rPr>
        <sz val="10"/>
        <color rgb="FF000000"/>
        <rFont val="Tahoma"/>
        <family val="2"/>
      </rPr>
      <t>290</t>
    </r>
    <r>
      <rPr>
        <sz val="10"/>
        <color rgb="FF000000"/>
        <rFont val="宋体"/>
        <family val="3"/>
        <charset val="134"/>
      </rPr>
      <t>间</t>
    </r>
  </si>
  <si>
    <r>
      <rPr>
        <sz val="10"/>
        <color rgb="FF000000"/>
        <rFont val="Tahoma"/>
        <family val="2"/>
      </rPr>
      <t>263</t>
    </r>
    <r>
      <rPr>
        <sz val="10"/>
        <color rgb="FF000000"/>
        <rFont val="宋体"/>
        <family val="3"/>
        <charset val="134"/>
      </rPr>
      <t>号商铺已改为观光梯通道，实际商铺数</t>
    </r>
    <r>
      <rPr>
        <sz val="10"/>
        <color rgb="FF000000"/>
        <rFont val="Tahoma"/>
        <family val="2"/>
      </rPr>
      <t>324</t>
    </r>
    <r>
      <rPr>
        <sz val="10"/>
        <color rgb="FF000000"/>
        <rFont val="宋体"/>
        <family val="3"/>
        <charset val="134"/>
      </rPr>
      <t>间</t>
    </r>
  </si>
  <si>
    <t>家居鞋类</t>
  </si>
  <si>
    <t>箱包皮具</t>
  </si>
  <si>
    <t>货架</t>
  </si>
  <si>
    <t>定向招商</t>
  </si>
  <si>
    <t>布匹</t>
  </si>
  <si>
    <r>
      <rPr>
        <sz val="10"/>
        <color rgb="FF000000"/>
        <rFont val="Tahoma"/>
        <family val="2"/>
      </rPr>
      <t>290</t>
    </r>
    <r>
      <rPr>
        <sz val="10"/>
        <color rgb="FF000000"/>
        <rFont val="宋体"/>
        <family val="3"/>
        <charset val="134"/>
      </rPr>
      <t>号商铺已改为观光梯通道，实际商铺数</t>
    </r>
    <r>
      <rPr>
        <sz val="10"/>
        <color rgb="FF000000"/>
        <rFont val="Tahoma"/>
        <family val="2"/>
      </rPr>
      <t>290</t>
    </r>
    <r>
      <rPr>
        <sz val="10"/>
        <color rgb="FF000000"/>
        <rFont val="宋体"/>
        <family val="3"/>
        <charset val="134"/>
      </rPr>
      <t>间</t>
    </r>
  </si>
  <si>
    <t>手机配件</t>
  </si>
  <si>
    <r>
      <rPr>
        <sz val="10"/>
        <color rgb="FF000000"/>
        <rFont val="Tahoma"/>
        <family val="2"/>
      </rPr>
      <t>263</t>
    </r>
    <r>
      <rPr>
        <sz val="10"/>
        <color rgb="FF000000"/>
        <rFont val="宋体"/>
        <family val="3"/>
        <charset val="134"/>
      </rPr>
      <t>号商铺已改为观光梯通道，实际商铺数</t>
    </r>
    <r>
      <rPr>
        <sz val="10"/>
        <color rgb="FF000000"/>
        <rFont val="Tahoma"/>
        <family val="2"/>
      </rPr>
      <t>322</t>
    </r>
    <r>
      <rPr>
        <sz val="10"/>
        <color rgb="FF000000"/>
        <rFont val="宋体"/>
        <family val="3"/>
        <charset val="134"/>
      </rPr>
      <t>间，</t>
    </r>
    <r>
      <rPr>
        <sz val="10"/>
        <color rgb="FF000000"/>
        <rFont val="Tahoma"/>
        <family val="2"/>
      </rPr>
      <t>62</t>
    </r>
    <r>
      <rPr>
        <sz val="10"/>
        <color rgb="FF000000"/>
        <rFont val="宋体"/>
        <family val="3"/>
        <charset val="134"/>
      </rPr>
      <t>间手机配件未签约未计数据，</t>
    </r>
    <r>
      <rPr>
        <sz val="10"/>
        <color rgb="FF000000"/>
        <rFont val="Tahoma"/>
        <family val="2"/>
      </rPr>
      <t>62</t>
    </r>
    <r>
      <rPr>
        <sz val="10"/>
        <color rgb="FF000000"/>
        <rFont val="宋体"/>
        <family val="3"/>
        <charset val="134"/>
      </rPr>
      <t>间建筑面积为</t>
    </r>
    <r>
      <rPr>
        <sz val="10"/>
        <color rgb="FF000000"/>
        <rFont val="Tahoma"/>
        <family val="2"/>
      </rPr>
      <t>3173.94</t>
    </r>
    <r>
      <rPr>
        <sz val="10"/>
        <color rgb="FF000000"/>
        <rFont val="宋体"/>
        <family val="3"/>
        <charset val="134"/>
      </rPr>
      <t>㎡</t>
    </r>
    <r>
      <rPr>
        <sz val="10"/>
        <color rgb="FF000000"/>
        <rFont val="Tahoma"/>
        <family val="2"/>
      </rPr>
      <t xml:space="preserve">
</t>
    </r>
  </si>
  <si>
    <t>平台公司</t>
  </si>
  <si>
    <t>办公文体
平台公司</t>
  </si>
  <si>
    <t>平台公司销售280间，面积14037.59_x000D_㎡；公司销售19间，面积827.21㎡</t>
  </si>
  <si>
    <t>玩具电玩</t>
  </si>
  <si>
    <r>
      <rPr>
        <sz val="10"/>
        <color rgb="FF000000"/>
        <rFont val="Tahoma"/>
        <family val="2"/>
      </rPr>
      <t>288</t>
    </r>
    <r>
      <rPr>
        <sz val="10"/>
        <color rgb="FF000000"/>
        <rFont val="宋体"/>
        <family val="3"/>
        <charset val="134"/>
      </rPr>
      <t>号商铺已改为观光梯通道，实际商铺数</t>
    </r>
    <r>
      <rPr>
        <sz val="10"/>
        <color rgb="FF000000"/>
        <rFont val="Tahoma"/>
        <family val="2"/>
      </rPr>
      <t>291</t>
    </r>
    <r>
      <rPr>
        <sz val="10"/>
        <color rgb="FF000000"/>
        <rFont val="宋体"/>
        <family val="3"/>
        <charset val="134"/>
      </rPr>
      <t>间</t>
    </r>
  </si>
  <si>
    <t>花卉工艺品</t>
  </si>
  <si>
    <r>
      <rPr>
        <sz val="10"/>
        <color rgb="FF000000"/>
        <rFont val="Tahoma"/>
        <family val="2"/>
      </rPr>
      <t>263</t>
    </r>
    <r>
      <rPr>
        <sz val="10"/>
        <color rgb="FF000000"/>
        <rFont val="宋体"/>
        <family val="3"/>
        <charset val="134"/>
      </rPr>
      <t>号商铺已改为观光梯通道，实际商铺数</t>
    </r>
    <r>
      <rPr>
        <sz val="10"/>
        <color rgb="FF000000"/>
        <rFont val="Tahoma"/>
        <family val="2"/>
      </rPr>
      <t>319</t>
    </r>
    <r>
      <rPr>
        <sz val="10"/>
        <color rgb="FF000000"/>
        <rFont val="宋体"/>
        <family val="3"/>
        <charset val="134"/>
      </rPr>
      <t>间</t>
    </r>
  </si>
  <si>
    <t>小百货饰品</t>
  </si>
  <si>
    <t>小百货家电</t>
  </si>
  <si>
    <t>小家电</t>
  </si>
  <si>
    <r>
      <rPr>
        <sz val="10"/>
        <color indexed="8"/>
        <rFont val="Tahoma"/>
        <family val="2"/>
      </rPr>
      <t>2</t>
    </r>
    <r>
      <rPr>
        <sz val="10"/>
        <color indexed="8"/>
        <rFont val="宋体"/>
        <family val="3"/>
        <charset val="134"/>
      </rPr>
      <t>号楼小计</t>
    </r>
  </si>
  <si>
    <t>3号楼</t>
  </si>
  <si>
    <t>118号商铺，面积15.73平方米，只租不售（无产权，已租赁）</t>
  </si>
  <si>
    <t>附件3：3#楼现房证
套数：5028套
建筑面积：249083.26方</t>
  </si>
  <si>
    <t>附件：三号地块国有土地使用证
附件：3#地块建筑工程施工许可证
附件：3#地块 建设工程竣工规划认可证（地上、地下）</t>
  </si>
  <si>
    <t>空置中20间商铺保留为商会办公室，建筑面积1271.61㎡；
空置中5间保留为维修保洁安保办公室，面积280.08㎡。
289/137设备间两间，实际为401间</t>
  </si>
  <si>
    <t>增加171A：13.38㎡和325A：21.95㎡两间只租不可售商铺（无产权，已租赁）</t>
  </si>
  <si>
    <t>增加171A，面积11.9㎡（空置）；325A，面积10.49㎡（已租赁）两间只租不售（无产权）</t>
  </si>
  <si>
    <t>窗帘</t>
  </si>
  <si>
    <t>床上用品</t>
  </si>
  <si>
    <r>
      <rPr>
        <sz val="10"/>
        <color indexed="8"/>
        <rFont val="Tahoma"/>
        <family val="2"/>
      </rPr>
      <t>3</t>
    </r>
    <r>
      <rPr>
        <sz val="10"/>
        <color indexed="8"/>
        <rFont val="宋体"/>
        <family val="3"/>
        <charset val="134"/>
      </rPr>
      <t>号楼小计</t>
    </r>
  </si>
  <si>
    <t>4号楼</t>
  </si>
  <si>
    <t>重型机械机电设备</t>
  </si>
  <si>
    <t>附件4：4#楼现房证
套数：2879套
建筑面积：219524.17方</t>
  </si>
  <si>
    <t>附件：四号地块国有土地使用证
附件：4#地块 建设工程规划许可证（最新）
附件：4#地块、4#-E楼施工许可证(2015年10月30日）</t>
  </si>
  <si>
    <t>电动工具、大小五金</t>
  </si>
  <si>
    <r>
      <rPr>
        <sz val="10"/>
        <color rgb="FF000000"/>
        <rFont val="宋体"/>
        <family val="3"/>
        <charset val="134"/>
      </rPr>
      <t>空置中</t>
    </r>
    <r>
      <rPr>
        <sz val="10"/>
        <color rgb="FF000000"/>
        <rFont val="Tahoma"/>
        <family val="2"/>
      </rPr>
      <t>4</t>
    </r>
    <r>
      <rPr>
        <sz val="10"/>
        <color rgb="FF000000"/>
        <rFont val="宋体"/>
        <family val="3"/>
        <charset val="134"/>
      </rPr>
      <t>间商铺保留为五金分会，面积</t>
    </r>
    <r>
      <rPr>
        <sz val="10"/>
        <color rgb="FF000000"/>
        <rFont val="Tahoma"/>
        <family val="2"/>
      </rPr>
      <t>344.3</t>
    </r>
    <r>
      <rPr>
        <sz val="10"/>
        <color rgb="FF000000"/>
        <rFont val="宋体"/>
        <family val="3"/>
        <charset val="134"/>
      </rPr>
      <t xml:space="preserve">㎡；
空置中4间商铺保留为招商办公室，面积358.84㎡
</t>
    </r>
  </si>
  <si>
    <t>大家电</t>
  </si>
  <si>
    <r>
      <rPr>
        <sz val="10"/>
        <color rgb="FF000000"/>
        <rFont val="宋体"/>
        <family val="3"/>
        <charset val="134"/>
      </rPr>
      <t>空置中</t>
    </r>
    <r>
      <rPr>
        <sz val="10"/>
        <color rgb="FF000000"/>
        <rFont val="Tahoma"/>
        <family val="2"/>
      </rPr>
      <t>5</t>
    </r>
    <r>
      <rPr>
        <sz val="10"/>
        <color rgb="FF000000"/>
        <rFont val="宋体"/>
        <family val="3"/>
        <charset val="134"/>
      </rPr>
      <t>间商铺保留为家电办公室，建筑面积</t>
    </r>
    <r>
      <rPr>
        <sz val="10"/>
        <color rgb="FF000000"/>
        <rFont val="Tahoma"/>
        <family val="2"/>
      </rPr>
      <t>443.82</t>
    </r>
    <r>
      <rPr>
        <sz val="10"/>
        <color rgb="FF000000"/>
        <rFont val="宋体"/>
        <family val="3"/>
        <charset val="134"/>
      </rPr>
      <t>㎡</t>
    </r>
  </si>
  <si>
    <t>酒店用品、铝塑品</t>
  </si>
  <si>
    <r>
      <rPr>
        <sz val="10"/>
        <color rgb="FF000000"/>
        <rFont val="宋体"/>
        <family val="3"/>
        <charset val="134"/>
      </rPr>
      <t>空置中</t>
    </r>
    <r>
      <rPr>
        <sz val="10"/>
        <color rgb="FF000000"/>
        <rFont val="Tahoma"/>
        <family val="2"/>
      </rPr>
      <t>5</t>
    </r>
    <r>
      <rPr>
        <sz val="10"/>
        <color rgb="FF000000"/>
        <rFont val="宋体"/>
        <family val="3"/>
        <charset val="134"/>
      </rPr>
      <t>间商铺保留为酒店用品办公室，建筑面积</t>
    </r>
    <r>
      <rPr>
        <sz val="10"/>
        <color rgb="FF000000"/>
        <rFont val="Tahoma"/>
        <family val="2"/>
      </rPr>
      <t>660.17</t>
    </r>
    <r>
      <rPr>
        <sz val="10"/>
        <color rgb="FF000000"/>
        <rFont val="宋体"/>
        <family val="3"/>
        <charset val="134"/>
      </rPr>
      <t>㎡</t>
    </r>
  </si>
  <si>
    <r>
      <rPr>
        <sz val="10"/>
        <color indexed="8"/>
        <rFont val="Tahoma"/>
        <family val="2"/>
      </rPr>
      <t>4</t>
    </r>
    <r>
      <rPr>
        <sz val="10"/>
        <color indexed="8"/>
        <rFont val="宋体"/>
        <family val="3"/>
        <charset val="134"/>
      </rPr>
      <t>号楼小计</t>
    </r>
  </si>
  <si>
    <t>5号楼</t>
  </si>
  <si>
    <t>食品酒类</t>
  </si>
  <si>
    <t>附件5：5#楼现房证
套数：2195套
建筑面积：171613.37方</t>
  </si>
  <si>
    <t>附件：五号地块国有土地使用证
附件：5#地块 建设工程规划许可证（最新）
附件：5#地块 建筑工程施工许可证
附件：5#地块 建设工程竣工规划认可证（地上、地下）</t>
  </si>
  <si>
    <t>日化食品酒类</t>
  </si>
  <si>
    <t>日化</t>
  </si>
  <si>
    <t>实剩56间，125号设计有变冻结状态</t>
  </si>
  <si>
    <t xml:space="preserve"> 平台公司购买81间，面积7619.62㎡；_x000D_有10套为公司2013年卖出，面积622.76㎡</t>
  </si>
  <si>
    <r>
      <rPr>
        <sz val="10"/>
        <color indexed="8"/>
        <rFont val="Tahoma"/>
        <family val="2"/>
      </rPr>
      <t>5</t>
    </r>
    <r>
      <rPr>
        <sz val="10"/>
        <color indexed="8"/>
        <rFont val="宋体"/>
        <family val="3"/>
        <charset val="134"/>
      </rPr>
      <t>号楼小计</t>
    </r>
  </si>
  <si>
    <t>6号楼</t>
  </si>
  <si>
    <t>陶瓷，洁具卫浴，精品石材， 水暖配件，消防阀门</t>
  </si>
  <si>
    <t>附件6：6#楼现房证
套数：2231套
建筑面积：202408.59方</t>
  </si>
  <si>
    <r>
      <rPr>
        <sz val="10"/>
        <color rgb="FF000000"/>
        <rFont val="Tahoma"/>
        <family val="2"/>
      </rPr>
      <t>6-B-1-316A</t>
    </r>
    <r>
      <rPr>
        <sz val="10"/>
        <color indexed="8"/>
        <rFont val="宋体"/>
        <family val="3"/>
        <charset val="134"/>
      </rPr>
      <t>，面积</t>
    </r>
    <r>
      <rPr>
        <sz val="10"/>
        <color rgb="FF000000"/>
        <rFont val="Tahoma"/>
        <family val="2"/>
      </rPr>
      <t>108</t>
    </r>
    <r>
      <rPr>
        <sz val="10"/>
        <color indexed="8"/>
        <rFont val="宋体"/>
        <family val="3"/>
        <charset val="134"/>
      </rPr>
      <t>㎡；只租不售（无产权，已租赁）</t>
    </r>
  </si>
  <si>
    <t>木地板，定制橱柜，定制衣柜，楼梯，门业</t>
  </si>
  <si>
    <t>平台公司涂料，油漆，软装，墙纸，   木线条，集成吊顶</t>
  </si>
  <si>
    <t>平台公司家具创意馆，灯具世界，家私</t>
  </si>
  <si>
    <r>
      <rPr>
        <sz val="10"/>
        <color indexed="8"/>
        <rFont val="Tahoma"/>
        <family val="2"/>
      </rPr>
      <t>6</t>
    </r>
    <r>
      <rPr>
        <sz val="10"/>
        <color indexed="8"/>
        <rFont val="宋体"/>
        <family val="3"/>
        <charset val="134"/>
      </rPr>
      <t>号楼小计</t>
    </r>
  </si>
  <si>
    <r>
      <rPr>
        <sz val="10"/>
        <color indexed="8"/>
        <rFont val="Tahoma"/>
        <family val="2"/>
      </rPr>
      <t>123456</t>
    </r>
    <r>
      <rPr>
        <sz val="10"/>
        <color indexed="8"/>
        <rFont val="宋体"/>
        <family val="3"/>
        <charset val="134"/>
      </rPr>
      <t>号楼合计</t>
    </r>
  </si>
  <si>
    <t>位置</t>
  </si>
  <si>
    <t>户数</t>
  </si>
  <si>
    <t>不动产权证号</t>
  </si>
  <si>
    <t>权利人</t>
  </si>
  <si>
    <t>坐落</t>
  </si>
  <si>
    <t>不动产单元号</t>
  </si>
  <si>
    <t>权利性质</t>
  </si>
  <si>
    <t>用途</t>
  </si>
  <si>
    <t>共有宗地面积</t>
  </si>
  <si>
    <t>宗地编号</t>
  </si>
  <si>
    <t>房屋建筑面积面积</t>
  </si>
  <si>
    <t>使用期限</t>
  </si>
  <si>
    <t>房屋结构</t>
  </si>
  <si>
    <t>房屋竣工时间</t>
  </si>
  <si>
    <t>附记页</t>
  </si>
  <si>
    <t>1号楼A区1层</t>
  </si>
  <si>
    <t>黔（2016）观山湖区不动产权第0028593号</t>
  </si>
  <si>
    <t>贵阳西南国际商贸城有限公司</t>
  </si>
  <si>
    <t>观山湖区金阳宾阳大道西侧、环城高速东侧贵阳西南国际商贸城一期工程1号楼地面工程</t>
  </si>
  <si>
    <t>520115204099GB00001F00050453等</t>
  </si>
  <si>
    <t>出让/市场化商品房</t>
  </si>
  <si>
    <t>其他商服用地</t>
  </si>
  <si>
    <t>GB00001-054</t>
  </si>
  <si>
    <t>钢筋混凝土结构</t>
  </si>
  <si>
    <t>该大证只包含1号楼A区1层中29户房屋</t>
  </si>
  <si>
    <t>1号楼B区1层</t>
  </si>
  <si>
    <t>黔（2017）观山湖区不动产权第0020111号</t>
  </si>
  <si>
    <t>贵阳市观山湖区环城高速以东</t>
  </si>
  <si>
    <t>520115204099GB00001F00052153等</t>
  </si>
  <si>
    <t>未注记</t>
  </si>
  <si>
    <t>该证只包含1号楼B单元1层15户房屋</t>
  </si>
  <si>
    <t>缺附图（分层分户平面图）</t>
  </si>
  <si>
    <t>1号楼C区1层</t>
  </si>
  <si>
    <t>黔（2017）观山湖区不动产权第0020108号</t>
  </si>
  <si>
    <t>520115204099GB00001F00053814等</t>
  </si>
  <si>
    <t>该证只包含1号楼C单元1层16户房屋</t>
  </si>
  <si>
    <t>1号楼D区1层</t>
  </si>
  <si>
    <t>黔（2017）观山湖区不动产权第0020109号</t>
  </si>
  <si>
    <t>520115204099GB00001F00055128等</t>
  </si>
  <si>
    <t>该证只包含1号楼D单元1层9户房屋</t>
  </si>
  <si>
    <t>1号楼A区2层</t>
  </si>
  <si>
    <t>黔（2017）观山湖区不动产权第0020099号</t>
  </si>
  <si>
    <t>520115204099GB00001F00050686等</t>
  </si>
  <si>
    <t>该大证只包含1号楼A区2层中102户房屋</t>
  </si>
  <si>
    <t>1号楼B区2层</t>
  </si>
  <si>
    <t>未见不动产权证</t>
  </si>
  <si>
    <t>1号楼C区2层</t>
  </si>
  <si>
    <t>黔（2017）观山湖区不动产权第0020110号</t>
  </si>
  <si>
    <t>520115204099GB00001F00053880等</t>
  </si>
  <si>
    <t>该大证只包含1号楼C单元2层69户房屋</t>
  </si>
  <si>
    <t>1号楼D区2层</t>
  </si>
  <si>
    <t>黔（2017）观山湖区不动产权第0020112号</t>
  </si>
  <si>
    <t>520115204099GB00001F00055331等</t>
  </si>
  <si>
    <t>该证只包含1号楼D单元2层51户房屋</t>
  </si>
  <si>
    <t>1号楼A区3层</t>
  </si>
  <si>
    <t>黔（2016）观山湖区不动产权第0031321号</t>
  </si>
  <si>
    <t>520115204099GB00001F00051057等</t>
  </si>
  <si>
    <t>该证只包含1号楼A区3层285户房屋</t>
  </si>
  <si>
    <t>1号楼B区3层</t>
  </si>
  <si>
    <t>黔（2016）观山湖区不动产权第0031341号</t>
  </si>
  <si>
    <t>520115204099GB00001F00052680等</t>
  </si>
  <si>
    <t>此证包含：一期1号地面工程B区3层438户</t>
  </si>
  <si>
    <t>缺附图（宗地图）</t>
  </si>
  <si>
    <t>1号楼C区3层</t>
  </si>
  <si>
    <t>1号楼D区3层</t>
  </si>
  <si>
    <t>黔（2016）观山湖区不动产权第0031939号</t>
  </si>
  <si>
    <t>观山湖区金阳宾阳大道西侧、环城高速东侧贵阳西南国际商贸城一期工程1#地面工程</t>
  </si>
  <si>
    <t>520115204099GB00001F00055653等</t>
  </si>
  <si>
    <t>该证包括1号楼D区3层共363户</t>
  </si>
  <si>
    <t>1号楼A区4层</t>
  </si>
  <si>
    <t>黔（2016）观山湖区不动产权第0028653号</t>
  </si>
  <si>
    <t>520115204099GB00001F00051458等</t>
  </si>
  <si>
    <t>该证只包含1号楼A区4层140户房屋</t>
  </si>
  <si>
    <t>1号楼B区4层</t>
  </si>
  <si>
    <t>1号楼C区4层</t>
  </si>
  <si>
    <t>1号楼D区4层</t>
  </si>
  <si>
    <t>黔（2016）观山湖区不动产权第0028654号</t>
  </si>
  <si>
    <t>520115204099GB00001F00056039等</t>
  </si>
  <si>
    <t>该证只包含1号楼D区4层152户房屋</t>
  </si>
  <si>
    <t>2号楼A区1层</t>
  </si>
  <si>
    <t>黔（2016）观山湖区不动产权第0031941号</t>
  </si>
  <si>
    <t>观山湖区金阳宾阳大道西侧、环城高速东侧贵阳西南国际商贸城一期工程2#楼地面工程</t>
  </si>
  <si>
    <t>520115204099GB00001F00040270等</t>
  </si>
  <si>
    <t>该证只包含2号楼A单元1层158户房屋</t>
  </si>
  <si>
    <t>2号楼B区1层</t>
  </si>
  <si>
    <t>黔（2016）观山湖区不动产权第0031943号</t>
  </si>
  <si>
    <t>520115204099GB00001F00041462等</t>
  </si>
  <si>
    <t>其他商服用地/商业服务</t>
  </si>
  <si>
    <t>此证包含：一期2号地面工程B区1层224户</t>
  </si>
  <si>
    <t>2号楼C区1层</t>
  </si>
  <si>
    <t>黔（2017）观山湖区不动产权第0019437号</t>
  </si>
  <si>
    <t>520115204099GB00001F00042918等</t>
  </si>
  <si>
    <t>此证包含：一期2号地面工程C区1层95户</t>
  </si>
  <si>
    <t>2号楼D区1层</t>
  </si>
  <si>
    <t>黔（2017）观山湖区不动产权第0019441号</t>
  </si>
  <si>
    <t>520115204099GB00001F00044174等</t>
  </si>
  <si>
    <t>此证包含：一期2号地面工程D区1层79户</t>
  </si>
  <si>
    <t>2号楼E区1层</t>
  </si>
  <si>
    <t>黔（2017）观山湖区不动产权第0019443号</t>
  </si>
  <si>
    <t>520115204099GB00001F00045391等</t>
  </si>
  <si>
    <t>此证只包含：一期2号地面工程E区1层18户</t>
  </si>
  <si>
    <t>2号楼F区1层</t>
  </si>
  <si>
    <t>黔（2017）观山湖区不动产权第0019444号</t>
  </si>
  <si>
    <t>520115204099GB00001F00046187等</t>
  </si>
  <si>
    <t>此证只包含：一期2号地面工程F区1层71户</t>
  </si>
  <si>
    <t>2号楼A区2层</t>
  </si>
  <si>
    <t>黔（2017）观山湖区不动产权第0019436号</t>
  </si>
  <si>
    <t>520115204099GB00001F00040559等</t>
  </si>
  <si>
    <t>此证：一期2号地面工程A区2层290户</t>
  </si>
  <si>
    <t>2号楼B区2层</t>
  </si>
  <si>
    <t>黔（2017）观山湖区不动产权第0019439号</t>
  </si>
  <si>
    <t>520115204099GB00001F00041776等</t>
  </si>
  <si>
    <t>此证只包括：一期2号地面工程B区2层324户</t>
  </si>
  <si>
    <t>2号楼C区2层</t>
  </si>
  <si>
    <t>黔（2017）观山湖区不动产权第0019440号</t>
  </si>
  <si>
    <t>520115204099GB00001F00043132等</t>
  </si>
  <si>
    <t>此证只包括：一期2号地面工程C区2层258户</t>
  </si>
  <si>
    <t>2号楼D区2层</t>
  </si>
  <si>
    <t>2号楼E区2层</t>
  </si>
  <si>
    <t>2号楼F区2层</t>
  </si>
  <si>
    <t>黔（2016）观山湖区不动产权第0031343号</t>
  </si>
  <si>
    <t>520115204099GB00001F00046342等</t>
  </si>
  <si>
    <t>该证只包含2号f区2层182户房屋</t>
  </si>
  <si>
    <t>2号楼A区3层</t>
  </si>
  <si>
    <t>黔（2016）观山湖区不动产权第0031940号</t>
  </si>
  <si>
    <t>520115204099GB00001F00040864等</t>
  </si>
  <si>
    <t>该证只包含2号A单元3层290户房屋</t>
  </si>
  <si>
    <t>2号楼B区3层</t>
  </si>
  <si>
    <t>黔（2017）观山湖区不动产权第0019438号</t>
  </si>
  <si>
    <t>520115204099GB00001F00042154等</t>
  </si>
  <si>
    <t>此证只包括：一期2号地面工程B区3层318户</t>
  </si>
  <si>
    <t>2号楼C区3层</t>
  </si>
  <si>
    <t>2号楼D区3层</t>
  </si>
  <si>
    <t>黔（2017）观山湖区不动产权第0019442号</t>
  </si>
  <si>
    <t>520115204099GB00001F00044823等</t>
  </si>
  <si>
    <t>此证只包括：一期2号地面工程D区3层8户</t>
  </si>
  <si>
    <t>2号楼E区3层</t>
  </si>
  <si>
    <t>2号楼F区3层</t>
  </si>
  <si>
    <t>2号楼A区4层</t>
  </si>
  <si>
    <t>黔（2016）观山湖区不动产权第0031467号</t>
  </si>
  <si>
    <t>520115204099GB00001F00041162等</t>
  </si>
  <si>
    <t>此证包含：一期2号地面工程A区4层197户</t>
  </si>
  <si>
    <t>2号楼B区4层</t>
  </si>
  <si>
    <t>黔（2016）观山湖区不动产权第0031942号</t>
  </si>
  <si>
    <t>520115204099GB00001F00042485等</t>
  </si>
  <si>
    <t>此证只包含2号楼B区4层227户</t>
  </si>
  <si>
    <t>2号楼C区4层</t>
  </si>
  <si>
    <t>黔（2016）观山湖区不动产权第0031468号</t>
  </si>
  <si>
    <t>520115204099GB00001F00043846等</t>
  </si>
  <si>
    <t>此证包含：一期2号地面工程C区4层119户</t>
  </si>
  <si>
    <t>2号楼D区4层</t>
  </si>
  <si>
    <t>黔（2016）观山湖区不动产权第0031944号</t>
  </si>
  <si>
    <t>520115204099GB00001F00045079等</t>
  </si>
  <si>
    <t>该证只包括2号楼D单元4层79户房屋</t>
  </si>
  <si>
    <t>2号楼E区4层</t>
  </si>
  <si>
    <t>黔（2016）观山湖区不动产权第0031945号</t>
  </si>
  <si>
    <t>520115204099GB00001F00046006等</t>
  </si>
  <si>
    <t>该证只包括2号楼E单元4层75户房屋</t>
  </si>
  <si>
    <t>2号楼F区4层</t>
  </si>
  <si>
    <t>3号楼A区1层</t>
  </si>
  <si>
    <t>3号楼B区1层</t>
  </si>
  <si>
    <t>3号楼C区1层</t>
  </si>
  <si>
    <t>3号楼D区1层</t>
  </si>
  <si>
    <t>3号楼A区2层</t>
  </si>
  <si>
    <t>3号楼B区2层</t>
  </si>
  <si>
    <t>3号楼C区2层</t>
  </si>
  <si>
    <t>3号楼D区2层</t>
  </si>
  <si>
    <t>3号楼A区3层</t>
  </si>
  <si>
    <t>3号楼B区3层</t>
  </si>
  <si>
    <t>3号楼C区3层</t>
  </si>
  <si>
    <t>3号楼D区3层</t>
  </si>
  <si>
    <t>3号楼A区4层</t>
  </si>
  <si>
    <t>黔（2016）观山湖区不动产权第0032088号</t>
  </si>
  <si>
    <t>观山湖区金阳宾阳大道西侧、环城高速东侧贵阳西南国际商贸城一期工程3#楼地面工程</t>
  </si>
  <si>
    <t>520115204099GB00001F00031224等</t>
  </si>
  <si>
    <t>该证只包含3号楼A单元4层252户房屋</t>
  </si>
  <si>
    <t>3号楼B区4层</t>
  </si>
  <si>
    <t>黔（2016）观山湖区不动产权第0031932号</t>
  </si>
  <si>
    <t>520115204099GB00001F00032015等</t>
  </si>
  <si>
    <t>该证只包含3号楼B单元4层150户房屋</t>
  </si>
  <si>
    <t>3号楼C区4层</t>
  </si>
  <si>
    <t>黔（2016）观山湖区不动产权第0031937号</t>
  </si>
  <si>
    <t>观山湖区金阳宾阳大道西侧、环城高速东侧贵阳西南国际商贸城一期工程3#楼地面工程3栋</t>
  </si>
  <si>
    <t>520115204099GB00001F00033236等</t>
  </si>
  <si>
    <t>该证只包含3号楼C单元4层143户房屋</t>
  </si>
  <si>
    <t>3号楼D区4层</t>
  </si>
  <si>
    <t>黔（2016）观山湖区不动产权第0031938号</t>
  </si>
  <si>
    <t>520115204099GB00001F00034760等</t>
  </si>
  <si>
    <t>该证只包含3号楼D单元4层264户房屋</t>
  </si>
  <si>
    <t>4号楼A区1层</t>
  </si>
  <si>
    <t>黔（2017）观山湖区不动产权第0023517号</t>
  </si>
  <si>
    <t>观山湖区金阳宾阳大道西侧、环城高速东侧贵阳西南国际商贸城一期工程4#楼地面工程</t>
  </si>
  <si>
    <t>520115204099GB00001F00012808等</t>
  </si>
  <si>
    <t>GB00006-054</t>
  </si>
  <si>
    <t>该证只包括：一期4号楼地面工程A区1层40户</t>
  </si>
  <si>
    <t>4号楼B区1层</t>
  </si>
  <si>
    <t>证号不清</t>
  </si>
  <si>
    <t>520115204099GB00001F00020629等</t>
  </si>
  <si>
    <t>面积不清</t>
  </si>
  <si>
    <t>该证只包括：一期4号地面工程B区1层39户</t>
  </si>
  <si>
    <t>证号不清；缺附图（分层分户平面图）</t>
  </si>
  <si>
    <t>4号楼C区1层</t>
  </si>
  <si>
    <t>黔（2017）观山湖区不动产权第0019448号</t>
  </si>
  <si>
    <t>520115204099GB00001F00021412等</t>
  </si>
  <si>
    <t>该证只包括：一期4号地面工程C区1层80户；有55户在建工程抵押</t>
  </si>
  <si>
    <t>4号楼D区1层</t>
  </si>
  <si>
    <t>黔（2017）观山湖区不动产权第0019449号</t>
  </si>
  <si>
    <t>520115204099GB00001F00022059等</t>
  </si>
  <si>
    <t>该证只包括：一期4号地面工程D区1层115户</t>
  </si>
  <si>
    <t>4号楼A区2层</t>
  </si>
  <si>
    <t>黔（2017）观山湖区不动产权第0019445号</t>
  </si>
  <si>
    <t>520115204099GB00001F00020156等</t>
  </si>
  <si>
    <t>该证只包括：一期4号地面工程A区2层125户</t>
  </si>
  <si>
    <t>4号楼B区2层</t>
  </si>
  <si>
    <t>4号楼C区2层</t>
  </si>
  <si>
    <t>4号楼D区2层</t>
  </si>
  <si>
    <t>黔（2017）观山湖区不动产权第0023412号</t>
  </si>
  <si>
    <t>520115204099GB00001F00012946等</t>
  </si>
  <si>
    <t>该证只包括：一期4号地面工程D区2层215户,有214条在建工程抵押信息</t>
  </si>
  <si>
    <t>4号楼A区3层</t>
  </si>
  <si>
    <t>4号楼B区3层</t>
  </si>
  <si>
    <t>4号楼C区3层</t>
  </si>
  <si>
    <t>4号楼D区3层</t>
  </si>
  <si>
    <t>4号楼A区4层</t>
  </si>
  <si>
    <t>4号楼B区4层</t>
  </si>
  <si>
    <t>黔（2017）观山湖区不动产权第0019447号</t>
  </si>
  <si>
    <t>520115204099GB00001F00021257等</t>
  </si>
  <si>
    <t>该证只包括：一期4号地面工程B区2层51户</t>
  </si>
  <si>
    <t>4号楼C区4层</t>
  </si>
  <si>
    <t>4号楼D区4层</t>
  </si>
  <si>
    <r>
      <rPr>
        <sz val="11"/>
        <rFont val="宋体"/>
        <family val="3"/>
        <charset val="134"/>
      </rPr>
      <t>项目位置</t>
    </r>
  </si>
  <si>
    <r>
      <rPr>
        <b/>
        <sz val="11"/>
        <rFont val="宋体"/>
        <family val="3"/>
        <charset val="134"/>
      </rPr>
      <t>单价内涵</t>
    </r>
  </si>
  <si>
    <r>
      <rPr>
        <sz val="11"/>
        <rFont val="宋体"/>
        <family val="3"/>
        <charset val="134"/>
      </rPr>
      <t>北京市</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</si>
  <si>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</si>
  <si>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</si>
  <si>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</si>
  <si>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</si>
  <si>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</si>
  <si>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</si>
  <si>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</si>
  <si>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</si>
  <si>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</si>
  <si>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</si>
  <si>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</si>
  <si>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</si>
  <si>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宗地容积率</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</si>
  <si>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</si>
  <si>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</si>
  <si>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</si>
  <si>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</si>
  <si>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</si>
  <si>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</si>
  <si>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</si>
  <si>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</si>
  <si>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</si>
  <si>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</si>
  <si>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</si>
  <si>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</si>
  <si>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</si>
  <si>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</si>
  <si>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</si>
  <si>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</si>
  <si>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</si>
  <si>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</si>
  <si>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</si>
  <si>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</si>
  <si>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</si>
  <si>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</si>
  <si>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</si>
  <si>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</si>
  <si>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</si>
  <si>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</si>
  <si>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</si>
  <si>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</si>
  <si>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</si>
  <si>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</si>
  <si>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</si>
  <si>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</si>
  <si>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</si>
  <si>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</si>
  <si>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</si>
  <si>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</si>
  <si>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</si>
  <si>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</si>
  <si>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</si>
  <si>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</si>
  <si>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</si>
  <si>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</si>
  <si>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</si>
  <si>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</si>
  <si>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</si>
  <si>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r>
      <rPr>
        <sz val="10"/>
        <rFont val="宋体"/>
        <family val="3"/>
        <charset val="134"/>
      </rPr>
      <t>商业</t>
    </r>
    <r>
      <rPr>
        <sz val="10"/>
        <rFont val="Arial"/>
        <family val="2"/>
      </rPr>
      <t>R&lt;1</t>
    </r>
  </si>
  <si>
    <r>
      <rPr>
        <sz val="10"/>
        <rFont val="宋体"/>
        <family val="3"/>
        <charset val="134"/>
      </rPr>
      <t>（</t>
    </r>
    <r>
      <rPr>
        <sz val="10"/>
        <rFont val="Arial"/>
        <family val="2"/>
      </rPr>
      <t>2</t>
    </r>
    <r>
      <rPr>
        <sz val="10"/>
        <rFont val="宋体"/>
        <family val="3"/>
        <charset val="134"/>
      </rPr>
      <t>）</t>
    </r>
  </si>
  <si>
    <r>
      <rPr>
        <b/>
        <sz val="10"/>
        <rFont val="宋体"/>
        <family val="3"/>
        <charset val="134"/>
      </rPr>
      <t>特殊情况修正（居住用途）</t>
    </r>
  </si>
  <si>
    <r>
      <rPr>
        <sz val="10"/>
        <rFont val="宋体"/>
        <family val="3"/>
        <charset val="134"/>
      </rPr>
      <t>需根据项目情况调整公式修正项</t>
    </r>
  </si>
  <si>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</si>
  <si>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</si>
  <si>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</si>
  <si>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</si>
  <si>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</si>
  <si>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</si>
  <si>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</si>
  <si>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</si>
  <si>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</si>
  <si>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sz val="10"/>
        <color indexed="8"/>
        <rFont val="宋体"/>
        <family val="3"/>
        <charset val="134"/>
      </rPr>
      <t>修正系数</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</si>
  <si>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</si>
  <si>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</si>
  <si>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</si>
  <si>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</si>
  <si>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0"/>
        <rFont val="宋体"/>
        <family val="3"/>
        <charset val="134"/>
      </rPr>
      <t>（</t>
    </r>
    <r>
      <rPr>
        <sz val="10"/>
        <rFont val="Arial"/>
        <family val="2"/>
      </rPr>
      <t>3</t>
    </r>
    <r>
      <rPr>
        <sz val="10"/>
        <rFont val="宋体"/>
        <family val="3"/>
        <charset val="134"/>
      </rPr>
      <t>）</t>
    </r>
  </si>
  <si>
    <r>
      <rPr>
        <b/>
        <sz val="10"/>
        <rFont val="宋体"/>
        <family val="3"/>
        <charset val="134"/>
      </rPr>
      <t>开发程度差异修正</t>
    </r>
  </si>
  <si>
    <r>
      <rPr>
        <sz val="10"/>
        <rFont val="宋体"/>
        <family val="3"/>
        <charset val="134"/>
      </rPr>
      <t>估价对象开发程度</t>
    </r>
  </si>
  <si>
    <r>
      <rPr>
        <sz val="10"/>
        <rFont val="宋体"/>
        <family val="3"/>
        <charset val="134"/>
      </rPr>
      <t>上浮比率</t>
    </r>
  </si>
  <si>
    <r>
      <rPr>
        <sz val="10"/>
        <rFont val="宋体"/>
        <family val="3"/>
        <charset val="134"/>
      </rPr>
      <t>级别平均容积率</t>
    </r>
  </si>
  <si>
    <r>
      <rPr>
        <sz val="10"/>
        <rFont val="宋体"/>
        <family val="3"/>
        <charset val="134"/>
      </rPr>
      <t>级别开发程度</t>
    </r>
  </si>
  <si>
    <r>
      <rPr>
        <sz val="10"/>
        <rFont val="宋体"/>
        <family val="3"/>
        <charset val="134"/>
      </rPr>
      <t>对应的开发费</t>
    </r>
  </si>
  <si>
    <r>
      <rPr>
        <sz val="10"/>
        <rFont val="宋体"/>
        <family val="3"/>
        <charset val="134"/>
      </rPr>
      <t>土地还原率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</si>
  <si>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</si>
  <si>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</si>
  <si>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</si>
  <si>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</si>
  <si>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地价指数</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</si>
  <si>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</si>
  <si>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</si>
  <si>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</si>
  <si>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</si>
  <si>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</si>
  <si>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</si>
  <si>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</si>
  <si>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</si>
  <si>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</si>
  <si>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r>
      <rPr>
        <b/>
        <sz val="11"/>
        <rFont val="宋体"/>
        <family val="3"/>
        <charset val="134"/>
      </rPr>
      <t>楼层修正</t>
    </r>
  </si>
  <si>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</si>
  <si>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</si>
  <si>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</si>
  <si>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</si>
  <si>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</si>
  <si>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</si>
  <si>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</si>
  <si>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</si>
  <si>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</si>
  <si>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</si>
  <si>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</si>
  <si>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</si>
  <si>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</si>
  <si>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</si>
  <si>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</si>
  <si>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</si>
  <si>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1"/>
        <rFont val="宋体"/>
        <family val="3"/>
        <charset val="134"/>
      </rPr>
      <t>政府土地出让收益</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</si>
  <si>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</si>
  <si>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</si>
  <si>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</si>
  <si>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</si>
  <si>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</si>
  <si>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</si>
  <si>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</si>
  <si>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</si>
  <si>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</si>
  <si>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</si>
  <si>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b/>
        <sz val="10"/>
        <color rgb="FFFF0000"/>
        <rFont val="宋体"/>
        <family val="3"/>
        <charset val="134"/>
      </rPr>
      <t>地下商业不考虑路线价修正</t>
    </r>
  </si>
  <si>
    <r>
      <rPr>
        <sz val="10"/>
        <color theme="1"/>
        <rFont val="宋体"/>
        <family val="3"/>
        <charset val="134"/>
      </rPr>
      <t>地下第</t>
    </r>
    <r>
      <rPr>
        <sz val="10"/>
        <color theme="1"/>
        <rFont val="Arial"/>
        <family val="2"/>
      </rPr>
      <t>1</t>
    </r>
    <r>
      <rPr>
        <sz val="10"/>
        <color theme="1"/>
        <rFont val="宋体"/>
        <family val="3"/>
        <charset val="134"/>
      </rPr>
      <t>层商业</t>
    </r>
  </si>
  <si>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</si>
  <si>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</si>
  <si>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</si>
  <si>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</si>
  <si>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</si>
  <si>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</si>
  <si>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</si>
  <si>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</si>
  <si>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</si>
  <si>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</si>
  <si>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</si>
  <si>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</si>
  <si>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</si>
  <si>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</si>
  <si>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</si>
  <si>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</si>
  <si>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</si>
  <si>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</si>
  <si>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</si>
  <si>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</si>
  <si>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</si>
  <si>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</si>
  <si>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</si>
  <si>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</si>
  <si>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</si>
  <si>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</si>
  <si>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</si>
  <si>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</si>
  <si>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</si>
  <si>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</si>
  <si>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</si>
  <si>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</si>
  <si>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</si>
  <si>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</si>
  <si>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</si>
  <si>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</si>
  <si>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</si>
  <si>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</si>
  <si>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</si>
  <si>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</si>
  <si>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</si>
  <si>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</si>
  <si>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</si>
  <si>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</si>
  <si>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</si>
  <si>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</si>
  <si>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</si>
  <si>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</si>
  <si>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</si>
  <si>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</si>
  <si>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</si>
  <si>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</si>
  <si>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</si>
  <si>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</si>
  <si>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</si>
  <si>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</si>
  <si>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</si>
  <si>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</si>
  <si>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</si>
  <si>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</si>
  <si>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</si>
  <si>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</si>
  <si>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商业</t>
  </si>
  <si>
    <t>办公</t>
  </si>
  <si>
    <t>住宅</t>
  </si>
  <si>
    <t>工业</t>
  </si>
  <si>
    <t>通路</t>
  </si>
  <si>
    <t>通电</t>
  </si>
  <si>
    <t>通讯</t>
  </si>
  <si>
    <t>通上水</t>
  </si>
  <si>
    <t>通下水</t>
  </si>
  <si>
    <t>通热</t>
  </si>
  <si>
    <t>燃气</t>
  </si>
  <si>
    <t>平整</t>
  </si>
  <si>
    <t>北京市基准地价用途修正系数表</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</si>
  <si>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</si>
  <si>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</si>
  <si>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</si>
  <si>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</si>
  <si>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</si>
  <si>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</si>
  <si>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</si>
  <si>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</si>
  <si>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</si>
  <si>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</si>
  <si>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</si>
  <si>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</si>
  <si>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</si>
  <si>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</si>
  <si>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</si>
  <si>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</si>
  <si>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</si>
  <si>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</si>
  <si>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</si>
  <si>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</si>
  <si>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</si>
  <si>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</si>
  <si>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</si>
  <si>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</si>
  <si>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</si>
  <si>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</si>
  <si>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</si>
  <si>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</si>
  <si>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</si>
  <si>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</si>
  <si>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</si>
  <si>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</si>
  <si>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</si>
  <si>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</si>
  <si>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</si>
  <si>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</si>
  <si>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</si>
  <si>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</si>
  <si>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</si>
  <si>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</si>
  <si>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</si>
  <si>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</si>
  <si>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</si>
  <si>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</si>
  <si>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</si>
  <si>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</si>
  <si>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</si>
  <si>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地下仓储</t>
  </si>
  <si>
    <t>车库</t>
  </si>
  <si>
    <t>—</t>
  </si>
  <si>
    <t>北京市商业路线价加价幅度表</t>
  </si>
  <si>
    <t>序号</t>
  </si>
  <si>
    <t>区县</t>
  </si>
  <si>
    <t>商业街名称</t>
  </si>
  <si>
    <t>起止点</t>
  </si>
  <si>
    <t>加价幅度</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</si>
  <si>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</si>
  <si>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</si>
  <si>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</si>
  <si>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</si>
  <si>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</si>
  <si>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</si>
  <si>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</si>
  <si>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</si>
  <si>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</si>
  <si>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</si>
  <si>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</si>
  <si>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</si>
  <si>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</si>
  <si>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</si>
  <si>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</si>
  <si>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</si>
  <si>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</si>
  <si>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</si>
  <si>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</si>
  <si>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</si>
  <si>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</si>
  <si>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</si>
  <si>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</si>
  <si>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</si>
  <si>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</si>
  <si>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</si>
  <si>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</si>
  <si>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</si>
  <si>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</si>
  <si>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</si>
  <si>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</si>
  <si>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</si>
  <si>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</si>
  <si>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</si>
  <si>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</si>
  <si>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</si>
  <si>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</si>
  <si>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</si>
  <si>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</si>
  <si>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</si>
  <si>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</si>
  <si>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</si>
  <si>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</si>
  <si>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</si>
  <si>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</si>
  <si>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</si>
  <si>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</si>
  <si>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</si>
  <si>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</si>
  <si>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</si>
  <si>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</si>
  <si>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</si>
  <si>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</si>
  <si>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</si>
  <si>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</si>
  <si>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</si>
  <si>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</si>
  <si>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</si>
  <si>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</si>
  <si>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</si>
  <si>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</si>
  <si>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</si>
  <si>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</si>
  <si>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</si>
  <si>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</si>
  <si>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</si>
  <si>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</si>
  <si>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</si>
  <si>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</si>
  <si>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</si>
  <si>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</si>
  <si>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</si>
  <si>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</si>
  <si>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</si>
  <si>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</si>
  <si>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</si>
  <si>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</si>
  <si>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</si>
  <si>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</si>
  <si>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</si>
  <si>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</si>
  <si>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</si>
  <si>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</si>
  <si>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</si>
  <si>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</si>
  <si>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</si>
  <si>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</si>
  <si>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</si>
  <si>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</si>
  <si>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</si>
  <si>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</si>
  <si>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</si>
  <si>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</si>
  <si>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</si>
  <si>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</si>
  <si>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</si>
  <si>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</si>
  <si>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</si>
  <si>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</si>
  <si>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</si>
  <si>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</si>
  <si>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</si>
  <si>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</si>
  <si>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</si>
  <si>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</si>
  <si>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</si>
  <si>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</si>
  <si>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</si>
  <si>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</si>
  <si>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</si>
  <si>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</si>
  <si>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</si>
  <si>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</si>
  <si>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</si>
  <si>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</si>
  <si>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</si>
  <si>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</si>
  <si>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</si>
  <si>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</si>
  <si>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</si>
  <si>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</si>
  <si>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</si>
  <si>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</si>
  <si>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</si>
  <si>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</si>
  <si>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</si>
  <si>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</si>
  <si>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</si>
  <si>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</si>
  <si>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</si>
  <si>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</si>
  <si>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</si>
  <si>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</si>
  <si>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</si>
  <si>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</si>
  <si>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</si>
  <si>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</si>
  <si>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</si>
  <si>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</si>
  <si>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</si>
  <si>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</si>
  <si>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</si>
  <si>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</si>
  <si>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</si>
  <si>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</si>
  <si>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</si>
  <si>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</si>
  <si>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</si>
  <si>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</si>
  <si>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</si>
  <si>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</si>
  <si>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</si>
  <si>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</si>
  <si>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t>综合</t>
  </si>
  <si>
    <r>
      <rPr>
        <sz val="11"/>
        <color indexed="8"/>
        <rFont val="楷体_GB2312"/>
        <family val="3"/>
        <charset val="134"/>
      </rPr>
      <t>商业</t>
    </r>
  </si>
  <si>
    <r>
      <rPr>
        <sz val="11"/>
        <color indexed="8"/>
        <rFont val="楷体_GB2312"/>
        <family val="3"/>
        <charset val="134"/>
      </rPr>
      <t>工业</t>
    </r>
  </si>
  <si>
    <t>商服</t>
  </si>
  <si>
    <t>本行不参与计算</t>
  </si>
  <si>
    <t>2018-3</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</si>
  <si>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</si>
  <si>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</si>
  <si>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</si>
  <si>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</si>
  <si>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</si>
  <si>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</si>
  <si>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</si>
  <si>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</si>
  <si>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</si>
  <si>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</si>
  <si>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</si>
  <si>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</si>
  <si>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</si>
  <si>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</si>
  <si>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</si>
  <si>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</si>
  <si>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</si>
  <si>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</si>
  <si>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</si>
  <si>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</si>
  <si>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</si>
  <si>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</si>
  <si>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</si>
  <si>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</si>
  <si>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</si>
  <si>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</si>
  <si>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</si>
  <si>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</si>
  <si>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</si>
  <si>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</si>
  <si>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</si>
  <si>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</si>
  <si>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</si>
  <si>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</si>
  <si>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</si>
  <si>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</si>
  <si>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</si>
  <si>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</si>
  <si>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</si>
  <si>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</si>
  <si>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</si>
  <si>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</si>
  <si>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</si>
  <si>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</si>
  <si>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</si>
  <si>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</si>
  <si>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</si>
  <si>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</si>
  <si>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</si>
  <si>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</si>
  <si>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</si>
  <si>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</si>
  <si>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</si>
  <si>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</si>
  <si>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</si>
  <si>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</si>
  <si>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</si>
  <si>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</si>
  <si>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</si>
  <si>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</si>
  <si>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</si>
  <si>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</si>
  <si>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</si>
  <si>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</si>
  <si>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</si>
  <si>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</si>
  <si>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</si>
  <si>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</si>
  <si>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</si>
  <si>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</si>
  <si>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</si>
  <si>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</si>
  <si>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</si>
  <si>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</si>
  <si>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</si>
  <si>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</si>
  <si>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</si>
  <si>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</si>
  <si>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</si>
  <si>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</si>
  <si>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</si>
  <si>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</si>
  <si>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</si>
  <si>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</si>
  <si>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</si>
  <si>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</si>
  <si>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</si>
  <si>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</si>
  <si>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</si>
  <si>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</si>
  <si>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</si>
  <si>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</si>
  <si>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</si>
  <si>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6"/>
        <color indexed="10"/>
        <rFont val="楷体_GB2312"/>
        <family val="3"/>
        <charset val="134"/>
      </rPr>
      <t>成本法</t>
    </r>
  </si>
  <si>
    <r>
      <rPr>
        <b/>
        <sz val="12"/>
        <rFont val="楷体_GB2312"/>
        <family val="3"/>
        <charset val="134"/>
      </rPr>
      <t>总价</t>
    </r>
  </si>
  <si>
    <t>万元</t>
  </si>
  <si>
    <r>
      <rPr>
        <b/>
        <sz val="12"/>
        <rFont val="楷体_GB2312"/>
        <family val="3"/>
        <charset val="134"/>
      </rPr>
      <t>楼面单价</t>
    </r>
  </si>
  <si>
    <t>元/平方米</t>
  </si>
  <si>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</si>
  <si>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</si>
  <si>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</si>
  <si>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</si>
  <si>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</si>
  <si>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</si>
  <si>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</si>
  <si>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</si>
  <si>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</si>
  <si>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</si>
  <si>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</si>
  <si>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</si>
  <si>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</si>
  <si>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</si>
  <si>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</si>
  <si>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</si>
  <si>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</si>
  <si>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</si>
  <si>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</si>
  <si>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</si>
  <si>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</si>
  <si>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</si>
  <si>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t>（3）</t>
  </si>
  <si>
    <r>
      <rPr>
        <b/>
        <sz val="10"/>
        <rFont val="楷体_GB2312"/>
        <family val="3"/>
        <charset val="134"/>
      </rPr>
      <t>管理费用</t>
    </r>
  </si>
  <si>
    <t>以前述2项为基数</t>
  </si>
  <si>
    <t>（4）</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</si>
  <si>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</si>
  <si>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</si>
  <si>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</si>
  <si>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t>（5）</t>
  </si>
  <si>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</si>
  <si>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</si>
  <si>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</si>
  <si>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</si>
  <si>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</si>
  <si>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</si>
  <si>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</si>
  <si>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</si>
  <si>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t>（6）</t>
  </si>
  <si>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</si>
  <si>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</si>
  <si>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</si>
  <si>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</si>
  <si>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</si>
  <si>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</si>
  <si>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</si>
  <si>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</si>
  <si>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</si>
  <si>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</si>
  <si>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</si>
  <si>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</si>
  <si>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</si>
  <si>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</si>
  <si>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</si>
  <si>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</si>
  <si>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</si>
  <si>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</si>
  <si>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</si>
  <si>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</si>
  <si>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</si>
  <si>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</si>
  <si>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</si>
  <si>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</si>
  <si>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</si>
  <si>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</si>
  <si>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</si>
  <si>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</si>
  <si>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</si>
  <si>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</si>
  <si>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</si>
  <si>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</si>
  <si>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</si>
  <si>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</si>
  <si>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</si>
  <si>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</si>
  <si>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</si>
  <si>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</si>
  <si>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</si>
  <si>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</si>
  <si>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</si>
  <si>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</si>
  <si>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</si>
  <si>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</si>
  <si>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</si>
  <si>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</si>
  <si>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</si>
  <si>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</si>
  <si>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</si>
  <si>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</si>
  <si>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</si>
  <si>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</si>
  <si>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</si>
  <si>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</si>
  <si>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</si>
  <si>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</si>
  <si>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</si>
  <si>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</si>
  <si>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</si>
  <si>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</si>
  <si>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</si>
  <si>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</si>
  <si>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</si>
  <si>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</si>
  <si>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</si>
  <si>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</si>
  <si>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</si>
  <si>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</si>
  <si>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</si>
  <si>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</si>
  <si>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</si>
  <si>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</si>
  <si>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</si>
  <si>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</si>
  <si>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</si>
  <si>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</si>
  <si>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</si>
  <si>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</si>
  <si>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</si>
  <si>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</si>
  <si>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</si>
  <si>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</si>
  <si>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</si>
  <si>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</si>
  <si>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</si>
  <si>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</si>
  <si>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</si>
  <si>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</si>
  <si>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</si>
  <si>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</si>
  <si>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</si>
  <si>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</si>
  <si>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</si>
  <si>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</si>
  <si>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</si>
  <si>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</si>
  <si>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</si>
  <si>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</si>
  <si>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</si>
  <si>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</si>
  <si>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</si>
  <si>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</si>
  <si>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</si>
  <si>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</si>
  <si>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</si>
  <si>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</si>
  <si>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</si>
  <si>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</si>
  <si>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</si>
  <si>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</si>
  <si>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</si>
  <si>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</si>
  <si>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</si>
  <si>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</si>
  <si>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</si>
  <si>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</si>
  <si>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</si>
  <si>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</si>
  <si>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</si>
  <si>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</si>
  <si>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</si>
  <si>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</si>
  <si>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</si>
  <si>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</si>
  <si>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</si>
  <si>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</si>
  <si>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</si>
  <si>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</si>
  <si>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</si>
  <si>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</si>
  <si>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</si>
  <si>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</si>
  <si>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</si>
  <si>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</si>
  <si>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</si>
  <si>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</si>
  <si>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</si>
  <si>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</si>
  <si>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</si>
  <si>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</si>
  <si>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</si>
  <si>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</si>
  <si>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</si>
  <si>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</si>
  <si>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</si>
  <si>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</si>
  <si>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</si>
  <si>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</si>
  <si>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</si>
  <si>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</si>
  <si>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</si>
  <si>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</si>
  <si>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</si>
  <si>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</si>
  <si>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</si>
  <si>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</si>
  <si>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</si>
  <si>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</si>
  <si>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</si>
  <si>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</si>
  <si>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</si>
  <si>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</si>
  <si>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</si>
  <si>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</si>
  <si>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</si>
  <si>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</si>
  <si>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</si>
  <si>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</si>
  <si>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</si>
  <si>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</si>
  <si>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</si>
  <si>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</si>
  <si>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</si>
  <si>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</si>
  <si>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</si>
  <si>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</si>
  <si>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</si>
  <si>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</si>
  <si>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</si>
  <si>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</si>
  <si>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</si>
  <si>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</si>
  <si>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</si>
  <si>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</si>
  <si>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</si>
  <si>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</si>
  <si>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</si>
  <si>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</si>
  <si>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</si>
  <si>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</si>
  <si>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</si>
  <si>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</si>
  <si>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</si>
  <si>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</si>
  <si>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</si>
  <si>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</si>
  <si>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</si>
  <si>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</si>
  <si>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</si>
  <si>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</si>
  <si>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</si>
  <si>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</si>
  <si>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</si>
  <si>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</si>
  <si>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</si>
  <si>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</si>
  <si>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</si>
  <si>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</si>
  <si>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</si>
  <si>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</si>
  <si>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</si>
  <si>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</si>
  <si>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</si>
  <si>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</si>
  <si>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</si>
  <si>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</si>
  <si>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</si>
  <si>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</si>
  <si>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</si>
  <si>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</si>
  <si>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</si>
  <si>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</si>
  <si>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</si>
  <si>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</si>
  <si>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</si>
  <si>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</si>
  <si>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</si>
  <si>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</si>
  <si>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</si>
  <si>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</si>
  <si>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</si>
  <si>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</si>
  <si>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</si>
  <si>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</si>
  <si>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</si>
  <si>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</si>
  <si>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</si>
  <si>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</si>
  <si>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</si>
  <si>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</si>
  <si>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</si>
  <si>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</si>
  <si>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</si>
  <si>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</si>
  <si>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</si>
  <si>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</si>
  <si>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</si>
  <si>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</si>
  <si>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</si>
  <si>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</si>
  <si>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</si>
  <si>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</si>
  <si>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</si>
  <si>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</si>
  <si>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</si>
  <si>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</si>
  <si>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</si>
  <si>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</si>
  <si>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</si>
  <si>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</si>
  <si>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</si>
  <si>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</si>
  <si>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</si>
  <si>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</si>
  <si>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</si>
  <si>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</si>
  <si>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</si>
  <si>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</si>
  <si>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</si>
  <si>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</si>
  <si>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</si>
  <si>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</si>
  <si>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</si>
  <si>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</si>
  <si>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</si>
  <si>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</si>
  <si>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</si>
  <si>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</si>
  <si>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</si>
  <si>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</si>
  <si>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</si>
  <si>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</si>
  <si>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</si>
  <si>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</si>
  <si>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</si>
  <si>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</si>
  <si>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</si>
  <si>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</si>
  <si>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</si>
  <si>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</si>
  <si>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</si>
  <si>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</si>
  <si>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</si>
  <si>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</si>
  <si>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</si>
  <si>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</si>
  <si>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</si>
  <si>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</si>
  <si>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</si>
  <si>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</si>
  <si>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</si>
  <si>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</si>
  <si>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</si>
  <si>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</si>
  <si>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</si>
  <si>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</si>
  <si>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</si>
  <si>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</si>
  <si>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</si>
  <si>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</si>
  <si>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</si>
  <si>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</si>
  <si>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</si>
  <si>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</si>
  <si>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</si>
  <si>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</si>
  <si>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family val="3"/>
        <charset val="134"/>
      </rPr>
      <t>Ⅴ-西北旺</t>
    </r>
    <r>
      <rPr>
        <sz val="10"/>
        <color indexed="8"/>
        <rFont val="宋体"/>
        <family val="3"/>
        <charset val="134"/>
      </rPr>
      <t>Ⅰ</t>
    </r>
  </si>
  <si>
    <t>Ⅵ-兴1</t>
  </si>
  <si>
    <t>Ⅶ-农林园</t>
  </si>
  <si>
    <t>Ⅷ-亦1</t>
  </si>
  <si>
    <t>Ⅸ-平1</t>
  </si>
  <si>
    <r>
      <rPr>
        <sz val="10"/>
        <color theme="1"/>
        <rFont val="仿宋_GB2312"/>
        <family val="3"/>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</si>
  <si>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</si>
  <si>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</si>
  <si>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</si>
  <si>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</si>
  <si>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</si>
  <si>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</si>
  <si>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</si>
  <si>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</si>
  <si>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</si>
  <si>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family val="3"/>
        <charset val="134"/>
      </rPr>
      <t>Ⅴ-石景山园北</t>
    </r>
    <r>
      <rPr>
        <sz val="10"/>
        <color indexed="8"/>
        <rFont val="宋体"/>
        <family val="3"/>
        <charset val="134"/>
      </rPr>
      <t>Ⅰ</t>
    </r>
  </si>
  <si>
    <t>Ⅵ-昌3</t>
  </si>
  <si>
    <r>
      <rPr>
        <sz val="10"/>
        <color theme="1"/>
        <rFont val="仿宋_GB2312"/>
        <family val="3"/>
        <charset val="134"/>
      </rPr>
      <t>Ⅶ-苏家坨科技</t>
    </r>
    <r>
      <rPr>
        <sz val="10"/>
        <color indexed="8"/>
        <rFont val="宋体"/>
        <family val="3"/>
        <charset val="134"/>
      </rPr>
      <t>Ⅰ</t>
    </r>
  </si>
  <si>
    <t>Ⅷ-良乡开发区B</t>
  </si>
  <si>
    <t>Ⅸ-延1</t>
  </si>
  <si>
    <r>
      <rPr>
        <sz val="10"/>
        <color theme="1"/>
        <rFont val="仿宋_GB2312"/>
        <family val="3"/>
        <charset val="134"/>
      </rPr>
      <t>Ⅴ-石景山园北</t>
    </r>
    <r>
      <rPr>
        <sz val="10"/>
        <color indexed="8"/>
        <rFont val="宋体"/>
        <family val="3"/>
        <charset val="134"/>
      </rPr>
      <t>Ⅱ</t>
    </r>
  </si>
  <si>
    <t>Ⅵ-昌4</t>
  </si>
  <si>
    <r>
      <rPr>
        <sz val="10"/>
        <color theme="1"/>
        <rFont val="仿宋_GB2312"/>
        <family val="3"/>
        <charset val="134"/>
      </rPr>
      <t>Ⅶ-苏家坨科技</t>
    </r>
    <r>
      <rPr>
        <sz val="10"/>
        <color indexed="8"/>
        <rFont val="宋体"/>
        <family val="3"/>
        <charset val="134"/>
      </rPr>
      <t>Ⅱ</t>
    </r>
  </si>
  <si>
    <t>Ⅷ-良乡开发区C</t>
  </si>
  <si>
    <t>Ⅸ-亦1</t>
  </si>
  <si>
    <t>Ⅵ-亦1</t>
  </si>
  <si>
    <r>
      <rPr>
        <sz val="10"/>
        <color theme="1"/>
        <rFont val="仿宋_GB2312"/>
        <family val="3"/>
        <charset val="134"/>
      </rPr>
      <t>Ⅶ-丰台园西</t>
    </r>
    <r>
      <rPr>
        <sz val="10"/>
        <color indexed="8"/>
        <rFont val="宋体"/>
        <family val="3"/>
        <charset val="134"/>
      </rPr>
      <t>Ⅰ</t>
    </r>
  </si>
  <si>
    <t>Ⅷ-通州环保园</t>
  </si>
  <si>
    <t>Ⅸ-房山工业园东</t>
  </si>
  <si>
    <t>Ⅵ-创新园</t>
  </si>
  <si>
    <r>
      <rPr>
        <sz val="10"/>
        <color theme="1"/>
        <rFont val="仿宋_GB2312"/>
        <family val="3"/>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</si>
  <si>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</si>
  <si>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</si>
  <si>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</si>
  <si>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</si>
  <si>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</si>
  <si>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</si>
  <si>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family val="3"/>
        <charset val="134"/>
      </rPr>
      <t>Ⅵ-温泉科技</t>
    </r>
    <r>
      <rPr>
        <sz val="10"/>
        <color indexed="8"/>
        <rFont val="宋体"/>
        <family val="3"/>
        <charset val="134"/>
      </rPr>
      <t>Ⅰ</t>
    </r>
  </si>
  <si>
    <t>Ⅶ-光机电</t>
  </si>
  <si>
    <t>Ⅷ-生物医药基地</t>
  </si>
  <si>
    <t>Ⅸ-永乐开发区</t>
  </si>
  <si>
    <r>
      <rPr>
        <sz val="10"/>
        <color theme="1"/>
        <rFont val="仿宋_GB2312"/>
        <family val="3"/>
        <charset val="134"/>
      </rPr>
      <t>Ⅵ-温泉科技</t>
    </r>
    <r>
      <rPr>
        <sz val="10"/>
        <color indexed="8"/>
        <rFont val="宋体"/>
        <family val="3"/>
        <charset val="134"/>
      </rPr>
      <t>Ⅱ</t>
    </r>
  </si>
  <si>
    <t>Ⅶ-通州开发区西</t>
  </si>
  <si>
    <t>Ⅷ-小汤山工业园</t>
  </si>
  <si>
    <t>Ⅸ-采育开发区</t>
  </si>
  <si>
    <r>
      <rPr>
        <sz val="10"/>
        <color theme="1"/>
        <rFont val="仿宋_GB2312"/>
        <family val="3"/>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</si>
  <si>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</si>
  <si>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</si>
  <si>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</si>
  <si>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</si>
  <si>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</si>
  <si>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</si>
  <si>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family val="3"/>
        <charset val="134"/>
      </rPr>
      <t>Ⅶ-昌平园南</t>
    </r>
    <r>
      <rPr>
        <sz val="10"/>
        <color indexed="8"/>
        <rFont val="宋体"/>
        <family val="3"/>
        <charset val="134"/>
      </rPr>
      <t>Ⅰ</t>
    </r>
  </si>
  <si>
    <t>Ⅸ-雁栖开发区A</t>
  </si>
  <si>
    <t>Ⅵ-天竺保税区北2</t>
  </si>
  <si>
    <r>
      <rPr>
        <sz val="10"/>
        <color theme="1"/>
        <rFont val="仿宋_GB2312"/>
        <family val="3"/>
        <charset val="134"/>
      </rPr>
      <t>Ⅶ-昌平园南</t>
    </r>
    <r>
      <rPr>
        <sz val="10"/>
        <color indexed="8"/>
        <rFont val="宋体"/>
        <family val="3"/>
        <charset val="134"/>
      </rPr>
      <t>Ⅱ</t>
    </r>
  </si>
  <si>
    <t>Ⅸ-雁栖开发区B</t>
  </si>
  <si>
    <t>Ⅵ-空港A</t>
  </si>
  <si>
    <r>
      <rPr>
        <sz val="10"/>
        <color theme="1"/>
        <rFont val="仿宋_GB2312"/>
        <family val="3"/>
        <charset val="134"/>
      </rPr>
      <t>Ⅶ-昌平园北</t>
    </r>
    <r>
      <rPr>
        <sz val="10"/>
        <color indexed="8"/>
        <rFont val="宋体"/>
        <family val="3"/>
        <charset val="134"/>
      </rPr>
      <t>Ⅰ</t>
    </r>
  </si>
  <si>
    <t>Ⅸ-雁栖开发区C</t>
  </si>
  <si>
    <t>Ⅵ-空港B</t>
  </si>
  <si>
    <r>
      <rPr>
        <sz val="10"/>
        <color theme="1"/>
        <rFont val="仿宋_GB2312"/>
        <family val="3"/>
        <charset val="134"/>
      </rPr>
      <t>Ⅶ-昌平园北</t>
    </r>
    <r>
      <rPr>
        <sz val="10"/>
        <color indexed="8"/>
        <rFont val="宋体"/>
        <family val="3"/>
        <charset val="134"/>
      </rPr>
      <t>Ⅱ</t>
    </r>
  </si>
  <si>
    <t>Ⅸ-密云开发区</t>
  </si>
  <si>
    <t>Ⅵ-生命科学园</t>
  </si>
  <si>
    <r>
      <rPr>
        <sz val="10"/>
        <color theme="1"/>
        <rFont val="仿宋_GB2312"/>
        <family val="3"/>
        <charset val="134"/>
      </rPr>
      <t>Ⅶ-昌平园北</t>
    </r>
    <r>
      <rPr>
        <sz val="10"/>
        <color indexed="8"/>
        <rFont val="宋体"/>
        <family val="3"/>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</si>
  <si>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</si>
  <si>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</si>
  <si>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</si>
  <si>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</si>
  <si>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</si>
  <si>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</si>
  <si>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</si>
  <si>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</si>
  <si>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</si>
  <si>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</si>
  <si>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</si>
  <si>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</si>
  <si>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</si>
  <si>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</si>
  <si>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</si>
  <si>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</si>
  <si>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</si>
  <si>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</si>
  <si>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</si>
  <si>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</si>
  <si>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</si>
  <si>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</si>
  <si>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</si>
  <si>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</si>
  <si>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</si>
  <si>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</si>
  <si>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</si>
  <si>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</si>
  <si>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</si>
  <si>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</si>
  <si>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</si>
  <si>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</si>
  <si>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</si>
  <si>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</si>
  <si>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</si>
  <si>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</si>
  <si>
    <t>北京市基准地价表</t>
  </si>
  <si>
    <t>地价类型</t>
  </si>
  <si>
    <t>楼面熟地价</t>
  </si>
  <si>
    <t>（一）北京市级别基准地价表</t>
  </si>
  <si>
    <t>基准期日：２０１４年１月１日                        单位：元／建筑平方米</t>
  </si>
  <si>
    <t>低限</t>
  </si>
  <si>
    <t>高限</t>
  </si>
  <si>
    <t>平均</t>
  </si>
  <si>
    <t>地上</t>
    <phoneticPr fontId="225" type="noConversion"/>
  </si>
  <si>
    <t>地下</t>
    <phoneticPr fontId="225" type="noConversion"/>
  </si>
  <si>
    <t>A区5号楼</t>
    <phoneticPr fontId="225" type="noConversion"/>
  </si>
  <si>
    <t>A区6号楼</t>
    <phoneticPr fontId="225" type="noConversion"/>
  </si>
  <si>
    <t>A区7号楼</t>
    <phoneticPr fontId="225" type="noConversion"/>
  </si>
  <si>
    <t>A区8号楼</t>
    <phoneticPr fontId="225" type="noConversion"/>
  </si>
  <si>
    <t>A区9号楼、10号楼</t>
    <phoneticPr fontId="225" type="noConversion"/>
  </si>
  <si>
    <t>A区11号楼</t>
    <phoneticPr fontId="225" type="noConversion"/>
  </si>
  <si>
    <t>建筑面积</t>
    <phoneticPr fontId="225" type="noConversion"/>
  </si>
  <si>
    <t>层数</t>
    <phoneticPr fontId="225" type="noConversion"/>
  </si>
  <si>
    <t>地上</t>
    <phoneticPr fontId="225" type="noConversion"/>
  </si>
  <si>
    <t>合计</t>
    <phoneticPr fontId="225" type="noConversion"/>
  </si>
  <si>
    <t>A区1号楼、4号楼、12号楼、13号楼</t>
    <phoneticPr fontId="225" type="noConversion"/>
  </si>
  <si>
    <t>A区2号楼、3号楼</t>
    <phoneticPr fontId="225" type="noConversion"/>
  </si>
  <si>
    <t>坐落</t>
    <phoneticPr fontId="225" type="noConversion"/>
  </si>
  <si>
    <t>命名</t>
    <phoneticPr fontId="225" type="noConversion"/>
  </si>
  <si>
    <t>编号</t>
    <phoneticPr fontId="225" type="noConversion"/>
  </si>
  <si>
    <t>总面积</t>
    <phoneticPr fontId="225" type="noConversion"/>
  </si>
  <si>
    <t>计容面积</t>
    <phoneticPr fontId="225" type="noConversion"/>
  </si>
  <si>
    <t>不计容面积</t>
    <phoneticPr fontId="225" type="noConversion"/>
  </si>
  <si>
    <t>12#</t>
    <phoneticPr fontId="225" type="noConversion"/>
  </si>
  <si>
    <t>A区12#楼</t>
    <phoneticPr fontId="225" type="noConversion"/>
  </si>
  <si>
    <t>A区3#楼</t>
    <phoneticPr fontId="225" type="noConversion"/>
  </si>
  <si>
    <t>B区8#楼</t>
    <phoneticPr fontId="225" type="noConversion"/>
  </si>
  <si>
    <t>A区2#楼</t>
    <phoneticPr fontId="225" type="noConversion"/>
  </si>
  <si>
    <t>B区3#楼</t>
    <phoneticPr fontId="225" type="noConversion"/>
  </si>
  <si>
    <t>A区1#楼</t>
    <phoneticPr fontId="225" type="noConversion"/>
  </si>
  <si>
    <t>B区12#楼</t>
    <phoneticPr fontId="225" type="noConversion"/>
  </si>
  <si>
    <t>B区7#楼</t>
    <phoneticPr fontId="225" type="noConversion"/>
  </si>
  <si>
    <t>B区11#楼</t>
    <phoneticPr fontId="225" type="noConversion"/>
  </si>
  <si>
    <t>A区5#楼</t>
    <phoneticPr fontId="225" type="noConversion"/>
  </si>
  <si>
    <t>3#</t>
    <phoneticPr fontId="225" type="noConversion"/>
  </si>
  <si>
    <t>2#</t>
    <phoneticPr fontId="225" type="noConversion"/>
  </si>
  <si>
    <t>1#</t>
    <phoneticPr fontId="225" type="noConversion"/>
  </si>
  <si>
    <t>21#</t>
    <phoneticPr fontId="225" type="noConversion"/>
  </si>
  <si>
    <t>16#</t>
    <phoneticPr fontId="225" type="noConversion"/>
  </si>
  <si>
    <t>25#</t>
    <phoneticPr fontId="225" type="noConversion"/>
  </si>
  <si>
    <t>20#</t>
    <phoneticPr fontId="225" type="noConversion"/>
  </si>
  <si>
    <t>24#</t>
    <phoneticPr fontId="225" type="noConversion"/>
  </si>
  <si>
    <t>5#</t>
    <phoneticPr fontId="225" type="noConversion"/>
  </si>
  <si>
    <t>B区1#楼</t>
    <phoneticPr fontId="225" type="noConversion"/>
  </si>
  <si>
    <t>A区4#楼</t>
    <phoneticPr fontId="225" type="noConversion"/>
  </si>
  <si>
    <t>B区6#楼</t>
    <phoneticPr fontId="225" type="noConversion"/>
  </si>
  <si>
    <t>B区2#楼</t>
    <phoneticPr fontId="225" type="noConversion"/>
  </si>
  <si>
    <t>A区13#楼</t>
    <phoneticPr fontId="225" type="noConversion"/>
  </si>
  <si>
    <t>B区4#楼</t>
    <phoneticPr fontId="225" type="noConversion"/>
  </si>
  <si>
    <t>A区6#楼</t>
    <phoneticPr fontId="225" type="noConversion"/>
  </si>
  <si>
    <t>A区10#楼</t>
    <phoneticPr fontId="225" type="noConversion"/>
  </si>
  <si>
    <t>A区8#楼</t>
    <phoneticPr fontId="225" type="noConversion"/>
  </si>
  <si>
    <t>B区5#楼</t>
    <phoneticPr fontId="225" type="noConversion"/>
  </si>
  <si>
    <t>A区7#楼</t>
    <phoneticPr fontId="225" type="noConversion"/>
  </si>
  <si>
    <t>A区11#楼</t>
    <phoneticPr fontId="225" type="noConversion"/>
  </si>
  <si>
    <t>B区10#楼</t>
    <phoneticPr fontId="225" type="noConversion"/>
  </si>
  <si>
    <t>A区9#楼</t>
    <phoneticPr fontId="225" type="noConversion"/>
  </si>
  <si>
    <t>B区9#楼</t>
    <phoneticPr fontId="225" type="noConversion"/>
  </si>
  <si>
    <t>14#</t>
    <phoneticPr fontId="225" type="noConversion"/>
  </si>
  <si>
    <t>4#</t>
    <phoneticPr fontId="225" type="noConversion"/>
  </si>
  <si>
    <t>19#</t>
    <phoneticPr fontId="225" type="noConversion"/>
  </si>
  <si>
    <t>15#</t>
    <phoneticPr fontId="225" type="noConversion"/>
  </si>
  <si>
    <t>13#</t>
    <phoneticPr fontId="225" type="noConversion"/>
  </si>
  <si>
    <t>17#</t>
    <phoneticPr fontId="225" type="noConversion"/>
  </si>
  <si>
    <t>6#</t>
    <phoneticPr fontId="225" type="noConversion"/>
  </si>
  <si>
    <t>10#</t>
    <phoneticPr fontId="225" type="noConversion"/>
  </si>
  <si>
    <t>8#</t>
    <phoneticPr fontId="225" type="noConversion"/>
  </si>
  <si>
    <t>18#</t>
    <phoneticPr fontId="225" type="noConversion"/>
  </si>
  <si>
    <t>7#</t>
    <phoneticPr fontId="225" type="noConversion"/>
  </si>
  <si>
    <t>11#</t>
    <phoneticPr fontId="225" type="noConversion"/>
  </si>
  <si>
    <t>23#</t>
    <phoneticPr fontId="225" type="noConversion"/>
  </si>
  <si>
    <t>9#</t>
    <phoneticPr fontId="225" type="noConversion"/>
  </si>
  <si>
    <t>22#</t>
    <phoneticPr fontId="225" type="noConversion"/>
  </si>
  <si>
    <t>建筑工程施工许可证[编号520101201406111201]（A区）</t>
    <phoneticPr fontId="225" type="noConversion"/>
  </si>
  <si>
    <t>A区合计</t>
    <phoneticPr fontId="225" type="noConversion"/>
  </si>
  <si>
    <t>B区合计</t>
    <phoneticPr fontId="225" type="noConversion"/>
  </si>
  <si>
    <t>建筑工程施工许可证[编号520101201406111301]（B区）</t>
    <phoneticPr fontId="225" type="noConversion"/>
  </si>
  <si>
    <t>部位</t>
    <phoneticPr fontId="225" type="noConversion"/>
  </si>
  <si>
    <t>分层性质</t>
    <phoneticPr fontId="225" type="noConversion"/>
  </si>
  <si>
    <t>建筑面积</t>
    <phoneticPr fontId="225" type="noConversion"/>
  </si>
  <si>
    <t>小计</t>
    <phoneticPr fontId="225" type="noConversion"/>
  </si>
  <si>
    <t>计入容积率部分建筑面积</t>
    <phoneticPr fontId="225" type="noConversion"/>
  </si>
  <si>
    <t>建设工程竣工规划许可证[竣字第：筑规竣字20150089号]（A区、B区）</t>
    <phoneticPr fontId="225" type="noConversion"/>
  </si>
  <si>
    <t>部位</t>
    <phoneticPr fontId="225" type="noConversion"/>
  </si>
  <si>
    <t>不计入容积率部分建筑面积</t>
    <phoneticPr fontId="225" type="noConversion"/>
  </si>
  <si>
    <t>分层性质</t>
    <phoneticPr fontId="225" type="noConversion"/>
  </si>
  <si>
    <t>仓储</t>
    <phoneticPr fontId="225" type="noConversion"/>
  </si>
  <si>
    <t>2号楼</t>
    <phoneticPr fontId="225" type="noConversion"/>
  </si>
  <si>
    <t>3号楼</t>
    <phoneticPr fontId="225" type="noConversion"/>
  </si>
  <si>
    <t>5号楼</t>
    <phoneticPr fontId="225" type="noConversion"/>
  </si>
  <si>
    <t>6号楼</t>
    <phoneticPr fontId="225" type="noConversion"/>
  </si>
  <si>
    <t>7号楼</t>
    <phoneticPr fontId="225" type="noConversion"/>
  </si>
  <si>
    <t>8号楼</t>
    <phoneticPr fontId="225" type="noConversion"/>
  </si>
  <si>
    <t>9号楼、10号楼</t>
    <phoneticPr fontId="225" type="noConversion"/>
  </si>
  <si>
    <t>11号楼</t>
    <phoneticPr fontId="225" type="noConversion"/>
  </si>
  <si>
    <t>1号楼、4号楼、12号楼、13号楼</t>
    <phoneticPr fontId="225" type="noConversion"/>
  </si>
  <si>
    <t>其他设备用房</t>
    <phoneticPr fontId="225" type="noConversion"/>
  </si>
  <si>
    <t>A区</t>
    <phoneticPr fontId="225" type="noConversion"/>
  </si>
  <si>
    <t>1号楼</t>
    <phoneticPr fontId="225" type="noConversion"/>
  </si>
  <si>
    <t>2号楼、8号楼、10号楼、11号楼</t>
    <phoneticPr fontId="225" type="noConversion"/>
  </si>
  <si>
    <t>4号楼、5号楼、6号楼</t>
    <phoneticPr fontId="225" type="noConversion"/>
  </si>
  <si>
    <t>9号楼</t>
    <phoneticPr fontId="225" type="noConversion"/>
  </si>
  <si>
    <t>B区</t>
    <phoneticPr fontId="225" type="noConversion"/>
  </si>
  <si>
    <t>A区合计</t>
    <phoneticPr fontId="225" type="noConversion"/>
  </si>
  <si>
    <t>B区合计</t>
    <phoneticPr fontId="225" type="noConversion"/>
  </si>
  <si>
    <t>用地单位</t>
    <phoneticPr fontId="225" type="noConversion"/>
  </si>
  <si>
    <t>用地性质</t>
    <phoneticPr fontId="225" type="noConversion"/>
  </si>
  <si>
    <t>用地面积</t>
    <phoneticPr fontId="225" type="noConversion"/>
  </si>
  <si>
    <t>建设用地面积</t>
    <phoneticPr fontId="225" type="noConversion"/>
  </si>
  <si>
    <t>A-F区</t>
    <phoneticPr fontId="225" type="noConversion"/>
  </si>
  <si>
    <t>B区</t>
    <phoneticPr fontId="225" type="noConversion"/>
  </si>
  <si>
    <t>C区</t>
    <phoneticPr fontId="225" type="noConversion"/>
  </si>
  <si>
    <t>仓储</t>
    <phoneticPr fontId="225" type="noConversion"/>
  </si>
  <si>
    <t>贵阳西南国际商贸城有限公司</t>
    <phoneticPr fontId="225" type="noConversion"/>
  </si>
  <si>
    <t>地号</t>
    <phoneticPr fontId="225" type="noConversion"/>
  </si>
  <si>
    <t>地类（用途）</t>
    <phoneticPr fontId="225" type="noConversion"/>
  </si>
  <si>
    <t>使用权类型</t>
    <phoneticPr fontId="225" type="noConversion"/>
  </si>
  <si>
    <t>终止日期</t>
    <phoneticPr fontId="225" type="noConversion"/>
  </si>
  <si>
    <t>使用权面积</t>
    <phoneticPr fontId="225" type="noConversion"/>
  </si>
  <si>
    <t>出让国有土地使用权</t>
    <phoneticPr fontId="225" type="noConversion"/>
  </si>
  <si>
    <t>520115204099GB00018</t>
    <phoneticPr fontId="225" type="noConversion"/>
  </si>
  <si>
    <t>国有土地使用证[黔筑高新国用（2014）第40号]（A区）</t>
    <phoneticPr fontId="225" type="noConversion"/>
  </si>
  <si>
    <t>备注：</t>
    <phoneticPr fontId="225" type="noConversion"/>
  </si>
  <si>
    <t>不动产权证书[黔（2017）观山湖区不动产权第0045305号]（C区）</t>
    <phoneticPr fontId="225" type="noConversion"/>
  </si>
  <si>
    <t>不动产单元号</t>
    <phoneticPr fontId="225" type="noConversion"/>
  </si>
  <si>
    <t>权利性质</t>
    <phoneticPr fontId="225" type="noConversion"/>
  </si>
  <si>
    <t>用途</t>
    <phoneticPr fontId="225" type="noConversion"/>
  </si>
  <si>
    <t>使用期限</t>
    <phoneticPr fontId="225" type="noConversion"/>
  </si>
  <si>
    <t>面积</t>
    <phoneticPr fontId="225" type="noConversion"/>
  </si>
  <si>
    <t>出让</t>
    <phoneticPr fontId="225" type="noConversion"/>
  </si>
  <si>
    <t>仓储用地</t>
    <phoneticPr fontId="225" type="noConversion"/>
  </si>
  <si>
    <t>520115304099GB00008W00000000</t>
    <phoneticPr fontId="225" type="noConversion"/>
  </si>
  <si>
    <t>备注：宗地编号：GB00008-063；竣工日期延期至2020年12月31日；期限届满后用地单位需到发证机关办理不动产变更登记。</t>
    <phoneticPr fontId="225" type="noConversion"/>
  </si>
  <si>
    <t>国有土地使用证[黔筑高新国用（2014）第41号]（B区）</t>
    <phoneticPr fontId="225" type="noConversion"/>
  </si>
  <si>
    <t>备注：2013-38地块</t>
    <phoneticPr fontId="225" type="noConversion"/>
  </si>
  <si>
    <t>520115204099GB00019</t>
    <phoneticPr fontId="225" type="noConversion"/>
  </si>
  <si>
    <t>C地下室</t>
    <phoneticPr fontId="225" type="noConversion"/>
  </si>
  <si>
    <r>
      <t>27#</t>
    </r>
    <r>
      <rPr>
        <sz val="11"/>
        <color theme="1"/>
        <rFont val="宋体"/>
        <family val="3"/>
        <charset val="134"/>
        <scheme val="minor"/>
      </rPr>
      <t/>
    </r>
  </si>
  <si>
    <r>
      <t>28#</t>
    </r>
    <r>
      <rPr>
        <sz val="11"/>
        <color theme="1"/>
        <rFont val="宋体"/>
        <family val="3"/>
        <charset val="134"/>
        <scheme val="minor"/>
      </rPr>
      <t/>
    </r>
  </si>
  <si>
    <r>
      <t>29#</t>
    </r>
    <r>
      <rPr>
        <sz val="11"/>
        <color theme="1"/>
        <rFont val="宋体"/>
        <family val="3"/>
        <charset val="134"/>
        <scheme val="minor"/>
      </rPr>
      <t/>
    </r>
  </si>
  <si>
    <r>
      <t>30#</t>
    </r>
    <r>
      <rPr>
        <sz val="11"/>
        <color theme="1"/>
        <rFont val="宋体"/>
        <family val="3"/>
        <charset val="134"/>
        <scheme val="minor"/>
      </rPr>
      <t/>
    </r>
  </si>
  <si>
    <r>
      <t>31#</t>
    </r>
    <r>
      <rPr>
        <sz val="11"/>
        <color theme="1"/>
        <rFont val="宋体"/>
        <family val="3"/>
        <charset val="134"/>
        <scheme val="minor"/>
      </rPr>
      <t/>
    </r>
  </si>
  <si>
    <r>
      <t>32#</t>
    </r>
    <r>
      <rPr>
        <sz val="11"/>
        <color theme="1"/>
        <rFont val="宋体"/>
        <family val="3"/>
        <charset val="134"/>
        <scheme val="minor"/>
      </rPr>
      <t/>
    </r>
  </si>
  <si>
    <r>
      <t>33#</t>
    </r>
    <r>
      <rPr>
        <sz val="11"/>
        <color theme="1"/>
        <rFont val="宋体"/>
        <family val="3"/>
        <charset val="134"/>
        <scheme val="minor"/>
      </rPr>
      <t/>
    </r>
  </si>
  <si>
    <r>
      <t>34#</t>
    </r>
    <r>
      <rPr>
        <sz val="11"/>
        <color theme="1"/>
        <rFont val="宋体"/>
        <family val="3"/>
        <charset val="134"/>
        <scheme val="minor"/>
      </rPr>
      <t/>
    </r>
  </si>
  <si>
    <t>C区合计</t>
    <phoneticPr fontId="225" type="noConversion"/>
  </si>
  <si>
    <t>C-1#楼</t>
    <phoneticPr fontId="225" type="noConversion"/>
  </si>
  <si>
    <t>26#</t>
    <phoneticPr fontId="225" type="noConversion"/>
  </si>
  <si>
    <r>
      <t>C-2#楼</t>
    </r>
    <r>
      <rPr>
        <sz val="11"/>
        <color theme="1"/>
        <rFont val="宋体"/>
        <family val="2"/>
        <charset val="134"/>
        <scheme val="minor"/>
      </rPr>
      <t/>
    </r>
  </si>
  <si>
    <r>
      <t>C-3#楼</t>
    </r>
    <r>
      <rPr>
        <sz val="11"/>
        <color theme="1"/>
        <rFont val="宋体"/>
        <family val="2"/>
        <charset val="134"/>
        <scheme val="minor"/>
      </rPr>
      <t/>
    </r>
  </si>
  <si>
    <r>
      <t>C-4#楼</t>
    </r>
    <r>
      <rPr>
        <sz val="11"/>
        <color theme="1"/>
        <rFont val="宋体"/>
        <family val="2"/>
        <charset val="134"/>
        <scheme val="minor"/>
      </rPr>
      <t/>
    </r>
  </si>
  <si>
    <r>
      <t>C-5#楼</t>
    </r>
    <r>
      <rPr>
        <sz val="11"/>
        <color theme="1"/>
        <rFont val="宋体"/>
        <family val="2"/>
        <charset val="134"/>
        <scheme val="minor"/>
      </rPr>
      <t/>
    </r>
  </si>
  <si>
    <r>
      <t>C-6#楼</t>
    </r>
    <r>
      <rPr>
        <sz val="11"/>
        <color theme="1"/>
        <rFont val="宋体"/>
        <family val="2"/>
        <charset val="134"/>
        <scheme val="minor"/>
      </rPr>
      <t/>
    </r>
  </si>
  <si>
    <r>
      <t>C-7#楼</t>
    </r>
    <r>
      <rPr>
        <sz val="11"/>
        <color theme="1"/>
        <rFont val="宋体"/>
        <family val="2"/>
        <charset val="134"/>
        <scheme val="minor"/>
      </rPr>
      <t/>
    </r>
  </si>
  <si>
    <r>
      <t>C-8#楼</t>
    </r>
    <r>
      <rPr>
        <sz val="11"/>
        <color theme="1"/>
        <rFont val="宋体"/>
        <family val="2"/>
        <charset val="134"/>
        <scheme val="minor"/>
      </rPr>
      <t/>
    </r>
  </si>
  <si>
    <t>建筑工程施工许可证[编号520101201701250201]（C区）</t>
    <phoneticPr fontId="225" type="noConversion"/>
  </si>
  <si>
    <t>/</t>
    <phoneticPr fontId="225" type="noConversion"/>
  </si>
  <si>
    <t>C区合计</t>
    <phoneticPr fontId="225" type="noConversion"/>
  </si>
  <si>
    <t>建设工程竣工规划许可证[竣字第：筑规竣字20170166号]（C区）</t>
    <phoneticPr fontId="225" type="noConversion"/>
  </si>
  <si>
    <t>国有建设用地使用权出让合同[电子监管号：5201122014B00026](A-F区)；出让金1.05亿；主体建筑物性质仓储；总建筑面积752905.8平方米；容积率不高于2；补充合同约定1.交付时间由2015年1月20日变更为2017年12月31日前；竣工由2014年7月31日前开工，2016年7月31日前竣工变更为在2018年12月31日前开工，2020年12月31日前竣工。</t>
    <phoneticPr fontId="225" type="noConversion"/>
  </si>
  <si>
    <t>备注：5-6#未见</t>
    <phoneticPr fontId="225" type="noConversion"/>
  </si>
  <si>
    <t>仓储区统计表</t>
  </si>
  <si>
    <t>仓储物流A区</t>
  </si>
  <si>
    <t>附件：二期仓储物流A区   国有土地使用证
附件：二期仓储 建设用地规划许可证
附件：二期仓储A区 建筑工程施工许可证（2016.01.07）
附件：二期仓储AB区 建设工程规划许可证
附件：二期仓储AB 建设工程竣工规划许可证</t>
  </si>
  <si>
    <t>其中1间为变电所</t>
  </si>
  <si>
    <t>A5</t>
  </si>
  <si>
    <t>A6</t>
  </si>
  <si>
    <t>A7</t>
  </si>
  <si>
    <t>A8</t>
  </si>
  <si>
    <t>A9</t>
  </si>
  <si>
    <t>A10</t>
  </si>
  <si>
    <t>A11</t>
  </si>
  <si>
    <t>A12</t>
  </si>
  <si>
    <t>A13</t>
  </si>
  <si>
    <t>A区小计</t>
  </si>
  <si>
    <t>仓储物流B区</t>
  </si>
  <si>
    <t>B1</t>
  </si>
  <si>
    <t>附件：二期仓储物流B区    国有土地使用证
附件：二期仓储 建设用地规划许可证
附件：二期仓储B区 建筑工程施工许可证
附件：二期仓储AB区 建设工程规划许可证
附件：二期仓储AB 建设工程竣工规划许可证</t>
  </si>
  <si>
    <t>B2</t>
  </si>
  <si>
    <t>B3</t>
  </si>
  <si>
    <t>B4</t>
  </si>
  <si>
    <t>B5</t>
  </si>
  <si>
    <t>B6</t>
  </si>
  <si>
    <t>B7</t>
  </si>
  <si>
    <t>B8</t>
  </si>
  <si>
    <t>B9</t>
  </si>
  <si>
    <t>B10</t>
  </si>
  <si>
    <t>B11</t>
  </si>
  <si>
    <t>B区小计</t>
  </si>
  <si>
    <t>A、B区合计</t>
  </si>
  <si>
    <t>仓储物流C区</t>
  </si>
  <si>
    <t>C1-4栋合计</t>
  </si>
  <si>
    <t>预测面积，还未出实测面积（根据前期科的单体图填写）</t>
  </si>
  <si>
    <t xml:space="preserve">附件：二期C区不动产权证（最新）
附件：二期仓储建设用地规划许可证
附件：二期C区建设工程规划许可证（20170621）
附件：二期C区  施工许可证
附件：仓储C区5-8#楼竣工规划认可证
</t>
  </si>
  <si>
    <t>C5</t>
  </si>
  <si>
    <t>其中7间图纸显示与规划不符，面积：504.86㎡</t>
  </si>
  <si>
    <t>C6</t>
  </si>
  <si>
    <t>幼儿园</t>
  </si>
  <si>
    <t>C7</t>
  </si>
  <si>
    <t>C8</t>
  </si>
  <si>
    <r>
      <rPr>
        <sz val="10"/>
        <color rgb="FF000000"/>
        <rFont val="宋体"/>
        <family val="3"/>
        <charset val="134"/>
      </rPr>
      <t>C</t>
    </r>
    <r>
      <rPr>
        <sz val="10"/>
        <color indexed="8"/>
        <rFont val="宋体"/>
        <family val="3"/>
        <charset val="134"/>
      </rPr>
      <t>区小计</t>
    </r>
  </si>
  <si>
    <t>备注：该计容面积为整栋计容面积（数据为工程部提供）
      平均租金为=2017年已收租金/2018年3月30日实时已租面积（实时已租面积则包含2018年租赁面积）</t>
  </si>
  <si>
    <t>A、B、C区合计</t>
  </si>
  <si>
    <t>证号</t>
    <phoneticPr fontId="225" type="noConversion"/>
  </si>
  <si>
    <t>建设单位</t>
    <phoneticPr fontId="225" type="noConversion"/>
  </si>
  <si>
    <t>坐落</t>
    <phoneticPr fontId="225" type="noConversion"/>
  </si>
  <si>
    <t>项目名称</t>
    <phoneticPr fontId="225" type="noConversion"/>
  </si>
  <si>
    <t>容积率</t>
    <phoneticPr fontId="225" type="noConversion"/>
  </si>
  <si>
    <t>规划用途</t>
    <phoneticPr fontId="225" type="noConversion"/>
  </si>
  <si>
    <t>所在楼层</t>
    <phoneticPr fontId="225" type="noConversion"/>
  </si>
  <si>
    <t>套数</t>
    <phoneticPr fontId="225" type="noConversion"/>
  </si>
  <si>
    <t>土地证号</t>
    <phoneticPr fontId="225" type="noConversion"/>
  </si>
  <si>
    <t>使用权类型</t>
    <phoneticPr fontId="225" type="noConversion"/>
  </si>
  <si>
    <t>终止日期</t>
    <phoneticPr fontId="225" type="noConversion"/>
  </si>
  <si>
    <t>结构</t>
    <phoneticPr fontId="225" type="noConversion"/>
  </si>
  <si>
    <t>房屋性质</t>
    <phoneticPr fontId="225" type="noConversion"/>
  </si>
  <si>
    <t>栋编号</t>
    <phoneticPr fontId="225" type="noConversion"/>
  </si>
  <si>
    <t>贵阳西南国际商贸城有限公司</t>
    <phoneticPr fontId="225" type="noConversion"/>
  </si>
  <si>
    <t>贵阳西南国际商贸城二期仓储物流B区</t>
    <phoneticPr fontId="225" type="noConversion"/>
  </si>
  <si>
    <t>商品房</t>
    <phoneticPr fontId="225" type="noConversion"/>
  </si>
  <si>
    <t>钢筋混凝土</t>
    <phoneticPr fontId="225" type="noConversion"/>
  </si>
  <si>
    <t>仓库</t>
    <phoneticPr fontId="225" type="noConversion"/>
  </si>
  <si>
    <t>第1-5层</t>
    <phoneticPr fontId="225" type="noConversion"/>
  </si>
  <si>
    <t>出让</t>
    <phoneticPr fontId="225" type="noConversion"/>
  </si>
  <si>
    <t>备注</t>
    <phoneticPr fontId="225" type="noConversion"/>
  </si>
  <si>
    <t>合计</t>
    <phoneticPr fontId="225" type="noConversion"/>
  </si>
  <si>
    <r>
      <t>筑房（2015）现售字第（0288）号</t>
    </r>
    <r>
      <rPr>
        <sz val="11"/>
        <color theme="1"/>
        <rFont val="宋体"/>
        <family val="2"/>
        <charset val="134"/>
        <scheme val="minor"/>
      </rPr>
      <t/>
    </r>
  </si>
  <si>
    <r>
      <t>观山湖区绕城高速公里贵阳西南国际商贸城二期仓储物流B区2号楼</t>
    </r>
    <r>
      <rPr>
        <sz val="11"/>
        <color theme="1"/>
        <rFont val="宋体"/>
        <family val="2"/>
        <charset val="134"/>
        <scheme val="minor"/>
      </rPr>
      <t/>
    </r>
  </si>
  <si>
    <r>
      <t>筑房（2015）现售字第（0289）号</t>
    </r>
    <r>
      <rPr>
        <sz val="11"/>
        <color theme="1"/>
        <rFont val="宋体"/>
        <family val="2"/>
        <charset val="134"/>
        <scheme val="minor"/>
      </rPr>
      <t/>
    </r>
  </si>
  <si>
    <r>
      <t>观山湖区绕城高速公里贵阳西南国际商贸城二期仓储物流B区3号楼</t>
    </r>
    <r>
      <rPr>
        <sz val="11"/>
        <color theme="1"/>
        <rFont val="宋体"/>
        <family val="2"/>
        <charset val="134"/>
        <scheme val="minor"/>
      </rPr>
      <t/>
    </r>
  </si>
  <si>
    <r>
      <t>筑房（2015）现售字第（0290）号</t>
    </r>
    <r>
      <rPr>
        <sz val="11"/>
        <color theme="1"/>
        <rFont val="宋体"/>
        <family val="2"/>
        <charset val="134"/>
        <scheme val="minor"/>
      </rPr>
      <t/>
    </r>
  </si>
  <si>
    <r>
      <t>观山湖区绕城高速公里贵阳西南国际商贸城二期仓储物流B区4号楼</t>
    </r>
    <r>
      <rPr>
        <sz val="11"/>
        <color theme="1"/>
        <rFont val="宋体"/>
        <family val="2"/>
        <charset val="134"/>
        <scheme val="minor"/>
      </rPr>
      <t/>
    </r>
  </si>
  <si>
    <r>
      <t>筑房（2015）现售字第（0291）号</t>
    </r>
    <r>
      <rPr>
        <sz val="11"/>
        <color theme="1"/>
        <rFont val="宋体"/>
        <family val="2"/>
        <charset val="134"/>
        <scheme val="minor"/>
      </rPr>
      <t/>
    </r>
  </si>
  <si>
    <r>
      <t>观山湖区绕城高速公里贵阳西南国际商贸城二期仓储物流B区5号楼</t>
    </r>
    <r>
      <rPr>
        <sz val="11"/>
        <color theme="1"/>
        <rFont val="宋体"/>
        <family val="2"/>
        <charset val="134"/>
        <scheme val="minor"/>
      </rPr>
      <t/>
    </r>
  </si>
  <si>
    <r>
      <t>筑房（2015）现售字第（0292）号</t>
    </r>
    <r>
      <rPr>
        <sz val="11"/>
        <color theme="1"/>
        <rFont val="宋体"/>
        <family val="2"/>
        <charset val="134"/>
        <scheme val="minor"/>
      </rPr>
      <t/>
    </r>
  </si>
  <si>
    <r>
      <t>观山湖区绕城高速公里贵阳西南国际商贸城二期仓储物流B区6号楼</t>
    </r>
    <r>
      <rPr>
        <sz val="11"/>
        <color theme="1"/>
        <rFont val="宋体"/>
        <family val="2"/>
        <charset val="134"/>
        <scheme val="minor"/>
      </rPr>
      <t/>
    </r>
  </si>
  <si>
    <r>
      <t>筑房（2015）现售字第（0293）号</t>
    </r>
    <r>
      <rPr>
        <sz val="11"/>
        <color theme="1"/>
        <rFont val="宋体"/>
        <family val="2"/>
        <charset val="134"/>
        <scheme val="minor"/>
      </rPr>
      <t/>
    </r>
  </si>
  <si>
    <r>
      <t>观山湖区绕城高速公里贵阳西南国际商贸城二期仓储物流B区7号楼</t>
    </r>
    <r>
      <rPr>
        <sz val="11"/>
        <color theme="1"/>
        <rFont val="宋体"/>
        <family val="2"/>
        <charset val="134"/>
        <scheme val="minor"/>
      </rPr>
      <t/>
    </r>
  </si>
  <si>
    <r>
      <t>筑房（2015）现售字第（0294）号</t>
    </r>
    <r>
      <rPr>
        <sz val="11"/>
        <color theme="1"/>
        <rFont val="宋体"/>
        <family val="2"/>
        <charset val="134"/>
        <scheme val="minor"/>
      </rPr>
      <t/>
    </r>
  </si>
  <si>
    <r>
      <t>观山湖区绕城高速公里贵阳西南国际商贸城二期仓储物流B区8号楼</t>
    </r>
    <r>
      <rPr>
        <sz val="11"/>
        <color theme="1"/>
        <rFont val="宋体"/>
        <family val="2"/>
        <charset val="134"/>
        <scheme val="minor"/>
      </rPr>
      <t/>
    </r>
  </si>
  <si>
    <r>
      <t>筑房（2015）现售字第（0295）号</t>
    </r>
    <r>
      <rPr>
        <sz val="11"/>
        <color theme="1"/>
        <rFont val="宋体"/>
        <family val="2"/>
        <charset val="134"/>
        <scheme val="minor"/>
      </rPr>
      <t/>
    </r>
  </si>
  <si>
    <r>
      <t>观山湖区绕城高速公里贵阳西南国际商贸城二期仓储物流B区9号楼</t>
    </r>
    <r>
      <rPr>
        <sz val="11"/>
        <color theme="1"/>
        <rFont val="宋体"/>
        <family val="2"/>
        <charset val="134"/>
        <scheme val="minor"/>
      </rPr>
      <t/>
    </r>
  </si>
  <si>
    <r>
      <t>筑房（2015）现售字第（0296）号</t>
    </r>
    <r>
      <rPr>
        <sz val="11"/>
        <color theme="1"/>
        <rFont val="宋体"/>
        <family val="2"/>
        <charset val="134"/>
        <scheme val="minor"/>
      </rPr>
      <t/>
    </r>
  </si>
  <si>
    <r>
      <t>观山湖区绕城高速公里贵阳西南国际商贸城二期仓储物流B区10号楼</t>
    </r>
    <r>
      <rPr>
        <sz val="11"/>
        <color theme="1"/>
        <rFont val="宋体"/>
        <family val="2"/>
        <charset val="134"/>
        <scheme val="minor"/>
      </rPr>
      <t/>
    </r>
  </si>
  <si>
    <r>
      <t>筑房（2015）现售字第（0297）号</t>
    </r>
    <r>
      <rPr>
        <sz val="11"/>
        <color theme="1"/>
        <rFont val="宋体"/>
        <family val="2"/>
        <charset val="134"/>
        <scheme val="minor"/>
      </rPr>
      <t/>
    </r>
  </si>
  <si>
    <r>
      <t>观山湖区绕城高速公里贵阳西南国际商贸城二期仓储物流B区11号楼</t>
    </r>
    <r>
      <rPr>
        <sz val="11"/>
        <color theme="1"/>
        <rFont val="宋体"/>
        <family val="2"/>
        <charset val="134"/>
        <scheme val="minor"/>
      </rPr>
      <t/>
    </r>
  </si>
  <si>
    <t>筑房（2015）现售字第（0287）号</t>
    <phoneticPr fontId="225" type="noConversion"/>
  </si>
  <si>
    <t>观山湖区绕城高速公里贵阳西南国际商贸城二期仓储物流B区1号楼</t>
    <phoneticPr fontId="225" type="noConversion"/>
  </si>
  <si>
    <t>黔筑高新国用（2014）第41号</t>
    <phoneticPr fontId="225" type="noConversion"/>
  </si>
  <si>
    <t>另有第一层变电所建筑面积148.19</t>
    <phoneticPr fontId="225" type="noConversion"/>
  </si>
  <si>
    <t>另有第1层消防水池建筑面积206.51平方米、消防水泵房建筑面积154.88平方米、消控中心建筑面积37.98平方米、弱电机房建筑面积41.43平方米</t>
    <phoneticPr fontId="225" type="noConversion"/>
  </si>
  <si>
    <t>另有第1层变电所建筑面积306.25平方米</t>
    <phoneticPr fontId="225" type="noConversion"/>
  </si>
  <si>
    <t>商品房销售现房证明书（B区）</t>
    <phoneticPr fontId="225" type="noConversion"/>
  </si>
  <si>
    <t>建筑面积</t>
    <phoneticPr fontId="225" type="noConversion"/>
  </si>
  <si>
    <t>总建筑面积</t>
    <phoneticPr fontId="225" type="noConversion"/>
  </si>
  <si>
    <t>面积有依据（A区C区依据规划许可、B区依据现房销售许可证）</t>
    <phoneticPr fontId="225" type="noConversion"/>
  </si>
  <si>
    <t>备注：非电商产业园现房证</t>
    <phoneticPr fontId="225" type="noConversion"/>
  </si>
  <si>
    <t>日期</t>
    <phoneticPr fontId="225" type="noConversion"/>
  </si>
  <si>
    <t>用地单位</t>
    <phoneticPr fontId="225" type="noConversion"/>
  </si>
  <si>
    <t>贵阳西南轻纺产业园投资有限公司</t>
    <phoneticPr fontId="225" type="noConversion"/>
  </si>
  <si>
    <t>用地项目名称</t>
    <phoneticPr fontId="225" type="noConversion"/>
  </si>
  <si>
    <t>贵阳西南轻纺产业园</t>
    <phoneticPr fontId="225" type="noConversion"/>
  </si>
  <si>
    <t>用地位置</t>
    <phoneticPr fontId="225" type="noConversion"/>
  </si>
  <si>
    <t>观山湖区金华镇</t>
    <phoneticPr fontId="225" type="noConversion"/>
  </si>
  <si>
    <t>用地性质</t>
    <phoneticPr fontId="225" type="noConversion"/>
  </si>
  <si>
    <t>工业用地</t>
    <phoneticPr fontId="225" type="noConversion"/>
  </si>
  <si>
    <t>用地面积</t>
    <phoneticPr fontId="225" type="noConversion"/>
  </si>
  <si>
    <t>贵州西南电商信息产业园投资有限公司</t>
    <phoneticPr fontId="225" type="noConversion"/>
  </si>
  <si>
    <t>贵州西南电商信息产业园项目</t>
    <phoneticPr fontId="225" type="noConversion"/>
  </si>
  <si>
    <t>备注：总用地面积119474.9平方米，其中建设用地面积56306.6平方米，公共用地面积63168.3平方米（市政绿化用地面积7268平方米，铁路绿化用地面积9019.1平方米，规划铁路用地面积17505平方米）；未见附图</t>
    <phoneticPr fontId="225" type="noConversion"/>
  </si>
  <si>
    <t>建设用地规划许可证[筑规地字2015-0032号]（电商产业园）</t>
    <phoneticPr fontId="225" type="noConversion"/>
  </si>
  <si>
    <t>不动产权证书[黔（2016）观山湖区不动产权第0012208号]</t>
    <phoneticPr fontId="225" type="noConversion"/>
  </si>
  <si>
    <t>权利人</t>
    <phoneticPr fontId="225" type="noConversion"/>
  </si>
  <si>
    <t>坐落</t>
    <phoneticPr fontId="225" type="noConversion"/>
  </si>
  <si>
    <t>不动产单元号</t>
    <phoneticPr fontId="225" type="noConversion"/>
  </si>
  <si>
    <t>面积</t>
    <phoneticPr fontId="225" type="noConversion"/>
  </si>
  <si>
    <t>使用期限</t>
    <phoneticPr fontId="225" type="noConversion"/>
  </si>
  <si>
    <t>贵州西南电商信息产业园投资有限公司</t>
    <phoneticPr fontId="225" type="noConversion"/>
  </si>
  <si>
    <t>贵州西南电商信息产业园投资有限公司</t>
    <phoneticPr fontId="225" type="noConversion"/>
  </si>
  <si>
    <t>520115103040GB00009W00000000</t>
    <phoneticPr fontId="225" type="noConversion"/>
  </si>
  <si>
    <t>工业用地</t>
    <phoneticPr fontId="225" type="noConversion"/>
  </si>
  <si>
    <t>备注：宗地GB00009-061</t>
    <phoneticPr fontId="225" type="noConversion"/>
  </si>
  <si>
    <t>建设工程规划许可证[建字第筑规建字2015-0352号]</t>
    <phoneticPr fontId="225" type="noConversion"/>
  </si>
  <si>
    <t>建设单位</t>
    <phoneticPr fontId="225" type="noConversion"/>
  </si>
  <si>
    <t>建设项目名称</t>
    <phoneticPr fontId="225" type="noConversion"/>
  </si>
  <si>
    <t>建设位置</t>
    <phoneticPr fontId="225" type="noConversion"/>
  </si>
  <si>
    <t>建设规模</t>
    <phoneticPr fontId="225" type="noConversion"/>
  </si>
  <si>
    <t>贵州西南电商信息产业园项目</t>
    <phoneticPr fontId="225" type="noConversion"/>
  </si>
  <si>
    <t>贵阳市观山湖区金华镇现代制造产业园区宾阳大道北侧</t>
    <phoneticPr fontId="225" type="noConversion"/>
  </si>
  <si>
    <t>观山湖区金华镇现代制造产业园区宾阳大道北侧</t>
    <phoneticPr fontId="225" type="noConversion"/>
  </si>
  <si>
    <t>建筑命名及编号</t>
    <phoneticPr fontId="225" type="noConversion"/>
  </si>
  <si>
    <t>命名</t>
    <phoneticPr fontId="225" type="noConversion"/>
  </si>
  <si>
    <t>编号</t>
    <phoneticPr fontId="225" type="noConversion"/>
  </si>
  <si>
    <t>总面积</t>
    <phoneticPr fontId="225" type="noConversion"/>
  </si>
  <si>
    <t>计容</t>
    <phoneticPr fontId="225" type="noConversion"/>
  </si>
  <si>
    <t>不计容</t>
    <phoneticPr fontId="225" type="noConversion"/>
  </si>
  <si>
    <t>层数</t>
    <phoneticPr fontId="225" type="noConversion"/>
  </si>
  <si>
    <t>地上</t>
    <phoneticPr fontId="225" type="noConversion"/>
  </si>
  <si>
    <t>地下</t>
    <phoneticPr fontId="225" type="noConversion"/>
  </si>
  <si>
    <t>1号楼</t>
    <phoneticPr fontId="225" type="noConversion"/>
  </si>
  <si>
    <t>2号楼</t>
  </si>
  <si>
    <t>7号楼</t>
  </si>
  <si>
    <t>1#</t>
    <phoneticPr fontId="225" type="noConversion"/>
  </si>
  <si>
    <t>2#</t>
  </si>
  <si>
    <t>3#</t>
  </si>
  <si>
    <t>4#</t>
  </si>
  <si>
    <t>5#</t>
  </si>
  <si>
    <t>6#</t>
  </si>
  <si>
    <t>7#</t>
  </si>
  <si>
    <t>合计</t>
    <phoneticPr fontId="225" type="noConversion"/>
  </si>
  <si>
    <t>建筑工程施工许可证[编号520115201601130201（补）]</t>
    <phoneticPr fontId="225" type="noConversion"/>
  </si>
  <si>
    <t>备注：取得时间2016年10月14日</t>
    <phoneticPr fontId="225" type="noConversion"/>
  </si>
  <si>
    <t>工程名称</t>
    <phoneticPr fontId="225" type="noConversion"/>
  </si>
  <si>
    <t>建设地址</t>
    <phoneticPr fontId="225" type="noConversion"/>
  </si>
  <si>
    <t>观山湖区金华镇</t>
    <phoneticPr fontId="225" type="noConversion"/>
  </si>
  <si>
    <t>名称</t>
    <phoneticPr fontId="225" type="noConversion"/>
  </si>
  <si>
    <t>建筑面积</t>
    <phoneticPr fontId="225" type="noConversion"/>
  </si>
  <si>
    <t>备注：发证日期为2016年1月13日；2016年10月8日登记延期至2017年5月31日； 2016年11月10日变更登记项目名称及建设单位</t>
    <phoneticPr fontId="225" type="noConversion"/>
  </si>
  <si>
    <t>建设工程竣工规划认可书[筑规竣字20160301号]</t>
    <phoneticPr fontId="225" type="noConversion"/>
  </si>
  <si>
    <t>贵州西南电商信息产业园</t>
    <phoneticPr fontId="225" type="noConversion"/>
  </si>
  <si>
    <t>建筑命名及编号</t>
    <phoneticPr fontId="225" type="noConversion"/>
  </si>
  <si>
    <t>备注：发证日期为2016年11月17日</t>
    <phoneticPr fontId="225" type="noConversion"/>
  </si>
  <si>
    <t>建设用地规划许可证[地字第筑规地字2014-121号]（A-F区）</t>
    <phoneticPr fontId="225" type="noConversion"/>
  </si>
  <si>
    <t>备注：取证时间为2014年5月4日</t>
    <phoneticPr fontId="225" type="noConversion"/>
  </si>
  <si>
    <t>建设工程规划许可证[建字第筑规建字2014（观山湖）005号]（A区、B区）</t>
    <phoneticPr fontId="225" type="noConversion"/>
  </si>
  <si>
    <t>建设工程规划许可证[建字第筑规建字2016-0275号]（C区）</t>
    <phoneticPr fontId="225" type="noConversion"/>
  </si>
  <si>
    <t>备注：取证时间为2014年5月21日；该项目已完成城市基础设施配套审核工作（2015.11.1）（未见票据）；</t>
    <phoneticPr fontId="225" type="noConversion"/>
  </si>
  <si>
    <t>备注：取证时间为2017年6月8日；</t>
    <phoneticPr fontId="225" type="noConversion"/>
  </si>
  <si>
    <t>备注：取证时间为2016年6月1日；</t>
    <phoneticPr fontId="225" type="noConversion"/>
  </si>
  <si>
    <t>备注：取证时间为2014年6月27日；未见明细；建筑规模189753.72平方米</t>
    <phoneticPr fontId="225" type="noConversion"/>
  </si>
  <si>
    <t>备注：取证时间为2017年1月1日；未见明细；建筑规模122339.29平方米</t>
    <phoneticPr fontId="225" type="noConversion"/>
  </si>
  <si>
    <t>备注：取证时间为2015年5月5日；二期仓储物流A、B区总建筑面积348830.13平方米，其中计容面积347412.73平方米，不计容面积1417.4平方米，总停车位1119个</t>
    <phoneticPr fontId="225" type="noConversion"/>
  </si>
  <si>
    <t>备注：取证时间为2017年8月31日；C区1-4#楼未见</t>
    <phoneticPr fontId="225" type="noConversion"/>
  </si>
  <si>
    <t>建设用地规划许可证[筑规地字2015-0031号]（浙商产业园）</t>
    <phoneticPr fontId="225" type="noConversion"/>
  </si>
  <si>
    <t>贵州浙商现代制造业产业园A、B、C、D区项目</t>
    <phoneticPr fontId="225" type="noConversion"/>
  </si>
  <si>
    <t>贵州浙商现代制造业产业园投资有限公司</t>
    <phoneticPr fontId="225" type="noConversion"/>
  </si>
  <si>
    <t>备注：总用地面积355809.7平方米，其中建设用地面积210814.9平方米，公共用地面积144994.8平方米（市政绿化用地面积49077.3平方米，市政绿化保护面积3744.7平方米，山体绿化用地面积92172.8平方米）；未见附图</t>
    <phoneticPr fontId="225" type="noConversion"/>
  </si>
  <si>
    <t>不动产权证书（未见）</t>
    <phoneticPr fontId="225" type="noConversion"/>
  </si>
  <si>
    <t>未见</t>
    <phoneticPr fontId="225" type="noConversion"/>
  </si>
  <si>
    <t>建设工程规划许可证[建字第筑规建字2015-0353号]</t>
    <phoneticPr fontId="225" type="noConversion"/>
  </si>
  <si>
    <t>贵州浙商现代制造业产业园A区项目</t>
    <phoneticPr fontId="225" type="noConversion"/>
  </si>
  <si>
    <t>8号楼</t>
  </si>
  <si>
    <t>9号楼</t>
  </si>
  <si>
    <t>10号楼</t>
  </si>
  <si>
    <t>8#</t>
  </si>
  <si>
    <t>9#</t>
  </si>
  <si>
    <t>10#</t>
  </si>
  <si>
    <t>备注：取得时间2016年12月27日</t>
    <phoneticPr fontId="225" type="noConversion"/>
  </si>
  <si>
    <t>建筑工程施工许可证[编号520115201601130101（补）]</t>
    <phoneticPr fontId="225" type="noConversion"/>
  </si>
  <si>
    <t xml:space="preserve">备注：发证日期为2016年1月13日；2016年10月8日登记延期至2017年5月31日； </t>
    <phoneticPr fontId="225" type="noConversion"/>
  </si>
  <si>
    <t>建设工程竣工规划认可书[筑规竣字20170008号]</t>
    <phoneticPr fontId="225" type="noConversion"/>
  </si>
  <si>
    <t>贵州浙商现代制造业产业园A区项目（1-10号楼）</t>
    <phoneticPr fontId="225" type="noConversion"/>
  </si>
  <si>
    <t>备注：发证日期为2017年1月9日</t>
    <phoneticPr fontId="225" type="noConversion"/>
  </si>
  <si>
    <t>金融2012-02地块</t>
    <phoneticPr fontId="225" type="noConversion"/>
  </si>
  <si>
    <t>金阳新区环城高速公路以东</t>
    <phoneticPr fontId="225" type="noConversion"/>
  </si>
  <si>
    <t>商业设施用地</t>
    <phoneticPr fontId="225" type="noConversion"/>
  </si>
  <si>
    <t>总用地</t>
    <phoneticPr fontId="225" type="noConversion"/>
  </si>
  <si>
    <t>出让用地</t>
    <phoneticPr fontId="225" type="noConversion"/>
  </si>
  <si>
    <t>建设工程规划许可证[建字第筑规建字2012（金阳）023号]</t>
    <phoneticPr fontId="225" type="noConversion"/>
  </si>
  <si>
    <t>贵阳西南国际商贸城一期工程1#、3#楼地面工程</t>
    <phoneticPr fontId="225" type="noConversion"/>
  </si>
  <si>
    <t>金阳宾阳大道西侧、环城高速东侧</t>
    <phoneticPr fontId="225" type="noConversion"/>
  </si>
  <si>
    <t>1#楼（商业）</t>
    <phoneticPr fontId="225" type="noConversion"/>
  </si>
  <si>
    <t>3#楼（商业）</t>
    <phoneticPr fontId="225" type="noConversion"/>
  </si>
  <si>
    <t>1#连廊（商业）</t>
    <phoneticPr fontId="225" type="noConversion"/>
  </si>
  <si>
    <t>备注：取得时间2017年1月23日；建筑栋数：3栋；地面停车位1186个；未见附图</t>
    <phoneticPr fontId="225" type="noConversion"/>
  </si>
  <si>
    <t>建筑工程施工许可证[编号520101201209031201]</t>
    <phoneticPr fontId="225" type="noConversion"/>
  </si>
  <si>
    <t>贵阳西南国际商贸城一期工程3标段（3#楼）</t>
    <phoneticPr fontId="225" type="noConversion"/>
  </si>
  <si>
    <t>建设工程竣工规划认可书[筑规竣字20170037号]</t>
    <phoneticPr fontId="225" type="noConversion"/>
  </si>
  <si>
    <t>贵阳西南国际商贸城一期工程1号连廊</t>
    <phoneticPr fontId="225" type="noConversion"/>
  </si>
  <si>
    <t>备注：发证日期为2017年2月24日</t>
    <phoneticPr fontId="225" type="noConversion"/>
  </si>
  <si>
    <t>建设工程竣工规划认可书[筑规竣字20170118号]</t>
    <phoneticPr fontId="225" type="noConversion"/>
  </si>
  <si>
    <t>贵阳西南国际商贸城一期工程1、3号地下室（1#连廊楼梯间、车库）</t>
    <phoneticPr fontId="225" type="noConversion"/>
  </si>
  <si>
    <t>1号连廊楼梯间</t>
    <phoneticPr fontId="225" type="noConversion"/>
  </si>
  <si>
    <t>1号连廊车库</t>
    <phoneticPr fontId="225" type="noConversion"/>
  </si>
  <si>
    <t>备注：发证日期为2017年7月12日</t>
    <phoneticPr fontId="225" type="noConversion"/>
  </si>
  <si>
    <t>1号连廊</t>
    <phoneticPr fontId="225" type="noConversion"/>
  </si>
  <si>
    <t>2号连廊</t>
    <phoneticPr fontId="225" type="noConversion"/>
  </si>
  <si>
    <t>建设用地规划许可证[筑规地字2012（金阳）004号]</t>
    <phoneticPr fontId="225" type="noConversion"/>
  </si>
  <si>
    <t>贵阳西南国际商贸城一期工程4#楼地面工程</t>
    <phoneticPr fontId="225" type="noConversion"/>
  </si>
  <si>
    <t>建设工程规划许可证[建字第筑规建字2012（金阳）025号]</t>
    <phoneticPr fontId="225" type="noConversion"/>
  </si>
  <si>
    <t>4#地块（商业）</t>
    <phoneticPr fontId="225" type="noConversion"/>
  </si>
  <si>
    <t>2#连廊（商业）</t>
    <phoneticPr fontId="225" type="noConversion"/>
  </si>
  <si>
    <t>备注：取得时间2017年1月23日；建筑栋数：2栋；地面停车位1133个；未见附图</t>
    <phoneticPr fontId="225" type="noConversion"/>
  </si>
  <si>
    <t>建筑工程施工许可证[编号520101201209031301]</t>
    <phoneticPr fontId="225" type="noConversion"/>
  </si>
  <si>
    <t>贵阳西南国际商贸城一期工程4标段[4#楼（含4#-E楼）]</t>
    <phoneticPr fontId="225" type="noConversion"/>
  </si>
  <si>
    <t>备注：发证日期为2012年9月4日；2014年6月6日登记延期至2014年10月30日； 该证范围为三标段（3号楼）部分，未包含连廊部分；未见明细</t>
    <phoneticPr fontId="225" type="noConversion"/>
  </si>
  <si>
    <t>备注：发证日期为2012年9月4日；2015年4月10日登记延期至2015年10月30日； 该证范围为4标段（4号楼）部分，未包含连廊部分；未见明细</t>
    <phoneticPr fontId="225" type="noConversion"/>
  </si>
  <si>
    <t>建设工程竣工规划认可书[筑规竣字20170039号]</t>
    <phoneticPr fontId="225" type="noConversion"/>
  </si>
  <si>
    <t>贵阳西南国际商贸城一期工程2号连廊</t>
    <phoneticPr fontId="225" type="noConversion"/>
  </si>
  <si>
    <t>建设工程竣工规划认可书[筑规竣字20170120号]</t>
    <phoneticPr fontId="225" type="noConversion"/>
  </si>
  <si>
    <t>贵阳西南国际商贸城一期工程4号地下室（2号连廊楼梯间、车库）</t>
    <phoneticPr fontId="225" type="noConversion"/>
  </si>
  <si>
    <t>2号连廊楼梯间</t>
    <phoneticPr fontId="225" type="noConversion"/>
  </si>
  <si>
    <t>2号连廊车库</t>
    <phoneticPr fontId="225" type="noConversion"/>
  </si>
  <si>
    <t>备注：发证日期为2017年7月13日</t>
    <phoneticPr fontId="225" type="noConversion"/>
  </si>
  <si>
    <t>产业园统计表</t>
  </si>
  <si>
    <t>电商1号楼</t>
  </si>
  <si>
    <t>附件：电商产业园现房证</t>
  </si>
  <si>
    <r>
      <rPr>
        <sz val="11"/>
        <color rgb="FF000000"/>
        <rFont val="宋体"/>
        <family val="3"/>
        <charset val="134"/>
      </rPr>
      <t>附件：西南电商</t>
    </r>
    <r>
      <rPr>
        <sz val="11"/>
        <color rgb="FF000000"/>
        <rFont val="Tahoma"/>
        <family val="2"/>
      </rPr>
      <t xml:space="preserve"> </t>
    </r>
    <r>
      <rPr>
        <sz val="11"/>
        <color rgb="FF000000"/>
        <rFont val="宋体"/>
        <family val="3"/>
        <charset val="134"/>
      </rPr>
      <t>建设用地规划许可证</t>
    </r>
    <r>
      <rPr>
        <sz val="11"/>
        <color rgb="FF000000"/>
        <rFont val="Tahoma"/>
        <family val="2"/>
      </rPr>
      <t xml:space="preserve">
</t>
    </r>
    <r>
      <rPr>
        <sz val="11"/>
        <color rgb="FF000000"/>
        <rFont val="宋体"/>
        <family val="3"/>
        <charset val="134"/>
      </rPr>
      <t>附件：西南电商</t>
    </r>
    <r>
      <rPr>
        <sz val="11"/>
        <color rgb="FF000000"/>
        <rFont val="Tahoma"/>
        <family val="2"/>
      </rPr>
      <t xml:space="preserve"> </t>
    </r>
    <r>
      <rPr>
        <sz val="11"/>
        <color rgb="FF000000"/>
        <rFont val="宋体"/>
        <family val="3"/>
        <charset val="134"/>
      </rPr>
      <t>建设工程规划许可证</t>
    </r>
    <r>
      <rPr>
        <sz val="11"/>
        <color rgb="FF000000"/>
        <rFont val="Tahoma"/>
        <family val="2"/>
      </rPr>
      <t xml:space="preserve">
</t>
    </r>
    <r>
      <rPr>
        <sz val="11"/>
        <color rgb="FF000000"/>
        <rFont val="宋体"/>
        <family val="3"/>
        <charset val="134"/>
      </rPr>
      <t>附件：电商</t>
    </r>
    <r>
      <rPr>
        <sz val="11"/>
        <color rgb="FF000000"/>
        <rFont val="Tahoma"/>
        <family val="2"/>
      </rPr>
      <t xml:space="preserve"> </t>
    </r>
    <r>
      <rPr>
        <sz val="11"/>
        <color rgb="FF000000"/>
        <rFont val="宋体"/>
        <family val="3"/>
        <charset val="134"/>
      </rPr>
      <t>建筑工程施工许可证</t>
    </r>
    <r>
      <rPr>
        <sz val="11"/>
        <color rgb="FF000000"/>
        <rFont val="Tahoma"/>
        <family val="2"/>
      </rPr>
      <t xml:space="preserve">
</t>
    </r>
    <r>
      <rPr>
        <sz val="11"/>
        <color rgb="FF000000"/>
        <rFont val="宋体"/>
        <family val="3"/>
        <charset val="134"/>
      </rPr>
      <t>附件：西南电商</t>
    </r>
    <r>
      <rPr>
        <sz val="11"/>
        <color rgb="FF000000"/>
        <rFont val="Tahoma"/>
        <family val="2"/>
      </rPr>
      <t xml:space="preserve"> </t>
    </r>
    <r>
      <rPr>
        <sz val="11"/>
        <color rgb="FF000000"/>
        <rFont val="宋体"/>
        <family val="3"/>
        <charset val="134"/>
      </rPr>
      <t>建设工程竣工规划许可证</t>
    </r>
  </si>
  <si>
    <t>电商2号楼</t>
  </si>
  <si>
    <t>电商3号楼</t>
  </si>
  <si>
    <t>电商4号楼</t>
  </si>
  <si>
    <t>电商5号楼</t>
  </si>
  <si>
    <t>电商6号楼</t>
  </si>
  <si>
    <t>电商7号楼</t>
  </si>
  <si>
    <t>电商产业园小计</t>
  </si>
  <si>
    <t>浙商1栋</t>
  </si>
  <si>
    <t>附件：浙商产业园现房证</t>
  </si>
  <si>
    <r>
      <rPr>
        <sz val="11"/>
        <color rgb="FF000000"/>
        <rFont val="宋体"/>
        <family val="3"/>
        <charset val="134"/>
      </rPr>
      <t>附件：浙商</t>
    </r>
    <r>
      <rPr>
        <sz val="11"/>
        <color rgb="FF000000"/>
        <rFont val="Tahoma"/>
        <family val="2"/>
      </rPr>
      <t xml:space="preserve"> </t>
    </r>
    <r>
      <rPr>
        <sz val="11"/>
        <color rgb="FF000000"/>
        <rFont val="宋体"/>
        <family val="3"/>
        <charset val="134"/>
      </rPr>
      <t>建设用地规划许可证
附件：浙商A区 建设工程规划许可证
附件：浙商A区 建筑工程施工许可证
附件：浙商A区 建设工程竣工规划认可证（A1-10楼）</t>
    </r>
  </si>
  <si>
    <t>浙商2栋</t>
  </si>
  <si>
    <t>浙商3栋</t>
  </si>
  <si>
    <t>浙商4栋</t>
  </si>
  <si>
    <t>浙商5栋</t>
  </si>
  <si>
    <t>浙商6栋</t>
  </si>
  <si>
    <t>浙商7栋</t>
  </si>
  <si>
    <t>浙商8栋</t>
  </si>
  <si>
    <t>浙商9栋</t>
  </si>
  <si>
    <t>浙商10栋</t>
  </si>
  <si>
    <t>浙商产业园小计</t>
  </si>
  <si>
    <t>面积有依据</t>
    <phoneticPr fontId="225" type="noConversion"/>
  </si>
  <si>
    <t>配套统计表</t>
  </si>
  <si>
    <t>总建筑面积（㎡）</t>
  </si>
  <si>
    <t>总套内面积（㎡）</t>
  </si>
  <si>
    <t>一号连廊（1-3号楼）</t>
  </si>
  <si>
    <t>2层</t>
  </si>
  <si>
    <t>美食</t>
  </si>
  <si>
    <t>租赁按套内面积租赁（我司自己测量），故统计亦按套内面积统计，等租约到期后，我司将统一调整为按建筑面积出租</t>
  </si>
  <si>
    <t>附件11：一号连廊现房证
套数：93套
建筑面积：7798.53方</t>
  </si>
  <si>
    <t>附件：1号连廊 建设工程竣工认可证</t>
  </si>
  <si>
    <t>3层</t>
  </si>
  <si>
    <t>4层</t>
  </si>
  <si>
    <t>小计：</t>
  </si>
  <si>
    <t>二号连廊（2-4号楼）</t>
  </si>
  <si>
    <r>
      <rPr>
        <sz val="11"/>
        <color rgb="FF000000"/>
        <rFont val="宋体"/>
        <family val="3"/>
        <charset val="134"/>
      </rPr>
      <t>1</t>
    </r>
    <r>
      <rPr>
        <sz val="11"/>
        <color indexed="8"/>
        <rFont val="宋体"/>
        <family val="3"/>
        <charset val="134"/>
      </rPr>
      <t>层</t>
    </r>
  </si>
  <si>
    <t>同上</t>
  </si>
  <si>
    <t>附件12：二号连廊现房证
套数：87套
建筑面积：7799.94方</t>
  </si>
  <si>
    <t>附件：2号连廊 建设工程竣工认可证</t>
  </si>
  <si>
    <t>1-3和2-4号连廊合计：</t>
  </si>
  <si>
    <r>
      <t>商品房销售现房证明书[筑房（</t>
    </r>
    <r>
      <rPr>
        <sz val="11"/>
        <color theme="1"/>
        <rFont val="宋体"/>
        <family val="3"/>
        <charset val="134"/>
        <scheme val="minor"/>
      </rPr>
      <t>2017</t>
    </r>
    <r>
      <rPr>
        <sz val="11"/>
        <color theme="1"/>
        <rFont val="宋体"/>
        <family val="3"/>
        <charset val="134"/>
        <scheme val="minor"/>
      </rPr>
      <t>）现售字第（</t>
    </r>
    <r>
      <rPr>
        <sz val="11"/>
        <color theme="1"/>
        <rFont val="宋体"/>
        <family val="3"/>
        <charset val="134"/>
        <scheme val="minor"/>
      </rPr>
      <t>0078）号]</t>
    </r>
    <phoneticPr fontId="225" type="noConversion"/>
  </si>
  <si>
    <t>房屋坐落</t>
    <phoneticPr fontId="225" type="noConversion"/>
  </si>
  <si>
    <t>竣工验收日期</t>
    <phoneticPr fontId="225" type="noConversion"/>
  </si>
  <si>
    <t>栋编号</t>
    <phoneticPr fontId="225" type="noConversion"/>
  </si>
  <si>
    <t>结构</t>
    <phoneticPr fontId="225" type="noConversion"/>
  </si>
  <si>
    <t>钢筋混凝土</t>
    <phoneticPr fontId="225" type="noConversion"/>
  </si>
  <si>
    <t>贵阳西南国际商贸城一期工程</t>
    <phoneticPr fontId="225" type="noConversion"/>
  </si>
  <si>
    <t>观山湖区金阳宾阳大道西侧、环城高速东侧贵阳西南国际商贸城一期工程1号连廊</t>
    <phoneticPr fontId="225" type="noConversion"/>
  </si>
  <si>
    <t>规划用途</t>
    <phoneticPr fontId="225" type="noConversion"/>
  </si>
  <si>
    <t>所在楼层</t>
    <phoneticPr fontId="225" type="noConversion"/>
  </si>
  <si>
    <t>套数</t>
    <phoneticPr fontId="225" type="noConversion"/>
  </si>
  <si>
    <t>建筑面积</t>
    <phoneticPr fontId="225" type="noConversion"/>
  </si>
  <si>
    <t>备注</t>
    <phoneticPr fontId="225" type="noConversion"/>
  </si>
  <si>
    <t>未登记土地信息</t>
    <phoneticPr fontId="225" type="noConversion"/>
  </si>
  <si>
    <t>商业</t>
    <phoneticPr fontId="225" type="noConversion"/>
  </si>
  <si>
    <r>
      <t>第2</t>
    </r>
    <r>
      <rPr>
        <sz val="11"/>
        <color theme="1"/>
        <rFont val="宋体"/>
        <family val="3"/>
        <charset val="134"/>
        <scheme val="minor"/>
      </rPr>
      <t>-4层</t>
    </r>
    <phoneticPr fontId="225" type="noConversion"/>
  </si>
  <si>
    <t>合计</t>
    <phoneticPr fontId="225" type="noConversion"/>
  </si>
  <si>
    <r>
      <t>商品房销售现房证明书[筑房（2017</t>
    </r>
    <r>
      <rPr>
        <sz val="11"/>
        <color theme="1"/>
        <rFont val="宋体"/>
        <family val="3"/>
        <charset val="134"/>
        <scheme val="minor"/>
      </rPr>
      <t>）现售字第（</t>
    </r>
    <r>
      <rPr>
        <sz val="11"/>
        <color theme="1"/>
        <rFont val="宋体"/>
        <family val="3"/>
        <charset val="134"/>
        <scheme val="minor"/>
      </rPr>
      <t>0079）号]</t>
    </r>
    <phoneticPr fontId="225" type="noConversion"/>
  </si>
  <si>
    <t>观山湖区金阳宾阳大道西侧、环城高速东侧贵阳西南国际商贸城一期工程2号连廊</t>
    <phoneticPr fontId="225" type="noConversion"/>
  </si>
  <si>
    <t>备注：发证日期为2017年3月22日</t>
    <phoneticPr fontId="225" type="noConversion"/>
  </si>
  <si>
    <t>问题：1.连廊部分所属土地使用证及对应分摊土地面积；2.未见连廊部分竣工验收备案表</t>
    <phoneticPr fontId="225" type="noConversion"/>
  </si>
  <si>
    <t>问题：1.未见全部竣工验收备案表；2.仓储C区1-4号楼建设工程竣工规划许可证；3.自持商铺部分面积来源（需未售部分清单及测绘报告）；4.仓储C区现房销售许可证；5.B区、C区施工许可证缺附表；</t>
    <phoneticPr fontId="225" type="noConversion"/>
  </si>
  <si>
    <t>问题：1.无现房销售许可证（附件中文件未仓储A区及B区现房销售许可证；2.无竣工验收；3.电商不动产权证书[黔（2016）观山湖区不动产权第0012208号]，是否仅针对电商产业园部分建筑物；4.未见浙商不动产权证；5.用地规划许可证缺附图；6.对应国有土地使用证出让合同编号</t>
    <phoneticPr fontId="225" type="noConversion"/>
  </si>
  <si>
    <t>问题：1.未售清单明细（包含产权人、对应不动产权证号、用途、楼号、楼层、区位、建筑面积、分摊土地面积、是否有出租、是否有抵押）；2.不动产权证是否为最新，产权证部分是否有已售商铺；3.1-6号土地使用证对应情况（是否仅对应每幢楼所属部分，1号、2号连廊所属土地使用证）；4.未见6号地块土地使用证、用地规划许可证、工程规划许可证、施工许可证；5.未见全部竣工验收备案表；</t>
    <phoneticPr fontId="225" type="noConversion"/>
  </si>
  <si>
    <t>资料中清单与微信群中最终清单不一致，请问哪一版为最终版</t>
    <phoneticPr fontId="225" type="noConversion"/>
  </si>
  <si>
    <t>场馆</t>
  </si>
  <si>
    <t>自持面积（㎡）</t>
  </si>
  <si>
    <t>1号广场</t>
  </si>
  <si>
    <t>一层</t>
  </si>
  <si>
    <t>二层</t>
  </si>
  <si>
    <t>三层</t>
  </si>
  <si>
    <t>四层</t>
  </si>
  <si>
    <t>底商</t>
  </si>
  <si>
    <t>2号广场</t>
  </si>
  <si>
    <t>3号广场</t>
  </si>
  <si>
    <t>4号广场</t>
  </si>
  <si>
    <t>5号广场</t>
  </si>
  <si>
    <t>6号广场</t>
  </si>
  <si>
    <t>目前测算使用</t>
  </si>
  <si>
    <t>目前测算使用</t>
    <phoneticPr fontId="225" type="noConversion"/>
  </si>
  <si>
    <t>一号广场</t>
    <phoneticPr fontId="225" type="noConversion"/>
  </si>
  <si>
    <t>地上</t>
  </si>
  <si>
    <t>独栋</t>
  </si>
  <si>
    <t>二号广场</t>
    <phoneticPr fontId="225" type="noConversion"/>
  </si>
  <si>
    <t>三号广场</t>
    <phoneticPr fontId="225" type="noConversion"/>
  </si>
  <si>
    <t>四号广场</t>
    <phoneticPr fontId="225" type="noConversion"/>
  </si>
  <si>
    <t>五号广场</t>
    <phoneticPr fontId="225" type="noConversion"/>
  </si>
  <si>
    <t>六号广场</t>
    <phoneticPr fontId="225" type="noConversion"/>
  </si>
  <si>
    <t>仓储A</t>
  </si>
  <si>
    <t>2013-39#地</t>
  </si>
  <si>
    <t>仓储B</t>
  </si>
  <si>
    <t>仓储C</t>
  </si>
  <si>
    <t>分类</t>
  </si>
  <si>
    <t>项目</t>
  </si>
  <si>
    <r>
      <rPr>
        <b/>
        <sz val="11"/>
        <color theme="1"/>
        <rFont val="微软雅黑"/>
        <family val="2"/>
        <charset val="134"/>
      </rPr>
      <t>面积（</t>
    </r>
    <r>
      <rPr>
        <b/>
        <sz val="11"/>
        <color theme="1"/>
        <rFont val="宋体"/>
        <family val="3"/>
        <charset val="134"/>
      </rPr>
      <t>㎡</t>
    </r>
    <r>
      <rPr>
        <b/>
        <sz val="11"/>
        <color theme="1"/>
        <rFont val="微软雅黑"/>
        <family val="2"/>
        <charset val="134"/>
      </rPr>
      <t>）</t>
    </r>
  </si>
  <si>
    <t>仓库</t>
  </si>
  <si>
    <t>仓库</t>
    <phoneticPr fontId="225" type="noConversion"/>
  </si>
  <si>
    <t>浙商产业园</t>
  </si>
  <si>
    <t>电商产业园</t>
  </si>
  <si>
    <t>连廊</t>
  </si>
  <si>
    <t>连廊</t>
    <phoneticPr fontId="225" type="noConversion"/>
  </si>
  <si>
    <t xml:space="preserve"> G(17)039</t>
    <phoneticPr fontId="218" type="noConversion"/>
  </si>
  <si>
    <t>G（17）067</t>
    <phoneticPr fontId="218" type="noConversion"/>
  </si>
  <si>
    <t>G（17）066</t>
    <phoneticPr fontId="218" type="noConversion"/>
  </si>
  <si>
    <t>观山西路南侧，云潭南路西侧</t>
    <phoneticPr fontId="218" type="noConversion"/>
  </si>
  <si>
    <t>白云区艳山红镇原氧化铝厂片区</t>
    <phoneticPr fontId="218" type="noConversion"/>
  </si>
  <si>
    <t>中信信托有限责任公司</t>
    <phoneticPr fontId="225" type="noConversion"/>
  </si>
  <si>
    <t>贵阳西南国际商贸城有限公司</t>
    <phoneticPr fontId="225" type="noConversion"/>
  </si>
  <si>
    <t>贵阳西南国际商贸城有限公司</t>
    <phoneticPr fontId="225" type="noConversion"/>
  </si>
  <si>
    <t>贵阳市观山湖区环城高速以东</t>
    <phoneticPr fontId="225" type="noConversion"/>
  </si>
  <si>
    <t>其他：</t>
  </si>
  <si>
    <t>贵州省贵阳市</t>
    <phoneticPr fontId="225" type="noConversion"/>
  </si>
  <si>
    <t>出让</t>
  </si>
  <si>
    <t>企业</t>
  </si>
  <si>
    <t>观山湖区环城高速以东（西南商贸城）</t>
    <phoneticPr fontId="225" type="noConversion"/>
  </si>
  <si>
    <t>一层商业</t>
  </si>
  <si>
    <t>一层商业</t>
    <phoneticPr fontId="225" type="noConversion"/>
  </si>
  <si>
    <t>二层商业</t>
  </si>
  <si>
    <t>二层商业</t>
    <phoneticPr fontId="225" type="noConversion"/>
  </si>
  <si>
    <t>三层商业</t>
  </si>
  <si>
    <t>三层商业</t>
    <phoneticPr fontId="225" type="noConversion"/>
  </si>
  <si>
    <t>四层商业</t>
  </si>
  <si>
    <t>四层商业</t>
    <phoneticPr fontId="225" type="noConversion"/>
  </si>
  <si>
    <t>贵阳</t>
  </si>
  <si>
    <t>1557</t>
  </si>
  <si>
    <t>1674</t>
  </si>
  <si>
    <t>1804</t>
  </si>
  <si>
    <t>多层</t>
  </si>
  <si>
    <t>小高层</t>
  </si>
  <si>
    <t>高层</t>
  </si>
  <si>
    <t>成新度</t>
  </si>
  <si>
    <t>未包含在土地购买价格中</t>
  </si>
  <si>
    <t>全部缴纳</t>
  </si>
  <si>
    <t>已包含在土地取得成本中</t>
  </si>
  <si>
    <t>较规则</t>
  </si>
  <si>
    <t>较规则</t>
    <phoneticPr fontId="225" type="noConversion"/>
  </si>
  <si>
    <t>较适宜</t>
  </si>
  <si>
    <t>较适宜</t>
    <phoneticPr fontId="225" type="noConversion"/>
  </si>
  <si>
    <t>较好</t>
  </si>
  <si>
    <t>较好</t>
    <phoneticPr fontId="225" type="noConversion"/>
  </si>
  <si>
    <t>六通</t>
    <phoneticPr fontId="225" type="noConversion"/>
  </si>
  <si>
    <t>城市主干道</t>
  </si>
  <si>
    <t>城市主干道</t>
    <phoneticPr fontId="225" type="noConversion"/>
  </si>
  <si>
    <t>城市次干道</t>
    <phoneticPr fontId="225" type="noConversion"/>
  </si>
  <si>
    <t>双面临街</t>
  </si>
  <si>
    <t>一般</t>
  </si>
  <si>
    <t>已全部缴纳</t>
  </si>
  <si>
    <t>按租金收入计税</t>
  </si>
  <si>
    <t>是</t>
  </si>
  <si>
    <t>分摊土地面积需确认</t>
    <phoneticPr fontId="225" type="noConversion"/>
  </si>
  <si>
    <t>待确认项目容积率</t>
    <phoneticPr fontId="225" type="noConversion"/>
  </si>
  <si>
    <t>收益法（一层）</t>
  </si>
  <si>
    <t>收益法（一层）</t>
    <phoneticPr fontId="225" type="noConversion"/>
  </si>
  <si>
    <t>收益法（二层）</t>
    <phoneticPr fontId="225" type="noConversion"/>
  </si>
  <si>
    <t>收益法（三层）</t>
    <phoneticPr fontId="225" type="noConversion"/>
  </si>
  <si>
    <t>收益法（四层）</t>
    <phoneticPr fontId="225" type="noConversion"/>
  </si>
  <si>
    <t>钢混</t>
  </si>
  <si>
    <t>非生产用房</t>
  </si>
  <si>
    <t>收益还原</t>
  </si>
  <si>
    <t>支路</t>
  </si>
  <si>
    <t>支路</t>
    <phoneticPr fontId="225" type="noConversion"/>
  </si>
  <si>
    <t>一层</t>
    <phoneticPr fontId="225" type="noConversion"/>
  </si>
  <si>
    <t>二层</t>
    <phoneticPr fontId="225" type="noConversion"/>
  </si>
  <si>
    <t>三层</t>
    <phoneticPr fontId="225" type="noConversion"/>
  </si>
  <si>
    <t>四层</t>
    <phoneticPr fontId="225" type="noConversion"/>
  </si>
  <si>
    <t>楼层</t>
    <phoneticPr fontId="225" type="noConversion"/>
  </si>
  <si>
    <t>二层</t>
    <phoneticPr fontId="225" type="noConversion"/>
  </si>
  <si>
    <t>三层</t>
    <phoneticPr fontId="225" type="noConversion"/>
  </si>
  <si>
    <t>四层</t>
    <phoneticPr fontId="225" type="noConversion"/>
  </si>
  <si>
    <t>租金</t>
    <phoneticPr fontId="225" type="noConversion"/>
  </si>
  <si>
    <t>系数</t>
    <phoneticPr fontId="225" type="noConversion"/>
  </si>
  <si>
    <t>成本法</t>
  </si>
  <si>
    <t>典型户型修正</t>
  </si>
  <si>
    <t>典型户型修正</t>
    <phoneticPr fontId="225" type="noConversion"/>
  </si>
  <si>
    <t>现房</t>
  </si>
  <si>
    <t>项目局部</t>
  </si>
  <si>
    <r>
      <t>估价对象1（</t>
    </r>
    <r>
      <rPr>
        <sz val="11"/>
        <color theme="1"/>
        <rFont val="宋体"/>
        <family val="3"/>
        <charset val="134"/>
        <scheme val="minor"/>
      </rPr>
      <t>1#广场</t>
    </r>
    <r>
      <rPr>
        <sz val="11"/>
        <color theme="1"/>
        <rFont val="宋体"/>
        <family val="3"/>
        <charset val="134"/>
        <scheme val="minor"/>
      </rPr>
      <t>）</t>
    </r>
    <phoneticPr fontId="225" type="noConversion"/>
  </si>
  <si>
    <t>否</t>
  </si>
  <si>
    <t>容积率</t>
    <phoneticPr fontId="225" type="noConversion"/>
  </si>
  <si>
    <r>
      <t>估价对象2（2#</t>
    </r>
    <r>
      <rPr>
        <sz val="11"/>
        <color theme="1"/>
        <rFont val="宋体"/>
        <family val="3"/>
        <charset val="134"/>
        <scheme val="minor"/>
      </rPr>
      <t>广场）</t>
    </r>
    <phoneticPr fontId="225" type="noConversion"/>
  </si>
  <si>
    <r>
      <t>估价对象3（3#</t>
    </r>
    <r>
      <rPr>
        <sz val="11"/>
        <color theme="1"/>
        <rFont val="宋体"/>
        <family val="3"/>
        <charset val="134"/>
        <scheme val="minor"/>
      </rPr>
      <t>广场）</t>
    </r>
    <phoneticPr fontId="225" type="noConversion"/>
  </si>
  <si>
    <r>
      <t>估价对象4（4#</t>
    </r>
    <r>
      <rPr>
        <sz val="11"/>
        <color theme="1"/>
        <rFont val="宋体"/>
        <family val="3"/>
        <charset val="134"/>
        <scheme val="minor"/>
      </rPr>
      <t>广场）</t>
    </r>
    <phoneticPr fontId="225" type="noConversion"/>
  </si>
  <si>
    <r>
      <t>估价对象5（5#</t>
    </r>
    <r>
      <rPr>
        <sz val="11"/>
        <color theme="1"/>
        <rFont val="宋体"/>
        <family val="3"/>
        <charset val="134"/>
        <scheme val="minor"/>
      </rPr>
      <t>广场）</t>
    </r>
    <phoneticPr fontId="225" type="noConversion"/>
  </si>
  <si>
    <r>
      <t>估价对象6（6#</t>
    </r>
    <r>
      <rPr>
        <sz val="11"/>
        <color theme="1"/>
        <rFont val="宋体"/>
        <family val="3"/>
        <charset val="134"/>
        <scheme val="minor"/>
      </rPr>
      <t>广场）</t>
    </r>
    <phoneticPr fontId="225" type="noConversion"/>
  </si>
  <si>
    <t>估价对象7（连廊）</t>
    <phoneticPr fontId="225" type="noConversion"/>
  </si>
  <si>
    <t>1层</t>
    <phoneticPr fontId="225" type="noConversion"/>
  </si>
  <si>
    <t>2层</t>
    <phoneticPr fontId="225" type="noConversion"/>
  </si>
  <si>
    <t>3层</t>
    <phoneticPr fontId="225" type="noConversion"/>
  </si>
  <si>
    <t>4层</t>
    <phoneticPr fontId="225" type="noConversion"/>
  </si>
  <si>
    <t>底商</t>
    <phoneticPr fontId="225" type="noConversion"/>
  </si>
  <si>
    <t>观山湖区金阳宾阳大道西侧、环城高速东侧贵阳西南国际商贸城一期工程1号楼地面工程</t>
    <phoneticPr fontId="225" type="noConversion"/>
  </si>
  <si>
    <t>贵阳西南国际商贸城有限公司</t>
    <phoneticPr fontId="225" type="noConversion"/>
  </si>
  <si>
    <t>写字楼</t>
    <phoneticPr fontId="225" type="noConversion"/>
  </si>
  <si>
    <t>工业</t>
    <phoneticPr fontId="225"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</si>
</sst>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4">
    <numFmt numFmtId="176" formatCode="_ * #,##0.00_ ;_ * \-#,##0.00_ ;_ * &quot;-&quot;??_ ;_ @_ "/>
    <numFmt numFmtId="177" formatCode="0.00_);[Red]\(0.00\)"/>
    <numFmt numFmtId="178" formatCode="0.0_ "/>
    <numFmt numFmtId="179" formatCode="[DBNum2][$-804]General"/>
    <numFmt numFmtId="180" formatCode="yyyy&quot;年&quot;m&quot;月&quot;;@"/>
    <numFmt numFmtId="181" formatCode="yyyy/m/d;@"/>
    <numFmt numFmtId="182" formatCode="0_ "/>
    <numFmt numFmtId="183" formatCode="[DBNum1][$-804]General"/>
    <numFmt numFmtId="184" formatCode="0.0000_ "/>
    <numFmt numFmtId="185" formatCode="0.00_ "/>
    <numFmt numFmtId="186" formatCode="0_ ;[Red]\-0\ "/>
    <numFmt numFmtId="187" formatCode="0.0_);[Red]\(0.0\)"/>
    <numFmt numFmtId="188" formatCode="0.0%"/>
    <numFmt numFmtId="189" formatCode="0.0000%"/>
    <numFmt numFmtId="190" formatCode="0_);[Red]\(0\)"/>
    <numFmt numFmtId="191" formatCode="[DBNum1][$-804]yyyy&quot;年&quot;m&quot;月&quot;d&quot;日&quot;;@"/>
    <numFmt numFmtId="192" formatCode="0.000_);[Red]\(0.000\)"/>
    <numFmt numFmtId="193" formatCode="0.000_ "/>
    <numFmt numFmtId="194" formatCode="[$-F800]dddd\,\ mmmm\ dd\,\ yyyy"/>
    <numFmt numFmtId="195" formatCode="yyyy&quot;年&quot;m&quot;月&quot;d&quot;日&quot;;@"/>
    <numFmt numFmtId="196" formatCode="&quot;￥&quot;#,##0.00;&quot;￥&quot;\-#,##0.00"/>
    <numFmt numFmtId="197" formatCode="0;_쐀"/>
    <numFmt numFmtId="198" formatCode="0.000%"/>
    <numFmt numFmtId="199" formatCode="#,##0.00_);[Red]\(#,##0.00\)"/>
  </numFmts>
  <fonts count="245">
    <font>
      <sz val="11"/>
      <color theme="1"/>
      <name val="宋体"/>
      <charset val="134"/>
      <scheme val="minor"/>
    </font>
    <font>
      <sz val="11"/>
      <color theme="1"/>
      <name val="宋体"/>
      <family val="2"/>
      <charset val="134"/>
      <scheme val="minor"/>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sz val="10"/>
      <color rgb="FF000000"/>
      <name val="Arial"/>
      <family val="2"/>
    </font>
    <font>
      <sz val="10"/>
      <color theme="1"/>
      <name val="Arial"/>
      <family val="2"/>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2"/>
      <color rgb="FFFF0000"/>
      <name val="宋体"/>
      <family val="3"/>
      <charset val="134"/>
    </font>
    <font>
      <sz val="10"/>
      <color rgb="FFFF0000"/>
      <name val="宋体"/>
      <family val="3"/>
      <charset val="134"/>
    </font>
    <font>
      <sz val="13"/>
      <name val="宋体"/>
      <family val="3"/>
      <charset val="134"/>
    </font>
    <font>
      <sz val="12"/>
      <color rgb="FFFF0000"/>
      <name val="宋体"/>
      <family val="3"/>
      <charset val="134"/>
    </font>
    <font>
      <b/>
      <sz val="11"/>
      <color theme="1"/>
      <name val="仿宋_GB2312"/>
      <family val="3"/>
      <charset val="134"/>
    </font>
    <font>
      <b/>
      <sz val="10"/>
      <color theme="1"/>
      <name val="仿宋_GB2312"/>
      <family val="3"/>
      <charset val="134"/>
    </font>
    <font>
      <sz val="10"/>
      <color theme="1"/>
      <name val="仿宋_GB2312"/>
      <family val="3"/>
      <charset val="134"/>
    </font>
    <font>
      <sz val="11"/>
      <color theme="1"/>
      <name val="仿宋_GB2312"/>
      <family val="3"/>
      <charset val="134"/>
    </font>
    <font>
      <sz val="12"/>
      <name val="Arial"/>
      <family val="2"/>
    </font>
    <font>
      <b/>
      <sz val="12"/>
      <name val="Arial"/>
      <family val="2"/>
    </font>
    <font>
      <b/>
      <sz val="10"/>
      <name val="Arial"/>
      <family val="2"/>
    </font>
    <font>
      <sz val="10"/>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sz val="10"/>
      <color indexed="10"/>
      <name val="Arial"/>
      <family val="2"/>
    </font>
    <font>
      <b/>
      <sz val="10"/>
      <color indexed="8"/>
      <name val="Arial"/>
      <family val="2"/>
    </font>
    <font>
      <sz val="10"/>
      <color theme="9" tint="-0.249977111117893"/>
      <name val="Arial"/>
      <family val="2"/>
    </font>
    <font>
      <b/>
      <sz val="12"/>
      <color indexed="8"/>
      <name val="Arial"/>
      <family val="2"/>
    </font>
    <font>
      <b/>
      <sz val="10"/>
      <color theme="1"/>
      <name val="Arial"/>
      <family val="2"/>
    </font>
    <font>
      <b/>
      <sz val="10"/>
      <color theme="0"/>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color rgb="FF707070"/>
      <name val="Arial"/>
      <family val="2"/>
    </font>
    <font>
      <b/>
      <sz val="12"/>
      <color theme="1"/>
      <name val="Arial"/>
      <family val="2"/>
    </font>
    <font>
      <b/>
      <sz val="12"/>
      <name val="仿宋_GB2312"/>
      <family val="3"/>
      <charset val="134"/>
    </font>
    <font>
      <sz val="10"/>
      <name val="仿宋_GB2312"/>
      <family val="3"/>
      <charset val="134"/>
    </font>
    <font>
      <sz val="10"/>
      <color rgb="FF000000"/>
      <name val="仿宋_GB2312"/>
      <family val="3"/>
      <charset val="134"/>
    </font>
    <font>
      <sz val="10"/>
      <color theme="1"/>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sz val="11"/>
      <color theme="1"/>
      <name val="华文细黑"/>
      <family val="3"/>
      <charset val="134"/>
    </font>
    <font>
      <sz val="11"/>
      <color rgb="FFFF0000"/>
      <name val="华文细黑"/>
      <family val="3"/>
      <charset val="134"/>
    </font>
    <font>
      <sz val="18"/>
      <color rgb="FF000000"/>
      <name val="宋体"/>
      <family val="3"/>
      <charset val="134"/>
    </font>
    <font>
      <sz val="11"/>
      <color indexed="8"/>
      <name val="宋体"/>
      <family val="3"/>
      <charset val="134"/>
    </font>
    <font>
      <sz val="11"/>
      <name val="宋体"/>
      <family val="3"/>
      <charset val="134"/>
      <scheme val="minor"/>
    </font>
    <font>
      <sz val="11"/>
      <color indexed="8"/>
      <name val="Tahoma"/>
      <family val="2"/>
    </font>
    <font>
      <sz val="10"/>
      <color indexed="8"/>
      <name val="Tahoma"/>
      <family val="2"/>
    </font>
    <font>
      <sz val="11"/>
      <name val="宋体"/>
      <family val="3"/>
      <charset val="134"/>
    </font>
    <font>
      <sz val="10"/>
      <color rgb="FF000000"/>
      <name val="宋体"/>
      <family val="3"/>
      <charset val="134"/>
    </font>
    <font>
      <b/>
      <sz val="11"/>
      <color rgb="FF000000"/>
      <name val="宋体"/>
      <family val="3"/>
      <charset val="134"/>
      <scheme val="major"/>
    </font>
    <font>
      <sz val="10"/>
      <color rgb="FF000000"/>
      <name val="Tahoma"/>
      <family val="2"/>
    </font>
    <font>
      <b/>
      <sz val="12"/>
      <color indexed="10"/>
      <name val="Arial"/>
      <family val="2"/>
    </font>
    <font>
      <b/>
      <sz val="12"/>
      <color theme="1"/>
      <name val="宋体"/>
      <family val="3"/>
      <charset val="134"/>
    </font>
    <font>
      <b/>
      <sz val="12"/>
      <name val="宋体"/>
      <family val="3"/>
      <charset val="134"/>
    </font>
    <font>
      <sz val="12"/>
      <name val="宋体"/>
      <family val="3"/>
      <charset val="134"/>
    </font>
    <font>
      <b/>
      <sz val="10"/>
      <color theme="9" tint="-0.249977111117893"/>
      <name val="宋体"/>
      <family val="3"/>
      <charset val="134"/>
    </font>
    <font>
      <b/>
      <i/>
      <u/>
      <sz val="11"/>
      <color rgb="FFFF0000"/>
      <name val="宋体"/>
      <family val="3"/>
      <charset val="134"/>
      <scheme val="minor"/>
    </font>
    <font>
      <b/>
      <sz val="16"/>
      <name val="宋体"/>
      <family val="3"/>
      <charset val="134"/>
    </font>
    <font>
      <i/>
      <sz val="10"/>
      <color indexed="8"/>
      <name val="Arial"/>
      <family val="2"/>
    </font>
    <font>
      <sz val="10"/>
      <color indexed="8"/>
      <name val="宋体"/>
      <family val="3"/>
      <charset val="134"/>
    </font>
    <font>
      <b/>
      <sz val="12"/>
      <color rgb="FFFF0000"/>
      <name val="Arial"/>
      <family val="2"/>
    </font>
    <font>
      <b/>
      <sz val="14"/>
      <color rgb="FFFF0000"/>
      <name val="Arial"/>
      <family val="2"/>
    </font>
    <font>
      <u/>
      <sz val="11"/>
      <color rgb="FFFF0000"/>
      <name val="Arial"/>
      <family val="2"/>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theme="1"/>
      <name val="宋体"/>
      <family val="3"/>
      <charset val="134"/>
      <scheme val="minor"/>
    </font>
    <font>
      <sz val="11"/>
      <color rgb="FF666666"/>
      <name val="微软雅黑"/>
      <family val="2"/>
      <charset val="134"/>
    </font>
    <font>
      <sz val="11"/>
      <color theme="1"/>
      <name val="宋体"/>
      <family val="3"/>
      <charset val="134"/>
      <scheme val="minor"/>
    </font>
    <font>
      <b/>
      <sz val="14"/>
      <color indexed="10"/>
      <name val="Arial"/>
      <family val="2"/>
    </font>
    <font>
      <sz val="12"/>
      <color indexed="8"/>
      <name val="楷体_GB2312"/>
      <family val="3"/>
      <charset val="134"/>
    </font>
    <font>
      <sz val="12"/>
      <color theme="1"/>
      <name val="楷体_GB2312"/>
      <family val="3"/>
      <charset val="134"/>
    </font>
    <font>
      <sz val="9"/>
      <color rgb="FFFF0000"/>
      <name val="Arial"/>
      <family val="2"/>
    </font>
    <font>
      <sz val="12"/>
      <color theme="9" tint="-0.249977111117893"/>
      <name val="Arial"/>
      <family val="2"/>
    </font>
    <font>
      <sz val="11"/>
      <color indexed="8"/>
      <name val="宋体"/>
      <family val="3"/>
      <charset val="134"/>
      <scheme val="minor"/>
    </font>
    <font>
      <sz val="16"/>
      <color theme="1"/>
      <name val="宋体"/>
      <family val="3"/>
      <charset val="134"/>
      <scheme val="minor"/>
    </font>
    <font>
      <b/>
      <sz val="16"/>
      <color theme="1"/>
      <name val="宋体"/>
      <family val="3"/>
      <charset val="134"/>
      <scheme val="minor"/>
    </font>
    <font>
      <b/>
      <sz val="12"/>
      <color theme="1"/>
      <name val="宋体"/>
      <family val="3"/>
      <charset val="134"/>
      <scheme val="minor"/>
    </font>
    <font>
      <sz val="11"/>
      <color rgb="FFFF0000"/>
      <name val="宋体"/>
      <family val="3"/>
      <charset val="134"/>
      <scheme val="minor"/>
    </font>
    <font>
      <b/>
      <sz val="16"/>
      <color rgb="FFFF0000"/>
      <name val="宋体"/>
      <family val="3"/>
      <charset val="134"/>
      <scheme val="major"/>
    </font>
    <font>
      <b/>
      <sz val="16"/>
      <color theme="1"/>
      <name val="宋体"/>
      <family val="3"/>
      <charset val="134"/>
      <scheme val="major"/>
    </font>
    <font>
      <b/>
      <sz val="16"/>
      <color indexed="8"/>
      <name val="宋体"/>
      <family val="3"/>
      <charset val="134"/>
    </font>
    <font>
      <sz val="14"/>
      <color theme="1"/>
      <name val="宋体"/>
      <family val="3"/>
      <charset val="134"/>
      <scheme val="minor"/>
    </font>
    <font>
      <b/>
      <sz val="12"/>
      <color indexed="8"/>
      <name val="宋体"/>
      <family val="3"/>
      <charset val="134"/>
      <scheme val="minor"/>
    </font>
    <font>
      <b/>
      <sz val="14"/>
      <color rgb="FFFF0000"/>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宋体"/>
      <family val="3"/>
      <charset val="134"/>
      <scheme val="minor"/>
    </font>
    <font>
      <sz val="12"/>
      <color theme="1"/>
      <name val="宋体"/>
      <family val="3"/>
      <charset val="134"/>
      <scheme val="minor"/>
    </font>
    <font>
      <sz val="12"/>
      <color theme="1"/>
      <name val="楷体_GB2312"/>
      <family val="3"/>
      <charset val="134"/>
    </font>
    <font>
      <sz val="12"/>
      <name val="宋体"/>
      <family val="3"/>
      <charset val="134"/>
    </font>
    <font>
      <b/>
      <sz val="18"/>
      <color indexed="10"/>
      <name val="΢ȭхڬˎ̥"/>
      <charset val="134"/>
    </font>
    <font>
      <b/>
      <sz val="16"/>
      <color indexed="10"/>
      <name val="楷体_GB2312"/>
      <family val="3"/>
      <charset val="134"/>
    </font>
    <font>
      <sz val="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sz val="10"/>
      <color rgb="FF707070"/>
      <name val="宋体"/>
      <family val="3"/>
      <charset val="134"/>
    </font>
    <font>
      <b/>
      <sz val="16"/>
      <color rgb="FFFF0000"/>
      <name val="宋体"/>
      <family val="3"/>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b/>
      <sz val="11"/>
      <color rgb="FFFF0000"/>
      <name val="宋体"/>
      <family val="3"/>
      <charset val="134"/>
    </font>
    <font>
      <sz val="11"/>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1"/>
      <color rgb="FFFF0000"/>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b/>
      <i/>
      <sz val="10"/>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sz val="9"/>
      <color indexed="8"/>
      <name val="宋体"/>
      <family val="3"/>
      <charset val="134"/>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b/>
      <sz val="14"/>
      <color indexed="10"/>
      <name val="宋体"/>
      <family val="3"/>
      <charset val="134"/>
    </font>
    <font>
      <sz val="11"/>
      <color indexed="10"/>
      <name val="宋体"/>
      <family val="3"/>
      <charset val="134"/>
    </font>
    <font>
      <sz val="8"/>
      <color indexed="8"/>
      <name val="Arial"/>
      <family val="2"/>
    </font>
    <font>
      <sz val="8"/>
      <color indexed="8"/>
      <name val="宋体"/>
      <family val="3"/>
      <charset val="134"/>
    </font>
    <font>
      <sz val="12"/>
      <color theme="9" tint="-0.249977111117893"/>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0"/>
      <color theme="1"/>
      <name val="宋体"/>
      <family val="3"/>
      <charset val="134"/>
    </font>
    <font>
      <b/>
      <sz val="10"/>
      <color theme="1"/>
      <name val="宋体"/>
      <family val="3"/>
      <charset val="134"/>
    </font>
    <font>
      <b/>
      <sz val="10"/>
      <name val="宋体"/>
      <family val="3"/>
      <charset val="134"/>
    </font>
    <font>
      <sz val="10"/>
      <name val="宋体"/>
      <family val="3"/>
      <charset val="134"/>
    </font>
    <font>
      <b/>
      <sz val="10"/>
      <color rgb="FFFF0000"/>
      <name val="宋体"/>
      <family val="3"/>
      <charset val="134"/>
    </font>
    <font>
      <sz val="16"/>
      <name val="宋体"/>
      <family val="3"/>
      <charset val="134"/>
    </font>
    <font>
      <sz val="9"/>
      <name val="宋体"/>
      <family val="3"/>
      <charset val="134"/>
    </font>
    <font>
      <sz val="12"/>
      <name val="仿宋_GB2312"/>
      <family val="3"/>
      <charset val="134"/>
    </font>
    <font>
      <sz val="12"/>
      <name val="宋体"/>
      <family val="3"/>
      <charset val="134"/>
      <scheme val="minor"/>
    </font>
    <font>
      <sz val="14"/>
      <name val="楷体_GB2312"/>
      <family val="3"/>
      <charset val="134"/>
    </font>
    <font>
      <sz val="12"/>
      <name val="楷体_GB2312"/>
      <family val="3"/>
      <charset val="134"/>
    </font>
    <font>
      <sz val="11"/>
      <name val="楷体_GB2312"/>
      <family val="3"/>
      <charset val="134"/>
    </font>
    <font>
      <b/>
      <sz val="9"/>
      <name val="宋体"/>
      <family val="3"/>
      <charset val="134"/>
    </font>
    <font>
      <sz val="9"/>
      <name val="宋体"/>
      <family val="3"/>
      <charset val="134"/>
      <scheme val="minor"/>
    </font>
    <font>
      <sz val="18"/>
      <color rgb="FFFF0000"/>
      <name val="华文细黑"/>
      <family val="3"/>
      <charset val="134"/>
    </font>
    <font>
      <b/>
      <sz val="11"/>
      <color theme="1"/>
      <name val="华文细黑"/>
      <family val="3"/>
      <charset val="134"/>
    </font>
    <font>
      <b/>
      <sz val="11"/>
      <color rgb="FFFF0000"/>
      <name val="华文细黑"/>
      <family val="3"/>
      <charset val="134"/>
    </font>
    <font>
      <sz val="9"/>
      <color indexed="81"/>
      <name val="宋体"/>
      <family val="3"/>
      <charset val="134"/>
    </font>
    <font>
      <b/>
      <sz val="9"/>
      <color indexed="81"/>
      <name val="宋体"/>
      <family val="3"/>
      <charset val="134"/>
    </font>
    <font>
      <b/>
      <sz val="10"/>
      <color rgb="FF000000"/>
      <name val="宋体"/>
      <family val="3"/>
      <charset val="134"/>
    </font>
    <font>
      <b/>
      <sz val="10"/>
      <name val="宋体"/>
      <family val="3"/>
      <charset val="134"/>
      <scheme val="minor"/>
    </font>
    <font>
      <sz val="11"/>
      <color rgb="FF000000"/>
      <name val="宋体"/>
      <family val="3"/>
      <charset val="134"/>
    </font>
    <font>
      <b/>
      <sz val="11"/>
      <color rgb="FFFF0000"/>
      <name val="宋体"/>
      <family val="3"/>
      <charset val="134"/>
      <scheme val="minor"/>
    </font>
    <font>
      <b/>
      <sz val="11"/>
      <color rgb="FF000000"/>
      <name val="宋体"/>
      <family val="3"/>
      <charset val="134"/>
    </font>
    <font>
      <b/>
      <sz val="11"/>
      <color indexed="8"/>
      <name val="Tahoma"/>
      <family val="2"/>
    </font>
    <font>
      <b/>
      <sz val="11"/>
      <name val="宋体"/>
      <family val="3"/>
      <charset val="134"/>
      <scheme val="minor"/>
    </font>
    <font>
      <sz val="11"/>
      <color rgb="FF000000"/>
      <name val="Tahoma"/>
      <family val="2"/>
    </font>
    <font>
      <sz val="11"/>
      <color theme="1"/>
      <name val="微软雅黑"/>
      <family val="2"/>
      <charset val="134"/>
    </font>
    <font>
      <sz val="11"/>
      <name val="微软雅黑"/>
      <family val="2"/>
      <charset val="134"/>
    </font>
    <font>
      <b/>
      <sz val="11"/>
      <color rgb="FFC00000"/>
      <name val="微软雅黑"/>
      <family val="2"/>
      <charset val="134"/>
    </font>
    <font>
      <b/>
      <sz val="11"/>
      <color theme="1"/>
      <name val="微软雅黑"/>
      <family val="2"/>
      <charset val="134"/>
    </font>
    <font>
      <sz val="11"/>
      <color theme="9" tint="-0.249977111117893"/>
      <name val="仿宋_GB2312"/>
      <family val="3"/>
      <charset val="134"/>
    </font>
    <font>
      <sz val="11"/>
      <color theme="1"/>
      <name val="宋体"/>
      <family val="3"/>
      <charset val="134"/>
      <scheme val="minor"/>
    </font>
  </fonts>
  <fills count="28">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0" tint="-0.14999847407452621"/>
        <bgColor indexed="64"/>
      </patternFill>
    </fill>
    <fill>
      <patternFill patternType="solid">
        <fgColor theme="4" tint="0.79995117038483843"/>
        <bgColor indexed="64"/>
      </patternFill>
    </fill>
    <fill>
      <patternFill patternType="solid">
        <fgColor theme="4" tint="0.79998168889431442"/>
        <bgColor indexed="64"/>
      </patternFill>
    </fill>
    <fill>
      <patternFill patternType="solid">
        <fgColor theme="9" tint="0.39994506668294322"/>
        <bgColor indexed="64"/>
      </patternFill>
    </fill>
    <fill>
      <patternFill patternType="solid">
        <fgColor theme="8" tint="0.3999450666829432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0" tint="-4.9989318521683403E-2"/>
        <bgColor indexed="64"/>
      </patternFill>
    </fill>
    <fill>
      <patternFill patternType="solid">
        <fgColor theme="4" tint="0.79992065187536243"/>
        <bgColor indexed="64"/>
      </patternFill>
    </fill>
    <fill>
      <patternFill patternType="solid">
        <fgColor theme="2" tint="-9.9978637043366805E-2"/>
        <bgColor indexed="64"/>
      </patternFill>
    </fill>
    <fill>
      <patternFill patternType="solid">
        <fgColor rgb="FFC00000"/>
        <bgColor indexed="64"/>
      </patternFill>
    </fill>
    <fill>
      <patternFill patternType="solid">
        <fgColor theme="8" tint="0.79998168889431442"/>
        <bgColor indexed="64"/>
      </patternFill>
    </fill>
    <fill>
      <patternFill patternType="solid">
        <fgColor theme="6" tint="0.79998168889431442"/>
        <bgColor indexed="64"/>
      </patternFill>
    </fill>
    <fill>
      <patternFill patternType="solid">
        <fgColor rgb="FFFFC000"/>
        <bgColor indexed="64"/>
      </patternFill>
    </fill>
  </fills>
  <borders count="158">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medium">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bottom style="thin">
        <color auto="1"/>
      </bottom>
      <diagonal/>
    </border>
    <border>
      <left style="thin">
        <color auto="1"/>
      </left>
      <right/>
      <top style="medium">
        <color auto="1"/>
      </top>
      <bottom style="medium">
        <color auto="1"/>
      </bottom>
      <diagonal/>
    </border>
    <border>
      <left style="medium">
        <color auto="1"/>
      </left>
      <right style="thin">
        <color auto="1"/>
      </right>
      <top/>
      <bottom style="medium">
        <color auto="1"/>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thin">
        <color auto="1"/>
      </right>
      <top style="medium">
        <color auto="1"/>
      </top>
      <bottom style="medium">
        <color auto="1"/>
      </bottom>
      <diagonal/>
    </border>
    <border>
      <left/>
      <right style="thin">
        <color auto="1"/>
      </right>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right style="medium">
        <color auto="1"/>
      </right>
      <top/>
      <bottom style="double">
        <color auto="1"/>
      </bottom>
      <diagonal/>
    </border>
    <border>
      <left style="thin">
        <color auto="1"/>
      </left>
      <right/>
      <top/>
      <bottom style="mediumDashed">
        <color auto="1"/>
      </bottom>
      <diagonal/>
    </border>
    <border>
      <left style="mediumDashed">
        <color theme="3" tint="0.39991454817346722"/>
      </left>
      <right style="thin">
        <color auto="1"/>
      </right>
      <top style="thin">
        <color auto="1"/>
      </top>
      <bottom style="thin">
        <color auto="1"/>
      </bottom>
      <diagonal/>
    </border>
    <border>
      <left style="thin">
        <color indexed="8"/>
      </left>
      <right style="thin">
        <color indexed="8"/>
      </right>
      <top style="thin">
        <color indexed="8"/>
      </top>
      <bottom style="thin">
        <color indexed="8"/>
      </bottom>
      <diagonal/>
    </border>
    <border>
      <left style="thin">
        <color indexed="64"/>
      </left>
      <right style="medium">
        <color indexed="64"/>
      </right>
      <top style="thin">
        <color indexed="64"/>
      </top>
      <bottom style="thin">
        <color indexed="64"/>
      </bottom>
      <diagonal/>
    </border>
  </borders>
  <cellStyleXfs count="17">
    <xf numFmtId="0" fontId="0" fillId="0" borderId="0">
      <alignment vertical="center"/>
    </xf>
    <xf numFmtId="176" fontId="145" fillId="0" borderId="0" applyFont="0" applyFill="0" applyBorder="0" applyAlignment="0" applyProtection="0">
      <alignment vertical="center"/>
    </xf>
    <xf numFmtId="0" fontId="111" fillId="0" borderId="0"/>
    <xf numFmtId="0" fontId="146" fillId="0" borderId="0">
      <alignment vertical="center"/>
    </xf>
    <xf numFmtId="0" fontId="146" fillId="0" borderId="0">
      <alignment vertical="center"/>
    </xf>
    <xf numFmtId="0" fontId="109" fillId="0" borderId="0"/>
    <xf numFmtId="0" fontId="147" fillId="0" borderId="0"/>
    <xf numFmtId="0" fontId="111" fillId="0" borderId="0">
      <alignment vertical="center"/>
    </xf>
    <xf numFmtId="0" fontId="111" fillId="0" borderId="0">
      <alignment vertical="center"/>
    </xf>
    <xf numFmtId="0" fontId="111" fillId="0" borderId="0">
      <alignment vertical="center"/>
    </xf>
    <xf numFmtId="0" fontId="111" fillId="0" borderId="0">
      <alignment vertical="center"/>
    </xf>
    <xf numFmtId="0" fontId="111" fillId="0" borderId="0"/>
    <xf numFmtId="0" fontId="93" fillId="0" borderId="0"/>
    <xf numFmtId="0" fontId="111" fillId="0" borderId="0">
      <alignment vertical="center"/>
    </xf>
    <xf numFmtId="0" fontId="111" fillId="0" borderId="0">
      <alignment vertical="center"/>
    </xf>
    <xf numFmtId="0" fontId="30" fillId="0" borderId="0">
      <alignment wrapText="1"/>
    </xf>
    <xf numFmtId="9" fontId="244" fillId="0" borderId="0" applyFont="0" applyFill="0" applyBorder="0" applyAlignment="0" applyProtection="0">
      <alignment vertical="center"/>
    </xf>
  </cellStyleXfs>
  <cellXfs count="3632">
    <xf numFmtId="0" fontId="0" fillId="0" borderId="0" xfId="0">
      <alignment vertical="center"/>
    </xf>
    <xf numFmtId="0" fontId="2" fillId="0" borderId="0" xfId="0" applyFont="1" applyAlignment="1">
      <alignment vertical="center"/>
    </xf>
    <xf numFmtId="0" fontId="3" fillId="0" borderId="1" xfId="0" applyFont="1" applyBorder="1" applyAlignment="1">
      <alignment vertical="center"/>
    </xf>
    <xf numFmtId="0" fontId="3" fillId="0" borderId="1" xfId="0" applyFont="1" applyBorder="1" applyAlignment="1">
      <alignment horizontal="center" vertical="center"/>
    </xf>
    <xf numFmtId="0" fontId="4" fillId="0" borderId="0" xfId="0" applyFont="1" applyAlignment="1">
      <alignment vertical="center"/>
    </xf>
    <xf numFmtId="0" fontId="5" fillId="0" borderId="0" xfId="0" applyFont="1" applyAlignment="1">
      <alignment vertical="center"/>
    </xf>
    <xf numFmtId="0" fontId="3" fillId="0" borderId="1" xfId="0" applyFont="1" applyBorder="1" applyAlignment="1">
      <alignment horizontal="right" vertical="center"/>
    </xf>
    <xf numFmtId="0" fontId="3" fillId="0" borderId="2" xfId="0" applyFont="1" applyBorder="1" applyAlignment="1">
      <alignment vertical="center"/>
    </xf>
    <xf numFmtId="0" fontId="3" fillId="0" borderId="3" xfId="0" applyFont="1" applyBorder="1" applyAlignment="1">
      <alignment vertical="center"/>
    </xf>
    <xf numFmtId="0" fontId="3" fillId="0" borderId="4" xfId="0" applyFont="1" applyBorder="1" applyAlignment="1">
      <alignment vertical="center"/>
    </xf>
    <xf numFmtId="0" fontId="3" fillId="0" borderId="1" xfId="0" applyFont="1" applyBorder="1" applyAlignment="1">
      <alignment horizontal="left" vertical="center" wrapText="1"/>
    </xf>
    <xf numFmtId="0" fontId="3" fillId="0" borderId="1" xfId="0" applyFont="1" applyBorder="1" applyAlignment="1">
      <alignment vertical="center" wrapText="1"/>
    </xf>
    <xf numFmtId="0" fontId="6" fillId="0" borderId="1" xfId="0" applyFont="1" applyBorder="1" applyAlignment="1">
      <alignment horizontal="right" vertical="center" wrapText="1"/>
    </xf>
    <xf numFmtId="0" fontId="7" fillId="0" borderId="1" xfId="0" applyFont="1" applyBorder="1" applyAlignment="1">
      <alignment horizontal="right" vertical="center"/>
    </xf>
    <xf numFmtId="0" fontId="8" fillId="0" borderId="0" xfId="0" applyFont="1" applyAlignment="1"/>
    <xf numFmtId="0" fontId="9" fillId="2" borderId="0" xfId="11" applyFont="1" applyFill="1"/>
    <xf numFmtId="0" fontId="9" fillId="0" borderId="0" xfId="11" applyFont="1"/>
    <xf numFmtId="0" fontId="0" fillId="0" borderId="0" xfId="0" applyAlignment="1"/>
    <xf numFmtId="0" fontId="10" fillId="2" borderId="5" xfId="11" applyFont="1" applyFill="1" applyBorder="1"/>
    <xf numFmtId="0" fontId="11" fillId="2" borderId="6" xfId="11" applyFont="1" applyFill="1" applyBorder="1" applyAlignment="1">
      <alignment horizontal="center"/>
    </xf>
    <xf numFmtId="14" fontId="10" fillId="2" borderId="6" xfId="11" applyNumberFormat="1" applyFont="1" applyFill="1" applyBorder="1" applyAlignment="1" applyProtection="1">
      <alignment horizontal="center"/>
    </xf>
    <xf numFmtId="0" fontId="10" fillId="2" borderId="6" xfId="11" applyFont="1" applyFill="1" applyBorder="1" applyAlignment="1" applyProtection="1">
      <alignment horizontal="center"/>
    </xf>
    <xf numFmtId="10" fontId="10" fillId="2" borderId="6" xfId="11" applyNumberFormat="1" applyFont="1" applyFill="1" applyBorder="1" applyAlignment="1">
      <alignment horizontal="center"/>
    </xf>
    <xf numFmtId="0" fontId="12" fillId="2" borderId="0" xfId="0" applyFont="1" applyFill="1" applyAlignment="1"/>
    <xf numFmtId="0" fontId="13" fillId="2" borderId="0" xfId="11" applyFont="1" applyFill="1"/>
    <xf numFmtId="0" fontId="9" fillId="2" borderId="7" xfId="11" applyFont="1" applyFill="1" applyBorder="1"/>
    <xf numFmtId="0" fontId="14" fillId="2" borderId="8" xfId="11" applyFont="1" applyFill="1" applyBorder="1" applyAlignment="1">
      <alignment horizontal="center" vertical="center" wrapText="1"/>
    </xf>
    <xf numFmtId="0" fontId="9" fillId="2" borderId="9" xfId="11" applyFont="1" applyFill="1" applyBorder="1" applyAlignment="1">
      <alignment horizontal="center"/>
    </xf>
    <xf numFmtId="0" fontId="14" fillId="2" borderId="7" xfId="11" applyFont="1" applyFill="1" applyBorder="1" applyAlignment="1">
      <alignment horizontal="center" vertical="center" wrapText="1"/>
    </xf>
    <xf numFmtId="0" fontId="9" fillId="2" borderId="8" xfId="11" applyNumberFormat="1" applyFont="1" applyFill="1" applyBorder="1" applyAlignment="1">
      <alignment horizontal="center"/>
    </xf>
    <xf numFmtId="0" fontId="9" fillId="2" borderId="10" xfId="11" applyFont="1" applyFill="1" applyBorder="1"/>
    <xf numFmtId="0" fontId="14" fillId="2" borderId="1" xfId="11" applyFont="1" applyFill="1" applyBorder="1" applyAlignment="1">
      <alignment horizontal="center" vertical="center" wrapText="1"/>
    </xf>
    <xf numFmtId="0" fontId="9" fillId="2" borderId="11" xfId="11" applyFont="1" applyFill="1" applyBorder="1" applyAlignment="1">
      <alignment horizontal="center"/>
    </xf>
    <xf numFmtId="0" fontId="14" fillId="2" borderId="10" xfId="11" applyFont="1" applyFill="1" applyBorder="1" applyAlignment="1">
      <alignment horizontal="center" vertical="center" wrapText="1"/>
    </xf>
    <xf numFmtId="0" fontId="9" fillId="2" borderId="1" xfId="11" applyNumberFormat="1" applyFont="1" applyFill="1" applyBorder="1" applyAlignment="1">
      <alignment horizontal="center"/>
    </xf>
    <xf numFmtId="0" fontId="9" fillId="2" borderId="12" xfId="11" applyFont="1" applyFill="1" applyBorder="1"/>
    <xf numFmtId="0" fontId="14" fillId="2" borderId="13" xfId="11" applyFont="1" applyFill="1" applyBorder="1" applyAlignment="1">
      <alignment horizontal="center" vertical="center" wrapText="1"/>
    </xf>
    <xf numFmtId="0" fontId="9" fillId="2" borderId="14" xfId="11" applyFont="1" applyFill="1" applyBorder="1" applyAlignment="1">
      <alignment horizontal="center"/>
    </xf>
    <xf numFmtId="0" fontId="14" fillId="2" borderId="12" xfId="11" applyFont="1" applyFill="1" applyBorder="1" applyAlignment="1">
      <alignment horizontal="center" vertical="center" wrapText="1"/>
    </xf>
    <xf numFmtId="0" fontId="9" fillId="2" borderId="13" xfId="11" applyNumberFormat="1" applyFont="1" applyFill="1" applyBorder="1" applyAlignment="1">
      <alignment horizontal="center"/>
    </xf>
    <xf numFmtId="0" fontId="9" fillId="2" borderId="0" xfId="11" applyNumberFormat="1" applyFont="1" applyFill="1" applyAlignment="1">
      <alignment horizontal="center"/>
    </xf>
    <xf numFmtId="0" fontId="9" fillId="2" borderId="0" xfId="11" applyFont="1" applyFill="1" applyAlignment="1">
      <alignment horizontal="right"/>
    </xf>
    <xf numFmtId="14" fontId="9" fillId="2" borderId="0" xfId="11" applyNumberFormat="1" applyFont="1" applyFill="1" applyAlignment="1">
      <alignment horizontal="center"/>
    </xf>
    <xf numFmtId="0" fontId="15" fillId="2" borderId="0" xfId="11" applyNumberFormat="1" applyFont="1" applyFill="1" applyAlignment="1">
      <alignment horizontal="center"/>
    </xf>
    <xf numFmtId="0" fontId="16" fillId="2" borderId="0" xfId="11" applyFont="1" applyFill="1" applyAlignment="1">
      <alignment horizontal="left"/>
    </xf>
    <xf numFmtId="14" fontId="15" fillId="2" borderId="0" xfId="11" applyNumberFormat="1" applyFont="1" applyFill="1" applyAlignment="1">
      <alignment horizontal="center"/>
    </xf>
    <xf numFmtId="0" fontId="15" fillId="2" borderId="0" xfId="11" applyFont="1" applyFill="1"/>
    <xf numFmtId="0" fontId="17" fillId="2" borderId="0" xfId="11" applyFont="1" applyFill="1"/>
    <xf numFmtId="0" fontId="18" fillId="2" borderId="0" xfId="11" applyFont="1" applyFill="1"/>
    <xf numFmtId="0" fontId="14" fillId="2" borderId="0" xfId="11" applyFont="1" applyFill="1" applyAlignment="1"/>
    <xf numFmtId="0" fontId="11" fillId="2" borderId="15" xfId="11" applyFont="1" applyFill="1" applyBorder="1" applyAlignment="1">
      <alignment horizontal="center" vertical="center"/>
    </xf>
    <xf numFmtId="0" fontId="11" fillId="2" borderId="15" xfId="11" applyFont="1" applyFill="1" applyBorder="1" applyAlignment="1">
      <alignment vertical="center"/>
    </xf>
    <xf numFmtId="0" fontId="11" fillId="2" borderId="2" xfId="11" applyFont="1" applyFill="1" applyBorder="1" applyAlignment="1">
      <alignment vertical="center"/>
    </xf>
    <xf numFmtId="0" fontId="11" fillId="2" borderId="4" xfId="11" applyFont="1" applyFill="1" applyBorder="1" applyAlignment="1">
      <alignment vertical="center"/>
    </xf>
    <xf numFmtId="0" fontId="11" fillId="2" borderId="3" xfId="11" applyFont="1" applyFill="1" applyBorder="1" applyAlignment="1">
      <alignment vertical="center"/>
    </xf>
    <xf numFmtId="0" fontId="14" fillId="2" borderId="0" xfId="11" applyFont="1" applyFill="1"/>
    <xf numFmtId="0" fontId="11" fillId="2" borderId="16" xfId="11" applyFont="1" applyFill="1" applyBorder="1" applyAlignment="1">
      <alignment horizontal="center" vertical="center" wrapText="1"/>
    </xf>
    <xf numFmtId="0" fontId="11" fillId="2" borderId="16" xfId="11" applyFont="1" applyFill="1" applyBorder="1" applyAlignment="1">
      <alignment vertical="center" wrapText="1"/>
    </xf>
    <xf numFmtId="0" fontId="9" fillId="2" borderId="1" xfId="11" applyFont="1" applyFill="1" applyBorder="1"/>
    <xf numFmtId="0" fontId="19" fillId="2" borderId="0" xfId="11" applyFont="1" applyFill="1" applyAlignment="1">
      <alignment vertical="center"/>
    </xf>
    <xf numFmtId="0" fontId="19" fillId="2" borderId="1" xfId="11" applyFont="1" applyFill="1" applyBorder="1" applyAlignment="1">
      <alignment horizontal="left" vertical="center" wrapText="1"/>
    </xf>
    <xf numFmtId="181" fontId="19" fillId="2" borderId="1" xfId="11" applyNumberFormat="1" applyFont="1" applyFill="1" applyBorder="1" applyAlignment="1">
      <alignment horizontal="center" vertical="center" wrapText="1"/>
    </xf>
    <xf numFmtId="0" fontId="19" fillId="2" borderId="1" xfId="11" applyFont="1" applyFill="1" applyBorder="1" applyAlignment="1">
      <alignment horizontal="center" vertical="center" wrapText="1"/>
    </xf>
    <xf numFmtId="0" fontId="9" fillId="2" borderId="1" xfId="11" applyFont="1" applyFill="1" applyBorder="1" applyAlignment="1">
      <alignment horizontal="center" wrapText="1"/>
    </xf>
    <xf numFmtId="14" fontId="9" fillId="2" borderId="1" xfId="11" applyNumberFormat="1" applyFont="1" applyFill="1" applyBorder="1" applyAlignment="1">
      <alignment horizontal="center" wrapText="1"/>
    </xf>
    <xf numFmtId="14" fontId="20" fillId="2" borderId="1" xfId="11" applyNumberFormat="1" applyFont="1" applyFill="1" applyBorder="1" applyAlignment="1">
      <alignment horizontal="center" wrapText="1"/>
    </xf>
    <xf numFmtId="0" fontId="9" fillId="2" borderId="0" xfId="11" applyFont="1" applyFill="1" applyBorder="1" applyAlignment="1">
      <alignment horizontal="center" wrapText="1"/>
    </xf>
    <xf numFmtId="14" fontId="9" fillId="2" borderId="0" xfId="11" applyNumberFormat="1" applyFont="1" applyFill="1" applyBorder="1" applyAlignment="1">
      <alignment horizontal="center" wrapText="1"/>
    </xf>
    <xf numFmtId="182" fontId="11" fillId="2" borderId="5" xfId="11" applyNumberFormat="1" applyFont="1" applyFill="1" applyBorder="1" applyAlignment="1">
      <alignment horizontal="center"/>
    </xf>
    <xf numFmtId="0" fontId="11" fillId="2" borderId="1" xfId="11" applyFont="1" applyFill="1" applyBorder="1" applyAlignment="1">
      <alignment horizontal="center" vertical="center" wrapText="1"/>
    </xf>
    <xf numFmtId="14" fontId="19" fillId="2" borderId="1" xfId="11" applyNumberFormat="1" applyFont="1" applyFill="1" applyBorder="1" applyAlignment="1">
      <alignment horizontal="center" vertical="center" wrapText="1"/>
    </xf>
    <xf numFmtId="185" fontId="21" fillId="2" borderId="1" xfId="11" applyNumberFormat="1" applyFont="1" applyFill="1" applyBorder="1" applyAlignment="1">
      <alignment horizontal="center"/>
    </xf>
    <xf numFmtId="0" fontId="10" fillId="0" borderId="5" xfId="11" applyFont="1" applyBorder="1"/>
    <xf numFmtId="0" fontId="15" fillId="0" borderId="0" xfId="11" applyFont="1"/>
    <xf numFmtId="0" fontId="17" fillId="0" borderId="0" xfId="11" applyFont="1"/>
    <xf numFmtId="0" fontId="14" fillId="0" borderId="0" xfId="11" applyFont="1" applyAlignment="1"/>
    <xf numFmtId="0" fontId="14" fillId="0" borderId="0" xfId="11" applyFont="1"/>
    <xf numFmtId="0" fontId="19" fillId="3" borderId="0" xfId="11" applyFont="1" applyFill="1" applyAlignment="1">
      <alignment vertical="center"/>
    </xf>
    <xf numFmtId="0" fontId="8" fillId="0" borderId="5" xfId="0" applyFont="1" applyBorder="1" applyAlignment="1"/>
    <xf numFmtId="0" fontId="15" fillId="0" borderId="0" xfId="0" applyFont="1" applyAlignment="1"/>
    <xf numFmtId="0" fontId="22" fillId="0" borderId="0" xfId="0" applyFont="1" applyAlignment="1"/>
    <xf numFmtId="0" fontId="0" fillId="2" borderId="0" xfId="0" applyFill="1" applyAlignment="1" applyProtection="1">
      <alignment horizontal="center" vertical="center"/>
    </xf>
    <xf numFmtId="0" fontId="0" fillId="2" borderId="0" xfId="0" applyFill="1" applyProtection="1">
      <alignment vertical="center"/>
    </xf>
    <xf numFmtId="0" fontId="23" fillId="2" borderId="0" xfId="0" applyFont="1" applyFill="1" applyAlignment="1" applyProtection="1">
      <alignment horizontal="center" vertical="center"/>
    </xf>
    <xf numFmtId="0" fontId="24" fillId="2" borderId="17" xfId="0" applyFont="1" applyFill="1" applyBorder="1" applyAlignment="1" applyProtection="1">
      <alignment horizontal="center" vertical="center"/>
    </xf>
    <xf numFmtId="0" fontId="24" fillId="2" borderId="18" xfId="0" applyFont="1" applyFill="1" applyBorder="1" applyAlignment="1" applyProtection="1">
      <alignment vertical="center" wrapText="1"/>
    </xf>
    <xf numFmtId="0" fontId="24" fillId="2" borderId="15" xfId="0" applyFont="1" applyFill="1" applyBorder="1" applyAlignment="1" applyProtection="1">
      <alignment horizontal="center" vertical="center"/>
    </xf>
    <xf numFmtId="0" fontId="25" fillId="2" borderId="18" xfId="0" applyFont="1" applyFill="1" applyBorder="1" applyAlignment="1" applyProtection="1">
      <alignment vertical="center" wrapText="1"/>
    </xf>
    <xf numFmtId="0" fontId="25" fillId="2" borderId="8" xfId="0" applyFont="1" applyFill="1" applyBorder="1" applyAlignment="1" applyProtection="1">
      <alignment horizontal="center" vertical="center" wrapText="1"/>
    </xf>
    <xf numFmtId="10" fontId="7" fillId="0" borderId="8" xfId="0" applyNumberFormat="1" applyFont="1" applyBorder="1" applyAlignment="1">
      <alignment horizontal="center" vertical="center" wrapText="1"/>
    </xf>
    <xf numFmtId="10" fontId="7" fillId="0" borderId="9" xfId="0" applyNumberFormat="1" applyFont="1" applyBorder="1" applyAlignment="1">
      <alignment horizontal="center" vertical="center" wrapText="1"/>
    </xf>
    <xf numFmtId="0" fontId="25" fillId="2" borderId="1" xfId="0" applyFont="1" applyFill="1" applyBorder="1" applyAlignment="1" applyProtection="1">
      <alignment horizontal="center" vertical="center" wrapText="1"/>
    </xf>
    <xf numFmtId="10" fontId="7" fillId="0" borderId="1" xfId="0" applyNumberFormat="1" applyFont="1" applyBorder="1" applyAlignment="1">
      <alignment horizontal="center" vertical="center" wrapText="1"/>
    </xf>
    <xf numFmtId="10" fontId="7" fillId="0" borderId="11" xfId="0" applyNumberFormat="1" applyFont="1" applyBorder="1" applyAlignment="1">
      <alignment horizontal="center" vertical="center" wrapText="1"/>
    </xf>
    <xf numFmtId="0" fontId="25" fillId="2" borderId="16" xfId="0" applyFont="1" applyFill="1" applyBorder="1" applyAlignment="1" applyProtection="1">
      <alignment horizontal="center" vertical="center" wrapText="1"/>
    </xf>
    <xf numFmtId="0" fontId="25" fillId="2" borderId="19" xfId="0" applyFont="1" applyFill="1" applyBorder="1" applyAlignment="1" applyProtection="1">
      <alignment vertical="center" wrapText="1"/>
    </xf>
    <xf numFmtId="0" fontId="25" fillId="2" borderId="20" xfId="0" applyFont="1" applyFill="1" applyBorder="1" applyAlignment="1" applyProtection="1">
      <alignment horizontal="center" vertical="center" wrapText="1"/>
    </xf>
    <xf numFmtId="10" fontId="7"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5" fillId="2" borderId="13" xfId="0" applyFont="1" applyFill="1" applyBorder="1" applyAlignment="1" applyProtection="1">
      <alignment horizontal="center" vertical="center" wrapText="1"/>
    </xf>
    <xf numFmtId="10" fontId="7" fillId="0" borderId="14" xfId="0" applyNumberFormat="1" applyFont="1" applyBorder="1" applyAlignment="1">
      <alignment horizontal="center" vertical="center" wrapText="1"/>
    </xf>
    <xf numFmtId="0" fontId="25" fillId="2" borderId="15" xfId="0" applyFont="1" applyFill="1" applyBorder="1" applyAlignment="1" applyProtection="1">
      <alignment horizontal="center" vertical="center" wrapText="1"/>
    </xf>
    <xf numFmtId="10" fontId="7" fillId="0" borderId="15" xfId="0" applyNumberFormat="1" applyFont="1" applyBorder="1" applyAlignment="1">
      <alignment horizontal="center" vertical="center" wrapText="1"/>
    </xf>
    <xf numFmtId="0" fontId="25" fillId="2" borderId="24" xfId="0" applyFont="1" applyFill="1" applyBorder="1" applyAlignment="1" applyProtection="1">
      <alignment horizontal="center" vertical="center" wrapText="1"/>
    </xf>
    <xf numFmtId="10" fontId="0" fillId="0" borderId="25" xfId="0" applyNumberFormat="1" applyBorder="1">
      <alignment vertical="center"/>
    </xf>
    <xf numFmtId="10" fontId="7" fillId="0" borderId="26" xfId="0" applyNumberFormat="1" applyFont="1" applyBorder="1" applyAlignment="1">
      <alignment horizontal="center" vertical="center" wrapText="1"/>
    </xf>
    <xf numFmtId="0" fontId="25" fillId="2" borderId="27" xfId="0" applyFont="1" applyFill="1" applyBorder="1" applyAlignment="1" applyProtection="1">
      <alignment vertical="center" wrapText="1"/>
    </xf>
    <xf numFmtId="10" fontId="7" fillId="0" borderId="28" xfId="0" applyNumberFormat="1" applyFont="1" applyBorder="1" applyAlignment="1">
      <alignment horizontal="center" vertical="center" wrapText="1"/>
    </xf>
    <xf numFmtId="10" fontId="0" fillId="0" borderId="29" xfId="0" applyNumberFormat="1" applyBorder="1">
      <alignment vertical="center"/>
    </xf>
    <xf numFmtId="0" fontId="12" fillId="2" borderId="0" xfId="0" applyFont="1" applyFill="1" applyProtection="1">
      <alignment vertical="center"/>
    </xf>
    <xf numFmtId="0" fontId="0" fillId="2" borderId="30" xfId="0" applyFill="1" applyBorder="1" applyProtection="1">
      <alignment vertical="center"/>
    </xf>
    <xf numFmtId="0" fontId="0" fillId="2" borderId="18" xfId="0" applyFill="1" applyBorder="1" applyAlignment="1" applyProtection="1">
      <alignment horizontal="center" vertical="center"/>
    </xf>
    <xf numFmtId="0" fontId="25" fillId="2" borderId="10" xfId="0" applyFont="1" applyFill="1" applyBorder="1" applyAlignment="1" applyProtection="1">
      <alignment horizontal="center" vertical="center" wrapText="1"/>
    </xf>
    <xf numFmtId="0" fontId="12" fillId="2" borderId="31" xfId="0" applyFont="1" applyFill="1" applyBorder="1" applyProtection="1">
      <alignment vertical="center"/>
    </xf>
    <xf numFmtId="0" fontId="24" fillId="2" borderId="32" xfId="0" applyFont="1" applyFill="1" applyBorder="1" applyAlignment="1" applyProtection="1">
      <alignment horizontal="center" vertical="center"/>
    </xf>
    <xf numFmtId="0" fontId="12" fillId="2" borderId="30" xfId="0" applyFont="1" applyFill="1" applyBorder="1" applyProtection="1">
      <alignment vertical="center"/>
    </xf>
    <xf numFmtId="0" fontId="24" fillId="2" borderId="13" xfId="0" applyFont="1" applyFill="1" applyBorder="1" applyAlignment="1" applyProtection="1">
      <alignment horizontal="center" vertical="center"/>
    </xf>
    <xf numFmtId="0" fontId="24" fillId="2" borderId="33" xfId="0" applyFont="1" applyFill="1" applyBorder="1" applyAlignment="1" applyProtection="1">
      <alignment horizontal="center" vertical="center"/>
    </xf>
    <xf numFmtId="0" fontId="25" fillId="2" borderId="32" xfId="0" applyFont="1" applyFill="1" applyBorder="1" applyAlignment="1" applyProtection="1">
      <alignment horizontal="center" vertical="center" wrapText="1"/>
    </xf>
    <xf numFmtId="0" fontId="25" fillId="2" borderId="34" xfId="0" applyFont="1" applyFill="1" applyBorder="1" applyAlignment="1" applyProtection="1">
      <alignment horizontal="center" vertical="center" wrapText="1"/>
    </xf>
    <xf numFmtId="0" fontId="26" fillId="2" borderId="33" xfId="0" applyFont="1" applyFill="1" applyBorder="1" applyProtection="1">
      <alignment vertical="center"/>
    </xf>
    <xf numFmtId="0" fontId="25" fillId="2" borderId="2" xfId="0" applyFont="1" applyFill="1" applyBorder="1" applyAlignment="1" applyProtection="1">
      <alignment horizontal="center" vertical="center" wrapText="1"/>
    </xf>
    <xf numFmtId="0" fontId="26" fillId="2" borderId="2" xfId="0" applyFont="1" applyFill="1" applyBorder="1" applyProtection="1">
      <alignment vertical="center"/>
    </xf>
    <xf numFmtId="0" fontId="25" fillId="2" borderId="33" xfId="0" applyFont="1" applyFill="1" applyBorder="1" applyAlignment="1" applyProtection="1">
      <alignment horizontal="center" vertical="center" wrapText="1"/>
    </xf>
    <xf numFmtId="0" fontId="0" fillId="2" borderId="2" xfId="0" applyFill="1" applyBorder="1" applyProtection="1">
      <alignment vertical="center"/>
    </xf>
    <xf numFmtId="0" fontId="0" fillId="2" borderId="35" xfId="0" applyFill="1" applyBorder="1" applyAlignment="1" applyProtection="1">
      <alignment horizontal="center" vertical="center"/>
    </xf>
    <xf numFmtId="0" fontId="0" fillId="2" borderId="36" xfId="0" applyFill="1" applyBorder="1" applyAlignment="1" applyProtection="1">
      <alignment horizontal="center" vertical="center"/>
    </xf>
    <xf numFmtId="0" fontId="0" fillId="2" borderId="1" xfId="0" applyFill="1" applyBorder="1" applyProtection="1">
      <alignment vertical="center"/>
    </xf>
    <xf numFmtId="0" fontId="0" fillId="2" borderId="32" xfId="0" applyFill="1" applyBorder="1" applyProtection="1">
      <alignment vertical="center"/>
    </xf>
    <xf numFmtId="0" fontId="27" fillId="4" borderId="0" xfId="0" applyFont="1" applyFill="1" applyAlignment="1" applyProtection="1">
      <alignment vertical="center"/>
      <protection locked="0"/>
    </xf>
    <xf numFmtId="0" fontId="28" fillId="4" borderId="0" xfId="0" applyFont="1" applyFill="1" applyAlignment="1" applyProtection="1">
      <alignment vertical="center"/>
      <protection locked="0"/>
    </xf>
    <xf numFmtId="0" fontId="29" fillId="4"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0" fillId="4" borderId="0" xfId="0" applyFont="1" applyFill="1" applyAlignment="1" applyProtection="1">
      <alignment horizontal="left" vertical="center"/>
      <protection locked="0"/>
    </xf>
    <xf numFmtId="0" fontId="30" fillId="4" borderId="0" xfId="0" applyFont="1" applyFill="1" applyAlignment="1" applyProtection="1">
      <alignment vertical="center"/>
      <protection locked="0"/>
    </xf>
    <xf numFmtId="0" fontId="30" fillId="4" borderId="0" xfId="0" applyFont="1" applyFill="1" applyAlignment="1" applyProtection="1">
      <alignment horizontal="center" vertical="center"/>
      <protection locked="0"/>
    </xf>
    <xf numFmtId="0" fontId="31" fillId="2" borderId="37" xfId="10" applyFont="1" applyFill="1" applyBorder="1" applyAlignment="1" applyProtection="1">
      <alignment vertical="center"/>
    </xf>
    <xf numFmtId="0" fontId="28" fillId="2" borderId="38" xfId="10" applyFont="1" applyFill="1" applyBorder="1" applyAlignment="1" applyProtection="1">
      <alignment vertical="center"/>
    </xf>
    <xf numFmtId="0" fontId="28" fillId="2" borderId="31" xfId="10" applyFont="1" applyFill="1" applyBorder="1" applyAlignment="1" applyProtection="1">
      <alignment vertical="center"/>
    </xf>
    <xf numFmtId="0" fontId="28" fillId="2" borderId="0" xfId="10" applyFont="1" applyFill="1" applyBorder="1" applyAlignment="1" applyProtection="1">
      <alignment vertical="center"/>
    </xf>
    <xf numFmtId="0" fontId="28" fillId="2" borderId="1" xfId="10" applyFont="1" applyFill="1" applyBorder="1" applyAlignment="1" applyProtection="1">
      <alignment vertical="center"/>
    </xf>
    <xf numFmtId="182" fontId="28" fillId="2" borderId="1" xfId="10" applyNumberFormat="1" applyFont="1" applyFill="1" applyBorder="1" applyAlignment="1" applyProtection="1">
      <alignment horizontal="right" vertical="center"/>
    </xf>
    <xf numFmtId="0" fontId="32" fillId="2" borderId="0" xfId="10" applyFont="1" applyFill="1" applyBorder="1" applyAlignment="1" applyProtection="1">
      <alignment vertical="center"/>
    </xf>
    <xf numFmtId="0" fontId="28" fillId="2" borderId="15" xfId="10" applyFont="1" applyFill="1" applyBorder="1" applyAlignment="1" applyProtection="1">
      <alignment vertical="center"/>
    </xf>
    <xf numFmtId="0" fontId="28" fillId="2" borderId="15" xfId="10" applyFont="1" applyFill="1" applyBorder="1" applyAlignment="1" applyProtection="1">
      <alignment horizontal="right" vertical="center"/>
    </xf>
    <xf numFmtId="49" fontId="28" fillId="2" borderId="37" xfId="10" applyNumberFormat="1" applyFont="1" applyFill="1" applyBorder="1" applyAlignment="1" applyProtection="1"/>
    <xf numFmtId="49" fontId="28" fillId="2" borderId="38" xfId="10" applyNumberFormat="1" applyFont="1" applyFill="1" applyBorder="1" applyAlignment="1" applyProtection="1"/>
    <xf numFmtId="49" fontId="28" fillId="2" borderId="39" xfId="10" applyNumberFormat="1" applyFont="1" applyFill="1" applyBorder="1" applyAlignment="1" applyProtection="1"/>
    <xf numFmtId="49" fontId="29" fillId="2" borderId="10" xfId="10" applyNumberFormat="1" applyFont="1" applyFill="1" applyBorder="1" applyAlignment="1" applyProtection="1">
      <alignment horizontal="left"/>
    </xf>
    <xf numFmtId="0" fontId="29" fillId="2" borderId="2" xfId="10" applyFont="1" applyFill="1" applyBorder="1" applyAlignment="1" applyProtection="1"/>
    <xf numFmtId="182" fontId="29" fillId="2" borderId="1" xfId="10" applyNumberFormat="1" applyFont="1" applyFill="1" applyBorder="1" applyAlignment="1" applyProtection="1">
      <alignment horizontal="center"/>
    </xf>
    <xf numFmtId="0" fontId="29" fillId="2" borderId="1" xfId="10" applyFont="1" applyFill="1" applyBorder="1" applyAlignment="1" applyProtection="1">
      <alignment horizontal="center"/>
    </xf>
    <xf numFmtId="0" fontId="29" fillId="2" borderId="11" xfId="10" applyFont="1" applyFill="1" applyBorder="1" applyAlignment="1" applyProtection="1">
      <alignment horizontal="left"/>
    </xf>
    <xf numFmtId="49" fontId="30" fillId="2" borderId="10" xfId="10" applyNumberFormat="1" applyFont="1" applyFill="1" applyBorder="1" applyAlignment="1" applyProtection="1">
      <alignment horizontal="center"/>
    </xf>
    <xf numFmtId="0" fontId="30" fillId="2" borderId="2" xfId="10" applyFont="1" applyFill="1" applyBorder="1" applyAlignment="1" applyProtection="1"/>
    <xf numFmtId="182" fontId="30" fillId="0" borderId="1" xfId="10" applyNumberFormat="1" applyFont="1" applyFill="1" applyBorder="1" applyAlignment="1" applyProtection="1">
      <alignment horizontal="center"/>
      <protection locked="0"/>
    </xf>
    <xf numFmtId="185" fontId="30" fillId="2" borderId="1" xfId="10" applyNumberFormat="1" applyFont="1" applyFill="1" applyBorder="1" applyAlignment="1" applyProtection="1">
      <alignment horizontal="center"/>
    </xf>
    <xf numFmtId="0" fontId="30" fillId="2" borderId="1" xfId="10" applyFont="1" applyFill="1" applyBorder="1" applyAlignment="1" applyProtection="1">
      <alignment horizontal="center"/>
    </xf>
    <xf numFmtId="0" fontId="30" fillId="2" borderId="11" xfId="10" applyFont="1" applyFill="1" applyBorder="1" applyAlignment="1" applyProtection="1">
      <alignment horizontal="left"/>
    </xf>
    <xf numFmtId="182" fontId="30" fillId="2" borderId="1" xfId="10" applyNumberFormat="1" applyFont="1" applyFill="1" applyBorder="1" applyAlignment="1" applyProtection="1">
      <alignment horizontal="center"/>
    </xf>
    <xf numFmtId="10" fontId="30" fillId="2" borderId="1" xfId="10" applyNumberFormat="1" applyFont="1" applyFill="1" applyBorder="1" applyAlignment="1" applyProtection="1">
      <alignment horizontal="center"/>
    </xf>
    <xf numFmtId="182" fontId="30" fillId="2" borderId="1" xfId="10" applyNumberFormat="1" applyFont="1" applyFill="1" applyBorder="1" applyAlignment="1" applyProtection="1"/>
    <xf numFmtId="0" fontId="33" fillId="3" borderId="11" xfId="10" applyFont="1" applyFill="1" applyBorder="1" applyAlignment="1" applyProtection="1">
      <alignment horizontal="left" vertical="center"/>
      <protection locked="0"/>
    </xf>
    <xf numFmtId="0" fontId="34" fillId="2" borderId="10" xfId="10" applyFont="1" applyFill="1" applyBorder="1" applyAlignment="1" applyProtection="1">
      <alignment horizontal="right"/>
    </xf>
    <xf numFmtId="0" fontId="34" fillId="2" borderId="2" xfId="10" applyFont="1" applyFill="1" applyBorder="1" applyAlignment="1" applyProtection="1"/>
    <xf numFmtId="182" fontId="34" fillId="2" borderId="1" xfId="10" applyNumberFormat="1" applyFont="1" applyFill="1" applyBorder="1" applyAlignment="1" applyProtection="1">
      <alignment horizontal="center"/>
    </xf>
    <xf numFmtId="0" fontId="34" fillId="2" borderId="1" xfId="10" applyNumberFormat="1" applyFont="1" applyFill="1" applyBorder="1" applyAlignment="1" applyProtection="1"/>
    <xf numFmtId="0" fontId="30" fillId="2" borderId="11" xfId="10" applyFont="1" applyFill="1" applyBorder="1" applyAlignment="1" applyProtection="1">
      <alignment vertical="center" wrapText="1"/>
    </xf>
    <xf numFmtId="0" fontId="30" fillId="2" borderId="10" xfId="10" applyFont="1" applyFill="1" applyBorder="1" applyAlignment="1" applyProtection="1">
      <alignment horizontal="left"/>
    </xf>
    <xf numFmtId="0" fontId="30" fillId="2" borderId="1" xfId="10" applyNumberFormat="1" applyFont="1" applyFill="1" applyBorder="1" applyAlignment="1" applyProtection="1">
      <alignment horizontal="center"/>
    </xf>
    <xf numFmtId="0" fontId="30" fillId="2" borderId="0" xfId="10" applyFont="1" applyFill="1" applyBorder="1" applyAlignment="1" applyProtection="1">
      <alignment horizontal="center"/>
    </xf>
    <xf numFmtId="0" fontId="30" fillId="2" borderId="1" xfId="0" applyFont="1" applyFill="1" applyBorder="1" applyProtection="1">
      <alignment vertical="center"/>
    </xf>
    <xf numFmtId="0" fontId="30" fillId="2" borderId="1" xfId="0" applyNumberFormat="1" applyFont="1" applyFill="1" applyBorder="1" applyProtection="1">
      <alignment vertical="center"/>
    </xf>
    <xf numFmtId="49" fontId="13" fillId="2" borderId="10" xfId="10" applyNumberFormat="1" applyFont="1" applyFill="1" applyBorder="1" applyAlignment="1" applyProtection="1">
      <alignment horizontal="left"/>
    </xf>
    <xf numFmtId="0" fontId="29" fillId="2" borderId="1" xfId="10" applyNumberFormat="1" applyFont="1" applyFill="1" applyBorder="1" applyAlignment="1" applyProtection="1">
      <alignment horizontal="center"/>
    </xf>
    <xf numFmtId="9" fontId="29" fillId="2" borderId="2" xfId="10" applyNumberFormat="1" applyFont="1" applyFill="1" applyBorder="1" applyAlignment="1" applyProtection="1">
      <alignment horizontal="center"/>
    </xf>
    <xf numFmtId="0" fontId="29" fillId="2" borderId="1" xfId="0" applyFont="1" applyFill="1" applyBorder="1" applyAlignment="1" applyProtection="1">
      <alignment horizontal="center" vertical="center"/>
    </xf>
    <xf numFmtId="10" fontId="29" fillId="2" borderId="2" xfId="10" applyNumberFormat="1" applyFont="1" applyFill="1" applyBorder="1" applyAlignment="1" applyProtection="1">
      <alignment horizontal="center"/>
    </xf>
    <xf numFmtId="0" fontId="33" fillId="2" borderId="11" xfId="0" applyFont="1" applyFill="1" applyBorder="1" applyAlignment="1" applyProtection="1">
      <alignment vertical="center"/>
    </xf>
    <xf numFmtId="0" fontId="29" fillId="2" borderId="1" xfId="0" applyFont="1" applyFill="1" applyBorder="1" applyAlignment="1" applyProtection="1">
      <alignment horizontal="right" vertical="center"/>
    </xf>
    <xf numFmtId="0" fontId="29" fillId="2" borderId="1" xfId="0" applyFont="1" applyFill="1" applyBorder="1" applyAlignment="1" applyProtection="1">
      <alignment horizontal="left" vertical="center"/>
    </xf>
    <xf numFmtId="0" fontId="29" fillId="2" borderId="11" xfId="0" applyFont="1" applyFill="1" applyBorder="1" applyAlignment="1" applyProtection="1">
      <alignment vertical="center"/>
    </xf>
    <xf numFmtId="178" fontId="29" fillId="2" borderId="1" xfId="0" applyNumberFormat="1" applyFont="1" applyFill="1" applyBorder="1" applyAlignment="1" applyProtection="1">
      <alignment horizontal="center" vertical="center"/>
    </xf>
    <xf numFmtId="10" fontId="29" fillId="2" borderId="2" xfId="10" applyNumberFormat="1" applyFont="1" applyFill="1" applyBorder="1" applyAlignment="1" applyProtection="1">
      <alignment horizontal="center" vertical="center"/>
    </xf>
    <xf numFmtId="0" fontId="30" fillId="2" borderId="10" xfId="0" applyFont="1" applyFill="1" applyBorder="1" applyAlignment="1" applyProtection="1">
      <alignment horizontal="center" vertical="center"/>
    </xf>
    <xf numFmtId="178" fontId="30" fillId="2" borderId="1" xfId="0" applyNumberFormat="1" applyFont="1" applyFill="1" applyBorder="1" applyAlignment="1" applyProtection="1">
      <alignment horizontal="center" vertical="center"/>
    </xf>
    <xf numFmtId="0" fontId="30" fillId="2" borderId="1" xfId="0" applyFont="1" applyFill="1" applyBorder="1" applyAlignment="1" applyProtection="1">
      <alignment horizontal="center" vertical="center"/>
    </xf>
    <xf numFmtId="185" fontId="30" fillId="2" borderId="2" xfId="10" applyNumberFormat="1" applyFont="1" applyFill="1" applyBorder="1" applyAlignment="1" applyProtection="1">
      <alignment horizontal="center" vertical="center"/>
    </xf>
    <xf numFmtId="0" fontId="30" fillId="2" borderId="11" xfId="0" applyFont="1" applyFill="1" applyBorder="1" applyAlignment="1" applyProtection="1">
      <alignment vertical="center"/>
    </xf>
    <xf numFmtId="0" fontId="29" fillId="2" borderId="1" xfId="0" applyFont="1" applyFill="1" applyBorder="1" applyAlignment="1" applyProtection="1">
      <alignment vertical="center"/>
    </xf>
    <xf numFmtId="0" fontId="30" fillId="2" borderId="40" xfId="0" applyFont="1" applyFill="1" applyBorder="1" applyAlignment="1" applyProtection="1">
      <alignment vertical="center" wrapText="1"/>
    </xf>
    <xf numFmtId="0" fontId="30" fillId="2" borderId="28" xfId="0" applyFont="1" applyFill="1" applyBorder="1" applyAlignment="1" applyProtection="1">
      <alignment vertical="center"/>
    </xf>
    <xf numFmtId="0" fontId="29" fillId="2" borderId="2" xfId="10" applyFont="1" applyFill="1" applyBorder="1" applyAlignment="1" applyProtection="1">
      <alignment vertical="center"/>
    </xf>
    <xf numFmtId="182" fontId="29" fillId="2" borderId="1" xfId="10" applyNumberFormat="1" applyFont="1" applyFill="1" applyBorder="1" applyAlignment="1" applyProtection="1">
      <alignment horizontal="center" vertical="center"/>
    </xf>
    <xf numFmtId="9" fontId="29" fillId="2" borderId="2" xfId="10" applyNumberFormat="1" applyFont="1" applyFill="1" applyBorder="1" applyAlignment="1" applyProtection="1">
      <alignment horizontal="center" vertical="center"/>
    </xf>
    <xf numFmtId="0" fontId="29" fillId="2" borderId="11" xfId="0" applyFont="1" applyFill="1" applyBorder="1" applyAlignment="1" applyProtection="1">
      <alignment vertical="center" wrapText="1"/>
    </xf>
    <xf numFmtId="0" fontId="30" fillId="2" borderId="2" xfId="10" applyFont="1" applyFill="1" applyBorder="1" applyAlignment="1" applyProtection="1">
      <alignment horizontal="left"/>
    </xf>
    <xf numFmtId="182" fontId="30" fillId="2" borderId="1" xfId="10" applyNumberFormat="1" applyFont="1" applyFill="1" applyBorder="1" applyAlignment="1" applyProtection="1">
      <alignment horizontal="center" vertical="center"/>
    </xf>
    <xf numFmtId="0" fontId="29" fillId="2" borderId="10" xfId="10" applyFont="1" applyFill="1" applyBorder="1" applyAlignment="1" applyProtection="1">
      <alignment horizontal="left"/>
    </xf>
    <xf numFmtId="185" fontId="29" fillId="2" borderId="1" xfId="10" applyNumberFormat="1" applyFont="1" applyFill="1" applyBorder="1" applyAlignment="1" applyProtection="1">
      <alignment horizontal="center"/>
    </xf>
    <xf numFmtId="9" fontId="29" fillId="2" borderId="1" xfId="10" applyNumberFormat="1" applyFont="1" applyFill="1" applyBorder="1" applyAlignment="1" applyProtection="1">
      <alignment horizontal="center"/>
    </xf>
    <xf numFmtId="49" fontId="28" fillId="2" borderId="41" xfId="10" applyNumberFormat="1" applyFont="1" applyFill="1" applyBorder="1" applyAlignment="1" applyProtection="1"/>
    <xf numFmtId="49" fontId="28" fillId="2" borderId="3" xfId="10" applyNumberFormat="1" applyFont="1" applyFill="1" applyBorder="1" applyAlignment="1" applyProtection="1"/>
    <xf numFmtId="49" fontId="28" fillId="2" borderId="42" xfId="10" applyNumberFormat="1" applyFont="1" applyFill="1" applyBorder="1" applyAlignment="1" applyProtection="1"/>
    <xf numFmtId="182" fontId="29" fillId="2" borderId="1" xfId="0" applyNumberFormat="1" applyFont="1" applyFill="1" applyBorder="1" applyAlignment="1" applyProtection="1">
      <alignment horizontal="center" vertical="center"/>
    </xf>
    <xf numFmtId="188" fontId="29" fillId="2" borderId="2" xfId="10" applyNumberFormat="1" applyFont="1" applyFill="1" applyBorder="1" applyAlignment="1" applyProtection="1">
      <alignment horizontal="center"/>
    </xf>
    <xf numFmtId="10" fontId="30" fillId="2" borderId="2" xfId="10" applyNumberFormat="1" applyFont="1" applyFill="1" applyBorder="1" applyAlignment="1" applyProtection="1">
      <alignment horizontal="center"/>
    </xf>
    <xf numFmtId="0" fontId="30" fillId="2" borderId="11" xfId="0" applyFont="1" applyFill="1" applyBorder="1" applyAlignment="1" applyProtection="1">
      <alignment vertical="center" wrapText="1"/>
    </xf>
    <xf numFmtId="0" fontId="30" fillId="2" borderId="11" xfId="10" applyFont="1" applyFill="1" applyBorder="1" applyAlignment="1" applyProtection="1">
      <alignment horizontal="left" vertical="center"/>
    </xf>
    <xf numFmtId="10" fontId="29" fillId="2" borderId="1" xfId="0" applyNumberFormat="1" applyFont="1" applyFill="1" applyBorder="1" applyAlignment="1" applyProtection="1">
      <alignment horizontal="right" vertical="center"/>
    </xf>
    <xf numFmtId="189" fontId="29" fillId="2" borderId="1" xfId="0" applyNumberFormat="1" applyFont="1" applyFill="1" applyBorder="1" applyAlignment="1" applyProtection="1">
      <alignment horizontal="right" vertical="center"/>
    </xf>
    <xf numFmtId="10" fontId="29" fillId="2" borderId="1" xfId="10" applyNumberFormat="1" applyFont="1" applyFill="1" applyBorder="1" applyAlignment="1" applyProtection="1">
      <alignment horizontal="center" vertical="center"/>
    </xf>
    <xf numFmtId="49" fontId="28" fillId="2" borderId="44" xfId="10" applyNumberFormat="1" applyFont="1" applyFill="1" applyBorder="1" applyAlignment="1" applyProtection="1"/>
    <xf numFmtId="49" fontId="28" fillId="2" borderId="45" xfId="10" applyNumberFormat="1" applyFont="1" applyFill="1" applyBorder="1" applyAlignment="1" applyProtection="1"/>
    <xf numFmtId="182" fontId="29" fillId="2" borderId="13" xfId="0" applyNumberFormat="1" applyFont="1" applyFill="1" applyBorder="1" applyAlignment="1" applyProtection="1">
      <alignment horizontal="center" vertical="center"/>
    </xf>
    <xf numFmtId="49" fontId="28" fillId="2" borderId="46" xfId="10" applyNumberFormat="1" applyFont="1" applyFill="1" applyBorder="1" applyAlignment="1" applyProtection="1"/>
    <xf numFmtId="0" fontId="35" fillId="2" borderId="1" xfId="0" applyFont="1" applyFill="1" applyBorder="1" applyAlignment="1" applyProtection="1">
      <alignment horizontal="left"/>
    </xf>
    <xf numFmtId="0" fontId="27" fillId="2" borderId="1" xfId="0" applyFont="1" applyFill="1" applyBorder="1" applyAlignment="1" applyProtection="1">
      <alignment horizontal="center" vertical="center"/>
    </xf>
    <xf numFmtId="0" fontId="36" fillId="2" borderId="1" xfId="0" applyFont="1" applyFill="1" applyBorder="1" applyAlignment="1" applyProtection="1"/>
    <xf numFmtId="188" fontId="30" fillId="2" borderId="1" xfId="0" applyNumberFormat="1" applyFont="1" applyFill="1" applyBorder="1" applyAlignment="1" applyProtection="1">
      <alignment horizontal="center"/>
    </xf>
    <xf numFmtId="188" fontId="36" fillId="2" borderId="1" xfId="0" applyNumberFormat="1" applyFont="1" applyFill="1" applyBorder="1" applyAlignment="1" applyProtection="1">
      <alignment horizontal="center"/>
    </xf>
    <xf numFmtId="0" fontId="30"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6" fillId="0" borderId="0" xfId="0" applyFont="1" applyFill="1" applyAlignment="1" applyProtection="1">
      <alignment horizontal="center" vertical="center"/>
      <protection locked="0"/>
    </xf>
    <xf numFmtId="0" fontId="36" fillId="0" borderId="0" xfId="0" applyFont="1" applyAlignment="1" applyProtection="1">
      <alignment horizontal="center" vertical="center" wrapText="1"/>
      <protection locked="0"/>
    </xf>
    <xf numFmtId="0" fontId="35" fillId="0" borderId="0" xfId="0" applyFont="1" applyProtection="1">
      <alignment vertical="center"/>
      <protection locked="0"/>
    </xf>
    <xf numFmtId="0" fontId="36" fillId="0" borderId="0" xfId="0" applyFont="1" applyProtection="1">
      <alignment vertical="center"/>
      <protection locked="0"/>
    </xf>
    <xf numFmtId="0" fontId="36" fillId="0" borderId="0" xfId="0" applyFont="1" applyAlignment="1" applyProtection="1">
      <alignment horizontal="center" vertical="center"/>
      <protection locked="0"/>
    </xf>
    <xf numFmtId="0" fontId="36" fillId="0" borderId="0" xfId="0" applyNumberFormat="1" applyFont="1" applyAlignment="1" applyProtection="1">
      <alignment horizontal="center" vertical="center"/>
      <protection locked="0"/>
    </xf>
    <xf numFmtId="0" fontId="36" fillId="5" borderId="0" xfId="0" applyFont="1" applyFill="1" applyProtection="1">
      <alignment vertical="center"/>
      <protection locked="0"/>
    </xf>
    <xf numFmtId="0" fontId="36" fillId="2" borderId="1" xfId="0" applyFont="1" applyFill="1" applyBorder="1" applyProtection="1">
      <alignment vertical="center"/>
    </xf>
    <xf numFmtId="0" fontId="36" fillId="2" borderId="13" xfId="0" applyFont="1" applyFill="1" applyBorder="1" applyAlignment="1" applyProtection="1">
      <alignment horizontal="center" vertical="center"/>
    </xf>
    <xf numFmtId="0" fontId="29" fillId="2" borderId="48" xfId="0" applyNumberFormat="1" applyFont="1" applyFill="1" applyBorder="1" applyAlignment="1" applyProtection="1">
      <alignment vertical="center" wrapText="1"/>
      <protection locked="0"/>
    </xf>
    <xf numFmtId="0" fontId="36" fillId="2" borderId="49" xfId="0" applyNumberFormat="1" applyFont="1" applyFill="1" applyBorder="1" applyAlignment="1" applyProtection="1">
      <alignment horizontal="center" vertical="center" wrapText="1"/>
    </xf>
    <xf numFmtId="0" fontId="36" fillId="2" borderId="7" xfId="0" applyNumberFormat="1" applyFont="1" applyFill="1" applyBorder="1" applyAlignment="1" applyProtection="1">
      <alignment horizontal="center" vertical="center" wrapText="1"/>
    </xf>
    <xf numFmtId="0" fontId="36" fillId="2" borderId="8" xfId="0" applyNumberFormat="1" applyFont="1" applyFill="1" applyBorder="1" applyAlignment="1" applyProtection="1">
      <alignment horizontal="center" vertical="center" wrapText="1"/>
    </xf>
    <xf numFmtId="0" fontId="35" fillId="2" borderId="50" xfId="0" applyNumberFormat="1" applyFont="1" applyFill="1" applyBorder="1" applyAlignment="1" applyProtection="1">
      <alignment vertical="center" textRotation="255" wrapText="1"/>
      <protection locked="0"/>
    </xf>
    <xf numFmtId="0" fontId="36" fillId="2" borderId="30" xfId="0" applyNumberFormat="1" applyFont="1" applyFill="1" applyBorder="1" applyAlignment="1" applyProtection="1">
      <alignment horizontal="center" vertical="center"/>
    </xf>
    <xf numFmtId="0" fontId="36" fillId="0" borderId="1" xfId="0" applyNumberFormat="1" applyFont="1" applyFill="1" applyBorder="1" applyAlignment="1" applyProtection="1">
      <alignment horizontal="center" vertical="center" wrapText="1"/>
      <protection locked="0"/>
    </xf>
    <xf numFmtId="0" fontId="7" fillId="0" borderId="1" xfId="0" applyNumberFormat="1" applyFont="1" applyFill="1" applyBorder="1" applyAlignment="1" applyProtection="1">
      <alignment horizontal="center" vertical="center" wrapText="1"/>
      <protection locked="0"/>
    </xf>
    <xf numFmtId="0" fontId="35" fillId="2" borderId="50" xfId="0" applyNumberFormat="1" applyFont="1" applyFill="1" applyBorder="1" applyAlignment="1" applyProtection="1">
      <alignment vertical="center" wrapText="1"/>
      <protection locked="0"/>
    </xf>
    <xf numFmtId="0" fontId="36" fillId="2" borderId="30" xfId="0" applyNumberFormat="1" applyFont="1" applyFill="1" applyBorder="1" applyAlignment="1" applyProtection="1">
      <alignment horizontal="center" vertical="center" wrapText="1"/>
    </xf>
    <xf numFmtId="0" fontId="36" fillId="0" borderId="51"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7" fillId="0" borderId="15" xfId="0" applyNumberFormat="1" applyFont="1" applyFill="1" applyBorder="1" applyAlignment="1" applyProtection="1">
      <alignment horizontal="center" vertical="center" wrapText="1"/>
      <protection locked="0"/>
    </xf>
    <xf numFmtId="0" fontId="38" fillId="2" borderId="50" xfId="0" applyNumberFormat="1" applyFont="1" applyFill="1" applyBorder="1" applyAlignment="1" applyProtection="1">
      <alignment vertical="center" wrapText="1"/>
      <protection locked="0"/>
    </xf>
    <xf numFmtId="0" fontId="39" fillId="0" borderId="52" xfId="0" applyNumberFormat="1" applyFont="1" applyFill="1" applyBorder="1" applyAlignment="1" applyProtection="1">
      <alignment horizontal="center" vertical="center" wrapText="1"/>
      <protection locked="0"/>
    </xf>
    <xf numFmtId="0" fontId="36" fillId="0" borderId="53" xfId="0" applyNumberFormat="1" applyFont="1" applyFill="1" applyBorder="1" applyAlignment="1" applyProtection="1">
      <alignment horizontal="center" vertical="center" wrapText="1"/>
      <protection locked="0"/>
    </xf>
    <xf numFmtId="0" fontId="36" fillId="0" borderId="54" xfId="0" applyNumberFormat="1" applyFont="1" applyFill="1" applyBorder="1" applyAlignment="1" applyProtection="1">
      <alignment horizontal="center" vertical="center" wrapText="1"/>
      <protection locked="0"/>
    </xf>
    <xf numFmtId="0" fontId="7" fillId="0" borderId="54" xfId="0" applyNumberFormat="1" applyFont="1" applyFill="1" applyBorder="1" applyAlignment="1" applyProtection="1">
      <alignment horizontal="center" vertical="center" wrapText="1"/>
      <protection locked="0"/>
    </xf>
    <xf numFmtId="0" fontId="36" fillId="2" borderId="55" xfId="0" applyNumberFormat="1" applyFont="1" applyFill="1" applyBorder="1" applyAlignment="1" applyProtection="1">
      <alignment horizontal="center" vertical="center" wrapText="1"/>
    </xf>
    <xf numFmtId="0" fontId="36" fillId="2" borderId="56" xfId="0" applyNumberFormat="1" applyFont="1" applyFill="1" applyBorder="1" applyAlignment="1" applyProtection="1">
      <alignment horizontal="center" vertical="center" wrapText="1"/>
    </xf>
    <xf numFmtId="0" fontId="30" fillId="2" borderId="57" xfId="0" applyNumberFormat="1" applyFont="1" applyFill="1" applyBorder="1" applyAlignment="1" applyProtection="1">
      <alignment horizontal="center" vertical="center" wrapText="1"/>
    </xf>
    <xf numFmtId="0" fontId="7" fillId="2" borderId="57" xfId="0" applyNumberFormat="1" applyFont="1" applyFill="1" applyBorder="1" applyAlignment="1" applyProtection="1">
      <alignment horizontal="center" vertical="center" wrapText="1"/>
    </xf>
    <xf numFmtId="0" fontId="39" fillId="0" borderId="30" xfId="0" applyNumberFormat="1" applyFont="1" applyFill="1" applyBorder="1" applyAlignment="1" applyProtection="1">
      <alignment horizontal="center" vertical="center" wrapText="1"/>
      <protection locked="0"/>
    </xf>
    <xf numFmtId="0" fontId="36" fillId="0" borderId="58" xfId="0" applyNumberFormat="1" applyFont="1" applyFill="1" applyBorder="1" applyAlignment="1" applyProtection="1">
      <alignment horizontal="center" vertical="center" wrapText="1"/>
      <protection locked="0"/>
    </xf>
    <xf numFmtId="0" fontId="36" fillId="0" borderId="16" xfId="0" applyNumberFormat="1" applyFont="1" applyFill="1" applyBorder="1" applyAlignment="1" applyProtection="1">
      <alignment horizontal="center" vertical="center" wrapText="1"/>
      <protection locked="0"/>
    </xf>
    <xf numFmtId="0" fontId="7" fillId="0" borderId="16" xfId="0" applyNumberFormat="1" applyFont="1" applyFill="1" applyBorder="1" applyAlignment="1" applyProtection="1">
      <alignment horizontal="center" vertical="center" wrapText="1"/>
      <protection locked="0"/>
    </xf>
    <xf numFmtId="0" fontId="36" fillId="2" borderId="51" xfId="0" applyNumberFormat="1" applyFont="1" applyFill="1" applyBorder="1" applyAlignment="1" applyProtection="1">
      <alignment horizontal="center" vertical="center" wrapText="1"/>
    </xf>
    <xf numFmtId="0" fontId="30" fillId="2" borderId="15" xfId="0" applyNumberFormat="1" applyFont="1" applyFill="1" applyBorder="1" applyAlignment="1" applyProtection="1">
      <alignment horizontal="center" vertical="center" wrapText="1"/>
    </xf>
    <xf numFmtId="0" fontId="7" fillId="2" borderId="15" xfId="0" applyNumberFormat="1" applyFont="1" applyFill="1" applyBorder="1" applyAlignment="1" applyProtection="1">
      <alignment horizontal="center" vertical="center" wrapText="1"/>
    </xf>
    <xf numFmtId="0" fontId="36" fillId="0" borderId="56" xfId="0" applyNumberFormat="1" applyFont="1" applyFill="1" applyBorder="1" applyAlignment="1" applyProtection="1">
      <alignment horizontal="center" vertical="center" wrapText="1"/>
      <protection locked="0"/>
    </xf>
    <xf numFmtId="0" fontId="30" fillId="0" borderId="57" xfId="0" applyNumberFormat="1" applyFont="1" applyFill="1" applyBorder="1" applyAlignment="1" applyProtection="1">
      <alignment horizontal="center" vertical="center" wrapText="1"/>
      <protection locked="0"/>
    </xf>
    <xf numFmtId="0" fontId="38" fillId="2" borderId="59" xfId="0" applyNumberFormat="1" applyFont="1" applyFill="1" applyBorder="1" applyAlignment="1" applyProtection="1">
      <alignment horizontal="center" vertical="center" wrapText="1"/>
    </xf>
    <xf numFmtId="0" fontId="36" fillId="6" borderId="49" xfId="0" applyNumberFormat="1" applyFont="1" applyFill="1" applyBorder="1" applyAlignment="1" applyProtection="1">
      <alignment horizontal="center" vertical="center" wrapText="1"/>
    </xf>
    <xf numFmtId="0" fontId="36" fillId="6" borderId="8" xfId="0" applyNumberFormat="1" applyFont="1" applyFill="1" applyBorder="1" applyAlignment="1" applyProtection="1">
      <alignment horizontal="center" vertical="center" wrapText="1"/>
      <protection locked="0"/>
    </xf>
    <xf numFmtId="0" fontId="38" fillId="6" borderId="60" xfId="0" applyNumberFormat="1" applyFont="1" applyFill="1" applyBorder="1" applyAlignment="1" applyProtection="1">
      <alignment vertical="center" wrapText="1"/>
      <protection locked="0"/>
    </xf>
    <xf numFmtId="0" fontId="36" fillId="6" borderId="61" xfId="0" applyNumberFormat="1" applyFont="1" applyFill="1" applyBorder="1" applyAlignment="1" applyProtection="1">
      <alignment horizontal="center" vertical="center" wrapText="1"/>
    </xf>
    <xf numFmtId="0" fontId="36" fillId="6" borderId="12" xfId="0" applyNumberFormat="1" applyFont="1" applyFill="1" applyBorder="1" applyAlignment="1" applyProtection="1">
      <alignment horizontal="center" vertical="center" wrapText="1"/>
      <protection locked="0"/>
    </xf>
    <xf numFmtId="0" fontId="30" fillId="6" borderId="13" xfId="0" applyNumberFormat="1" applyFont="1" applyFill="1" applyBorder="1" applyAlignment="1" applyProtection="1">
      <alignment horizontal="center" vertical="center" wrapText="1"/>
      <protection locked="0"/>
    </xf>
    <xf numFmtId="0" fontId="36" fillId="2" borderId="0" xfId="0" applyFont="1" applyFill="1" applyProtection="1">
      <alignment vertical="center"/>
      <protection locked="0"/>
    </xf>
    <xf numFmtId="0" fontId="36" fillId="2" borderId="0" xfId="0" applyFont="1" applyFill="1" applyAlignment="1" applyProtection="1">
      <alignment horizontal="center" vertical="center"/>
      <protection locked="0"/>
    </xf>
    <xf numFmtId="0" fontId="38" fillId="2" borderId="49" xfId="0" applyFont="1" applyFill="1" applyBorder="1" applyAlignment="1" applyProtection="1">
      <alignment horizontal="left" vertical="center"/>
      <protection locked="0"/>
    </xf>
    <xf numFmtId="0" fontId="36" fillId="2" borderId="31" xfId="0" applyFont="1" applyFill="1" applyBorder="1" applyAlignment="1" applyProtection="1">
      <alignment horizontal="center" vertical="center"/>
      <protection locked="0"/>
    </xf>
    <xf numFmtId="0" fontId="36" fillId="2" borderId="29" xfId="0" applyFont="1" applyFill="1" applyBorder="1" applyAlignment="1" applyProtection="1">
      <alignment horizontal="center" vertical="center"/>
      <protection locked="0"/>
    </xf>
    <xf numFmtId="0" fontId="40" fillId="2" borderId="1" xfId="0" applyFont="1" applyFill="1" applyBorder="1" applyProtection="1">
      <alignment vertical="center"/>
    </xf>
    <xf numFmtId="0" fontId="40" fillId="2" borderId="1" xfId="0" applyFont="1" applyFill="1" applyBorder="1" applyAlignment="1" applyProtection="1">
      <alignment horizontal="center" vertical="center"/>
    </xf>
    <xf numFmtId="0" fontId="29" fillId="3" borderId="44" xfId="10" applyFont="1" applyFill="1" applyBorder="1" applyAlignment="1" applyProtection="1">
      <alignment vertical="center"/>
      <protection locked="0"/>
    </xf>
    <xf numFmtId="0" fontId="36" fillId="3" borderId="62" xfId="0" applyFont="1" applyFill="1" applyBorder="1" applyAlignment="1" applyProtection="1">
      <alignment horizontal="center" vertical="center"/>
      <protection locked="0"/>
    </xf>
    <xf numFmtId="0" fontId="28" fillId="3" borderId="14" xfId="10" applyFont="1" applyFill="1" applyBorder="1" applyAlignment="1" applyProtection="1">
      <alignment vertical="center"/>
      <protection locked="0"/>
    </xf>
    <xf numFmtId="0" fontId="38" fillId="2" borderId="1" xfId="0" applyFont="1" applyFill="1" applyBorder="1" applyAlignment="1" applyProtection="1">
      <alignment horizontal="center" vertical="center"/>
    </xf>
    <xf numFmtId="0" fontId="36" fillId="2" borderId="1" xfId="0" applyFont="1" applyFill="1" applyBorder="1" applyAlignment="1" applyProtection="1">
      <alignment horizontal="center" vertical="center"/>
    </xf>
    <xf numFmtId="0" fontId="36" fillId="2" borderId="2" xfId="0" applyFont="1" applyFill="1" applyBorder="1" applyAlignment="1" applyProtection="1">
      <alignment horizontal="center" vertical="center"/>
    </xf>
    <xf numFmtId="0" fontId="36" fillId="2" borderId="3" xfId="0" applyFont="1" applyFill="1" applyBorder="1" applyAlignment="1" applyProtection="1">
      <alignment horizontal="center" vertical="center"/>
    </xf>
    <xf numFmtId="0" fontId="36" fillId="2" borderId="1" xfId="0" applyFont="1" applyFill="1" applyBorder="1" applyAlignment="1" applyProtection="1">
      <alignment horizontal="center" vertical="center" wrapText="1"/>
    </xf>
    <xf numFmtId="0" fontId="35" fillId="0" borderId="1" xfId="0" applyFont="1" applyFill="1" applyBorder="1" applyAlignment="1" applyProtection="1">
      <alignment horizontal="center" vertical="center"/>
      <protection locked="0"/>
    </xf>
    <xf numFmtId="0" fontId="35" fillId="2" borderId="1" xfId="0" applyFont="1" applyFill="1" applyBorder="1" applyAlignment="1" applyProtection="1">
      <alignment horizontal="center" vertical="center"/>
    </xf>
    <xf numFmtId="0" fontId="35" fillId="7" borderId="1" xfId="0" applyFont="1" applyFill="1" applyBorder="1" applyAlignment="1" applyProtection="1">
      <alignment horizontal="center" vertical="center"/>
      <protection locked="0"/>
    </xf>
    <xf numFmtId="0" fontId="36" fillId="0" borderId="1" xfId="0" applyFont="1" applyBorder="1" applyProtection="1">
      <alignment vertical="center"/>
      <protection locked="0"/>
    </xf>
    <xf numFmtId="0" fontId="36" fillId="0" borderId="1" xfId="0" applyFont="1" applyBorder="1" applyAlignment="1" applyProtection="1">
      <alignment horizontal="center" vertical="center"/>
      <protection locked="0"/>
    </xf>
    <xf numFmtId="0" fontId="7" fillId="0" borderId="54" xfId="0" applyNumberFormat="1" applyFont="1" applyFill="1" applyBorder="1" applyAlignment="1" applyProtection="1">
      <alignment horizontal="left" vertical="center" wrapText="1"/>
      <protection locked="0"/>
    </xf>
    <xf numFmtId="0" fontId="7" fillId="0" borderId="63" xfId="0" applyNumberFormat="1" applyFont="1" applyFill="1" applyBorder="1" applyAlignment="1" applyProtection="1">
      <alignment horizontal="center" vertical="center" wrapText="1"/>
      <protection locked="0"/>
    </xf>
    <xf numFmtId="0" fontId="7" fillId="0" borderId="34" xfId="0" applyNumberFormat="1" applyFont="1" applyFill="1" applyBorder="1" applyAlignment="1" applyProtection="1">
      <alignment horizontal="center" vertical="center" wrapText="1"/>
      <protection locked="0"/>
    </xf>
    <xf numFmtId="0" fontId="7" fillId="0" borderId="50" xfId="0" applyFont="1" applyFill="1" applyBorder="1" applyAlignment="1" applyProtection="1">
      <alignment horizontal="center" vertical="center"/>
      <protection locked="0"/>
    </xf>
    <xf numFmtId="0" fontId="7" fillId="0" borderId="64" xfId="0" applyNumberFormat="1" applyFont="1" applyFill="1" applyBorder="1" applyAlignment="1" applyProtection="1">
      <alignment horizontal="center" vertical="center" wrapText="1"/>
      <protection locked="0"/>
    </xf>
    <xf numFmtId="0" fontId="7" fillId="0" borderId="64" xfId="0" applyFont="1" applyFill="1" applyBorder="1" applyAlignment="1" applyProtection="1">
      <alignment horizontal="center" vertical="center" wrapText="1"/>
      <protection locked="0"/>
    </xf>
    <xf numFmtId="0" fontId="7" fillId="0" borderId="16" xfId="0" applyNumberFormat="1" applyFont="1" applyFill="1" applyBorder="1" applyAlignment="1" applyProtection="1">
      <alignment horizontal="left" vertical="center" wrapText="1"/>
      <protection locked="0"/>
    </xf>
    <xf numFmtId="0" fontId="36" fillId="0" borderId="63" xfId="0" applyNumberFormat="1" applyFont="1" applyFill="1" applyBorder="1" applyAlignment="1" applyProtection="1">
      <alignment horizontal="center" vertical="center" wrapText="1"/>
      <protection locked="0"/>
    </xf>
    <xf numFmtId="0" fontId="36" fillId="0" borderId="65" xfId="0" applyFont="1" applyFill="1" applyBorder="1" applyAlignment="1" applyProtection="1">
      <alignment horizontal="center" vertical="center"/>
      <protection locked="0"/>
    </xf>
    <xf numFmtId="0" fontId="36" fillId="0" borderId="66" xfId="0" applyNumberFormat="1" applyFont="1" applyFill="1" applyBorder="1" applyAlignment="1" applyProtection="1">
      <alignment horizontal="center" vertical="center" wrapText="1"/>
      <protection locked="0"/>
    </xf>
    <xf numFmtId="0" fontId="36" fillId="0" borderId="66" xfId="0" applyFont="1" applyFill="1" applyBorder="1" applyAlignment="1" applyProtection="1">
      <alignment horizontal="center" vertical="center" wrapText="1"/>
      <protection locked="0"/>
    </xf>
    <xf numFmtId="0" fontId="30" fillId="0" borderId="67" xfId="0" applyNumberFormat="1" applyFont="1" applyFill="1" applyBorder="1" applyAlignment="1" applyProtection="1">
      <alignment horizontal="center" vertical="center" wrapText="1"/>
      <protection locked="0"/>
    </xf>
    <xf numFmtId="0" fontId="30" fillId="0" borderId="48" xfId="0" applyNumberFormat="1" applyFont="1" applyFill="1" applyBorder="1" applyAlignment="1" applyProtection="1">
      <alignment horizontal="center" vertical="center" wrapText="1"/>
      <protection locked="0"/>
    </xf>
    <xf numFmtId="0" fontId="36" fillId="6" borderId="8" xfId="0" applyNumberFormat="1" applyFont="1" applyFill="1" applyBorder="1" applyAlignment="1" applyProtection="1">
      <alignment horizontal="left" vertical="center" wrapText="1"/>
      <protection locked="0"/>
    </xf>
    <xf numFmtId="0" fontId="36" fillId="6" borderId="32" xfId="0" applyNumberFormat="1" applyFont="1" applyFill="1" applyBorder="1" applyAlignment="1" applyProtection="1">
      <alignment horizontal="center" vertical="center" wrapText="1"/>
      <protection locked="0"/>
    </xf>
    <xf numFmtId="0" fontId="36" fillId="6" borderId="17" xfId="0" applyFont="1" applyFill="1" applyBorder="1" applyAlignment="1" applyProtection="1">
      <alignment horizontal="center" vertical="center"/>
      <protection locked="0"/>
    </xf>
    <xf numFmtId="0" fontId="36" fillId="6" borderId="35" xfId="0" applyNumberFormat="1" applyFont="1" applyFill="1" applyBorder="1" applyAlignment="1" applyProtection="1">
      <alignment horizontal="center" vertical="center" wrapText="1"/>
      <protection locked="0"/>
    </xf>
    <xf numFmtId="0" fontId="36" fillId="6" borderId="35" xfId="0" applyFont="1" applyFill="1" applyBorder="1" applyAlignment="1" applyProtection="1">
      <alignment horizontal="center" vertical="center" wrapText="1"/>
      <protection locked="0"/>
    </xf>
    <xf numFmtId="0" fontId="30" fillId="6" borderId="33" xfId="0" applyNumberFormat="1" applyFont="1" applyFill="1" applyBorder="1" applyAlignment="1" applyProtection="1">
      <alignment horizontal="center" vertical="center" wrapText="1"/>
      <protection locked="0"/>
    </xf>
    <xf numFmtId="0" fontId="36" fillId="2" borderId="39" xfId="0" applyNumberFormat="1" applyFont="1" applyFill="1" applyBorder="1" applyAlignment="1" applyProtection="1">
      <alignment horizontal="center" vertical="center" wrapText="1"/>
    </xf>
    <xf numFmtId="0" fontId="36" fillId="2" borderId="29" xfId="0" applyNumberFormat="1" applyFont="1" applyFill="1" applyBorder="1" applyAlignment="1" applyProtection="1">
      <alignment horizontal="center" vertical="center" wrapText="1"/>
    </xf>
    <xf numFmtId="0" fontId="30" fillId="5" borderId="0" xfId="0" applyFont="1" applyFill="1" applyAlignment="1" applyProtection="1">
      <alignment horizontal="center" vertical="center"/>
      <protection locked="0"/>
    </xf>
    <xf numFmtId="0" fontId="7" fillId="0" borderId="42" xfId="0" applyNumberFormat="1" applyFont="1" applyFill="1" applyBorder="1" applyAlignment="1" applyProtection="1">
      <alignment horizontal="center" vertical="center" wrapText="1"/>
      <protection locked="0"/>
    </xf>
    <xf numFmtId="0" fontId="37" fillId="2" borderId="69" xfId="0" applyNumberFormat="1" applyFont="1" applyFill="1" applyBorder="1" applyAlignment="1" applyProtection="1">
      <alignment horizontal="center" vertical="center" wrapText="1"/>
    </xf>
    <xf numFmtId="0" fontId="37" fillId="5" borderId="0" xfId="0" applyFont="1" applyFill="1" applyAlignment="1" applyProtection="1">
      <alignment horizontal="center" vertical="center"/>
      <protection locked="0"/>
    </xf>
    <xf numFmtId="0" fontId="7" fillId="0" borderId="69"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xf>
    <xf numFmtId="0" fontId="7" fillId="0" borderId="70" xfId="0" applyNumberFormat="1" applyFont="1" applyFill="1" applyBorder="1" applyAlignment="1" applyProtection="1">
      <alignment horizontal="center" vertical="center" wrapText="1"/>
      <protection locked="0"/>
    </xf>
    <xf numFmtId="0" fontId="36" fillId="0" borderId="71" xfId="0" applyNumberFormat="1" applyFont="1" applyFill="1" applyBorder="1" applyAlignment="1" applyProtection="1">
      <alignment horizontal="center" vertical="center" wrapText="1"/>
      <protection locked="0"/>
    </xf>
    <xf numFmtId="0" fontId="36" fillId="5" borderId="0" xfId="0" applyFont="1" applyFill="1" applyAlignment="1" applyProtection="1">
      <alignment horizontal="center" vertical="center"/>
      <protection locked="0"/>
    </xf>
    <xf numFmtId="0" fontId="30" fillId="2" borderId="72" xfId="0" applyNumberFormat="1" applyFont="1" applyFill="1" applyBorder="1" applyAlignment="1" applyProtection="1">
      <alignment horizontal="center" vertical="center" wrapText="1"/>
    </xf>
    <xf numFmtId="9" fontId="7" fillId="0" borderId="64" xfId="0" applyNumberFormat="1" applyFont="1" applyFill="1" applyBorder="1" applyAlignment="1" applyProtection="1">
      <alignment horizontal="center" vertical="center" wrapText="1"/>
      <protection locked="0"/>
    </xf>
    <xf numFmtId="0" fontId="7" fillId="0" borderId="64" xfId="0" applyFont="1" applyFill="1" applyBorder="1" applyAlignment="1" applyProtection="1">
      <alignment horizontal="center" vertical="center"/>
      <protection locked="0"/>
    </xf>
    <xf numFmtId="0" fontId="7" fillId="0" borderId="23" xfId="0" applyFont="1" applyFill="1" applyBorder="1" applyAlignment="1" applyProtection="1">
      <alignment horizontal="center" vertical="center"/>
      <protection locked="0"/>
    </xf>
    <xf numFmtId="0" fontId="36" fillId="0" borderId="23" xfId="0" applyNumberFormat="1" applyFont="1" applyFill="1" applyBorder="1" applyAlignment="1" applyProtection="1">
      <alignment horizontal="center" vertical="center" wrapText="1"/>
      <protection locked="0"/>
    </xf>
    <xf numFmtId="9" fontId="36" fillId="0" borderId="66" xfId="0" applyNumberFormat="1" applyFont="1" applyFill="1" applyBorder="1" applyAlignment="1" applyProtection="1">
      <alignment horizontal="center" vertical="center" wrapText="1"/>
      <protection locked="0"/>
    </xf>
    <xf numFmtId="0" fontId="36" fillId="0" borderId="66" xfId="0" applyFont="1" applyFill="1" applyBorder="1" applyAlignment="1" applyProtection="1">
      <alignment horizontal="center" vertical="center"/>
      <protection locked="0"/>
    </xf>
    <xf numFmtId="0" fontId="36" fillId="0" borderId="71" xfId="0" applyFont="1" applyFill="1" applyBorder="1" applyAlignment="1" applyProtection="1">
      <alignment horizontal="center" vertical="center"/>
      <protection locked="0"/>
    </xf>
    <xf numFmtId="0" fontId="36" fillId="2" borderId="71" xfId="0" applyNumberFormat="1" applyFont="1" applyFill="1" applyBorder="1" applyAlignment="1" applyProtection="1">
      <alignment horizontal="center" vertical="center" wrapText="1"/>
    </xf>
    <xf numFmtId="0" fontId="30" fillId="0" borderId="73" xfId="0" applyNumberFormat="1" applyFont="1" applyFill="1" applyBorder="1" applyAlignment="1" applyProtection="1">
      <alignment horizontal="center" vertical="center" wrapText="1"/>
      <protection locked="0"/>
    </xf>
    <xf numFmtId="0" fontId="30" fillId="0" borderId="69" xfId="0" applyNumberFormat="1" applyFont="1" applyFill="1" applyBorder="1" applyAlignment="1" applyProtection="1">
      <alignment horizontal="center" vertical="center" wrapText="1"/>
      <protection locked="0"/>
    </xf>
    <xf numFmtId="9" fontId="36" fillId="6" borderId="35" xfId="0" applyNumberFormat="1" applyFont="1" applyFill="1" applyBorder="1" applyAlignment="1" applyProtection="1">
      <alignment horizontal="center" vertical="center" wrapText="1"/>
      <protection locked="0"/>
    </xf>
    <xf numFmtId="0" fontId="36" fillId="6" borderId="35" xfId="0" applyFont="1" applyFill="1" applyBorder="1" applyAlignment="1" applyProtection="1">
      <alignment horizontal="center" vertical="center"/>
      <protection locked="0"/>
    </xf>
    <xf numFmtId="0" fontId="36" fillId="6" borderId="29" xfId="0" applyFont="1" applyFill="1" applyBorder="1" applyAlignment="1" applyProtection="1">
      <alignment horizontal="center" vertical="center"/>
      <protection locked="0"/>
    </xf>
    <xf numFmtId="0" fontId="30" fillId="6" borderId="46" xfId="0" applyNumberFormat="1" applyFont="1" applyFill="1" applyBorder="1" applyAlignment="1" applyProtection="1">
      <alignment horizontal="center" vertical="center" wrapText="1"/>
      <protection locked="0"/>
    </xf>
    <xf numFmtId="0" fontId="36" fillId="2" borderId="0" xfId="0" applyNumberFormat="1" applyFont="1" applyFill="1" applyAlignment="1" applyProtection="1">
      <alignment horizontal="center" vertical="center"/>
      <protection locked="0"/>
    </xf>
    <xf numFmtId="0" fontId="36" fillId="2" borderId="4" xfId="0"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wrapText="1"/>
    </xf>
    <xf numFmtId="0" fontId="36" fillId="5" borderId="0" xfId="0" applyFont="1" applyFill="1" applyAlignment="1" applyProtection="1">
      <alignment horizontal="center" vertical="center" wrapText="1"/>
      <protection locked="0"/>
    </xf>
    <xf numFmtId="0" fontId="35" fillId="0" borderId="1" xfId="0" applyNumberFormat="1" applyFont="1" applyBorder="1" applyAlignment="1" applyProtection="1">
      <alignment horizontal="center" vertical="center"/>
      <protection locked="0"/>
    </xf>
    <xf numFmtId="0" fontId="35" fillId="5" borderId="0" xfId="0" applyFont="1" applyFill="1" applyProtection="1">
      <alignment vertical="center"/>
      <protection locked="0"/>
    </xf>
    <xf numFmtId="0" fontId="41" fillId="0" borderId="0" xfId="4" applyFont="1">
      <alignment vertical="center"/>
    </xf>
    <xf numFmtId="0" fontId="41" fillId="0" borderId="74" xfId="4" applyFont="1" applyBorder="1">
      <alignment vertical="center"/>
    </xf>
    <xf numFmtId="0" fontId="41" fillId="8" borderId="0" xfId="4" applyFont="1" applyFill="1">
      <alignment vertical="center"/>
    </xf>
    <xf numFmtId="0" fontId="41" fillId="0" borderId="0" xfId="4" applyFont="1" applyFill="1">
      <alignment vertical="center"/>
    </xf>
    <xf numFmtId="0" fontId="41" fillId="9" borderId="0" xfId="4" applyFont="1" applyFill="1">
      <alignment vertical="center"/>
    </xf>
    <xf numFmtId="0" fontId="42" fillId="9" borderId="0" xfId="4" applyFont="1" applyFill="1">
      <alignment vertical="center"/>
    </xf>
    <xf numFmtId="0" fontId="7" fillId="3" borderId="0" xfId="4" applyFont="1" applyFill="1">
      <alignment vertical="center"/>
    </xf>
    <xf numFmtId="0" fontId="7" fillId="0" borderId="21" xfId="4" applyFont="1" applyBorder="1">
      <alignment vertical="center"/>
    </xf>
    <xf numFmtId="0" fontId="43" fillId="0" borderId="0" xfId="4" applyFont="1">
      <alignment vertical="center"/>
    </xf>
    <xf numFmtId="0" fontId="7" fillId="0" borderId="0" xfId="4" applyFont="1">
      <alignment vertical="center"/>
    </xf>
    <xf numFmtId="0" fontId="7" fillId="0" borderId="75" xfId="4" applyFont="1" applyBorder="1">
      <alignment vertical="center"/>
    </xf>
    <xf numFmtId="0" fontId="41" fillId="0" borderId="0" xfId="4" applyFont="1" applyAlignment="1">
      <alignment horizontal="center" vertical="center"/>
    </xf>
    <xf numFmtId="0" fontId="45" fillId="2" borderId="74" xfId="7" applyFont="1" applyFill="1" applyBorder="1" applyAlignment="1" applyProtection="1">
      <alignment horizontal="center" vertical="center"/>
    </xf>
    <xf numFmtId="0" fontId="46" fillId="2" borderId="74" xfId="7" applyFont="1" applyFill="1" applyBorder="1" applyAlignment="1" applyProtection="1">
      <alignment horizontal="center" vertical="center"/>
    </xf>
    <xf numFmtId="0" fontId="41" fillId="0" borderId="76" xfId="4" applyFont="1" applyBorder="1" applyAlignment="1">
      <alignment vertical="center"/>
    </xf>
    <xf numFmtId="0" fontId="41" fillId="0" borderId="74" xfId="4" applyFont="1" applyBorder="1" applyAlignment="1">
      <alignment vertical="center"/>
    </xf>
    <xf numFmtId="0" fontId="10" fillId="8" borderId="0" xfId="4" applyFont="1" applyFill="1">
      <alignment vertical="center"/>
    </xf>
    <xf numFmtId="0" fontId="47" fillId="8" borderId="0" xfId="7" applyFont="1" applyFill="1" applyAlignment="1" applyProtection="1">
      <alignment horizontal="center" vertical="center"/>
    </xf>
    <xf numFmtId="0" fontId="46" fillId="8" borderId="0" xfId="7" applyFont="1" applyFill="1" applyAlignment="1" applyProtection="1">
      <alignment horizontal="center" vertical="center"/>
    </xf>
    <xf numFmtId="0" fontId="41" fillId="8" borderId="75" xfId="4" applyFont="1" applyFill="1" applyBorder="1" applyAlignment="1">
      <alignment horizontal="center" vertical="center"/>
    </xf>
    <xf numFmtId="0" fontId="41" fillId="8" borderId="0" xfId="4" applyFont="1" applyFill="1" applyBorder="1" applyAlignment="1">
      <alignment horizontal="center" vertical="center"/>
    </xf>
    <xf numFmtId="0" fontId="47" fillId="0" borderId="0" xfId="7" applyFont="1" applyFill="1" applyAlignment="1" applyProtection="1">
      <alignment horizontal="center" vertical="center"/>
    </xf>
    <xf numFmtId="0" fontId="46" fillId="0" borderId="0" xfId="7" applyFont="1" applyFill="1" applyAlignment="1" applyProtection="1">
      <alignment horizontal="center" vertical="center"/>
    </xf>
    <xf numFmtId="0" fontId="41" fillId="0" borderId="75" xfId="4" applyFont="1" applyFill="1" applyBorder="1" applyAlignment="1">
      <alignment horizontal="center" vertical="center"/>
    </xf>
    <xf numFmtId="0" fontId="41" fillId="0" borderId="0" xfId="4" applyFont="1" applyFill="1" applyBorder="1" applyAlignment="1">
      <alignment horizontal="center" vertical="center"/>
    </xf>
    <xf numFmtId="49" fontId="30" fillId="9" borderId="1" xfId="4" applyNumberFormat="1" applyFont="1" applyFill="1" applyBorder="1" applyAlignment="1" applyProtection="1">
      <alignment horizontal="center" vertical="center" wrapText="1"/>
    </xf>
    <xf numFmtId="190" fontId="42" fillId="9" borderId="0" xfId="4" applyNumberFormat="1" applyFont="1" applyFill="1" applyAlignment="1">
      <alignment horizontal="center" vertical="center"/>
    </xf>
    <xf numFmtId="0" fontId="48" fillId="10" borderId="77" xfId="4" applyFont="1" applyFill="1" applyBorder="1" applyAlignment="1" applyProtection="1">
      <alignment horizontal="center" vertical="center" wrapText="1"/>
    </xf>
    <xf numFmtId="0" fontId="48" fillId="9" borderId="78" xfId="4" applyFont="1" applyFill="1" applyBorder="1" applyAlignment="1" applyProtection="1">
      <alignment horizontal="center" vertical="center" wrapText="1"/>
    </xf>
    <xf numFmtId="49" fontId="30" fillId="2" borderId="1" xfId="4" applyNumberFormat="1" applyFont="1" applyFill="1" applyBorder="1" applyAlignment="1" applyProtection="1">
      <alignment horizontal="center" vertical="center" wrapText="1"/>
    </xf>
    <xf numFmtId="190" fontId="7" fillId="0" borderId="0" xfId="4" applyNumberFormat="1" applyFont="1" applyAlignment="1">
      <alignment horizontal="center" vertical="center"/>
    </xf>
    <xf numFmtId="0" fontId="48" fillId="10" borderId="79" xfId="4" applyFont="1" applyFill="1" applyBorder="1" applyAlignment="1" applyProtection="1">
      <alignment horizontal="center" vertical="center" wrapText="1"/>
    </xf>
    <xf numFmtId="0" fontId="48" fillId="11" borderId="78" xfId="4" applyFont="1" applyFill="1" applyBorder="1" applyAlignment="1" applyProtection="1">
      <alignment horizontal="center" vertical="center" wrapText="1"/>
    </xf>
    <xf numFmtId="190" fontId="41" fillId="10" borderId="80" xfId="4" applyNumberFormat="1" applyFont="1" applyFill="1" applyBorder="1" applyAlignment="1">
      <alignment horizontal="center" vertical="center" wrapText="1"/>
    </xf>
    <xf numFmtId="190" fontId="41" fillId="10" borderId="81" xfId="4" applyNumberFormat="1" applyFont="1" applyFill="1" applyBorder="1" applyAlignment="1">
      <alignment horizontal="center" vertical="center" wrapText="1"/>
    </xf>
    <xf numFmtId="0" fontId="48" fillId="10" borderId="80" xfId="4" applyFont="1" applyFill="1" applyBorder="1" applyAlignment="1" applyProtection="1">
      <alignment horizontal="center" vertical="center" wrapText="1"/>
    </xf>
    <xf numFmtId="0" fontId="48" fillId="10" borderId="79" xfId="4" applyFont="1" applyFill="1" applyBorder="1" applyAlignment="1" applyProtection="1">
      <alignment vertical="center" wrapText="1"/>
    </xf>
    <xf numFmtId="0" fontId="48" fillId="10" borderId="77" xfId="4" applyFont="1" applyFill="1" applyBorder="1" applyAlignment="1" applyProtection="1">
      <alignment vertical="center" wrapText="1"/>
    </xf>
    <xf numFmtId="0" fontId="48" fillId="10" borderId="78" xfId="4" applyFont="1" applyFill="1" applyBorder="1" applyAlignment="1" applyProtection="1">
      <alignment horizontal="center" vertical="center" wrapText="1"/>
    </xf>
    <xf numFmtId="0" fontId="48" fillId="10" borderId="85" xfId="4" applyFont="1" applyFill="1" applyBorder="1" applyAlignment="1" applyProtection="1">
      <alignment horizontal="center" vertical="center" wrapText="1"/>
    </xf>
    <xf numFmtId="0" fontId="48" fillId="11" borderId="80" xfId="4" applyFont="1" applyFill="1" applyBorder="1" applyAlignment="1" applyProtection="1">
      <alignment horizontal="center" vertical="center" wrapText="1"/>
    </xf>
    <xf numFmtId="190" fontId="41" fillId="10" borderId="78" xfId="4" applyNumberFormat="1" applyFont="1" applyFill="1" applyBorder="1" applyAlignment="1">
      <alignment horizontal="center" vertical="center" wrapText="1"/>
    </xf>
    <xf numFmtId="190" fontId="41" fillId="10" borderId="86" xfId="4" applyNumberFormat="1" applyFont="1" applyFill="1" applyBorder="1" applyAlignment="1">
      <alignment horizontal="center" vertical="center" wrapText="1"/>
    </xf>
    <xf numFmtId="0" fontId="7" fillId="11" borderId="80" xfId="4" applyFont="1" applyFill="1" applyBorder="1" applyAlignment="1" applyProtection="1">
      <alignment horizontal="center" vertical="center" wrapText="1"/>
    </xf>
    <xf numFmtId="49" fontId="30" fillId="3" borderId="1" xfId="4" applyNumberFormat="1" applyFont="1" applyFill="1" applyBorder="1" applyAlignment="1" applyProtection="1">
      <alignment horizontal="center" vertical="center" wrapText="1"/>
    </xf>
    <xf numFmtId="190" fontId="7" fillId="3" borderId="0" xfId="4" applyNumberFormat="1" applyFont="1" applyFill="1" applyAlignment="1">
      <alignment horizontal="center" vertical="center"/>
    </xf>
    <xf numFmtId="0" fontId="7" fillId="3" borderId="78" xfId="4" applyFont="1" applyFill="1" applyBorder="1" applyAlignment="1" applyProtection="1">
      <alignment horizontal="center" vertical="center" wrapText="1"/>
    </xf>
    <xf numFmtId="0" fontId="7" fillId="10" borderId="85" xfId="4" applyFont="1" applyFill="1" applyBorder="1" applyAlignment="1" applyProtection="1">
      <alignment horizontal="center" vertical="center" wrapText="1"/>
    </xf>
    <xf numFmtId="190" fontId="41" fillId="10" borderId="85" xfId="4" applyNumberFormat="1" applyFont="1" applyFill="1" applyBorder="1" applyAlignment="1">
      <alignment horizontal="center" vertical="center" wrapText="1"/>
    </xf>
    <xf numFmtId="190" fontId="41" fillId="10" borderId="87" xfId="4" applyNumberFormat="1" applyFont="1" applyFill="1" applyBorder="1" applyAlignment="1">
      <alignment horizontal="center" vertical="center" wrapText="1"/>
    </xf>
    <xf numFmtId="190" fontId="7" fillId="9" borderId="0" xfId="4" applyNumberFormat="1" applyFont="1" applyFill="1" applyAlignment="1">
      <alignment horizontal="center" vertical="center"/>
    </xf>
    <xf numFmtId="190" fontId="7" fillId="0" borderId="21" xfId="4" applyNumberFormat="1" applyFont="1" applyBorder="1" applyAlignment="1">
      <alignment horizontal="center" vertical="center"/>
    </xf>
    <xf numFmtId="0" fontId="48" fillId="11" borderId="88" xfId="4" applyFont="1" applyFill="1" applyBorder="1" applyAlignment="1" applyProtection="1">
      <alignment horizontal="center" vertical="center" wrapText="1"/>
    </xf>
    <xf numFmtId="0" fontId="48" fillId="10" borderId="89" xfId="4" applyFont="1" applyFill="1" applyBorder="1" applyAlignment="1" applyProtection="1">
      <alignment horizontal="center" vertical="center" wrapText="1"/>
    </xf>
    <xf numFmtId="0" fontId="41" fillId="11" borderId="90" xfId="4" applyFont="1" applyFill="1" applyBorder="1" applyAlignment="1">
      <alignment horizontal="center" vertical="center" wrapText="1"/>
    </xf>
    <xf numFmtId="0" fontId="41" fillId="11" borderId="91" xfId="4" applyFont="1" applyFill="1" applyBorder="1" applyAlignment="1">
      <alignment horizontal="center" vertical="center" wrapText="1"/>
    </xf>
    <xf numFmtId="0" fontId="42" fillId="8" borderId="0" xfId="4" applyFont="1" applyFill="1" applyBorder="1" applyAlignment="1" applyProtection="1">
      <alignment horizontal="center" vertical="center"/>
      <protection locked="0"/>
    </xf>
    <xf numFmtId="0" fontId="41" fillId="8" borderId="0" xfId="4" applyFont="1" applyFill="1" applyAlignment="1">
      <alignment horizontal="center" vertical="center"/>
    </xf>
    <xf numFmtId="0" fontId="41" fillId="0" borderId="0" xfId="4" applyFont="1" applyFill="1" applyBorder="1" applyAlignment="1" applyProtection="1">
      <alignment horizontal="center" vertical="center"/>
      <protection locked="0"/>
    </xf>
    <xf numFmtId="0" fontId="41" fillId="0" borderId="0" xfId="4" applyFont="1" applyFill="1" applyAlignment="1">
      <alignment horizontal="center" vertical="center"/>
    </xf>
    <xf numFmtId="0" fontId="42" fillId="9" borderId="0" xfId="4" applyFont="1" applyFill="1" applyBorder="1" applyAlignment="1" applyProtection="1">
      <alignment horizontal="center" vertical="center"/>
      <protection locked="0"/>
    </xf>
    <xf numFmtId="10" fontId="42" fillId="9" borderId="92" xfId="4" applyNumberFormat="1" applyFont="1" applyFill="1" applyBorder="1" applyAlignment="1">
      <alignment vertical="center"/>
    </xf>
    <xf numFmtId="0" fontId="48" fillId="11" borderId="93" xfId="4" applyFont="1" applyFill="1" applyBorder="1" applyAlignment="1" applyProtection="1">
      <alignment horizontal="center" vertical="center" wrapText="1"/>
    </xf>
    <xf numFmtId="10" fontId="7" fillId="0" borderId="75" xfId="4" applyNumberFormat="1" applyFont="1" applyBorder="1">
      <alignment vertical="center"/>
    </xf>
    <xf numFmtId="10" fontId="7" fillId="0" borderId="0" xfId="4" applyNumberFormat="1" applyFont="1">
      <alignment vertical="center"/>
    </xf>
    <xf numFmtId="0" fontId="48" fillId="10" borderId="94" xfId="4" applyFont="1" applyFill="1" applyBorder="1" applyAlignment="1" applyProtection="1">
      <alignment horizontal="center" vertical="center" wrapText="1"/>
    </xf>
    <xf numFmtId="0" fontId="48" fillId="10" borderId="93" xfId="4" applyFont="1" applyFill="1" applyBorder="1" applyAlignment="1" applyProtection="1">
      <alignment horizontal="center" vertical="center" wrapText="1"/>
    </xf>
    <xf numFmtId="0" fontId="48" fillId="10" borderId="95" xfId="4" applyFont="1" applyFill="1" applyBorder="1" applyAlignment="1" applyProtection="1">
      <alignment horizontal="center" vertical="center" wrapText="1"/>
    </xf>
    <xf numFmtId="10" fontId="7" fillId="0" borderId="96" xfId="4" applyNumberFormat="1" applyFont="1" applyBorder="1">
      <alignment vertical="center"/>
    </xf>
    <xf numFmtId="10" fontId="7" fillId="0" borderId="97" xfId="4" applyNumberFormat="1" applyFont="1" applyBorder="1">
      <alignment vertical="center"/>
    </xf>
    <xf numFmtId="0" fontId="48" fillId="11" borderId="94" xfId="4" applyFont="1" applyFill="1" applyBorder="1" applyAlignment="1" applyProtection="1">
      <alignment horizontal="center" vertical="center" wrapText="1"/>
    </xf>
    <xf numFmtId="10" fontId="7" fillId="0" borderId="0" xfId="4" applyNumberFormat="1" applyFont="1" applyBorder="1">
      <alignment vertical="center"/>
    </xf>
    <xf numFmtId="10" fontId="7" fillId="0" borderId="92" xfId="4" applyNumberFormat="1" applyFont="1" applyBorder="1">
      <alignment vertical="center"/>
    </xf>
    <xf numFmtId="10" fontId="7" fillId="0" borderId="98" xfId="4" applyNumberFormat="1" applyFont="1" applyBorder="1">
      <alignment vertical="center"/>
    </xf>
    <xf numFmtId="0" fontId="7" fillId="11" borderId="94" xfId="4" applyFont="1" applyFill="1" applyBorder="1" applyAlignment="1" applyProtection="1">
      <alignment horizontal="center" vertical="center" wrapText="1"/>
    </xf>
    <xf numFmtId="0" fontId="7" fillId="3" borderId="93" xfId="4" applyFont="1" applyFill="1" applyBorder="1" applyAlignment="1" applyProtection="1">
      <alignment horizontal="center" vertical="center" wrapText="1"/>
    </xf>
    <xf numFmtId="10" fontId="7" fillId="3" borderId="75" xfId="4" applyNumberFormat="1" applyFont="1" applyFill="1" applyBorder="1">
      <alignment vertical="center"/>
    </xf>
    <xf numFmtId="10" fontId="7" fillId="3" borderId="0" xfId="4" applyNumberFormat="1" applyFont="1" applyFill="1">
      <alignment vertical="center"/>
    </xf>
    <xf numFmtId="0" fontId="7" fillId="10" borderId="95" xfId="4" applyFont="1" applyFill="1" applyBorder="1" applyAlignment="1" applyProtection="1">
      <alignment horizontal="center" vertical="center" wrapText="1"/>
    </xf>
    <xf numFmtId="0" fontId="48" fillId="11" borderId="99" xfId="4" applyFont="1" applyFill="1" applyBorder="1" applyAlignment="1" applyProtection="1">
      <alignment horizontal="center" vertical="center" wrapText="1"/>
    </xf>
    <xf numFmtId="10" fontId="7" fillId="0" borderId="100" xfId="4" applyNumberFormat="1" applyFont="1" applyBorder="1">
      <alignment vertical="center"/>
    </xf>
    <xf numFmtId="10" fontId="7" fillId="0" borderId="21" xfId="4" applyNumberFormat="1" applyFont="1" applyBorder="1">
      <alignment vertical="center"/>
    </xf>
    <xf numFmtId="0" fontId="48" fillId="10" borderId="101" xfId="4" applyFont="1" applyFill="1" applyBorder="1" applyAlignment="1" applyProtection="1">
      <alignment horizontal="center" vertical="center" wrapText="1"/>
    </xf>
    <xf numFmtId="10" fontId="7" fillId="12" borderId="75" xfId="4" applyNumberFormat="1" applyFont="1" applyFill="1" applyBorder="1">
      <alignment vertical="center"/>
    </xf>
    <xf numFmtId="10" fontId="7" fillId="12" borderId="0" xfId="4" applyNumberFormat="1" applyFont="1" applyFill="1">
      <alignment vertical="center"/>
    </xf>
    <xf numFmtId="10" fontId="7" fillId="12" borderId="92" xfId="4" applyNumberFormat="1" applyFont="1" applyFill="1" applyBorder="1">
      <alignment vertical="center"/>
    </xf>
    <xf numFmtId="10" fontId="7" fillId="12" borderId="98" xfId="4" applyNumberFormat="1" applyFont="1" applyFill="1" applyBorder="1">
      <alignment vertical="center"/>
    </xf>
    <xf numFmtId="10" fontId="7" fillId="12" borderId="100" xfId="4" applyNumberFormat="1" applyFont="1" applyFill="1" applyBorder="1">
      <alignment vertical="center"/>
    </xf>
    <xf numFmtId="10" fontId="7" fillId="12" borderId="21" xfId="4" applyNumberFormat="1" applyFont="1" applyFill="1" applyBorder="1">
      <alignment vertical="center"/>
    </xf>
    <xf numFmtId="193" fontId="7" fillId="0" borderId="0" xfId="4" applyNumberFormat="1" applyFont="1" applyAlignment="1">
      <alignment horizontal="center" vertical="center"/>
    </xf>
    <xf numFmtId="193" fontId="7" fillId="0" borderId="75" xfId="4" applyNumberFormat="1" applyFont="1" applyBorder="1" applyAlignment="1">
      <alignment horizontal="center" vertical="center"/>
    </xf>
    <xf numFmtId="0" fontId="41" fillId="0" borderId="74" xfId="4" applyFont="1" applyBorder="1" applyAlignment="1">
      <alignment horizontal="center" vertical="center"/>
    </xf>
    <xf numFmtId="0" fontId="11" fillId="8" borderId="0" xfId="4" applyFont="1" applyFill="1">
      <alignment vertical="center"/>
    </xf>
    <xf numFmtId="0" fontId="7" fillId="8" borderId="0" xfId="4" applyFont="1" applyFill="1" applyAlignment="1">
      <alignment horizontal="center" vertical="center"/>
    </xf>
    <xf numFmtId="0" fontId="7" fillId="0" borderId="0" xfId="4" applyFont="1" applyAlignment="1">
      <alignment horizontal="center" vertical="center"/>
    </xf>
    <xf numFmtId="0" fontId="41" fillId="9" borderId="0" xfId="4" applyFont="1" applyFill="1" applyAlignment="1">
      <alignment horizontal="center" vertical="center"/>
    </xf>
    <xf numFmtId="0" fontId="41" fillId="9" borderId="75" xfId="4" applyFont="1" applyFill="1" applyBorder="1" applyAlignment="1">
      <alignment horizontal="center" vertical="center"/>
    </xf>
    <xf numFmtId="0" fontId="43" fillId="3" borderId="0" xfId="4" applyFont="1" applyFill="1">
      <alignment vertical="center"/>
    </xf>
    <xf numFmtId="0" fontId="7" fillId="9" borderId="0" xfId="4" applyFont="1" applyFill="1" applyAlignment="1">
      <alignment horizontal="center" vertical="center"/>
    </xf>
    <xf numFmtId="182" fontId="7" fillId="0" borderId="0" xfId="4" applyNumberFormat="1" applyFont="1">
      <alignment vertical="center"/>
    </xf>
    <xf numFmtId="0" fontId="7" fillId="0" borderId="0" xfId="4" applyFont="1" applyFill="1">
      <alignment vertical="center"/>
    </xf>
    <xf numFmtId="0" fontId="7" fillId="0" borderId="0" xfId="4" applyFont="1" applyFill="1" applyAlignment="1">
      <alignment horizontal="center" vertical="center"/>
    </xf>
    <xf numFmtId="188" fontId="7" fillId="0" borderId="75" xfId="4" applyNumberFormat="1" applyFont="1" applyBorder="1">
      <alignment vertical="center"/>
    </xf>
    <xf numFmtId="188" fontId="7" fillId="0" borderId="0" xfId="4" applyNumberFormat="1" applyFont="1">
      <alignment vertical="center"/>
    </xf>
    <xf numFmtId="182" fontId="7" fillId="3" borderId="0" xfId="4" applyNumberFormat="1" applyFont="1" applyFill="1">
      <alignment vertical="center"/>
    </xf>
    <xf numFmtId="10" fontId="7" fillId="3" borderId="92" xfId="4" applyNumberFormat="1" applyFont="1" applyFill="1" applyBorder="1">
      <alignment vertical="center"/>
    </xf>
    <xf numFmtId="10" fontId="7" fillId="3" borderId="98" xfId="4" applyNumberFormat="1" applyFont="1" applyFill="1" applyBorder="1">
      <alignment vertical="center"/>
    </xf>
    <xf numFmtId="0" fontId="14" fillId="3" borderId="0" xfId="4" applyFont="1" applyFill="1">
      <alignment vertical="center"/>
    </xf>
    <xf numFmtId="0" fontId="7" fillId="3" borderId="0" xfId="4" applyNumberFormat="1" applyFont="1" applyFill="1" applyAlignment="1">
      <alignment horizontal="center" vertical="center"/>
    </xf>
    <xf numFmtId="14" fontId="7" fillId="0" borderId="0" xfId="4" applyNumberFormat="1" applyFont="1">
      <alignment vertical="center"/>
    </xf>
    <xf numFmtId="0" fontId="7" fillId="0" borderId="0" xfId="4" applyNumberFormat="1" applyFont="1" applyAlignment="1">
      <alignment horizontal="center" vertical="center"/>
    </xf>
    <xf numFmtId="10" fontId="7" fillId="0" borderId="0" xfId="4" applyNumberFormat="1" applyFont="1" applyAlignment="1">
      <alignment horizontal="center" vertical="center"/>
    </xf>
    <xf numFmtId="182" fontId="7" fillId="0" borderId="21" xfId="4" applyNumberFormat="1" applyFont="1" applyBorder="1">
      <alignment vertical="center"/>
    </xf>
    <xf numFmtId="10" fontId="7" fillId="0" borderId="21" xfId="4" applyNumberFormat="1" applyFont="1" applyBorder="1" applyAlignment="1">
      <alignment horizontal="center" vertical="center"/>
    </xf>
    <xf numFmtId="178" fontId="7" fillId="0" borderId="0" xfId="4" applyNumberFormat="1" applyFont="1" applyAlignment="1">
      <alignment horizontal="center" vertical="center"/>
    </xf>
    <xf numFmtId="178" fontId="7" fillId="0" borderId="21" xfId="4" applyNumberFormat="1" applyFont="1" applyBorder="1" applyAlignment="1">
      <alignment horizontal="center" vertical="center"/>
    </xf>
    <xf numFmtId="10" fontId="7" fillId="8" borderId="0" xfId="4" applyNumberFormat="1" applyFont="1" applyFill="1" applyAlignment="1">
      <alignment horizontal="center" vertical="center"/>
    </xf>
    <xf numFmtId="10" fontId="7" fillId="9" borderId="0" xfId="4" applyNumberFormat="1" applyFont="1" applyFill="1" applyAlignment="1">
      <alignment horizontal="center" vertical="center"/>
    </xf>
    <xf numFmtId="10" fontId="7" fillId="0" borderId="0" xfId="4" applyNumberFormat="1" applyFont="1" applyFill="1" applyAlignment="1">
      <alignment horizontal="center" vertical="center"/>
    </xf>
    <xf numFmtId="10" fontId="7" fillId="3" borderId="0" xfId="4" applyNumberFormat="1" applyFont="1" applyFill="1" applyAlignment="1">
      <alignment horizontal="center" vertical="center"/>
    </xf>
    <xf numFmtId="0" fontId="14" fillId="0" borderId="0" xfId="4" applyFont="1">
      <alignment vertical="center"/>
    </xf>
    <xf numFmtId="182" fontId="7" fillId="12" borderId="0" xfId="4" applyNumberFormat="1" applyFont="1" applyFill="1" applyAlignment="1">
      <alignment horizontal="center" vertical="center"/>
    </xf>
    <xf numFmtId="0" fontId="48" fillId="11" borderId="85" xfId="4" applyFont="1" applyFill="1" applyBorder="1" applyAlignment="1" applyProtection="1">
      <alignment horizontal="center" vertical="center" wrapText="1"/>
    </xf>
    <xf numFmtId="0" fontId="41" fillId="10" borderId="85" xfId="4" applyFont="1" applyFill="1" applyBorder="1" applyAlignment="1">
      <alignment horizontal="center" vertical="center" wrapText="1"/>
    </xf>
    <xf numFmtId="0" fontId="41" fillId="10" borderId="87" xfId="4" applyFont="1" applyFill="1" applyBorder="1" applyAlignment="1">
      <alignment horizontal="center" vertical="center" wrapText="1"/>
    </xf>
    <xf numFmtId="182" fontId="7" fillId="3" borderId="0" xfId="4" applyNumberFormat="1" applyFont="1" applyFill="1" applyAlignment="1">
      <alignment horizontal="center" vertical="center"/>
    </xf>
    <xf numFmtId="0" fontId="48" fillId="3" borderId="78" xfId="4" applyFont="1" applyFill="1" applyBorder="1" applyAlignment="1" applyProtection="1">
      <alignment horizontal="center" vertical="center" wrapText="1"/>
    </xf>
    <xf numFmtId="0" fontId="41" fillId="10" borderId="102" xfId="4" applyFont="1" applyFill="1" applyBorder="1" applyAlignment="1">
      <alignment horizontal="center" vertical="center" wrapText="1"/>
    </xf>
    <xf numFmtId="0" fontId="41" fillId="10" borderId="103" xfId="4" applyFont="1" applyFill="1" applyBorder="1" applyAlignment="1">
      <alignment horizontal="center" vertical="center" wrapText="1"/>
    </xf>
    <xf numFmtId="0" fontId="41" fillId="10" borderId="104" xfId="4" applyFont="1" applyFill="1" applyBorder="1" applyAlignment="1">
      <alignment horizontal="center" vertical="center" wrapText="1"/>
    </xf>
    <xf numFmtId="0" fontId="20" fillId="0" borderId="0" xfId="4" applyFont="1">
      <alignment vertical="center"/>
    </xf>
    <xf numFmtId="0" fontId="43" fillId="0" borderId="75" xfId="4" applyFont="1" applyBorder="1">
      <alignment vertical="center"/>
    </xf>
    <xf numFmtId="193" fontId="7" fillId="3" borderId="0" xfId="4" applyNumberFormat="1" applyFont="1" applyFill="1" applyAlignment="1">
      <alignment horizontal="center" vertical="center"/>
    </xf>
    <xf numFmtId="0" fontId="7" fillId="3" borderId="75" xfId="4" applyFont="1" applyFill="1" applyBorder="1">
      <alignment vertical="center"/>
    </xf>
    <xf numFmtId="193" fontId="43" fillId="0" borderId="0" xfId="4" applyNumberFormat="1" applyFont="1" applyAlignment="1">
      <alignment horizontal="center" vertical="center"/>
    </xf>
    <xf numFmtId="193" fontId="43" fillId="0" borderId="75" xfId="4" applyNumberFormat="1" applyFont="1" applyBorder="1" applyAlignment="1">
      <alignment horizontal="center" vertical="center"/>
    </xf>
    <xf numFmtId="178" fontId="7" fillId="3" borderId="0" xfId="4" applyNumberFormat="1" applyFont="1" applyFill="1" applyAlignment="1">
      <alignment horizontal="center" vertical="center"/>
    </xf>
    <xf numFmtId="0" fontId="48" fillId="11" borderId="105" xfId="4" applyFont="1" applyFill="1" applyBorder="1" applyAlignment="1">
      <alignment horizontal="center" vertical="center" wrapText="1"/>
    </xf>
    <xf numFmtId="0" fontId="48" fillId="11" borderId="80" xfId="4" applyFont="1" applyFill="1" applyBorder="1" applyAlignment="1">
      <alignment horizontal="center" vertical="center" wrapText="1"/>
    </xf>
    <xf numFmtId="0" fontId="48" fillId="10" borderId="106" xfId="4" applyFont="1" applyFill="1" applyBorder="1" applyAlignment="1">
      <alignment horizontal="center" vertical="center" wrapText="1"/>
    </xf>
    <xf numFmtId="0" fontId="48" fillId="10" borderId="78" xfId="4" applyFont="1" applyFill="1" applyBorder="1" applyAlignment="1">
      <alignment horizontal="center" vertical="center" wrapText="1"/>
    </xf>
    <xf numFmtId="0" fontId="48" fillId="11" borderId="106" xfId="4" applyFont="1" applyFill="1" applyBorder="1" applyAlignment="1">
      <alignment horizontal="center" vertical="center" wrapText="1"/>
    </xf>
    <xf numFmtId="0" fontId="48" fillId="11" borderId="78" xfId="4" applyFont="1" applyFill="1" applyBorder="1" applyAlignment="1">
      <alignment horizontal="center" vertical="center" wrapText="1"/>
    </xf>
    <xf numFmtId="0" fontId="48" fillId="10" borderId="107" xfId="4" applyFont="1" applyFill="1" applyBorder="1" applyAlignment="1">
      <alignment horizontal="center" vertical="center" wrapText="1"/>
    </xf>
    <xf numFmtId="0" fontId="48" fillId="10" borderId="85" xfId="4" applyFont="1" applyFill="1" applyBorder="1" applyAlignment="1">
      <alignment horizontal="center" vertical="center" wrapText="1"/>
    </xf>
    <xf numFmtId="0" fontId="47" fillId="0" borderId="0" xfId="0" applyFont="1">
      <alignment vertical="center"/>
    </xf>
    <xf numFmtId="49" fontId="31" fillId="2" borderId="37" xfId="0" applyNumberFormat="1" applyFont="1" applyFill="1" applyBorder="1" applyAlignment="1" applyProtection="1"/>
    <xf numFmtId="0" fontId="49" fillId="2" borderId="1" xfId="0" applyFont="1" applyFill="1" applyBorder="1">
      <alignment vertical="center"/>
    </xf>
    <xf numFmtId="0" fontId="47" fillId="2" borderId="1" xfId="0" applyFont="1" applyFill="1" applyBorder="1">
      <alignment vertical="center"/>
    </xf>
    <xf numFmtId="0" fontId="47" fillId="2" borderId="0" xfId="0" applyFont="1" applyFill="1">
      <alignment vertical="center"/>
    </xf>
    <xf numFmtId="0" fontId="49" fillId="2" borderId="0" xfId="0" applyFont="1" applyFill="1">
      <alignment vertical="center"/>
    </xf>
    <xf numFmtId="0" fontId="49" fillId="2" borderId="1" xfId="0" applyFont="1" applyFill="1" applyBorder="1" applyAlignment="1">
      <alignment vertical="center" wrapText="1"/>
    </xf>
    <xf numFmtId="0" fontId="49" fillId="3" borderId="1" xfId="0" applyFont="1" applyFill="1" applyBorder="1" applyAlignment="1" applyProtection="1">
      <alignment horizontal="center" vertical="center"/>
      <protection locked="0"/>
    </xf>
    <xf numFmtId="0" fontId="47" fillId="2" borderId="1" xfId="0" applyFont="1" applyFill="1" applyBorder="1" applyAlignment="1">
      <alignment horizontal="center" vertical="center"/>
    </xf>
    <xf numFmtId="185" fontId="0" fillId="0" borderId="0" xfId="0" applyNumberFormat="1" applyProtection="1">
      <alignment vertical="center"/>
    </xf>
    <xf numFmtId="0" fontId="0" fillId="0" borderId="0" xfId="0" applyNumberFormat="1" applyProtection="1">
      <alignment vertical="center"/>
    </xf>
    <xf numFmtId="185" fontId="50" fillId="0" borderId="98" xfId="8" applyNumberFormat="1" applyFont="1" applyBorder="1" applyAlignment="1" applyProtection="1">
      <alignment vertical="center"/>
    </xf>
    <xf numFmtId="0" fontId="50" fillId="0" borderId="98" xfId="8" applyNumberFormat="1" applyFont="1" applyBorder="1" applyAlignment="1" applyProtection="1">
      <alignment vertical="center"/>
    </xf>
    <xf numFmtId="185" fontId="51" fillId="2" borderId="1" xfId="8" applyNumberFormat="1" applyFont="1" applyFill="1" applyBorder="1" applyAlignment="1" applyProtection="1">
      <alignment horizontal="center" vertical="center"/>
    </xf>
    <xf numFmtId="0" fontId="51" fillId="2" borderId="1" xfId="8" applyNumberFormat="1" applyFont="1" applyFill="1" applyBorder="1" applyAlignment="1" applyProtection="1">
      <alignment horizontal="center" vertical="center"/>
    </xf>
    <xf numFmtId="0" fontId="51" fillId="2" borderId="1" xfId="8" applyNumberFormat="1" applyFont="1" applyFill="1" applyBorder="1" applyAlignment="1" applyProtection="1">
      <alignment horizontal="center" vertical="center" wrapText="1"/>
    </xf>
    <xf numFmtId="0" fontId="52" fillId="2" borderId="1" xfId="8" applyNumberFormat="1" applyFont="1" applyFill="1" applyBorder="1" applyAlignment="1" applyProtection="1">
      <alignment horizontal="center" vertical="center"/>
    </xf>
    <xf numFmtId="185" fontId="51" fillId="2" borderId="1" xfId="8" applyNumberFormat="1" applyFont="1" applyFill="1" applyBorder="1" applyAlignment="1" applyProtection="1">
      <alignment horizontal="center" vertical="center" wrapText="1"/>
    </xf>
    <xf numFmtId="0" fontId="51" fillId="2" borderId="64" xfId="8"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18" xfId="0" applyFill="1" applyBorder="1" applyAlignment="1" applyProtection="1">
      <alignment horizontal="right" vertical="center"/>
    </xf>
    <xf numFmtId="0" fontId="0" fillId="2" borderId="7" xfId="0" applyFill="1" applyBorder="1" applyAlignment="1" applyProtection="1">
      <alignment horizontal="center" vertical="center"/>
    </xf>
    <xf numFmtId="178" fontId="0" fillId="2" borderId="8" xfId="0" applyNumberFormat="1" applyFill="1" applyBorder="1" applyAlignment="1" applyProtection="1">
      <alignment horizontal="center" vertical="center"/>
    </xf>
    <xf numFmtId="178" fontId="0" fillId="2" borderId="32" xfId="0" applyNumberFormat="1" applyFill="1" applyBorder="1" applyAlignment="1" applyProtection="1">
      <alignment horizontal="center" vertical="center"/>
    </xf>
    <xf numFmtId="0" fontId="0" fillId="2" borderId="10" xfId="0" applyFill="1" applyBorder="1" applyAlignment="1" applyProtection="1">
      <alignment horizontal="center" vertical="center"/>
    </xf>
    <xf numFmtId="178" fontId="0" fillId="2" borderId="1" xfId="0" applyNumberFormat="1" applyFill="1" applyBorder="1" applyAlignment="1" applyProtection="1">
      <alignment horizontal="center" vertical="center"/>
    </xf>
    <xf numFmtId="178" fontId="0" fillId="2" borderId="2" xfId="0" applyNumberFormat="1" applyFill="1" applyBorder="1" applyAlignment="1" applyProtection="1">
      <alignment horizontal="center" vertical="center"/>
    </xf>
    <xf numFmtId="0" fontId="0" fillId="2" borderId="12" xfId="0" applyFill="1" applyBorder="1" applyAlignment="1" applyProtection="1">
      <alignment horizontal="center" vertical="center"/>
    </xf>
    <xf numFmtId="178" fontId="0" fillId="2" borderId="33" xfId="0" applyNumberFormat="1" applyFill="1" applyBorder="1" applyAlignment="1" applyProtection="1">
      <alignment horizontal="center" vertical="center"/>
    </xf>
    <xf numFmtId="178" fontId="0" fillId="2" borderId="13" xfId="0" applyNumberFormat="1" applyFill="1" applyBorder="1" applyAlignment="1" applyProtection="1">
      <alignment horizontal="center" vertical="center"/>
    </xf>
    <xf numFmtId="0" fontId="53" fillId="2" borderId="7" xfId="0" applyFont="1" applyFill="1" applyBorder="1" applyAlignment="1" applyProtection="1">
      <alignment horizontal="center" vertical="center" wrapText="1"/>
    </xf>
    <xf numFmtId="0" fontId="53" fillId="2" borderId="8" xfId="0" applyFont="1" applyFill="1" applyBorder="1" applyAlignment="1" applyProtection="1">
      <alignment horizontal="center" vertical="center" wrapText="1"/>
    </xf>
    <xf numFmtId="0" fontId="53" fillId="2" borderId="10" xfId="0" applyFont="1" applyFill="1" applyBorder="1" applyAlignment="1" applyProtection="1">
      <alignment horizontal="center" vertical="center" wrapText="1"/>
    </xf>
    <xf numFmtId="0" fontId="53" fillId="2" borderId="1" xfId="0" applyFont="1" applyFill="1" applyBorder="1" applyAlignment="1" applyProtection="1">
      <alignment horizontal="center" vertical="center" wrapText="1"/>
    </xf>
    <xf numFmtId="0" fontId="53" fillId="2" borderId="51" xfId="0" applyFont="1" applyFill="1" applyBorder="1" applyAlignment="1" applyProtection="1">
      <alignment horizontal="center" vertical="center" wrapText="1"/>
    </xf>
    <xf numFmtId="0" fontId="53" fillId="2" borderId="15"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54" fillId="2" borderId="98" xfId="0" applyFont="1" applyFill="1" applyBorder="1" applyAlignment="1" applyProtection="1">
      <alignment vertical="center"/>
    </xf>
    <xf numFmtId="0" fontId="54" fillId="2" borderId="0" xfId="0" applyFont="1" applyFill="1" applyBorder="1" applyAlignment="1" applyProtection="1">
      <alignment vertical="center"/>
    </xf>
    <xf numFmtId="0" fontId="53" fillId="2" borderId="2" xfId="0" applyFont="1" applyFill="1" applyBorder="1" applyAlignment="1" applyProtection="1">
      <alignment horizontal="center" vertical="center" wrapText="1"/>
    </xf>
    <xf numFmtId="0" fontId="53" fillId="2" borderId="4" xfId="0" applyFont="1" applyFill="1" applyBorder="1" applyAlignment="1" applyProtection="1">
      <alignment horizontal="center" vertical="center" wrapText="1"/>
    </xf>
    <xf numFmtId="0" fontId="53" fillId="2" borderId="0" xfId="0" applyFont="1" applyFill="1" applyBorder="1" applyAlignment="1" applyProtection="1">
      <alignment horizontal="center" vertical="center" wrapText="1"/>
    </xf>
    <xf numFmtId="0" fontId="53" fillId="2" borderId="1" xfId="0" applyFont="1" applyFill="1" applyBorder="1" applyAlignment="1" applyProtection="1">
      <alignment horizontal="center" vertical="center"/>
    </xf>
    <xf numFmtId="0" fontId="53" fillId="2" borderId="2" xfId="0" applyFont="1" applyFill="1" applyBorder="1" applyAlignment="1" applyProtection="1">
      <alignment horizontal="left" vertical="center"/>
    </xf>
    <xf numFmtId="0" fontId="53" fillId="2" borderId="4" xfId="0" applyFont="1" applyFill="1" applyBorder="1" applyAlignment="1" applyProtection="1">
      <alignment horizontal="left" vertical="center"/>
    </xf>
    <xf numFmtId="0" fontId="53" fillId="2" borderId="0" xfId="0" applyFont="1" applyFill="1" applyBorder="1" applyAlignment="1" applyProtection="1">
      <alignment vertical="center"/>
    </xf>
    <xf numFmtId="0" fontId="53" fillId="2" borderId="0" xfId="0" applyFont="1" applyFill="1" applyBorder="1" applyAlignment="1" applyProtection="1">
      <alignment horizontal="center" vertical="center"/>
    </xf>
    <xf numFmtId="0" fontId="53" fillId="0" borderId="97" xfId="0" applyFont="1" applyBorder="1" applyAlignment="1" applyProtection="1">
      <alignment vertical="center"/>
    </xf>
    <xf numFmtId="0" fontId="53" fillId="0" borderId="0" xfId="0" applyFont="1" applyBorder="1" applyAlignment="1" applyProtection="1">
      <alignment vertical="center"/>
    </xf>
    <xf numFmtId="0" fontId="53" fillId="2" borderId="34" xfId="0" applyFont="1" applyFill="1" applyBorder="1" applyAlignment="1" applyProtection="1">
      <alignment vertical="center" wrapText="1"/>
    </xf>
    <xf numFmtId="0" fontId="53" fillId="2" borderId="16" xfId="0" applyFont="1" applyFill="1" applyBorder="1" applyAlignment="1" applyProtection="1">
      <alignment vertical="center" wrapText="1"/>
    </xf>
    <xf numFmtId="0" fontId="53" fillId="2" borderId="108" xfId="0" applyFont="1" applyFill="1" applyBorder="1" applyAlignment="1" applyProtection="1">
      <alignment vertical="center" wrapText="1"/>
    </xf>
    <xf numFmtId="0" fontId="53" fillId="2" borderId="16" xfId="0" applyFont="1" applyFill="1" applyBorder="1" applyAlignment="1" applyProtection="1">
      <alignment horizontal="center" vertical="center"/>
    </xf>
    <xf numFmtId="0" fontId="53" fillId="2" borderId="0" xfId="0" applyFont="1" applyFill="1" applyAlignment="1" applyProtection="1">
      <alignment horizontal="center" vertical="center"/>
    </xf>
    <xf numFmtId="9" fontId="53" fillId="2" borderId="1" xfId="0" applyNumberFormat="1" applyFont="1" applyFill="1" applyBorder="1" applyAlignment="1" applyProtection="1">
      <alignment horizontal="center" vertical="center"/>
    </xf>
    <xf numFmtId="178" fontId="0" fillId="2" borderId="9" xfId="0" applyNumberFormat="1" applyFill="1" applyBorder="1" applyAlignment="1" applyProtection="1">
      <alignment horizontal="center" vertical="center"/>
    </xf>
    <xf numFmtId="178" fontId="0" fillId="2" borderId="11" xfId="0" applyNumberFormat="1" applyFill="1" applyBorder="1" applyAlignment="1" applyProtection="1">
      <alignment horizontal="center" vertical="center"/>
    </xf>
    <xf numFmtId="178" fontId="0" fillId="2" borderId="14" xfId="0" applyNumberFormat="1" applyFill="1" applyBorder="1" applyAlignment="1" applyProtection="1">
      <alignment horizontal="center" vertical="center"/>
    </xf>
    <xf numFmtId="0" fontId="53" fillId="2" borderId="9" xfId="0" applyFont="1" applyFill="1" applyBorder="1" applyAlignment="1" applyProtection="1">
      <alignment horizontal="center" vertical="center" wrapText="1"/>
    </xf>
    <xf numFmtId="0" fontId="53" fillId="2" borderId="11" xfId="0" applyFont="1" applyFill="1" applyBorder="1" applyAlignment="1" applyProtection="1">
      <alignment horizontal="center" vertical="center" wrapText="1"/>
    </xf>
    <xf numFmtId="0" fontId="53" fillId="2" borderId="40" xfId="0" applyFont="1" applyFill="1" applyBorder="1" applyAlignment="1" applyProtection="1">
      <alignment horizontal="center" vertical="center" wrapText="1"/>
    </xf>
    <xf numFmtId="0" fontId="55" fillId="0" borderId="0" xfId="0" applyFont="1" applyAlignment="1" applyProtection="1">
      <alignment vertical="center" wrapText="1"/>
    </xf>
    <xf numFmtId="0" fontId="30" fillId="5"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pplyProtection="1">
      <alignment horizontal="center" vertical="center" wrapText="1"/>
    </xf>
    <xf numFmtId="0" fontId="30" fillId="0" borderId="0" xfId="0" applyFont="1" applyAlignment="1" applyProtection="1">
      <alignment horizontal="left" vertical="center" wrapText="1"/>
    </xf>
    <xf numFmtId="0" fontId="30" fillId="0" borderId="0" xfId="0" applyFont="1" applyAlignment="1" applyProtection="1">
      <alignment vertical="center" wrapText="1"/>
    </xf>
    <xf numFmtId="0" fontId="30" fillId="5" borderId="0" xfId="0" applyFont="1" applyFill="1" applyAlignment="1" applyProtection="1">
      <alignment vertical="center" wrapText="1"/>
    </xf>
    <xf numFmtId="0" fontId="30" fillId="5" borderId="0" xfId="0" applyFont="1" applyFill="1" applyAlignment="1" applyProtection="1">
      <alignment horizontal="center" vertical="center" wrapText="1"/>
    </xf>
    <xf numFmtId="0" fontId="30" fillId="2" borderId="1" xfId="0" applyFont="1" applyFill="1" applyBorder="1" applyAlignment="1" applyProtection="1">
      <alignment vertical="center" wrapText="1"/>
    </xf>
    <xf numFmtId="0" fontId="30" fillId="2" borderId="0" xfId="0" applyFont="1" applyFill="1" applyAlignment="1" applyProtection="1">
      <alignment vertical="center" wrapText="1"/>
    </xf>
    <xf numFmtId="0" fontId="28" fillId="2" borderId="2" xfId="10" applyFont="1" applyFill="1" applyBorder="1" applyAlignment="1" applyProtection="1">
      <alignment vertical="center"/>
    </xf>
    <xf numFmtId="0" fontId="30" fillId="2" borderId="1" xfId="0" applyNumberFormat="1" applyFont="1" applyFill="1" applyBorder="1" applyAlignment="1" applyProtection="1">
      <alignment horizontal="left" vertical="center" wrapText="1"/>
    </xf>
    <xf numFmtId="0" fontId="30" fillId="3" borderId="1" xfId="0" applyNumberFormat="1" applyFont="1" applyFill="1" applyBorder="1" applyAlignment="1" applyProtection="1">
      <alignment horizontal="center" vertical="center" wrapText="1"/>
      <protection locked="0"/>
    </xf>
    <xf numFmtId="0" fontId="30" fillId="2" borderId="1" xfId="0" applyNumberFormat="1" applyFont="1" applyFill="1" applyBorder="1" applyAlignment="1" applyProtection="1">
      <alignment horizontal="center" vertical="center" wrapText="1"/>
    </xf>
    <xf numFmtId="0" fontId="30" fillId="3" borderId="1" xfId="0" applyNumberFormat="1" applyFont="1" applyFill="1" applyBorder="1" applyAlignment="1" applyProtection="1">
      <alignment vertical="center" wrapText="1"/>
      <protection locked="0"/>
    </xf>
    <xf numFmtId="0" fontId="30" fillId="3" borderId="1" xfId="0" applyFont="1" applyFill="1" applyBorder="1" applyAlignment="1" applyProtection="1">
      <alignment horizontal="left" vertical="center"/>
      <protection locked="0"/>
    </xf>
    <xf numFmtId="185" fontId="55" fillId="2" borderId="1" xfId="0" applyNumberFormat="1" applyFont="1" applyFill="1" applyBorder="1" applyAlignment="1" applyProtection="1">
      <alignment horizontal="center" vertical="center" wrapText="1"/>
    </xf>
    <xf numFmtId="0" fontId="30" fillId="2" borderId="1" xfId="0" applyFont="1" applyFill="1" applyBorder="1" applyAlignment="1" applyProtection="1">
      <alignment horizontal="left" vertical="center" wrapText="1"/>
    </xf>
    <xf numFmtId="49" fontId="56" fillId="2" borderId="15" xfId="0" applyNumberFormat="1" applyFont="1" applyFill="1" applyBorder="1" applyAlignment="1" applyProtection="1">
      <alignment horizontal="left" vertical="center" wrapText="1"/>
    </xf>
    <xf numFmtId="0" fontId="56" fillId="2" borderId="15" xfId="0" applyFont="1" applyFill="1" applyBorder="1" applyAlignment="1" applyProtection="1">
      <alignment horizontal="left" vertical="center" wrapText="1"/>
    </xf>
    <xf numFmtId="0" fontId="56" fillId="2" borderId="97" xfId="0" applyFont="1" applyFill="1" applyBorder="1" applyAlignment="1" applyProtection="1">
      <alignment horizontal="center" vertical="center"/>
    </xf>
    <xf numFmtId="0" fontId="57" fillId="2" borderId="13" xfId="0" applyFont="1" applyFill="1" applyBorder="1" applyAlignment="1" applyProtection="1">
      <alignment horizontal="center" vertical="center"/>
    </xf>
    <xf numFmtId="0" fontId="56" fillId="2" borderId="97" xfId="0" applyFont="1" applyFill="1" applyBorder="1" applyAlignment="1" applyProtection="1">
      <alignment vertical="center" wrapText="1"/>
    </xf>
    <xf numFmtId="0" fontId="55" fillId="2" borderId="97" xfId="0" applyFont="1" applyFill="1" applyBorder="1" applyAlignment="1" applyProtection="1">
      <alignment vertical="center" wrapText="1"/>
    </xf>
    <xf numFmtId="49" fontId="29" fillId="2" borderId="19" xfId="0" applyNumberFormat="1" applyFont="1" applyFill="1" applyBorder="1" applyAlignment="1" applyProtection="1">
      <alignment horizontal="center" vertical="center" wrapText="1"/>
    </xf>
    <xf numFmtId="0" fontId="29" fillId="2" borderId="25" xfId="0" applyFont="1" applyFill="1" applyBorder="1" applyAlignment="1" applyProtection="1">
      <alignment horizontal="left" vertical="center" wrapText="1"/>
    </xf>
    <xf numFmtId="0" fontId="29" fillId="2" borderId="109" xfId="0" applyFont="1" applyFill="1" applyBorder="1" applyAlignment="1" applyProtection="1">
      <alignment horizontal="center" vertical="center"/>
    </xf>
    <xf numFmtId="0" fontId="43" fillId="2" borderId="109" xfId="0" applyFont="1" applyFill="1" applyBorder="1" applyAlignment="1" applyProtection="1">
      <alignment vertical="center"/>
    </xf>
    <xf numFmtId="0" fontId="29" fillId="2" borderId="25" xfId="0" applyFont="1" applyFill="1" applyBorder="1" applyAlignment="1" applyProtection="1">
      <alignment horizontal="center" vertical="center" wrapText="1"/>
    </xf>
    <xf numFmtId="0" fontId="30" fillId="2" borderId="25" xfId="0" applyFont="1" applyFill="1" applyBorder="1" applyAlignment="1" applyProtection="1">
      <alignment vertical="center" wrapText="1"/>
    </xf>
    <xf numFmtId="0" fontId="29" fillId="2" borderId="8" xfId="0" applyFont="1" applyFill="1" applyBorder="1" applyAlignment="1" applyProtection="1">
      <alignment horizontal="left" vertical="center" wrapText="1"/>
    </xf>
    <xf numFmtId="0" fontId="29" fillId="2" borderId="32" xfId="0" applyNumberFormat="1" applyFont="1" applyFill="1" applyBorder="1" applyAlignment="1" applyProtection="1">
      <alignment horizontal="center" vertical="center" wrapText="1"/>
    </xf>
    <xf numFmtId="0" fontId="30" fillId="2" borderId="8" xfId="0" applyFont="1" applyFill="1" applyBorder="1" applyAlignment="1" applyProtection="1">
      <alignment horizontal="center" vertical="center" wrapText="1"/>
    </xf>
    <xf numFmtId="0" fontId="30" fillId="0" borderId="8" xfId="0" applyFont="1" applyFill="1" applyBorder="1" applyAlignment="1" applyProtection="1">
      <alignment horizontal="center" vertical="center" wrapText="1"/>
      <protection locked="0"/>
    </xf>
    <xf numFmtId="0" fontId="30" fillId="2" borderId="31" xfId="0" applyFont="1" applyFill="1" applyBorder="1" applyAlignment="1" applyProtection="1">
      <alignment horizontal="center" vertical="center" wrapText="1"/>
    </xf>
    <xf numFmtId="0" fontId="30" fillId="2" borderId="31" xfId="0" applyFont="1" applyFill="1" applyBorder="1" applyAlignment="1" applyProtection="1">
      <alignment vertical="center" wrapText="1"/>
    </xf>
    <xf numFmtId="0" fontId="30" fillId="3" borderId="1" xfId="0" applyFont="1" applyFill="1" applyBorder="1" applyAlignment="1" applyProtection="1">
      <alignment horizontal="center" vertical="center" wrapText="1"/>
      <protection locked="0"/>
    </xf>
    <xf numFmtId="0" fontId="30" fillId="2" borderId="16" xfId="0" applyFont="1" applyFill="1" applyBorder="1" applyAlignment="1" applyProtection="1">
      <alignment horizontal="center" vertical="center" wrapText="1"/>
    </xf>
    <xf numFmtId="0" fontId="30" fillId="2" borderId="34" xfId="0" applyFont="1" applyFill="1" applyBorder="1" applyAlignment="1" applyProtection="1">
      <alignment horizontal="center" vertical="center" wrapText="1"/>
    </xf>
    <xf numFmtId="0" fontId="30" fillId="2" borderId="2" xfId="0" applyFont="1" applyFill="1" applyBorder="1" applyAlignment="1" applyProtection="1">
      <alignment vertical="center"/>
    </xf>
    <xf numFmtId="0" fontId="30" fillId="2" borderId="3" xfId="0" applyFont="1" applyFill="1" applyBorder="1" applyAlignment="1" applyProtection="1">
      <alignment vertical="center" wrapText="1"/>
    </xf>
    <xf numFmtId="9" fontId="30" fillId="2" borderId="1" xfId="0" applyNumberFormat="1" applyFont="1" applyFill="1" applyBorder="1" applyAlignment="1" applyProtection="1">
      <alignment horizontal="center" vertical="center" wrapText="1"/>
    </xf>
    <xf numFmtId="0" fontId="30" fillId="2" borderId="1" xfId="0" applyFont="1" applyFill="1" applyBorder="1" applyAlignment="1" applyProtection="1">
      <alignment horizontal="center" vertical="center" wrapText="1"/>
    </xf>
    <xf numFmtId="0" fontId="30" fillId="2" borderId="15" xfId="0" applyFont="1" applyFill="1" applyBorder="1" applyAlignment="1" applyProtection="1">
      <alignment horizontal="left" vertical="center" wrapText="1"/>
    </xf>
    <xf numFmtId="0" fontId="30" fillId="2" borderId="15" xfId="0" applyFont="1" applyFill="1" applyBorder="1" applyAlignment="1" applyProtection="1">
      <alignment horizontal="center" vertical="center" wrapText="1"/>
    </xf>
    <xf numFmtId="0" fontId="30" fillId="2" borderId="48" xfId="0" applyFont="1" applyFill="1" applyBorder="1" applyAlignment="1" applyProtection="1">
      <alignment vertical="center"/>
    </xf>
    <xf numFmtId="0" fontId="30" fillId="2" borderId="97" xfId="0" applyFont="1" applyFill="1" applyBorder="1" applyAlignment="1" applyProtection="1">
      <alignment vertical="center" wrapText="1"/>
    </xf>
    <xf numFmtId="0" fontId="29" fillId="2" borderId="35" xfId="0" applyFont="1" applyFill="1" applyBorder="1" applyAlignment="1" applyProtection="1">
      <alignment horizontal="left" vertical="center" wrapText="1"/>
    </xf>
    <xf numFmtId="0" fontId="30" fillId="2" borderId="32" xfId="0" applyFont="1" applyFill="1" applyBorder="1" applyAlignment="1" applyProtection="1">
      <alignment vertical="center"/>
    </xf>
    <xf numFmtId="0" fontId="30" fillId="2" borderId="38" xfId="0" applyFont="1" applyFill="1" applyBorder="1" applyAlignment="1" applyProtection="1">
      <alignment horizontal="center" vertical="center" wrapText="1"/>
    </xf>
    <xf numFmtId="0" fontId="30" fillId="2" borderId="38" xfId="0" applyFont="1" applyFill="1" applyBorder="1" applyAlignment="1" applyProtection="1">
      <alignment vertical="center" wrapText="1"/>
    </xf>
    <xf numFmtId="0" fontId="7" fillId="2" borderId="15" xfId="0" applyFont="1" applyFill="1" applyBorder="1" applyAlignment="1" applyProtection="1">
      <alignment horizontal="left" vertical="center" wrapText="1"/>
    </xf>
    <xf numFmtId="0" fontId="7" fillId="2" borderId="4" xfId="0" applyFont="1" applyFill="1" applyBorder="1" applyAlignment="1" applyProtection="1">
      <alignment horizontal="center" vertical="center" wrapText="1"/>
    </xf>
    <xf numFmtId="0" fontId="7" fillId="2" borderId="16" xfId="0" applyFont="1" applyFill="1" applyBorder="1" applyAlignment="1" applyProtection="1">
      <alignment horizontal="center" vertical="center" wrapText="1"/>
    </xf>
    <xf numFmtId="0" fontId="36" fillId="2" borderId="16" xfId="0"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protection locked="0"/>
    </xf>
    <xf numFmtId="0" fontId="7" fillId="2" borderId="16" xfId="0" applyFont="1" applyFill="1" applyBorder="1" applyAlignment="1" applyProtection="1">
      <alignment horizontal="left" vertical="center" wrapText="1"/>
    </xf>
    <xf numFmtId="0" fontId="7" fillId="3" borderId="4" xfId="0" applyFont="1" applyFill="1" applyBorder="1" applyAlignment="1" applyProtection="1">
      <alignment horizontal="center" vertical="center" wrapText="1"/>
      <protection locked="0"/>
    </xf>
    <xf numFmtId="0" fontId="7" fillId="3" borderId="1" xfId="0" applyFont="1" applyFill="1" applyBorder="1" applyAlignment="1" applyProtection="1">
      <alignment horizontal="center" vertical="center" wrapText="1"/>
      <protection locked="0"/>
    </xf>
    <xf numFmtId="0" fontId="7" fillId="3" borderId="16" xfId="0" applyFont="1" applyFill="1" applyBorder="1" applyAlignment="1" applyProtection="1">
      <alignment horizontal="center" vertical="center" wrapText="1"/>
      <protection locked="0"/>
    </xf>
    <xf numFmtId="0" fontId="37" fillId="2" borderId="34" xfId="0" applyFont="1" applyFill="1" applyBorder="1" applyAlignment="1" applyProtection="1">
      <alignment vertical="center"/>
    </xf>
    <xf numFmtId="0" fontId="30" fillId="2" borderId="0" xfId="0" applyFont="1" applyFill="1" applyBorder="1" applyAlignment="1" applyProtection="1">
      <alignment vertical="center" wrapText="1"/>
    </xf>
    <xf numFmtId="0" fontId="7" fillId="2" borderId="20" xfId="0" applyFont="1" applyFill="1" applyBorder="1" applyAlignment="1" applyProtection="1">
      <alignment horizontal="left" vertical="center" wrapText="1"/>
    </xf>
    <xf numFmtId="0" fontId="30" fillId="2" borderId="13" xfId="0" applyFont="1" applyFill="1" applyBorder="1" applyAlignment="1" applyProtection="1">
      <alignment horizontal="center" vertical="center" wrapText="1"/>
    </xf>
    <xf numFmtId="0" fontId="30" fillId="0" borderId="13" xfId="0" applyFont="1" applyFill="1" applyBorder="1" applyAlignment="1" applyProtection="1">
      <alignment horizontal="center" vertical="center" wrapText="1"/>
      <protection locked="0"/>
    </xf>
    <xf numFmtId="0" fontId="29" fillId="2" borderId="8" xfId="0" applyFont="1" applyFill="1" applyBorder="1" applyAlignment="1" applyProtection="1">
      <alignment horizontal="center" vertical="center" wrapText="1"/>
    </xf>
    <xf numFmtId="0" fontId="30" fillId="2" borderId="35" xfId="0" applyFont="1" applyFill="1" applyBorder="1" applyAlignment="1" applyProtection="1">
      <alignment horizontal="left" vertical="center" wrapText="1"/>
    </xf>
    <xf numFmtId="0" fontId="30" fillId="3" borderId="35" xfId="0" applyFont="1" applyFill="1" applyBorder="1" applyAlignment="1" applyProtection="1">
      <alignment horizontal="center" vertical="center" wrapText="1"/>
      <protection locked="0"/>
    </xf>
    <xf numFmtId="0" fontId="30" fillId="3" borderId="8" xfId="0" applyFont="1" applyFill="1" applyBorder="1" applyAlignment="1" applyProtection="1">
      <alignment horizontal="right" vertical="center" wrapText="1"/>
      <protection locked="0"/>
    </xf>
    <xf numFmtId="0" fontId="30" fillId="3" borderId="8" xfId="0" applyFont="1" applyFill="1" applyBorder="1" applyAlignment="1" applyProtection="1">
      <alignment horizontal="center" vertical="center" wrapText="1"/>
      <protection locked="0"/>
    </xf>
    <xf numFmtId="0" fontId="30" fillId="2" borderId="15" xfId="0" applyFont="1" applyFill="1" applyBorder="1" applyAlignment="1" applyProtection="1">
      <alignment horizontal="left" vertical="center"/>
    </xf>
    <xf numFmtId="0" fontId="30" fillId="2" borderId="64" xfId="0" applyFont="1" applyFill="1" applyBorder="1" applyAlignment="1" applyProtection="1">
      <alignment horizontal="center" vertical="center" wrapText="1"/>
    </xf>
    <xf numFmtId="0" fontId="30" fillId="2" borderId="15" xfId="0" applyFont="1" applyFill="1" applyBorder="1" applyAlignment="1" applyProtection="1">
      <alignment vertical="center" wrapText="1"/>
    </xf>
    <xf numFmtId="49" fontId="56" fillId="2" borderId="19" xfId="0" applyNumberFormat="1" applyFont="1" applyFill="1" applyBorder="1" applyAlignment="1" applyProtection="1">
      <alignment horizontal="left" vertical="center" wrapText="1"/>
    </xf>
    <xf numFmtId="0" fontId="56" fillId="2" borderId="24" xfId="0" applyFont="1" applyFill="1" applyBorder="1" applyAlignment="1" applyProtection="1">
      <alignment horizontal="left" vertical="center" wrapText="1"/>
    </xf>
    <xf numFmtId="0" fontId="56" fillId="2" borderId="109" xfId="0" applyFont="1" applyFill="1" applyBorder="1" applyAlignment="1" applyProtection="1">
      <alignment horizontal="center" vertical="center" wrapText="1"/>
    </xf>
    <xf numFmtId="0" fontId="30" fillId="2" borderId="109" xfId="0" applyFont="1" applyFill="1" applyBorder="1" applyAlignment="1" applyProtection="1">
      <alignment vertical="center"/>
    </xf>
    <xf numFmtId="0" fontId="56" fillId="2" borderId="25" xfId="0" applyFont="1" applyFill="1" applyBorder="1" applyAlignment="1" applyProtection="1">
      <alignment horizontal="center" vertical="center" wrapText="1"/>
    </xf>
    <xf numFmtId="0" fontId="30" fillId="2" borderId="25" xfId="0" applyFont="1" applyFill="1" applyBorder="1" applyAlignment="1" applyProtection="1">
      <alignment vertical="center"/>
    </xf>
    <xf numFmtId="0" fontId="55" fillId="2" borderId="25" xfId="0" applyFont="1" applyFill="1" applyBorder="1" applyAlignment="1" applyProtection="1">
      <alignment vertical="center" wrapText="1"/>
    </xf>
    <xf numFmtId="184" fontId="56" fillId="2" borderId="24" xfId="0" applyNumberFormat="1" applyFont="1" applyFill="1" applyBorder="1" applyAlignment="1" applyProtection="1">
      <alignment horizontal="center" vertical="center" wrapText="1"/>
    </xf>
    <xf numFmtId="0" fontId="55" fillId="2" borderId="24" xfId="0" applyFont="1" applyFill="1" applyBorder="1" applyAlignment="1" applyProtection="1">
      <alignment horizontal="center" vertical="center" wrapText="1"/>
    </xf>
    <xf numFmtId="14" fontId="55" fillId="2" borderId="24" xfId="0" applyNumberFormat="1" applyFont="1" applyFill="1" applyBorder="1" applyAlignment="1" applyProtection="1">
      <alignment horizontal="center" vertical="center" wrapText="1"/>
    </xf>
    <xf numFmtId="14" fontId="55" fillId="2" borderId="25" xfId="0" applyNumberFormat="1" applyFont="1" applyFill="1" applyBorder="1" applyAlignment="1" applyProtection="1">
      <alignment horizontal="center" vertical="center" wrapText="1"/>
    </xf>
    <xf numFmtId="0" fontId="55" fillId="3" borderId="24" xfId="9" applyFont="1" applyFill="1" applyBorder="1" applyAlignment="1" applyProtection="1">
      <alignment horizontal="center" vertical="center" wrapText="1"/>
      <protection locked="0"/>
    </xf>
    <xf numFmtId="49" fontId="56" fillId="2" borderId="18" xfId="0" applyNumberFormat="1" applyFont="1" applyFill="1" applyBorder="1" applyAlignment="1" applyProtection="1">
      <alignment horizontal="left" vertical="center" wrapText="1"/>
    </xf>
    <xf numFmtId="0" fontId="56" fillId="2" borderId="35" xfId="0" applyFont="1" applyFill="1" applyBorder="1" applyAlignment="1" applyProtection="1">
      <alignment horizontal="left" vertical="center" wrapText="1"/>
    </xf>
    <xf numFmtId="184" fontId="56" fillId="2" borderId="35" xfId="0" applyNumberFormat="1" applyFont="1" applyFill="1" applyBorder="1" applyAlignment="1" applyProtection="1">
      <alignment horizontal="center" vertical="center" wrapText="1"/>
    </xf>
    <xf numFmtId="0" fontId="30" fillId="2" borderId="35" xfId="0" applyFont="1" applyFill="1" applyBorder="1" applyAlignment="1" applyProtection="1">
      <alignment horizontal="center" vertical="center" wrapText="1"/>
    </xf>
    <xf numFmtId="10" fontId="30" fillId="2" borderId="35" xfId="0" applyNumberFormat="1" applyFont="1" applyFill="1" applyBorder="1" applyAlignment="1" applyProtection="1">
      <alignment horizontal="center" vertical="center" wrapText="1"/>
    </xf>
    <xf numFmtId="188" fontId="7" fillId="2" borderId="35" xfId="0" applyNumberFormat="1" applyFont="1" applyFill="1" applyBorder="1" applyAlignment="1" applyProtection="1">
      <alignment horizontal="center" vertical="center" wrapText="1"/>
    </xf>
    <xf numFmtId="49" fontId="56" fillId="2" borderId="7" xfId="0" applyNumberFormat="1" applyFont="1" applyFill="1" applyBorder="1" applyAlignment="1" applyProtection="1">
      <alignment horizontal="left" vertical="center" wrapText="1"/>
    </xf>
    <xf numFmtId="0" fontId="56" fillId="3" borderId="8" xfId="0" applyFont="1" applyFill="1" applyBorder="1" applyAlignment="1" applyProtection="1">
      <alignment horizontal="left" vertical="center" wrapText="1"/>
      <protection locked="0"/>
    </xf>
    <xf numFmtId="0" fontId="55" fillId="2" borderId="8" xfId="0" applyFont="1" applyFill="1" applyBorder="1" applyAlignment="1" applyProtection="1">
      <alignment horizontal="center" vertical="center" wrapText="1"/>
    </xf>
    <xf numFmtId="0" fontId="55" fillId="2" borderId="31" xfId="0" applyFont="1" applyFill="1" applyBorder="1" applyAlignment="1" applyProtection="1">
      <alignment vertical="center" wrapText="1"/>
    </xf>
    <xf numFmtId="49" fontId="55" fillId="2" borderId="51" xfId="0" applyNumberFormat="1" applyFont="1" applyFill="1" applyBorder="1" applyAlignment="1" applyProtection="1">
      <alignment horizontal="center" vertical="center" wrapText="1"/>
    </xf>
    <xf numFmtId="0" fontId="55" fillId="2" borderId="1" xfId="0" applyFont="1" applyFill="1" applyBorder="1" applyAlignment="1" applyProtection="1">
      <alignment horizontal="left" vertical="center" wrapText="1"/>
    </xf>
    <xf numFmtId="0" fontId="55" fillId="2" borderId="1" xfId="0" applyFont="1" applyFill="1" applyBorder="1" applyAlignment="1" applyProtection="1">
      <alignment horizontal="center" vertical="center" wrapText="1"/>
    </xf>
    <xf numFmtId="0" fontId="55" fillId="2" borderId="15" xfId="0" applyFont="1" applyFill="1" applyBorder="1" applyAlignment="1" applyProtection="1">
      <alignment horizontal="left" vertical="center" wrapText="1"/>
    </xf>
    <xf numFmtId="0" fontId="56" fillId="2" borderId="64" xfId="0" applyFont="1" applyFill="1" applyBorder="1" applyAlignment="1" applyProtection="1">
      <alignment horizontal="center" vertical="center" wrapText="1"/>
    </xf>
    <xf numFmtId="184" fontId="30" fillId="2" borderId="64" xfId="0" applyNumberFormat="1" applyFont="1" applyFill="1" applyBorder="1" applyAlignment="1" applyProtection="1">
      <alignment horizontal="center" vertical="center" wrapText="1"/>
    </xf>
    <xf numFmtId="184" fontId="30" fillId="2" borderId="50" xfId="0" applyNumberFormat="1" applyFont="1" applyFill="1" applyBorder="1" applyAlignment="1" applyProtection="1">
      <alignment horizontal="center" vertical="center" wrapText="1"/>
    </xf>
    <xf numFmtId="0" fontId="30" fillId="2" borderId="111" xfId="0" applyFont="1" applyFill="1" applyBorder="1" applyAlignment="1" applyProtection="1">
      <alignment vertical="center" wrapText="1"/>
    </xf>
    <xf numFmtId="0" fontId="55" fillId="2" borderId="24" xfId="0" applyFont="1" applyFill="1" applyBorder="1" applyAlignment="1" applyProtection="1">
      <alignment vertical="center" wrapText="1"/>
    </xf>
    <xf numFmtId="0" fontId="56" fillId="2" borderId="32" xfId="0" applyFont="1" applyFill="1" applyBorder="1" applyAlignment="1" applyProtection="1">
      <alignment horizontal="left" vertical="center" wrapText="1"/>
    </xf>
    <xf numFmtId="0" fontId="29" fillId="2" borderId="38" xfId="0" applyFont="1" applyFill="1" applyBorder="1" applyAlignment="1" applyProtection="1">
      <alignment horizontal="center" vertical="center" wrapText="1"/>
    </xf>
    <xf numFmtId="0" fontId="29" fillId="2" borderId="31" xfId="0" applyFont="1" applyFill="1" applyBorder="1" applyAlignment="1" applyProtection="1">
      <alignment vertical="center" wrapText="1"/>
    </xf>
    <xf numFmtId="49" fontId="56" fillId="2" borderId="27" xfId="0" applyNumberFormat="1" applyFont="1" applyFill="1" applyBorder="1" applyAlignment="1" applyProtection="1">
      <alignment horizontal="center" vertical="center" wrapText="1"/>
    </xf>
    <xf numFmtId="0" fontId="29" fillId="2" borderId="1" xfId="0" applyFont="1" applyFill="1" applyBorder="1" applyAlignment="1" applyProtection="1">
      <alignment horizontal="center" vertical="center" wrapText="1"/>
    </xf>
    <xf numFmtId="0" fontId="30" fillId="2" borderId="50"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55" fillId="2" borderId="0" xfId="0" applyFont="1" applyFill="1" applyBorder="1" applyAlignment="1" applyProtection="1">
      <alignment horizontal="left" vertical="center" wrapText="1"/>
    </xf>
    <xf numFmtId="0" fontId="29" fillId="2" borderId="64" xfId="0" applyFont="1" applyFill="1" applyBorder="1" applyAlignment="1" applyProtection="1">
      <alignment horizontal="center" vertical="center" wrapText="1"/>
    </xf>
    <xf numFmtId="0" fontId="30" fillId="2" borderId="47" xfId="0" applyFont="1" applyFill="1" applyBorder="1" applyAlignment="1" applyProtection="1">
      <alignment vertical="center" wrapText="1"/>
    </xf>
    <xf numFmtId="0" fontId="30" fillId="2" borderId="21" xfId="0" applyFont="1" applyFill="1" applyBorder="1" applyAlignment="1" applyProtection="1">
      <alignment vertical="center" wrapText="1"/>
    </xf>
    <xf numFmtId="0" fontId="29" fillId="2" borderId="21" xfId="0" applyFont="1" applyFill="1" applyBorder="1" applyAlignment="1" applyProtection="1">
      <alignment vertical="center" wrapText="1"/>
    </xf>
    <xf numFmtId="49" fontId="56" fillId="2" borderId="18" xfId="0" applyNumberFormat="1" applyFont="1" applyFill="1" applyBorder="1" applyAlignment="1" applyProtection="1">
      <alignment horizontal="center" vertical="center" wrapText="1"/>
    </xf>
    <xf numFmtId="0" fontId="29" fillId="2" borderId="112" xfId="0" applyFont="1" applyFill="1" applyBorder="1" applyAlignment="1" applyProtection="1">
      <alignment vertical="center" wrapText="1"/>
    </xf>
    <xf numFmtId="0" fontId="56" fillId="2" borderId="8" xfId="0" applyFont="1" applyFill="1" applyBorder="1" applyAlignment="1" applyProtection="1">
      <alignment horizontal="center" vertical="center" wrapText="1"/>
    </xf>
    <xf numFmtId="0" fontId="56" fillId="2" borderId="32" xfId="0" applyFont="1" applyFill="1" applyBorder="1" applyAlignment="1" applyProtection="1">
      <alignment horizontal="center" vertical="center" wrapText="1"/>
    </xf>
    <xf numFmtId="0" fontId="29" fillId="2" borderId="32" xfId="0" applyFont="1" applyFill="1" applyBorder="1" applyAlignment="1" applyProtection="1">
      <alignment vertical="center" wrapText="1"/>
    </xf>
    <xf numFmtId="0" fontId="30" fillId="2" borderId="27" xfId="0" applyFont="1" applyFill="1" applyBorder="1" applyAlignment="1" applyProtection="1">
      <alignment horizontal="center" vertical="center" wrapText="1"/>
    </xf>
    <xf numFmtId="0" fontId="30" fillId="2" borderId="4" xfId="0" applyFont="1" applyFill="1" applyBorder="1" applyAlignment="1" applyProtection="1">
      <alignment horizontal="left" vertical="center" wrapText="1"/>
    </xf>
    <xf numFmtId="0" fontId="30" fillId="0" borderId="1" xfId="0" applyFont="1" applyBorder="1" applyAlignment="1" applyProtection="1">
      <alignment vertical="center" wrapText="1"/>
      <protection locked="0"/>
    </xf>
    <xf numFmtId="0" fontId="7" fillId="2" borderId="1" xfId="0" applyFont="1" applyFill="1" applyBorder="1" applyAlignment="1" applyProtection="1">
      <alignment horizontal="center" vertical="center"/>
    </xf>
    <xf numFmtId="0" fontId="7" fillId="2" borderId="2" xfId="0" applyFont="1" applyFill="1" applyBorder="1" applyAlignment="1" applyProtection="1">
      <alignment vertical="center"/>
    </xf>
    <xf numFmtId="0" fontId="7" fillId="2" borderId="3" xfId="0" applyFont="1" applyFill="1" applyBorder="1" applyAlignment="1" applyProtection="1">
      <alignment vertical="center"/>
    </xf>
    <xf numFmtId="0" fontId="29" fillId="2" borderId="110" xfId="0" applyFont="1" applyFill="1" applyBorder="1" applyAlignment="1" applyProtection="1">
      <alignment vertical="center" wrapText="1"/>
    </xf>
    <xf numFmtId="0" fontId="30" fillId="2" borderId="62" xfId="0" applyFont="1" applyFill="1" applyBorder="1" applyAlignment="1" applyProtection="1">
      <alignment horizontal="left" vertical="center" wrapText="1"/>
    </xf>
    <xf numFmtId="0" fontId="30" fillId="0" borderId="13" xfId="0" applyFont="1" applyBorder="1" applyAlignment="1" applyProtection="1">
      <alignment vertical="center" wrapText="1"/>
      <protection locked="0"/>
    </xf>
    <xf numFmtId="0" fontId="30" fillId="2" borderId="13" xfId="0" applyFont="1" applyFill="1" applyBorder="1" applyAlignment="1" applyProtection="1">
      <alignment vertical="center"/>
    </xf>
    <xf numFmtId="0" fontId="30" fillId="2" borderId="45"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113" xfId="0" applyFont="1" applyFill="1" applyBorder="1" applyAlignment="1" applyProtection="1">
      <alignment horizontal="left" vertical="center" wrapText="1"/>
    </xf>
    <xf numFmtId="0" fontId="30" fillId="2" borderId="38" xfId="0" applyFont="1" applyFill="1" applyBorder="1" applyAlignment="1" applyProtection="1">
      <alignment vertical="center"/>
    </xf>
    <xf numFmtId="0" fontId="29" fillId="2" borderId="108" xfId="0" applyFont="1" applyFill="1" applyBorder="1" applyAlignment="1" applyProtection="1">
      <alignment vertical="center" wrapText="1"/>
    </xf>
    <xf numFmtId="0" fontId="56" fillId="2" borderId="4" xfId="0" applyFont="1" applyFill="1" applyBorder="1" applyAlignment="1" applyProtection="1">
      <alignment horizontal="center" vertical="center" wrapText="1"/>
    </xf>
    <xf numFmtId="0" fontId="56" fillId="2" borderId="1" xfId="0" applyFont="1" applyFill="1" applyBorder="1" applyAlignment="1" applyProtection="1">
      <alignment horizontal="center" vertical="center" wrapText="1"/>
    </xf>
    <xf numFmtId="0" fontId="56" fillId="2" borderId="16" xfId="0" applyFont="1" applyFill="1" applyBorder="1" applyAlignment="1" applyProtection="1">
      <alignment horizontal="center" vertical="center" wrapText="1"/>
    </xf>
    <xf numFmtId="0" fontId="7" fillId="2" borderId="108" xfId="0" applyFont="1" applyFill="1" applyBorder="1" applyAlignment="1" applyProtection="1">
      <alignment horizontal="center" vertical="center" wrapText="1"/>
    </xf>
    <xf numFmtId="0" fontId="29" fillId="2" borderId="27" xfId="0" applyFont="1" applyFill="1" applyBorder="1" applyAlignment="1" applyProtection="1">
      <alignment vertical="center" wrapText="1"/>
    </xf>
    <xf numFmtId="0" fontId="7" fillId="2" borderId="62" xfId="0" applyFont="1" applyFill="1" applyBorder="1" applyAlignment="1" applyProtection="1">
      <alignment horizontal="center" vertical="center" wrapText="1"/>
    </xf>
    <xf numFmtId="0" fontId="29" fillId="2" borderId="13" xfId="0" applyFont="1" applyFill="1" applyBorder="1" applyAlignment="1" applyProtection="1">
      <alignment horizontal="center" vertical="center" wrapText="1"/>
    </xf>
    <xf numFmtId="0" fontId="30" fillId="5" borderId="0" xfId="0" applyFont="1" applyFill="1" applyAlignment="1" applyProtection="1">
      <alignment horizontal="center" vertical="center" wrapText="1"/>
      <protection locked="0"/>
    </xf>
    <xf numFmtId="0" fontId="30" fillId="5" borderId="0" xfId="0" applyFont="1" applyFill="1" applyAlignment="1" applyProtection="1">
      <alignment horizontal="left" vertical="center" wrapText="1"/>
      <protection locked="0"/>
    </xf>
    <xf numFmtId="0" fontId="59" fillId="2" borderId="0" xfId="0" applyFont="1" applyFill="1" applyProtection="1">
      <alignment vertical="center"/>
    </xf>
    <xf numFmtId="184" fontId="47" fillId="2" borderId="0" xfId="0" applyNumberFormat="1" applyFont="1" applyFill="1" applyAlignment="1" applyProtection="1">
      <alignment horizontal="center" vertical="center" wrapText="1"/>
    </xf>
    <xf numFmtId="0" fontId="47" fillId="2" borderId="0" xfId="0" applyFont="1" applyFill="1" applyProtection="1">
      <alignment vertical="center"/>
    </xf>
    <xf numFmtId="0" fontId="47" fillId="2" borderId="0" xfId="0" applyFont="1" applyFill="1" applyAlignment="1" applyProtection="1">
      <alignment horizontal="center" vertical="center"/>
    </xf>
    <xf numFmtId="0" fontId="59" fillId="2" borderId="37" xfId="0" applyFont="1" applyFill="1" applyBorder="1" applyAlignment="1" applyProtection="1">
      <alignment vertical="center"/>
    </xf>
    <xf numFmtId="184" fontId="60" fillId="2" borderId="31" xfId="0" applyNumberFormat="1" applyFont="1" applyFill="1" applyBorder="1" applyAlignment="1" applyProtection="1">
      <alignment horizontal="center" vertical="center" wrapText="1"/>
    </xf>
    <xf numFmtId="0" fontId="47" fillId="2" borderId="31" xfId="0" applyFont="1" applyFill="1" applyBorder="1" applyProtection="1">
      <alignment vertical="center"/>
    </xf>
    <xf numFmtId="0" fontId="59" fillId="2" borderId="38" xfId="0" applyFont="1" applyFill="1" applyBorder="1" applyAlignment="1" applyProtection="1">
      <alignment vertical="center"/>
    </xf>
    <xf numFmtId="0" fontId="59" fillId="2" borderId="39" xfId="0" applyFont="1" applyFill="1" applyBorder="1" applyAlignment="1" applyProtection="1">
      <alignment horizontal="center" vertical="center"/>
    </xf>
    <xf numFmtId="0" fontId="59" fillId="2" borderId="0" xfId="0" applyFont="1" applyFill="1" applyBorder="1" applyAlignment="1" applyProtection="1">
      <alignment horizontal="center" vertical="center"/>
    </xf>
    <xf numFmtId="0" fontId="7" fillId="2" borderId="10" xfId="0" applyFont="1" applyFill="1" applyBorder="1" applyAlignment="1" applyProtection="1">
      <alignment horizontal="center" vertical="center" wrapText="1"/>
    </xf>
    <xf numFmtId="0" fontId="7" fillId="2" borderId="1" xfId="0" applyFont="1" applyFill="1" applyBorder="1" applyAlignment="1" applyProtection="1">
      <alignment horizontal="center" vertical="center" wrapText="1"/>
    </xf>
    <xf numFmtId="0" fontId="30" fillId="2" borderId="11" xfId="0" applyFont="1" applyFill="1" applyBorder="1" applyAlignment="1" applyProtection="1">
      <alignment horizontal="center" vertical="center" wrapText="1"/>
    </xf>
    <xf numFmtId="0" fontId="43" fillId="2" borderId="50" xfId="0" applyFont="1" applyFill="1" applyBorder="1" applyAlignment="1" applyProtection="1">
      <alignment horizontal="center" vertical="center" wrapText="1"/>
    </xf>
    <xf numFmtId="0" fontId="43" fillId="2" borderId="1" xfId="0" applyFont="1" applyFill="1" applyBorder="1" applyAlignment="1" applyProtection="1">
      <alignment horizontal="center" vertical="center" wrapText="1"/>
    </xf>
    <xf numFmtId="49" fontId="7" fillId="2" borderId="1" xfId="0" applyNumberFormat="1" applyFont="1" applyFill="1" applyBorder="1" applyAlignment="1" applyProtection="1">
      <alignment horizontal="center" vertical="center" wrapText="1"/>
    </xf>
    <xf numFmtId="10" fontId="7" fillId="2" borderId="1" xfId="0" applyNumberFormat="1" applyFont="1" applyFill="1" applyBorder="1" applyAlignment="1" applyProtection="1">
      <alignment horizontal="center" vertical="center" wrapText="1"/>
    </xf>
    <xf numFmtId="10" fontId="30" fillId="2" borderId="40" xfId="0" applyNumberFormat="1" applyFont="1" applyFill="1" applyBorder="1" applyAlignment="1" applyProtection="1">
      <alignment horizontal="center" vertical="center" wrapText="1"/>
    </xf>
    <xf numFmtId="10" fontId="30" fillId="2" borderId="0" xfId="0" applyNumberFormat="1" applyFont="1" applyFill="1" applyBorder="1" applyAlignment="1" applyProtection="1">
      <alignment horizontal="center" vertical="center" wrapText="1"/>
    </xf>
    <xf numFmtId="10" fontId="47" fillId="0" borderId="1" xfId="0" applyNumberFormat="1" applyFont="1" applyBorder="1" applyAlignment="1" applyProtection="1">
      <alignment horizontal="center" vertical="center"/>
      <protection locked="0"/>
    </xf>
    <xf numFmtId="10" fontId="47" fillId="2" borderId="1" xfId="0" applyNumberFormat="1" applyFont="1" applyFill="1" applyBorder="1" applyAlignment="1" applyProtection="1">
      <alignment horizontal="center" vertical="center"/>
    </xf>
    <xf numFmtId="0" fontId="7" fillId="2" borderId="1" xfId="0" applyNumberFormat="1" applyFont="1" applyFill="1" applyBorder="1" applyAlignment="1" applyProtection="1">
      <alignment horizontal="center" vertical="center" wrapText="1"/>
    </xf>
    <xf numFmtId="10" fontId="30" fillId="2" borderId="43" xfId="0" applyNumberFormat="1" applyFont="1" applyFill="1" applyBorder="1" applyAlignment="1" applyProtection="1">
      <alignment vertical="center" wrapText="1"/>
    </xf>
    <xf numFmtId="0" fontId="39" fillId="0" borderId="1" xfId="0" applyNumberFormat="1" applyFont="1" applyFill="1" applyBorder="1" applyAlignment="1" applyProtection="1">
      <alignment horizontal="center" vertical="center" wrapText="1"/>
      <protection locked="0"/>
    </xf>
    <xf numFmtId="0" fontId="39" fillId="0" borderId="15" xfId="0" applyNumberFormat="1" applyFont="1" applyFill="1" applyBorder="1" applyAlignment="1" applyProtection="1">
      <alignment horizontal="center" vertical="center" wrapText="1"/>
      <protection locked="0"/>
    </xf>
    <xf numFmtId="0" fontId="7" fillId="2" borderId="41" xfId="0" applyFont="1" applyFill="1" applyBorder="1" applyAlignment="1" applyProtection="1">
      <alignment horizontal="center" vertical="center" wrapText="1"/>
    </xf>
    <xf numFmtId="0" fontId="7" fillId="2" borderId="12" xfId="0" applyFont="1" applyFill="1" applyBorder="1" applyAlignment="1" applyProtection="1">
      <alignment horizontal="center" vertical="center" wrapText="1"/>
    </xf>
    <xf numFmtId="49" fontId="7" fillId="2" borderId="20" xfId="0" applyNumberFormat="1" applyFont="1" applyFill="1" applyBorder="1" applyAlignment="1" applyProtection="1">
      <alignment horizontal="center" vertical="center" wrapText="1"/>
    </xf>
    <xf numFmtId="10" fontId="30" fillId="2" borderId="114" xfId="0" applyNumberFormat="1" applyFont="1" applyFill="1" applyBorder="1" applyAlignment="1" applyProtection="1">
      <alignment vertical="center" wrapText="1"/>
    </xf>
    <xf numFmtId="0" fontId="47" fillId="2" borderId="7" xfId="0" applyNumberFormat="1" applyFont="1" applyFill="1" applyBorder="1" applyAlignment="1" applyProtection="1">
      <alignment horizontal="center" vertical="center"/>
    </xf>
    <xf numFmtId="0" fontId="47" fillId="2" borderId="32" xfId="0" applyNumberFormat="1" applyFont="1" applyFill="1" applyBorder="1" applyProtection="1">
      <alignment vertical="center"/>
    </xf>
    <xf numFmtId="10" fontId="30" fillId="2" borderId="1" xfId="0" applyNumberFormat="1" applyFont="1" applyFill="1" applyBorder="1" applyAlignment="1" applyProtection="1">
      <alignment vertical="center" wrapText="1"/>
    </xf>
    <xf numFmtId="0" fontId="30" fillId="2" borderId="0" xfId="0" applyNumberFormat="1" applyFont="1" applyFill="1" applyAlignment="1" applyProtection="1">
      <alignment vertical="center" wrapText="1"/>
    </xf>
    <xf numFmtId="0" fontId="47" fillId="2" borderId="10" xfId="0" applyNumberFormat="1" applyFont="1" applyFill="1" applyBorder="1" applyAlignment="1" applyProtection="1">
      <alignment horizontal="center" vertical="center"/>
    </xf>
    <xf numFmtId="0" fontId="47" fillId="2" borderId="2" xfId="0" applyNumberFormat="1" applyFont="1" applyFill="1" applyBorder="1" applyProtection="1">
      <alignment vertical="center"/>
    </xf>
    <xf numFmtId="182" fontId="55" fillId="0" borderId="1" xfId="0" applyNumberFormat="1" applyFont="1" applyFill="1" applyBorder="1" applyAlignment="1" applyProtection="1">
      <alignment horizontal="center" vertical="center" wrapText="1"/>
      <protection locked="0"/>
    </xf>
    <xf numFmtId="0" fontId="55" fillId="2" borderId="111" xfId="0" applyFont="1" applyFill="1" applyBorder="1" applyAlignment="1" applyProtection="1">
      <alignment vertical="center" wrapText="1"/>
    </xf>
    <xf numFmtId="0" fontId="55" fillId="5" borderId="0" xfId="0" applyFont="1" applyFill="1" applyAlignment="1" applyProtection="1">
      <alignment vertical="center"/>
      <protection locked="0"/>
    </xf>
    <xf numFmtId="0" fontId="30" fillId="2" borderId="115" xfId="0" applyFont="1" applyFill="1" applyBorder="1" applyAlignment="1" applyProtection="1">
      <alignment vertical="center" wrapText="1"/>
    </xf>
    <xf numFmtId="0" fontId="30" fillId="5" borderId="0" xfId="0" applyFont="1" applyFill="1" applyAlignment="1" applyProtection="1">
      <alignment vertical="center"/>
      <protection locked="0"/>
    </xf>
    <xf numFmtId="0" fontId="30" fillId="2" borderId="29" xfId="0" applyFont="1" applyFill="1" applyBorder="1" applyAlignment="1" applyProtection="1">
      <alignment vertical="center" wrapText="1"/>
    </xf>
    <xf numFmtId="0" fontId="30" fillId="2" borderId="42" xfId="0" applyFont="1" applyFill="1" applyBorder="1" applyAlignment="1" applyProtection="1">
      <alignment vertical="center" wrapText="1"/>
    </xf>
    <xf numFmtId="0" fontId="30" fillId="2" borderId="69" xfId="0" applyFont="1" applyFill="1" applyBorder="1" applyAlignment="1" applyProtection="1">
      <alignment vertical="center" wrapText="1"/>
    </xf>
    <xf numFmtId="0" fontId="30" fillId="2" borderId="39" xfId="0" applyFont="1" applyFill="1" applyBorder="1" applyAlignment="1" applyProtection="1">
      <alignment vertical="center" wrapText="1"/>
    </xf>
    <xf numFmtId="0" fontId="47" fillId="2" borderId="12" xfId="0" applyNumberFormat="1" applyFont="1" applyFill="1" applyBorder="1" applyAlignment="1" applyProtection="1">
      <alignment horizontal="center" vertical="center"/>
    </xf>
    <xf numFmtId="0" fontId="47" fillId="2" borderId="33" xfId="0" applyNumberFormat="1" applyFont="1" applyFill="1" applyBorder="1" applyProtection="1">
      <alignment vertical="center"/>
    </xf>
    <xf numFmtId="0" fontId="30" fillId="0" borderId="11" xfId="0" applyFont="1" applyFill="1" applyBorder="1" applyAlignment="1" applyProtection="1">
      <alignment horizontal="center" vertical="center" wrapText="1"/>
      <protection locked="0"/>
    </xf>
    <xf numFmtId="0" fontId="43" fillId="2" borderId="98" xfId="0" applyFont="1" applyFill="1" applyBorder="1" applyAlignment="1" applyProtection="1">
      <alignment vertical="center"/>
    </xf>
    <xf numFmtId="0" fontId="43" fillId="2" borderId="116" xfId="0" applyFont="1" applyFill="1" applyBorder="1" applyAlignment="1" applyProtection="1">
      <alignment vertical="center"/>
    </xf>
    <xf numFmtId="0" fontId="30" fillId="0" borderId="14" xfId="0" applyFont="1" applyFill="1" applyBorder="1" applyAlignment="1" applyProtection="1">
      <alignment horizontal="center" vertical="center" wrapText="1"/>
      <protection locked="0"/>
    </xf>
    <xf numFmtId="0" fontId="30" fillId="2" borderId="58" xfId="0" applyFont="1" applyFill="1" applyBorder="1" applyAlignment="1" applyProtection="1">
      <alignment horizontal="center" vertical="center" wrapText="1"/>
    </xf>
    <xf numFmtId="0" fontId="30" fillId="2" borderId="28" xfId="0" applyFont="1" applyFill="1" applyBorder="1" applyAlignment="1" applyProtection="1">
      <alignment horizontal="center" vertical="center" wrapText="1"/>
    </xf>
    <xf numFmtId="0" fontId="30" fillId="3" borderId="9" xfId="0" applyFont="1" applyFill="1" applyBorder="1" applyAlignment="1" applyProtection="1">
      <alignment horizontal="center" vertical="center" wrapText="1"/>
      <protection locked="0"/>
    </xf>
    <xf numFmtId="0" fontId="30" fillId="2" borderId="10" xfId="0" applyFont="1" applyFill="1" applyBorder="1" applyAlignment="1" applyProtection="1">
      <alignment horizontal="center" vertical="center" wrapText="1"/>
    </xf>
    <xf numFmtId="9" fontId="30" fillId="2" borderId="11" xfId="0" applyNumberFormat="1" applyFont="1" applyFill="1" applyBorder="1" applyAlignment="1" applyProtection="1">
      <alignment horizontal="center" vertical="center" wrapText="1"/>
    </xf>
    <xf numFmtId="0" fontId="30" fillId="2" borderId="43" xfId="0" applyFont="1" applyFill="1" applyBorder="1" applyAlignment="1" applyProtection="1">
      <alignment horizontal="center" vertical="center" wrapText="1"/>
    </xf>
    <xf numFmtId="9" fontId="30" fillId="2" borderId="12" xfId="0" applyNumberFormat="1" applyFont="1" applyFill="1" applyBorder="1" applyAlignment="1" applyProtection="1">
      <alignment horizontal="center" vertical="center" wrapText="1"/>
    </xf>
    <xf numFmtId="10" fontId="30" fillId="2" borderId="13" xfId="0" applyNumberFormat="1" applyFont="1" applyFill="1" applyBorder="1" applyAlignment="1" applyProtection="1">
      <alignment horizontal="center" vertical="center" wrapText="1"/>
    </xf>
    <xf numFmtId="10" fontId="30" fillId="2" borderId="14" xfId="0" applyNumberFormat="1" applyFont="1" applyFill="1" applyBorder="1" applyAlignment="1" applyProtection="1">
      <alignment horizontal="center" vertical="center" wrapText="1"/>
    </xf>
    <xf numFmtId="0" fontId="55" fillId="2" borderId="115" xfId="0" applyFont="1" applyFill="1" applyBorder="1" applyAlignment="1" applyProtection="1">
      <alignment vertical="center" wrapText="1"/>
    </xf>
    <xf numFmtId="0" fontId="55" fillId="5" borderId="0" xfId="0" applyFont="1" applyFill="1" applyAlignment="1" applyProtection="1">
      <alignment vertical="center" wrapText="1"/>
      <protection locked="0"/>
    </xf>
    <xf numFmtId="14" fontId="30" fillId="5" borderId="0" xfId="0" applyNumberFormat="1" applyFont="1" applyFill="1" applyAlignment="1" applyProtection="1">
      <alignment horizontal="center" vertical="center" wrapText="1"/>
      <protection locked="0"/>
    </xf>
    <xf numFmtId="10" fontId="55" fillId="2" borderId="25" xfId="0" applyNumberFormat="1" applyFont="1" applyFill="1" applyBorder="1" applyAlignment="1" applyProtection="1">
      <alignment horizontal="center" vertical="center" wrapText="1"/>
    </xf>
    <xf numFmtId="0" fontId="55" fillId="2" borderId="7" xfId="0" applyFont="1" applyFill="1" applyBorder="1" applyAlignment="1" applyProtection="1">
      <alignment vertical="center" wrapText="1"/>
    </xf>
    <xf numFmtId="0" fontId="27" fillId="2" borderId="9" xfId="0" applyFont="1" applyFill="1" applyBorder="1" applyAlignment="1" applyProtection="1">
      <alignment horizontal="center" vertical="center" wrapText="1"/>
    </xf>
    <xf numFmtId="0" fontId="30" fillId="2" borderId="25" xfId="0" applyFont="1" applyFill="1" applyBorder="1" applyAlignment="1" applyProtection="1">
      <alignment horizontal="center" vertical="center" wrapText="1"/>
    </xf>
    <xf numFmtId="0" fontId="7" fillId="2" borderId="26" xfId="0" applyFont="1" applyFill="1" applyBorder="1" applyAlignment="1" applyProtection="1">
      <alignment horizontal="center" vertical="center" wrapText="1"/>
    </xf>
    <xf numFmtId="0" fontId="30" fillId="5" borderId="0" xfId="0" applyNumberFormat="1" applyFont="1" applyFill="1" applyAlignment="1" applyProtection="1">
      <alignment horizontal="center" vertical="center" wrapText="1"/>
      <protection locked="0"/>
    </xf>
    <xf numFmtId="0" fontId="30" fillId="2" borderId="17" xfId="0" applyFont="1" applyFill="1" applyBorder="1" applyAlignment="1" applyProtection="1">
      <alignment horizontal="center" vertical="center" wrapText="1"/>
    </xf>
    <xf numFmtId="0" fontId="30" fillId="2" borderId="36" xfId="0" applyFont="1" applyFill="1" applyBorder="1" applyAlignment="1" applyProtection="1">
      <alignment horizontal="center" vertical="center" wrapText="1"/>
    </xf>
    <xf numFmtId="0" fontId="55" fillId="2" borderId="12" xfId="0" applyFont="1" applyFill="1" applyBorder="1" applyAlignment="1" applyProtection="1">
      <alignment vertical="center" wrapText="1"/>
    </xf>
    <xf numFmtId="0" fontId="27" fillId="2" borderId="14" xfId="0" applyFont="1" applyFill="1" applyBorder="1" applyAlignment="1" applyProtection="1">
      <alignment horizontal="center" vertical="center" wrapText="1"/>
    </xf>
    <xf numFmtId="0" fontId="55" fillId="2" borderId="31" xfId="9" applyFont="1" applyFill="1" applyBorder="1" applyAlignment="1" applyProtection="1">
      <alignment horizontal="center" vertical="center" wrapText="1"/>
      <protection locked="0"/>
    </xf>
    <xf numFmtId="0" fontId="55" fillId="2" borderId="8" xfId="9" applyFont="1" applyFill="1" applyBorder="1" applyAlignment="1" applyProtection="1">
      <alignment vertical="center" wrapText="1"/>
      <protection locked="0"/>
    </xf>
    <xf numFmtId="0" fontId="55" fillId="2" borderId="29" xfId="9" applyFont="1" applyFill="1" applyBorder="1" applyAlignment="1" applyProtection="1">
      <alignment vertical="center"/>
      <protection locked="0"/>
    </xf>
    <xf numFmtId="0" fontId="55" fillId="2" borderId="9" xfId="0" applyFont="1" applyFill="1" applyBorder="1" applyAlignment="1" applyProtection="1">
      <alignment vertical="center" wrapText="1"/>
    </xf>
    <xf numFmtId="0" fontId="55" fillId="2" borderId="10" xfId="9" applyFont="1" applyFill="1" applyBorder="1" applyAlignment="1" applyProtection="1">
      <alignment horizontal="center" vertical="center" wrapText="1"/>
    </xf>
    <xf numFmtId="10" fontId="55" fillId="0" borderId="4" xfId="9" applyNumberFormat="1" applyFont="1" applyFill="1" applyBorder="1" applyAlignment="1" applyProtection="1">
      <alignment horizontal="center" vertical="center" wrapText="1"/>
      <protection locked="0"/>
    </xf>
    <xf numFmtId="10" fontId="30" fillId="2" borderId="11" xfId="9" applyNumberFormat="1" applyFont="1" applyFill="1" applyBorder="1" applyAlignment="1" applyProtection="1">
      <alignment horizontal="center" vertical="center" wrapText="1"/>
    </xf>
    <xf numFmtId="0" fontId="55" fillId="2" borderId="11" xfId="0" applyFont="1" applyFill="1" applyBorder="1" applyAlignment="1" applyProtection="1">
      <alignment horizontal="center" vertical="center" wrapText="1"/>
    </xf>
    <xf numFmtId="0" fontId="55" fillId="2" borderId="15" xfId="0" applyFont="1" applyFill="1" applyBorder="1" applyAlignment="1" applyProtection="1">
      <alignment vertical="center" wrapText="1"/>
    </xf>
    <xf numFmtId="0" fontId="55" fillId="2" borderId="40" xfId="0" applyFont="1" applyFill="1" applyBorder="1" applyAlignment="1" applyProtection="1">
      <alignment vertical="center" wrapText="1"/>
    </xf>
    <xf numFmtId="0" fontId="55" fillId="2" borderId="26" xfId="0" applyFont="1" applyFill="1" applyBorder="1" applyAlignment="1" applyProtection="1">
      <alignment vertical="center" wrapText="1"/>
    </xf>
    <xf numFmtId="0" fontId="55" fillId="2" borderId="12" xfId="9" applyFont="1" applyFill="1" applyBorder="1" applyAlignment="1" applyProtection="1">
      <alignment horizontal="center" vertical="center" wrapText="1"/>
    </xf>
    <xf numFmtId="10" fontId="55" fillId="0" borderId="62" xfId="9" applyNumberFormat="1" applyFont="1" applyFill="1" applyBorder="1" applyAlignment="1" applyProtection="1">
      <alignment horizontal="center" vertical="center" wrapText="1"/>
      <protection locked="0"/>
    </xf>
    <xf numFmtId="10" fontId="30" fillId="2" borderId="14" xfId="9" applyNumberFormat="1" applyFont="1" applyFill="1" applyBorder="1" applyAlignment="1" applyProtection="1">
      <alignment horizontal="center" vertical="center" wrapText="1"/>
    </xf>
    <xf numFmtId="0" fontId="55" fillId="2" borderId="19" xfId="9" applyFont="1" applyFill="1" applyBorder="1" applyAlignment="1" applyProtection="1">
      <alignment horizontal="center" vertical="center" wrapText="1"/>
      <protection locked="0"/>
    </xf>
    <xf numFmtId="0" fontId="55" fillId="2" borderId="21" xfId="9" applyFont="1" applyFill="1" applyBorder="1" applyAlignment="1" applyProtection="1">
      <alignment vertical="center" wrapText="1"/>
      <protection locked="0"/>
    </xf>
    <xf numFmtId="0" fontId="30" fillId="2" borderId="23" xfId="0" applyFont="1" applyFill="1" applyBorder="1" applyAlignment="1" applyProtection="1">
      <alignment vertical="center" wrapText="1"/>
    </xf>
    <xf numFmtId="0" fontId="30" fillId="2" borderId="22" xfId="0" applyFont="1" applyFill="1" applyBorder="1" applyAlignment="1" applyProtection="1">
      <alignment vertical="center" wrapText="1"/>
    </xf>
    <xf numFmtId="0" fontId="7" fillId="2" borderId="42" xfId="0" applyFont="1" applyFill="1" applyBorder="1" applyAlignment="1" applyProtection="1">
      <alignment vertical="center"/>
    </xf>
    <xf numFmtId="0" fontId="30" fillId="2" borderId="46" xfId="0" applyFont="1" applyFill="1" applyBorder="1" applyAlignment="1" applyProtection="1">
      <alignment vertical="center" wrapText="1"/>
    </xf>
    <xf numFmtId="0" fontId="30" fillId="2" borderId="112" xfId="0" applyFont="1" applyFill="1" applyBorder="1" applyAlignment="1" applyProtection="1">
      <alignment vertical="center"/>
    </xf>
    <xf numFmtId="0" fontId="30" fillId="2" borderId="23" xfId="0" applyFont="1" applyFill="1" applyBorder="1" applyAlignment="1" applyProtection="1">
      <alignment horizontal="center" vertical="center" wrapText="1"/>
    </xf>
    <xf numFmtId="0" fontId="30" fillId="2" borderId="49" xfId="0" applyFont="1" applyFill="1" applyBorder="1" applyAlignment="1" applyProtection="1">
      <alignment vertical="center"/>
      <protection locked="0"/>
    </xf>
    <xf numFmtId="0" fontId="30" fillId="2" borderId="29" xfId="0" applyFont="1" applyFill="1" applyBorder="1" applyAlignment="1" applyProtection="1">
      <alignment vertical="center" wrapText="1"/>
      <protection locked="0"/>
    </xf>
    <xf numFmtId="0" fontId="30" fillId="2" borderId="10" xfId="0" applyFont="1" applyFill="1" applyBorder="1" applyAlignment="1" applyProtection="1">
      <alignment vertical="center"/>
    </xf>
    <xf numFmtId="9" fontId="30" fillId="2" borderId="11" xfId="0" applyNumberFormat="1" applyFont="1" applyFill="1" applyBorder="1" applyAlignment="1" applyProtection="1">
      <alignment horizontal="center" vertical="center"/>
    </xf>
    <xf numFmtId="0" fontId="30" fillId="2" borderId="22" xfId="0" applyFont="1" applyFill="1" applyBorder="1" applyAlignment="1" applyProtection="1">
      <alignment horizontal="center" vertical="center" wrapText="1"/>
    </xf>
    <xf numFmtId="0" fontId="30" fillId="2" borderId="12" xfId="0" applyFont="1" applyFill="1" applyBorder="1" applyAlignment="1" applyProtection="1">
      <alignment vertical="center" wrapText="1"/>
    </xf>
    <xf numFmtId="9" fontId="30" fillId="2" borderId="14" xfId="0" applyNumberFormat="1" applyFont="1" applyFill="1" applyBorder="1" applyAlignment="1" applyProtection="1">
      <alignment horizontal="center" vertical="center" wrapText="1"/>
    </xf>
    <xf numFmtId="0" fontId="61" fillId="2" borderId="1" xfId="0" applyNumberFormat="1" applyFont="1" applyFill="1" applyBorder="1" applyAlignment="1" applyProtection="1">
      <alignment horizontal="center" vertical="center" wrapText="1"/>
    </xf>
    <xf numFmtId="9" fontId="7" fillId="2" borderId="1" xfId="0" applyNumberFormat="1" applyFont="1" applyFill="1" applyBorder="1" applyAlignment="1" applyProtection="1">
      <alignment horizontal="center" vertical="center" wrapText="1"/>
    </xf>
    <xf numFmtId="10" fontId="55" fillId="2" borderId="1" xfId="0" applyNumberFormat="1" applyFont="1" applyFill="1" applyBorder="1" applyAlignment="1" applyProtection="1">
      <alignment horizontal="center" vertical="center" wrapText="1"/>
    </xf>
    <xf numFmtId="9" fontId="7" fillId="2" borderId="13" xfId="0" applyNumberFormat="1" applyFont="1" applyFill="1" applyBorder="1" applyAlignment="1" applyProtection="1">
      <alignment horizontal="center" vertical="center" wrapText="1"/>
    </xf>
    <xf numFmtId="0" fontId="27" fillId="2" borderId="1" xfId="9" applyFont="1" applyFill="1" applyBorder="1" applyAlignment="1" applyProtection="1">
      <alignment horizontal="center" vertical="center" wrapText="1"/>
    </xf>
    <xf numFmtId="0" fontId="30" fillId="2" borderId="0" xfId="9" applyFont="1" applyFill="1" applyAlignment="1" applyProtection="1">
      <alignment vertical="center" wrapText="1"/>
      <protection locked="0"/>
    </xf>
    <xf numFmtId="0" fontId="27" fillId="0" borderId="1" xfId="9" applyFont="1" applyFill="1" applyBorder="1" applyAlignment="1" applyProtection="1">
      <alignment horizontal="center" vertical="center" wrapText="1"/>
      <protection locked="0"/>
    </xf>
    <xf numFmtId="0" fontId="30" fillId="2" borderId="4" xfId="9" applyFont="1" applyFill="1" applyBorder="1" applyAlignment="1" applyProtection="1">
      <alignment horizontal="center" vertical="center" wrapText="1"/>
      <protection locked="0"/>
    </xf>
    <xf numFmtId="0" fontId="30" fillId="2" borderId="1" xfId="9" applyFont="1" applyFill="1" applyBorder="1" applyAlignment="1" applyProtection="1">
      <alignment horizontal="center" vertical="center" wrapText="1"/>
      <protection locked="0"/>
    </xf>
    <xf numFmtId="190" fontId="7" fillId="2" borderId="1" xfId="9" applyNumberFormat="1" applyFont="1" applyFill="1" applyBorder="1" applyAlignment="1" applyProtection="1">
      <alignment horizontal="center" vertical="center"/>
    </xf>
    <xf numFmtId="0" fontId="30" fillId="2" borderId="1" xfId="9" applyFont="1" applyFill="1" applyBorder="1" applyAlignment="1" applyProtection="1">
      <alignment horizontal="center" vertical="center" wrapText="1"/>
    </xf>
    <xf numFmtId="0" fontId="7" fillId="2" borderId="1" xfId="9" applyFont="1" applyFill="1" applyBorder="1" applyAlignment="1" applyProtection="1">
      <alignment vertical="center" wrapText="1"/>
    </xf>
    <xf numFmtId="10" fontId="30" fillId="5" borderId="0" xfId="0" applyNumberFormat="1" applyFont="1" applyFill="1" applyAlignment="1" applyProtection="1">
      <alignment horizontal="center" vertical="center" wrapText="1"/>
      <protection locked="0"/>
    </xf>
    <xf numFmtId="0" fontId="30" fillId="2" borderId="0" xfId="9" applyFont="1" applyFill="1" applyAlignment="1" applyProtection="1">
      <alignment horizontal="center" vertical="center" wrapText="1"/>
      <protection locked="0"/>
    </xf>
    <xf numFmtId="0" fontId="30" fillId="5" borderId="0" xfId="9" applyFont="1" applyFill="1" applyAlignment="1" applyProtection="1">
      <alignment horizontal="center" vertical="center" wrapText="1"/>
    </xf>
    <xf numFmtId="0" fontId="55" fillId="2" borderId="0" xfId="9" applyFont="1" applyFill="1" applyAlignment="1" applyProtection="1">
      <alignment horizontal="center" vertical="center" wrapText="1"/>
      <protection locked="0"/>
    </xf>
    <xf numFmtId="0" fontId="55" fillId="5" borderId="0" xfId="9" applyFont="1" applyFill="1" applyAlignment="1" applyProtection="1">
      <alignment horizontal="center" vertical="center" wrapText="1"/>
    </xf>
    <xf numFmtId="185" fontId="30" fillId="2" borderId="1" xfId="9" applyNumberFormat="1" applyFont="1" applyFill="1" applyBorder="1" applyAlignment="1" applyProtection="1">
      <alignment horizontal="center" vertical="center" wrapText="1"/>
      <protection locked="0"/>
    </xf>
    <xf numFmtId="0" fontId="7" fillId="2" borderId="1" xfId="9" applyFont="1" applyFill="1" applyBorder="1" applyAlignment="1" applyProtection="1">
      <alignment horizontal="center" vertical="center"/>
    </xf>
    <xf numFmtId="182" fontId="43" fillId="0" borderId="1" xfId="9" applyNumberFormat="1" applyFont="1" applyFill="1" applyBorder="1" applyAlignment="1" applyProtection="1">
      <alignment horizontal="center" vertical="center"/>
      <protection locked="0"/>
    </xf>
    <xf numFmtId="182" fontId="43" fillId="2" borderId="1" xfId="9" applyNumberFormat="1" applyFont="1" applyFill="1" applyBorder="1" applyAlignment="1" applyProtection="1">
      <alignment horizontal="center" vertical="center"/>
    </xf>
    <xf numFmtId="184" fontId="43" fillId="2" borderId="1" xfId="9" applyNumberFormat="1" applyFont="1" applyFill="1" applyBorder="1" applyAlignment="1" applyProtection="1">
      <alignment horizontal="center" vertical="center" wrapText="1"/>
    </xf>
    <xf numFmtId="0" fontId="30" fillId="2" borderId="1" xfId="9" applyNumberFormat="1" applyFont="1" applyFill="1" applyBorder="1" applyAlignment="1" applyProtection="1">
      <alignment horizontal="center" vertical="center" wrapText="1"/>
    </xf>
    <xf numFmtId="0" fontId="55" fillId="5" borderId="0" xfId="0" applyFont="1" applyFill="1" applyAlignment="1" applyProtection="1">
      <alignment vertical="center" wrapText="1"/>
    </xf>
    <xf numFmtId="10" fontId="30" fillId="5" borderId="0" xfId="0" applyNumberFormat="1" applyFont="1" applyFill="1" applyAlignment="1" applyProtection="1">
      <alignment horizontal="center" vertical="center" wrapText="1"/>
    </xf>
    <xf numFmtId="0" fontId="30" fillId="0" borderId="0" xfId="9" applyFont="1" applyAlignment="1" applyProtection="1">
      <alignment horizontal="center" vertical="center" wrapText="1"/>
    </xf>
    <xf numFmtId="0" fontId="55" fillId="0" borderId="0" xfId="9" applyFont="1" applyAlignment="1" applyProtection="1">
      <alignment horizontal="center" vertical="center" wrapText="1"/>
    </xf>
    <xf numFmtId="10" fontId="30" fillId="0" borderId="0" xfId="0" applyNumberFormat="1" applyFont="1" applyAlignment="1" applyProtection="1">
      <alignment horizontal="center" vertical="center" wrapText="1"/>
    </xf>
    <xf numFmtId="0" fontId="55" fillId="0" borderId="0" xfId="0" applyFont="1" applyAlignment="1" applyProtection="1">
      <alignment horizontal="center" vertical="center" wrapText="1"/>
    </xf>
    <xf numFmtId="49" fontId="7" fillId="2" borderId="13" xfId="0" applyNumberFormat="1" applyFont="1" applyFill="1" applyBorder="1" applyAlignment="1" applyProtection="1">
      <alignment horizontal="center" vertical="center" wrapText="1"/>
    </xf>
    <xf numFmtId="10" fontId="30" fillId="2" borderId="43" xfId="0" applyNumberFormat="1" applyFont="1" applyFill="1" applyBorder="1" applyAlignment="1" applyProtection="1">
      <alignment horizontal="center" vertical="center" wrapText="1"/>
    </xf>
    <xf numFmtId="0" fontId="39" fillId="0" borderId="13" xfId="0" applyNumberFormat="1" applyFont="1" applyFill="1" applyBorder="1" applyAlignment="1" applyProtection="1">
      <alignment horizontal="center" vertical="center" wrapText="1"/>
      <protection locked="0"/>
    </xf>
    <xf numFmtId="10" fontId="30" fillId="2" borderId="114" xfId="0" applyNumberFormat="1" applyFont="1" applyFill="1" applyBorder="1" applyAlignment="1" applyProtection="1">
      <alignment horizontal="center" vertical="center" wrapText="1"/>
    </xf>
    <xf numFmtId="0" fontId="7" fillId="2" borderId="13" xfId="0" applyNumberFormat="1" applyFont="1" applyFill="1" applyBorder="1" applyAlignment="1" applyProtection="1">
      <alignment horizontal="center" vertical="center" wrapText="1"/>
    </xf>
    <xf numFmtId="0" fontId="41" fillId="2" borderId="0" xfId="0" applyFont="1" applyFill="1" applyAlignment="1" applyProtection="1">
      <alignment horizontal="center" vertical="center"/>
    </xf>
    <xf numFmtId="190" fontId="7" fillId="2" borderId="1" xfId="0" applyNumberFormat="1" applyFont="1" applyFill="1" applyBorder="1" applyAlignment="1" applyProtection="1">
      <alignment horizontal="center" vertical="center"/>
    </xf>
    <xf numFmtId="184" fontId="7" fillId="2" borderId="1" xfId="0" applyNumberFormat="1" applyFont="1" applyFill="1" applyBorder="1" applyAlignment="1" applyProtection="1">
      <alignment horizontal="center" vertical="center"/>
    </xf>
    <xf numFmtId="182" fontId="43" fillId="2" borderId="1" xfId="0" applyNumberFormat="1" applyFont="1" applyFill="1" applyBorder="1" applyAlignment="1" applyProtection="1">
      <alignment horizontal="center" vertical="center"/>
    </xf>
    <xf numFmtId="184" fontId="43" fillId="2" borderId="1" xfId="0" applyNumberFormat="1" applyFont="1" applyFill="1" applyBorder="1" applyAlignment="1" applyProtection="1">
      <alignment horizontal="center" vertical="center" wrapText="1"/>
    </xf>
    <xf numFmtId="190" fontId="7" fillId="2" borderId="16" xfId="0" applyNumberFormat="1" applyFont="1" applyFill="1" applyBorder="1" applyAlignment="1" applyProtection="1">
      <alignment horizontal="center" vertical="center" wrapText="1"/>
    </xf>
    <xf numFmtId="185" fontId="43" fillId="2" borderId="1" xfId="0" applyNumberFormat="1" applyFont="1" applyFill="1" applyBorder="1" applyAlignment="1" applyProtection="1">
      <alignment horizontal="center" vertical="center"/>
    </xf>
    <xf numFmtId="0" fontId="7" fillId="2" borderId="15" xfId="0" applyFont="1" applyFill="1" applyBorder="1" applyAlignment="1" applyProtection="1">
      <alignment horizontal="center" vertical="center" wrapText="1"/>
    </xf>
    <xf numFmtId="0" fontId="7" fillId="0" borderId="0" xfId="0" applyFont="1" applyAlignment="1" applyProtection="1">
      <alignment horizontal="left" vertical="center"/>
    </xf>
    <xf numFmtId="0" fontId="30" fillId="2" borderId="64" xfId="0" applyNumberFormat="1" applyFont="1" applyFill="1" applyBorder="1" applyAlignment="1" applyProtection="1">
      <alignment horizontal="center" vertical="center" wrapText="1"/>
    </xf>
    <xf numFmtId="185" fontId="43" fillId="2" borderId="64" xfId="0" applyNumberFormat="1" applyFont="1" applyFill="1" applyBorder="1" applyAlignment="1" applyProtection="1">
      <alignment horizontal="center" vertical="center" wrapText="1"/>
    </xf>
    <xf numFmtId="0" fontId="30" fillId="2" borderId="35" xfId="0" applyNumberFormat="1" applyFont="1" applyFill="1" applyBorder="1" applyAlignment="1" applyProtection="1">
      <alignment horizontal="center" vertical="center" wrapText="1"/>
    </xf>
    <xf numFmtId="0" fontId="43" fillId="2" borderId="31" xfId="0" applyNumberFormat="1" applyFont="1" applyFill="1" applyBorder="1" applyAlignment="1" applyProtection="1">
      <alignment horizontal="center" vertical="center" wrapText="1"/>
    </xf>
    <xf numFmtId="0" fontId="62" fillId="2" borderId="1" xfId="8" applyNumberFormat="1" applyFont="1" applyFill="1" applyBorder="1" applyAlignment="1" applyProtection="1">
      <alignment horizontal="center" vertical="center"/>
    </xf>
    <xf numFmtId="0" fontId="30" fillId="2" borderId="49" xfId="0" applyNumberFormat="1" applyFont="1" applyFill="1" applyBorder="1" applyAlignment="1" applyProtection="1">
      <alignment vertical="center" wrapText="1"/>
    </xf>
    <xf numFmtId="0" fontId="30" fillId="2" borderId="8" xfId="8" applyNumberFormat="1" applyFont="1" applyFill="1" applyBorder="1" applyAlignment="1" applyProtection="1">
      <alignment horizontal="center" vertical="center"/>
    </xf>
    <xf numFmtId="0" fontId="30" fillId="2" borderId="16" xfId="8" applyNumberFormat="1" applyFont="1" applyFill="1" applyBorder="1" applyAlignment="1" applyProtection="1">
      <alignment horizontal="center" vertical="center"/>
    </xf>
    <xf numFmtId="0" fontId="30" fillId="2" borderId="16" xfId="8" applyNumberFormat="1" applyFont="1" applyFill="1" applyBorder="1" applyAlignment="1" applyProtection="1">
      <alignment horizontal="center" vertical="center" wrapText="1"/>
    </xf>
    <xf numFmtId="0" fontId="30" fillId="2" borderId="10" xfId="0" applyNumberFormat="1" applyFont="1" applyFill="1" applyBorder="1" applyAlignment="1" applyProtection="1">
      <alignment horizontal="center" vertical="center" wrapText="1"/>
    </xf>
    <xf numFmtId="0" fontId="43" fillId="2" borderId="1" xfId="0" applyNumberFormat="1" applyFont="1" applyFill="1" applyBorder="1" applyAlignment="1" applyProtection="1">
      <alignment horizontal="center" vertical="center" wrapText="1"/>
    </xf>
    <xf numFmtId="0" fontId="30" fillId="2" borderId="12" xfId="0" applyNumberFormat="1" applyFont="1" applyFill="1" applyBorder="1" applyAlignment="1" applyProtection="1">
      <alignment horizontal="center" vertical="center" wrapText="1"/>
    </xf>
    <xf numFmtId="0" fontId="43" fillId="2" borderId="13" xfId="0" applyNumberFormat="1" applyFont="1" applyFill="1" applyBorder="1" applyAlignment="1" applyProtection="1">
      <alignment horizontal="center" vertical="center" wrapText="1"/>
    </xf>
    <xf numFmtId="0" fontId="7" fillId="2" borderId="4" xfId="0" applyFont="1" applyFill="1" applyBorder="1" applyAlignment="1" applyProtection="1">
      <alignment vertical="center"/>
    </xf>
    <xf numFmtId="0" fontId="7" fillId="2" borderId="0" xfId="0" applyFont="1" applyFill="1" applyBorder="1" applyAlignment="1" applyProtection="1">
      <alignment horizontal="center" vertical="center"/>
    </xf>
    <xf numFmtId="0" fontId="47" fillId="0" borderId="0" xfId="0" applyNumberFormat="1" applyFont="1" applyProtection="1">
      <alignment vertical="center"/>
    </xf>
    <xf numFmtId="0" fontId="30" fillId="2" borderId="35" xfId="8" applyNumberFormat="1" applyFont="1" applyFill="1" applyBorder="1" applyAlignment="1" applyProtection="1">
      <alignment horizontal="center" vertical="center"/>
    </xf>
    <xf numFmtId="0" fontId="30" fillId="2" borderId="36" xfId="8" applyNumberFormat="1" applyFont="1" applyFill="1" applyBorder="1" applyAlignment="1" applyProtection="1">
      <alignment horizontal="center" vertical="center"/>
    </xf>
    <xf numFmtId="0" fontId="43" fillId="2" borderId="11" xfId="0" applyNumberFormat="1" applyFont="1" applyFill="1" applyBorder="1" applyAlignment="1" applyProtection="1">
      <alignment horizontal="center" vertical="center" wrapText="1"/>
    </xf>
    <xf numFmtId="0" fontId="43" fillId="2" borderId="14" xfId="0" applyNumberFormat="1" applyFont="1" applyFill="1" applyBorder="1" applyAlignment="1" applyProtection="1">
      <alignment horizontal="center" vertical="center" wrapText="1"/>
    </xf>
    <xf numFmtId="0" fontId="30" fillId="0" borderId="0" xfId="0" applyFont="1" applyAlignment="1" applyProtection="1">
      <alignment horizontal="center" vertical="center" wrapText="1"/>
      <protection locked="0"/>
    </xf>
    <xf numFmtId="0" fontId="63" fillId="0" borderId="0" xfId="0" applyFont="1" applyFill="1" applyAlignment="1" applyProtection="1">
      <alignment horizontal="center" vertical="center"/>
      <protection locked="0"/>
    </xf>
    <xf numFmtId="0" fontId="61"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49" fontId="61" fillId="0" borderId="0" xfId="0" applyNumberFormat="1"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187" fontId="55" fillId="0" borderId="0" xfId="0" applyNumberFormat="1" applyFont="1" applyFill="1" applyAlignment="1" applyProtection="1">
      <alignment horizontal="center" vertical="center"/>
      <protection locked="0"/>
    </xf>
    <xf numFmtId="188" fontId="55" fillId="0" borderId="0" xfId="0" applyNumberFormat="1" applyFont="1" applyFill="1" applyAlignment="1" applyProtection="1">
      <alignment horizontal="center" vertical="center"/>
      <protection locked="0"/>
    </xf>
    <xf numFmtId="0" fontId="31" fillId="2" borderId="48" xfId="0" applyFont="1" applyFill="1" applyBorder="1" applyAlignment="1" applyProtection="1">
      <alignment vertical="center"/>
    </xf>
    <xf numFmtId="0" fontId="68" fillId="2" borderId="97" xfId="0" applyFont="1" applyFill="1" applyBorder="1" applyAlignment="1" applyProtection="1">
      <alignment horizontal="right" vertical="center"/>
    </xf>
    <xf numFmtId="0" fontId="68" fillId="2" borderId="0" xfId="0" applyFont="1" applyFill="1" applyAlignment="1" applyProtection="1">
      <alignment horizontal="center" vertical="center"/>
    </xf>
    <xf numFmtId="0" fontId="68" fillId="2" borderId="97" xfId="0" applyFont="1" applyFill="1" applyBorder="1" applyAlignment="1" applyProtection="1">
      <alignment vertical="center"/>
    </xf>
    <xf numFmtId="0" fontId="69" fillId="2" borderId="97" xfId="0" applyFont="1" applyFill="1" applyBorder="1" applyAlignment="1" applyProtection="1">
      <alignment vertical="center"/>
    </xf>
    <xf numFmtId="182" fontId="28" fillId="2" borderId="1" xfId="0" applyNumberFormat="1" applyFont="1" applyFill="1" applyBorder="1" applyAlignment="1" applyProtection="1">
      <alignment horizontal="right" vertical="center"/>
    </xf>
    <xf numFmtId="0" fontId="68" fillId="2" borderId="0" xfId="0" applyFont="1" applyFill="1" applyBorder="1" applyAlignment="1" applyProtection="1">
      <alignment vertical="center"/>
      <protection locked="0"/>
    </xf>
    <xf numFmtId="0" fontId="69" fillId="2" borderId="0" xfId="0" applyFont="1" applyFill="1" applyBorder="1" applyAlignment="1" applyProtection="1">
      <alignment vertical="center"/>
      <protection locked="0"/>
    </xf>
    <xf numFmtId="190" fontId="28" fillId="2" borderId="15" xfId="0" applyNumberFormat="1" applyFont="1" applyFill="1" applyBorder="1" applyAlignment="1" applyProtection="1">
      <alignment horizontal="right" vertical="center"/>
    </xf>
    <xf numFmtId="0" fontId="68" fillId="0" borderId="13" xfId="0" applyFont="1" applyFill="1" applyBorder="1" applyAlignment="1" applyProtection="1">
      <alignment vertical="center"/>
      <protection locked="0"/>
    </xf>
    <xf numFmtId="0" fontId="56" fillId="2" borderId="49" xfId="0" applyFont="1" applyFill="1" applyBorder="1" applyAlignment="1" applyProtection="1">
      <alignment vertical="center" wrapText="1"/>
    </xf>
    <xf numFmtId="0" fontId="56" fillId="2" borderId="31" xfId="0" applyFont="1" applyFill="1" applyBorder="1" applyAlignment="1" applyProtection="1">
      <alignment vertical="center" wrapText="1"/>
    </xf>
    <xf numFmtId="0" fontId="56" fillId="2" borderId="30" xfId="0" applyFont="1" applyFill="1" applyBorder="1" applyAlignment="1" applyProtection="1">
      <alignment vertical="center" wrapText="1"/>
    </xf>
    <xf numFmtId="0" fontId="56" fillId="2" borderId="0" xfId="0" applyFont="1" applyFill="1" applyBorder="1" applyAlignment="1" applyProtection="1">
      <alignment vertical="center" wrapText="1"/>
    </xf>
    <xf numFmtId="0" fontId="56" fillId="2" borderId="61" xfId="0" applyFont="1" applyFill="1" applyBorder="1" applyAlignment="1" applyProtection="1">
      <alignment vertical="center" wrapText="1"/>
    </xf>
    <xf numFmtId="0" fontId="56" fillId="2" borderId="21" xfId="0" applyFont="1" applyFill="1" applyBorder="1" applyAlignment="1" applyProtection="1">
      <alignment vertical="center" wrapText="1"/>
    </xf>
    <xf numFmtId="0" fontId="71" fillId="2" borderId="117" xfId="0" applyFont="1" applyFill="1" applyBorder="1" applyAlignment="1" applyProtection="1">
      <alignment vertical="center" wrapText="1"/>
    </xf>
    <xf numFmtId="0" fontId="71" fillId="2" borderId="25" xfId="0" applyFont="1" applyFill="1" applyBorder="1" applyAlignment="1" applyProtection="1">
      <alignment vertical="center" wrapText="1"/>
    </xf>
    <xf numFmtId="195" fontId="61" fillId="2" borderId="19" xfId="0" applyNumberFormat="1" applyFont="1" applyFill="1" applyBorder="1" applyAlignment="1" applyProtection="1">
      <alignment horizontal="center" vertical="center" wrapText="1"/>
    </xf>
    <xf numFmtId="0" fontId="61" fillId="2" borderId="26" xfId="0" applyNumberFormat="1" applyFont="1" applyFill="1" applyBorder="1" applyAlignment="1" applyProtection="1">
      <alignment horizontal="center" vertical="center" wrapText="1"/>
    </xf>
    <xf numFmtId="195" fontId="61" fillId="0" borderId="118" xfId="0" applyNumberFormat="1" applyFont="1" applyFill="1" applyBorder="1" applyAlignment="1" applyProtection="1">
      <alignment horizontal="center" vertical="center" wrapText="1"/>
      <protection locked="0"/>
    </xf>
    <xf numFmtId="0" fontId="61" fillId="2" borderId="109" xfId="0" applyNumberFormat="1" applyFont="1" applyFill="1" applyBorder="1" applyAlignment="1" applyProtection="1">
      <alignment horizontal="center" vertical="center" wrapText="1"/>
    </xf>
    <xf numFmtId="195" fontId="61" fillId="0" borderId="19" xfId="0" applyNumberFormat="1" applyFont="1" applyFill="1" applyBorder="1" applyAlignment="1" applyProtection="1">
      <alignment horizontal="center" vertical="center" wrapText="1"/>
      <protection locked="0"/>
    </xf>
    <xf numFmtId="49" fontId="61" fillId="7" borderId="19" xfId="0" applyNumberFormat="1" applyFont="1" applyFill="1" applyBorder="1" applyAlignment="1" applyProtection="1">
      <alignment horizontal="center" vertical="center" wrapText="1"/>
      <protection locked="0"/>
    </xf>
    <xf numFmtId="0" fontId="71" fillId="2" borderId="18" xfId="0" applyFont="1" applyFill="1" applyBorder="1" applyAlignment="1" applyProtection="1">
      <alignment vertical="center" wrapText="1"/>
    </xf>
    <xf numFmtId="0" fontId="61" fillId="2" borderId="32" xfId="0" applyFont="1" applyFill="1" applyBorder="1" applyAlignment="1" applyProtection="1">
      <alignment horizontal="center" vertical="center" wrapText="1"/>
    </xf>
    <xf numFmtId="0" fontId="61" fillId="7" borderId="37" xfId="0" applyNumberFormat="1" applyFont="1" applyFill="1" applyBorder="1" applyAlignment="1" applyProtection="1">
      <alignment horizontal="center" vertical="center" wrapText="1"/>
      <protection locked="0"/>
    </xf>
    <xf numFmtId="0" fontId="61" fillId="2" borderId="9" xfId="0" applyNumberFormat="1" applyFont="1" applyFill="1" applyBorder="1" applyAlignment="1" applyProtection="1">
      <alignment horizontal="center" vertical="center" wrapText="1"/>
    </xf>
    <xf numFmtId="0" fontId="72" fillId="2" borderId="27" xfId="0" applyFont="1" applyFill="1" applyBorder="1" applyAlignment="1" applyProtection="1">
      <alignment vertical="center" wrapText="1"/>
    </xf>
    <xf numFmtId="0" fontId="61" fillId="2" borderId="2" xfId="0" applyFont="1" applyFill="1" applyBorder="1" applyAlignment="1" applyProtection="1">
      <alignment horizontal="center" vertical="center" wrapText="1"/>
    </xf>
    <xf numFmtId="0" fontId="61" fillId="0" borderId="58" xfId="0" applyNumberFormat="1" applyFont="1" applyFill="1" applyBorder="1" applyAlignment="1" applyProtection="1">
      <alignment horizontal="center" vertical="center" wrapText="1"/>
      <protection locked="0"/>
    </xf>
    <xf numFmtId="0" fontId="61" fillId="2" borderId="11" xfId="0" applyNumberFormat="1" applyFont="1" applyFill="1" applyBorder="1" applyAlignment="1" applyProtection="1">
      <alignment horizontal="center" vertical="center" wrapText="1"/>
    </xf>
    <xf numFmtId="0" fontId="56" fillId="2" borderId="27" xfId="0" applyFont="1" applyFill="1" applyBorder="1" applyAlignment="1" applyProtection="1">
      <alignment vertical="center" wrapText="1"/>
    </xf>
    <xf numFmtId="0" fontId="61" fillId="0" borderId="10" xfId="0" applyNumberFormat="1" applyFont="1" applyFill="1" applyBorder="1" applyAlignment="1" applyProtection="1">
      <alignment horizontal="center" vertical="center" wrapText="1"/>
      <protection locked="0"/>
    </xf>
    <xf numFmtId="0" fontId="61" fillId="0" borderId="4" xfId="0" applyNumberFormat="1" applyFont="1" applyFill="1" applyBorder="1" applyAlignment="1" applyProtection="1">
      <alignment horizontal="center" vertical="center" wrapText="1"/>
      <protection locked="0"/>
    </xf>
    <xf numFmtId="0" fontId="71" fillId="2" borderId="27" xfId="0" applyFont="1" applyFill="1" applyBorder="1" applyAlignment="1" applyProtection="1">
      <alignment vertical="center" wrapText="1"/>
    </xf>
    <xf numFmtId="0" fontId="61" fillId="0" borderId="48" xfId="0" applyFont="1" applyFill="1" applyBorder="1" applyAlignment="1" applyProtection="1">
      <alignment horizontal="center" vertical="center" wrapText="1"/>
      <protection locked="0"/>
    </xf>
    <xf numFmtId="0" fontId="61" fillId="2" borderId="116" xfId="0" applyNumberFormat="1" applyFont="1" applyFill="1" applyBorder="1" applyAlignment="1" applyProtection="1">
      <alignment horizontal="center" vertical="center" wrapText="1"/>
    </xf>
    <xf numFmtId="0" fontId="55" fillId="0" borderId="1" xfId="0" applyNumberFormat="1" applyFont="1" applyFill="1" applyBorder="1" applyAlignment="1" applyProtection="1">
      <alignment horizontal="center" vertical="center" wrapText="1"/>
      <protection locked="0"/>
    </xf>
    <xf numFmtId="0" fontId="55" fillId="0" borderId="10" xfId="0" applyNumberFormat="1" applyFont="1" applyFill="1" applyBorder="1" applyAlignment="1" applyProtection="1">
      <alignment horizontal="center" vertical="center" wrapText="1"/>
      <protection locked="0"/>
    </xf>
    <xf numFmtId="0" fontId="55" fillId="0" borderId="41" xfId="0" applyNumberFormat="1" applyFont="1" applyFill="1" applyBorder="1" applyAlignment="1" applyProtection="1">
      <alignment horizontal="center" vertical="center" wrapText="1"/>
      <protection locked="0"/>
    </xf>
    <xf numFmtId="0" fontId="55" fillId="2" borderId="11" xfId="0" applyNumberFormat="1" applyFont="1" applyFill="1" applyBorder="1" applyAlignment="1" applyProtection="1">
      <alignment horizontal="center" vertical="center" wrapText="1"/>
    </xf>
    <xf numFmtId="0" fontId="56" fillId="2" borderId="110" xfId="0" applyFont="1" applyFill="1" applyBorder="1" applyAlignment="1" applyProtection="1">
      <alignment vertical="center" wrapText="1"/>
    </xf>
    <xf numFmtId="0" fontId="61" fillId="0" borderId="33" xfId="0" applyFont="1" applyFill="1" applyBorder="1" applyAlignment="1" applyProtection="1">
      <alignment horizontal="center" vertical="center" wrapText="1"/>
      <protection locked="0"/>
    </xf>
    <xf numFmtId="0" fontId="55" fillId="0" borderId="44" xfId="0" applyNumberFormat="1" applyFont="1" applyFill="1" applyBorder="1" applyAlignment="1" applyProtection="1">
      <alignment horizontal="center" vertical="center" wrapText="1"/>
      <protection locked="0"/>
    </xf>
    <xf numFmtId="0" fontId="55" fillId="2" borderId="14" xfId="0" applyNumberFormat="1" applyFont="1" applyFill="1" applyBorder="1" applyAlignment="1" applyProtection="1">
      <alignment horizontal="center" vertical="center" wrapText="1"/>
    </xf>
    <xf numFmtId="0" fontId="56" fillId="2" borderId="18" xfId="0" applyFont="1" applyFill="1" applyBorder="1" applyAlignment="1" applyProtection="1">
      <alignment vertical="center" wrapText="1"/>
    </xf>
    <xf numFmtId="0" fontId="61" fillId="2" borderId="36" xfId="0" applyFont="1" applyFill="1" applyBorder="1" applyAlignment="1" applyProtection="1">
      <alignment horizontal="center" vertical="center" wrapText="1"/>
    </xf>
    <xf numFmtId="0" fontId="55" fillId="2" borderId="18" xfId="0" applyNumberFormat="1" applyFont="1" applyFill="1" applyBorder="1" applyAlignment="1" applyProtection="1">
      <alignment horizontal="center" vertical="center" wrapText="1"/>
    </xf>
    <xf numFmtId="0" fontId="55" fillId="2" borderId="36" xfId="0" applyNumberFormat="1" applyFont="1" applyFill="1" applyBorder="1" applyAlignment="1" applyProtection="1">
      <alignment horizontal="center" vertical="center" wrapText="1"/>
    </xf>
    <xf numFmtId="49" fontId="55" fillId="0" borderId="113" xfId="0" applyNumberFormat="1" applyFont="1" applyFill="1" applyBorder="1" applyAlignment="1" applyProtection="1">
      <alignment horizontal="center" vertical="center" wrapText="1"/>
      <protection locked="0"/>
    </xf>
    <xf numFmtId="0" fontId="55" fillId="2" borderId="23" xfId="0" applyFont="1" applyFill="1" applyBorder="1" applyAlignment="1" applyProtection="1">
      <alignment horizontal="center" vertical="center"/>
    </xf>
    <xf numFmtId="0" fontId="55" fillId="7" borderId="58" xfId="0" applyNumberFormat="1" applyFont="1" applyFill="1" applyBorder="1" applyAlignment="1" applyProtection="1">
      <alignment horizontal="center" vertical="center" wrapText="1"/>
      <protection locked="0"/>
    </xf>
    <xf numFmtId="0" fontId="55" fillId="2" borderId="28" xfId="0" applyNumberFormat="1" applyFont="1" applyFill="1" applyBorder="1" applyAlignment="1" applyProtection="1">
      <alignment horizontal="center" vertical="center" wrapText="1"/>
    </xf>
    <xf numFmtId="0" fontId="55" fillId="7" borderId="108" xfId="0" applyNumberFormat="1" applyFont="1" applyFill="1" applyBorder="1" applyAlignment="1" applyProtection="1">
      <alignment horizontal="center" vertical="center" wrapText="1"/>
      <protection locked="0"/>
    </xf>
    <xf numFmtId="0" fontId="55" fillId="2" borderId="43" xfId="0" applyNumberFormat="1" applyFont="1" applyFill="1" applyBorder="1" applyAlignment="1" applyProtection="1">
      <alignment horizontal="center" vertical="center" wrapText="1"/>
    </xf>
    <xf numFmtId="0" fontId="61" fillId="2" borderId="40" xfId="0" applyFont="1" applyFill="1" applyBorder="1" applyAlignment="1" applyProtection="1">
      <alignment horizontal="center" vertical="center" wrapText="1"/>
    </xf>
    <xf numFmtId="0" fontId="55" fillId="2" borderId="51" xfId="0" applyNumberFormat="1" applyFont="1" applyFill="1" applyBorder="1" applyAlignment="1" applyProtection="1">
      <alignment horizontal="center" vertical="center" wrapText="1"/>
    </xf>
    <xf numFmtId="49" fontId="55" fillId="0" borderId="119" xfId="0" applyNumberFormat="1" applyFont="1" applyFill="1" applyBorder="1" applyAlignment="1" applyProtection="1">
      <alignment horizontal="center" vertical="center" wrapText="1"/>
      <protection locked="0"/>
    </xf>
    <xf numFmtId="0" fontId="55" fillId="2" borderId="40" xfId="0" applyNumberFormat="1" applyFont="1" applyFill="1" applyBorder="1" applyAlignment="1" applyProtection="1">
      <alignment horizontal="center" vertical="center" wrapText="1"/>
    </xf>
    <xf numFmtId="0" fontId="61" fillId="2" borderId="28" xfId="0" applyFont="1" applyFill="1" applyBorder="1" applyAlignment="1" applyProtection="1">
      <alignment horizontal="center" vertical="center" wrapText="1"/>
    </xf>
    <xf numFmtId="49" fontId="55" fillId="7" borderId="108" xfId="0" applyNumberFormat="1" applyFont="1" applyFill="1" applyBorder="1" applyAlignment="1" applyProtection="1">
      <alignment horizontal="center" vertical="center" wrapText="1"/>
      <protection locked="0"/>
    </xf>
    <xf numFmtId="0" fontId="71" fillId="2" borderId="30" xfId="0" applyFont="1" applyFill="1" applyBorder="1" applyAlignment="1" applyProtection="1">
      <alignment vertical="center" wrapText="1"/>
    </xf>
    <xf numFmtId="0" fontId="61" fillId="2" borderId="43" xfId="0" applyFont="1" applyFill="1" applyBorder="1" applyAlignment="1" applyProtection="1">
      <alignment horizontal="center" vertical="center" wrapText="1"/>
    </xf>
    <xf numFmtId="0" fontId="61" fillId="7" borderId="120" xfId="0" applyNumberFormat="1" applyFont="1" applyFill="1" applyBorder="1" applyAlignment="1" applyProtection="1">
      <alignment horizontal="center" vertical="center" wrapText="1"/>
      <protection locked="0"/>
    </xf>
    <xf numFmtId="0" fontId="61" fillId="7" borderId="98" xfId="0" applyNumberFormat="1" applyFont="1" applyFill="1" applyBorder="1" applyAlignment="1" applyProtection="1">
      <alignment horizontal="center" vertical="center" wrapText="1"/>
      <protection locked="0"/>
    </xf>
    <xf numFmtId="0" fontId="55" fillId="7" borderId="41" xfId="0" applyNumberFormat="1" applyFont="1" applyFill="1" applyBorder="1" applyAlignment="1" applyProtection="1">
      <alignment horizontal="center" vertical="center" wrapText="1"/>
      <protection locked="0"/>
    </xf>
    <xf numFmtId="0" fontId="55" fillId="7" borderId="3" xfId="0" applyNumberFormat="1" applyFont="1" applyFill="1" applyBorder="1" applyAlignment="1" applyProtection="1">
      <alignment horizontal="center" vertical="center" wrapText="1"/>
      <protection locked="0"/>
    </xf>
    <xf numFmtId="0" fontId="55" fillId="2" borderId="27" xfId="0" applyNumberFormat="1" applyFont="1" applyFill="1" applyBorder="1" applyAlignment="1" applyProtection="1">
      <alignment horizontal="center" vertical="center" wrapText="1"/>
    </xf>
    <xf numFmtId="0" fontId="61" fillId="2" borderId="11" xfId="0" applyFont="1" applyFill="1" applyBorder="1" applyAlignment="1" applyProtection="1">
      <alignment horizontal="center" vertical="center" wrapText="1"/>
    </xf>
    <xf numFmtId="0" fontId="55" fillId="2" borderId="41" xfId="0" applyNumberFormat="1" applyFont="1" applyFill="1" applyBorder="1" applyAlignment="1" applyProtection="1">
      <alignment horizontal="center" vertical="center" wrapText="1"/>
    </xf>
    <xf numFmtId="0" fontId="61" fillId="0" borderId="11" xfId="0" applyFont="1" applyFill="1" applyBorder="1" applyAlignment="1" applyProtection="1">
      <alignment horizontal="center" vertical="center" wrapText="1"/>
      <protection locked="0"/>
    </xf>
    <xf numFmtId="0" fontId="55" fillId="0" borderId="4" xfId="0" applyNumberFormat="1" applyFont="1" applyFill="1" applyBorder="1" applyAlignment="1" applyProtection="1">
      <alignment horizontal="center" vertical="center" wrapText="1"/>
      <protection locked="0"/>
    </xf>
    <xf numFmtId="0" fontId="55" fillId="2" borderId="30" xfId="0" applyFont="1" applyFill="1" applyBorder="1" applyAlignment="1" applyProtection="1">
      <alignment horizontal="center" vertical="center"/>
    </xf>
    <xf numFmtId="0" fontId="55" fillId="0" borderId="11" xfId="0" applyFont="1" applyFill="1" applyBorder="1" applyAlignment="1" applyProtection="1">
      <alignment horizontal="center" vertical="center"/>
      <protection locked="0"/>
    </xf>
    <xf numFmtId="0" fontId="73" fillId="2" borderId="61" xfId="0" applyFont="1" applyFill="1" applyBorder="1" applyAlignment="1" applyProtection="1">
      <alignment vertical="center" textRotation="255" wrapText="1"/>
    </xf>
    <xf numFmtId="0" fontId="47" fillId="0" borderId="14" xfId="0" applyFont="1" applyFill="1" applyBorder="1" applyAlignment="1" applyProtection="1">
      <alignment horizontal="center" vertical="center"/>
      <protection locked="0"/>
    </xf>
    <xf numFmtId="0" fontId="55" fillId="0" borderId="12" xfId="0" applyNumberFormat="1" applyFont="1" applyFill="1" applyBorder="1" applyAlignment="1" applyProtection="1">
      <alignment horizontal="center" vertical="center" wrapText="1"/>
      <protection locked="0"/>
    </xf>
    <xf numFmtId="0" fontId="61" fillId="2" borderId="14" xfId="0" applyNumberFormat="1" applyFont="1" applyFill="1" applyBorder="1" applyAlignment="1" applyProtection="1">
      <alignment horizontal="center" vertical="center" wrapText="1"/>
    </xf>
    <xf numFmtId="0" fontId="55" fillId="0" borderId="62" xfId="0" applyNumberFormat="1" applyFont="1" applyFill="1" applyBorder="1" applyAlignment="1" applyProtection="1">
      <alignment horizontal="center" vertical="center" wrapText="1"/>
      <protection locked="0"/>
    </xf>
    <xf numFmtId="0" fontId="61" fillId="2" borderId="34" xfId="0" applyFont="1" applyFill="1" applyBorder="1" applyAlignment="1" applyProtection="1">
      <alignment horizontal="center" vertical="center" wrapText="1"/>
    </xf>
    <xf numFmtId="0" fontId="55" fillId="0" borderId="7" xfId="0" applyNumberFormat="1" applyFont="1" applyFill="1" applyBorder="1" applyAlignment="1" applyProtection="1">
      <alignment horizontal="center" vertical="center" wrapText="1"/>
      <protection locked="0"/>
    </xf>
    <xf numFmtId="0" fontId="55" fillId="2" borderId="9" xfId="0" applyNumberFormat="1" applyFont="1" applyFill="1" applyBorder="1" applyAlignment="1" applyProtection="1">
      <alignment horizontal="center" vertical="center" wrapText="1"/>
    </xf>
    <xf numFmtId="0" fontId="56" fillId="2" borderId="27" xfId="0" applyFont="1" applyFill="1" applyBorder="1" applyAlignment="1" applyProtection="1">
      <alignment vertical="center" textRotation="255" wrapText="1"/>
    </xf>
    <xf numFmtId="49" fontId="55" fillId="7" borderId="10" xfId="0" applyNumberFormat="1" applyFont="1" applyFill="1" applyBorder="1" applyAlignment="1" applyProtection="1">
      <alignment horizontal="center" vertical="center" wrapText="1"/>
      <protection locked="0"/>
    </xf>
    <xf numFmtId="0" fontId="71" fillId="2" borderId="27" xfId="0" applyFont="1" applyFill="1" applyBorder="1" applyAlignment="1" applyProtection="1">
      <alignment vertical="center" textRotation="255" wrapText="1"/>
    </xf>
    <xf numFmtId="9" fontId="61" fillId="7" borderId="41" xfId="0" applyNumberFormat="1" applyFont="1" applyFill="1" applyBorder="1" applyAlignment="1" applyProtection="1">
      <alignment horizontal="center" vertical="center" wrapText="1"/>
      <protection locked="0"/>
    </xf>
    <xf numFmtId="0" fontId="55" fillId="0" borderId="2" xfId="0" applyFont="1" applyFill="1" applyBorder="1" applyAlignment="1" applyProtection="1">
      <alignment horizontal="center" vertical="center"/>
      <protection locked="0"/>
    </xf>
    <xf numFmtId="0" fontId="73" fillId="2" borderId="27" xfId="0" applyFont="1" applyFill="1" applyBorder="1" applyAlignment="1" applyProtection="1">
      <alignment vertical="center" textRotation="255" wrapText="1"/>
    </xf>
    <xf numFmtId="0" fontId="65" fillId="0" borderId="44" xfId="0" applyNumberFormat="1" applyFont="1" applyFill="1" applyBorder="1" applyAlignment="1" applyProtection="1">
      <alignment horizontal="center" vertical="center" wrapText="1"/>
      <protection locked="0"/>
    </xf>
    <xf numFmtId="49" fontId="56" fillId="2" borderId="37" xfId="0" applyNumberFormat="1" applyFont="1" applyFill="1" applyBorder="1" applyAlignment="1" applyProtection="1">
      <alignment vertical="center"/>
    </xf>
    <xf numFmtId="49" fontId="56" fillId="7" borderId="9" xfId="0" applyNumberFormat="1" applyFont="1" applyFill="1" applyBorder="1" applyAlignment="1" applyProtection="1">
      <alignment vertical="center"/>
      <protection locked="0"/>
    </xf>
    <xf numFmtId="0" fontId="56" fillId="2" borderId="38" xfId="0" applyFont="1" applyFill="1" applyBorder="1" applyAlignment="1" applyProtection="1">
      <alignment horizontal="right" vertical="center" wrapText="1"/>
    </xf>
    <xf numFmtId="0" fontId="56" fillId="2" borderId="39" xfId="0" applyFont="1" applyFill="1" applyBorder="1" applyAlignment="1" applyProtection="1">
      <alignment vertical="center" wrapText="1"/>
    </xf>
    <xf numFmtId="0" fontId="74" fillId="4" borderId="38" xfId="0" applyFont="1" applyFill="1" applyBorder="1" applyAlignment="1" applyProtection="1">
      <alignment vertical="center" wrapText="1"/>
      <protection locked="0"/>
    </xf>
    <xf numFmtId="0" fontId="74" fillId="2" borderId="38" xfId="0" applyFont="1" applyFill="1" applyBorder="1" applyAlignment="1" applyProtection="1">
      <alignment vertical="center" wrapText="1"/>
    </xf>
    <xf numFmtId="0" fontId="74" fillId="4" borderId="37" xfId="0" applyFont="1" applyFill="1" applyBorder="1" applyAlignment="1" applyProtection="1">
      <alignment vertical="center" wrapText="1"/>
      <protection locked="0"/>
    </xf>
    <xf numFmtId="0" fontId="74" fillId="2" borderId="39" xfId="0" applyFont="1" applyFill="1" applyBorder="1" applyAlignment="1" applyProtection="1">
      <alignment vertical="center" wrapText="1"/>
    </xf>
    <xf numFmtId="49" fontId="56" fillId="2" borderId="44" xfId="0" applyNumberFormat="1" applyFont="1" applyFill="1" applyBorder="1" applyAlignment="1" applyProtection="1">
      <alignment vertical="center"/>
    </xf>
    <xf numFmtId="49" fontId="56" fillId="2" borderId="46" xfId="0" applyNumberFormat="1" applyFont="1" applyFill="1" applyBorder="1" applyAlignment="1" applyProtection="1">
      <alignment vertical="center"/>
    </xf>
    <xf numFmtId="190" fontId="56" fillId="2" borderId="45" xfId="0" applyNumberFormat="1" applyFont="1" applyFill="1" applyBorder="1" applyAlignment="1" applyProtection="1">
      <alignment vertical="center" wrapText="1"/>
    </xf>
    <xf numFmtId="0" fontId="56" fillId="2" borderId="46" xfId="0" applyFont="1" applyFill="1" applyBorder="1" applyAlignment="1" applyProtection="1">
      <alignment vertical="center" wrapText="1"/>
    </xf>
    <xf numFmtId="0" fontId="56" fillId="2" borderId="45" xfId="0" applyFont="1" applyFill="1" applyBorder="1" applyAlignment="1" applyProtection="1">
      <alignment vertical="center" wrapText="1"/>
    </xf>
    <xf numFmtId="190" fontId="56" fillId="2" borderId="44" xfId="0" applyNumberFormat="1" applyFont="1" applyFill="1" applyBorder="1" applyAlignment="1" applyProtection="1">
      <alignment vertical="center" wrapText="1"/>
    </xf>
    <xf numFmtId="49" fontId="56" fillId="0" borderId="61" xfId="0" applyNumberFormat="1" applyFont="1" applyFill="1" applyBorder="1" applyAlignment="1" applyProtection="1">
      <alignment vertical="center"/>
      <protection locked="0"/>
    </xf>
    <xf numFmtId="49" fontId="56" fillId="0" borderId="22" xfId="0" applyNumberFormat="1" applyFont="1" applyFill="1" applyBorder="1" applyAlignment="1" applyProtection="1">
      <alignment vertical="center"/>
      <protection locked="0"/>
    </xf>
    <xf numFmtId="190" fontId="56" fillId="2" borderId="21" xfId="0" applyNumberFormat="1" applyFont="1" applyFill="1" applyBorder="1" applyAlignment="1" applyProtection="1">
      <alignment vertical="center" wrapText="1"/>
    </xf>
    <xf numFmtId="0" fontId="55" fillId="2" borderId="0" xfId="0" applyFont="1" applyFill="1" applyAlignment="1" applyProtection="1">
      <alignment horizontal="center" vertical="center"/>
      <protection locked="0"/>
    </xf>
    <xf numFmtId="9" fontId="55" fillId="2" borderId="0" xfId="0" applyNumberFormat="1" applyFont="1" applyFill="1" applyAlignment="1" applyProtection="1">
      <alignment horizontal="center" vertical="center"/>
      <protection locked="0"/>
    </xf>
    <xf numFmtId="0" fontId="56" fillId="2" borderId="1" xfId="0" applyFont="1" applyFill="1" applyBorder="1" applyAlignment="1" applyProtection="1">
      <alignment horizontal="left" vertical="center"/>
    </xf>
    <xf numFmtId="188" fontId="55" fillId="2" borderId="2" xfId="0" applyNumberFormat="1" applyFont="1" applyFill="1" applyBorder="1" applyAlignment="1" applyProtection="1">
      <alignment horizontal="center" vertical="center"/>
    </xf>
    <xf numFmtId="188" fontId="55" fillId="2" borderId="4" xfId="0" applyNumberFormat="1" applyFont="1" applyFill="1" applyBorder="1" applyAlignment="1" applyProtection="1">
      <alignment vertical="center"/>
    </xf>
    <xf numFmtId="0" fontId="66" fillId="2" borderId="0" xfId="0" applyFont="1" applyFill="1" applyAlignment="1" applyProtection="1">
      <alignment horizontal="center" vertical="center"/>
      <protection locked="0"/>
    </xf>
    <xf numFmtId="14" fontId="55" fillId="2" borderId="0" xfId="0" applyNumberFormat="1" applyFont="1" applyFill="1" applyAlignment="1" applyProtection="1">
      <alignment horizontal="center" vertical="center"/>
      <protection locked="0"/>
    </xf>
    <xf numFmtId="177" fontId="55" fillId="2" borderId="0" xfId="0" applyNumberFormat="1" applyFont="1" applyFill="1" applyAlignment="1" applyProtection="1">
      <alignment horizontal="center" vertical="center"/>
    </xf>
    <xf numFmtId="0" fontId="66" fillId="2" borderId="0" xfId="0" applyFont="1" applyFill="1" applyAlignment="1" applyProtection="1">
      <alignment horizontal="center" vertical="center"/>
    </xf>
    <xf numFmtId="14" fontId="55" fillId="2" borderId="7" xfId="0" applyNumberFormat="1" applyFont="1" applyFill="1" applyBorder="1" applyAlignment="1" applyProtection="1">
      <alignment horizontal="left" vertical="center"/>
    </xf>
    <xf numFmtId="177" fontId="55" fillId="2" borderId="8" xfId="0" applyNumberFormat="1" applyFont="1" applyFill="1" applyBorder="1" applyAlignment="1" applyProtection="1">
      <alignment horizontal="center" vertical="center"/>
    </xf>
    <xf numFmtId="0" fontId="55" fillId="3" borderId="8" xfId="0" applyFont="1" applyFill="1" applyBorder="1" applyAlignment="1" applyProtection="1">
      <alignment horizontal="center" vertical="center"/>
      <protection locked="0"/>
    </xf>
    <xf numFmtId="0" fontId="55" fillId="2" borderId="31" xfId="0" applyFont="1" applyFill="1" applyBorder="1" applyAlignment="1" applyProtection="1">
      <alignment horizontal="center" vertical="center" wrapText="1"/>
      <protection locked="0"/>
    </xf>
    <xf numFmtId="0" fontId="55" fillId="2" borderId="8" xfId="0" applyFont="1" applyFill="1" applyBorder="1" applyAlignment="1" applyProtection="1">
      <alignment horizontal="center" vertical="center"/>
    </xf>
    <xf numFmtId="0" fontId="55" fillId="2" borderId="9" xfId="0" applyFont="1" applyFill="1" applyBorder="1" applyAlignment="1" applyProtection="1">
      <alignment horizontal="center" vertical="center"/>
    </xf>
    <xf numFmtId="0" fontId="30" fillId="2" borderId="10" xfId="0" applyFont="1" applyFill="1" applyBorder="1" applyAlignment="1" applyProtection="1"/>
    <xf numFmtId="190" fontId="30" fillId="2" borderId="1" xfId="10" applyNumberFormat="1" applyFont="1" applyFill="1" applyBorder="1" applyAlignment="1" applyProtection="1">
      <alignment horizontal="center"/>
    </xf>
    <xf numFmtId="0" fontId="30" fillId="2" borderId="1" xfId="0" applyFont="1" applyFill="1" applyBorder="1" applyAlignment="1" applyProtection="1">
      <alignment horizontal="center"/>
    </xf>
    <xf numFmtId="0" fontId="67" fillId="2" borderId="1" xfId="0" applyFont="1" applyFill="1" applyBorder="1" applyAlignment="1" applyProtection="1">
      <alignment horizontal="center" vertical="center"/>
      <protection locked="0"/>
    </xf>
    <xf numFmtId="182" fontId="30" fillId="2" borderId="11" xfId="10" applyNumberFormat="1" applyFont="1" applyFill="1" applyBorder="1" applyAlignment="1" applyProtection="1">
      <alignment horizontal="center"/>
    </xf>
    <xf numFmtId="0" fontId="30" fillId="2" borderId="10" xfId="10" applyFont="1" applyFill="1" applyBorder="1" applyAlignment="1" applyProtection="1"/>
    <xf numFmtId="9" fontId="67" fillId="3" borderId="1" xfId="0" applyNumberFormat="1" applyFont="1" applyFill="1" applyBorder="1" applyAlignment="1" applyProtection="1">
      <alignment horizontal="center" vertical="center"/>
      <protection locked="0"/>
    </xf>
    <xf numFmtId="185" fontId="30" fillId="0" borderId="1" xfId="10" applyNumberFormat="1" applyFont="1" applyFill="1" applyBorder="1" applyAlignment="1" applyProtection="1">
      <alignment horizontal="center"/>
      <protection locked="0"/>
    </xf>
    <xf numFmtId="0" fontId="7" fillId="2" borderId="10" xfId="0" applyFont="1" applyFill="1" applyBorder="1" applyAlignment="1" applyProtection="1">
      <alignment horizontal="center" vertical="center"/>
    </xf>
    <xf numFmtId="0" fontId="67" fillId="2" borderId="1" xfId="0" applyFont="1" applyFill="1" applyBorder="1" applyAlignment="1" applyProtection="1">
      <alignment horizontal="center" vertical="center"/>
    </xf>
    <xf numFmtId="0" fontId="67" fillId="3" borderId="10" xfId="0" applyFont="1" applyFill="1" applyBorder="1" applyAlignment="1" applyProtection="1">
      <alignment horizontal="center" vertical="center"/>
      <protection locked="0"/>
    </xf>
    <xf numFmtId="0" fontId="7" fillId="2" borderId="12" xfId="0" applyFont="1" applyFill="1" applyBorder="1" applyAlignment="1" applyProtection="1">
      <alignment horizontal="center" vertical="center"/>
    </xf>
    <xf numFmtId="0" fontId="67" fillId="2" borderId="13" xfId="0" applyFont="1" applyFill="1" applyBorder="1" applyAlignment="1" applyProtection="1">
      <alignment horizontal="center" vertical="center"/>
    </xf>
    <xf numFmtId="0" fontId="29" fillId="2" borderId="12" xfId="10" applyFont="1" applyFill="1" applyBorder="1" applyAlignment="1" applyProtection="1"/>
    <xf numFmtId="0" fontId="30" fillId="2" borderId="13" xfId="0" applyFont="1" applyFill="1" applyBorder="1" applyAlignment="1" applyProtection="1">
      <alignment horizontal="center"/>
    </xf>
    <xf numFmtId="182" fontId="29" fillId="2" borderId="14" xfId="0" applyNumberFormat="1" applyFont="1" applyFill="1" applyBorder="1" applyAlignment="1" applyProtection="1">
      <alignment horizontal="center"/>
    </xf>
    <xf numFmtId="0" fontId="30" fillId="2" borderId="0" xfId="0" applyFont="1" applyFill="1" applyAlignment="1" applyProtection="1">
      <protection locked="0"/>
    </xf>
    <xf numFmtId="177" fontId="55" fillId="2" borderId="0" xfId="0" applyNumberFormat="1" applyFont="1" applyFill="1" applyAlignment="1" applyProtection="1">
      <alignment horizontal="center" vertical="center"/>
      <protection locked="0"/>
    </xf>
    <xf numFmtId="14" fontId="55" fillId="2" borderId="0" xfId="0" applyNumberFormat="1" applyFont="1" applyFill="1" applyAlignment="1" applyProtection="1">
      <alignment horizontal="center" vertical="center"/>
    </xf>
    <xf numFmtId="0" fontId="75" fillId="2" borderId="0" xfId="0" applyFont="1" applyFill="1" applyBorder="1" applyAlignment="1" applyProtection="1"/>
    <xf numFmtId="0" fontId="55" fillId="2" borderId="0" xfId="0" applyFont="1" applyFill="1" applyAlignment="1" applyProtection="1">
      <alignment horizontal="center" vertical="center"/>
    </xf>
    <xf numFmtId="0" fontId="55" fillId="2" borderId="0" xfId="0" applyFont="1" applyFill="1" applyBorder="1" applyAlignment="1" applyProtection="1"/>
    <xf numFmtId="0" fontId="55" fillId="2" borderId="0" xfId="0" applyFont="1" applyFill="1" applyBorder="1" applyAlignment="1" applyProtection="1">
      <alignment horizontal="center"/>
    </xf>
    <xf numFmtId="187" fontId="68" fillId="2" borderId="97" xfId="0" applyNumberFormat="1" applyFont="1" applyFill="1" applyBorder="1" applyAlignment="1" applyProtection="1">
      <alignment horizontal="center" vertical="center"/>
    </xf>
    <xf numFmtId="188" fontId="68" fillId="2" borderId="97" xfId="0" applyNumberFormat="1" applyFont="1" applyFill="1" applyBorder="1" applyAlignment="1" applyProtection="1">
      <alignment vertical="center"/>
    </xf>
    <xf numFmtId="0" fontId="68" fillId="2" borderId="97" xfId="0" applyFont="1" applyFill="1" applyBorder="1" applyAlignment="1" applyProtection="1">
      <alignment horizontal="center" vertical="center"/>
    </xf>
    <xf numFmtId="0" fontId="68" fillId="2" borderId="0" xfId="0" applyFont="1" applyFill="1" applyBorder="1" applyAlignment="1" applyProtection="1">
      <alignment horizontal="center" vertical="center"/>
    </xf>
    <xf numFmtId="187" fontId="68" fillId="2" borderId="0" xfId="0" applyNumberFormat="1" applyFont="1" applyFill="1" applyBorder="1" applyAlignment="1" applyProtection="1">
      <alignment horizontal="center" vertical="center"/>
      <protection locked="0"/>
    </xf>
    <xf numFmtId="188" fontId="68" fillId="2" borderId="0" xfId="0" applyNumberFormat="1" applyFont="1" applyFill="1" applyBorder="1" applyAlignment="1" applyProtection="1">
      <alignment vertical="center"/>
      <protection locked="0"/>
    </xf>
    <xf numFmtId="0" fontId="68" fillId="2" borderId="0" xfId="0" applyFont="1" applyFill="1" applyBorder="1" applyAlignment="1" applyProtection="1">
      <alignment horizontal="center" vertical="center"/>
      <protection locked="0"/>
    </xf>
    <xf numFmtId="187" fontId="61" fillId="2" borderId="4" xfId="0" applyNumberFormat="1" applyFont="1" applyFill="1" applyBorder="1" applyAlignment="1" applyProtection="1">
      <alignment horizontal="center" vertical="center" wrapText="1"/>
    </xf>
    <xf numFmtId="188" fontId="61" fillId="2" borderId="0" xfId="0" applyNumberFormat="1" applyFont="1" applyFill="1" applyBorder="1" applyAlignment="1" applyProtection="1">
      <alignment vertical="center" wrapText="1"/>
      <protection locked="0"/>
    </xf>
    <xf numFmtId="0" fontId="55" fillId="2" borderId="0" xfId="0" applyFont="1" applyFill="1" applyBorder="1" applyAlignment="1" applyProtection="1">
      <alignment horizontal="center" vertical="center"/>
      <protection locked="0"/>
    </xf>
    <xf numFmtId="0" fontId="61" fillId="2" borderId="4" xfId="0" applyNumberFormat="1" applyFont="1" applyFill="1" applyBorder="1" applyAlignment="1" applyProtection="1">
      <alignment horizontal="center" vertical="center" wrapText="1"/>
    </xf>
    <xf numFmtId="188" fontId="61" fillId="2" borderId="0" xfId="0" applyNumberFormat="1" applyFont="1" applyFill="1" applyBorder="1" applyAlignment="1" applyProtection="1">
      <alignment horizontal="center" vertical="center" wrapText="1"/>
      <protection locked="0"/>
    </xf>
    <xf numFmtId="0" fontId="61" fillId="2" borderId="0" xfId="0" applyFont="1" applyFill="1" applyBorder="1" applyAlignment="1" applyProtection="1">
      <alignment horizontal="center" vertical="center"/>
      <protection locked="0"/>
    </xf>
    <xf numFmtId="0" fontId="61" fillId="2" borderId="119" xfId="0" applyFont="1" applyFill="1" applyBorder="1" applyAlignment="1" applyProtection="1">
      <alignment horizontal="center" vertical="center"/>
      <protection locked="0"/>
    </xf>
    <xf numFmtId="0" fontId="76" fillId="2" borderId="4" xfId="0" applyNumberFormat="1" applyFont="1" applyFill="1" applyBorder="1" applyAlignment="1" applyProtection="1">
      <alignment horizontal="center" vertical="center" wrapText="1"/>
    </xf>
    <xf numFmtId="188" fontId="64" fillId="2" borderId="0" xfId="0" applyNumberFormat="1" applyFont="1" applyFill="1" applyBorder="1" applyAlignment="1" applyProtection="1">
      <alignment horizontal="center" vertical="center" wrapText="1"/>
      <protection locked="0"/>
    </xf>
    <xf numFmtId="0" fontId="64" fillId="2" borderId="0" xfId="0" applyFont="1" applyFill="1" applyBorder="1" applyAlignment="1" applyProtection="1">
      <alignment horizontal="center" vertical="center"/>
      <protection locked="0"/>
    </xf>
    <xf numFmtId="0" fontId="64" fillId="2" borderId="119" xfId="0" applyFont="1" applyFill="1" applyBorder="1" applyAlignment="1" applyProtection="1">
      <alignment horizontal="center" vertical="center"/>
      <protection locked="0"/>
    </xf>
    <xf numFmtId="0" fontId="76" fillId="0" borderId="4" xfId="0" applyNumberFormat="1" applyFont="1" applyFill="1" applyBorder="1" applyAlignment="1" applyProtection="1">
      <alignment horizontal="center" vertical="center" wrapText="1"/>
      <protection locked="0"/>
    </xf>
    <xf numFmtId="188" fontId="65" fillId="2" borderId="0" xfId="0" applyNumberFormat="1" applyFont="1" applyFill="1" applyBorder="1" applyAlignment="1" applyProtection="1">
      <alignment horizontal="center" vertical="center" wrapText="1"/>
      <protection locked="0"/>
    </xf>
    <xf numFmtId="0" fontId="55" fillId="2" borderId="119" xfId="0" applyFont="1" applyFill="1" applyBorder="1" applyAlignment="1" applyProtection="1">
      <alignment horizontal="center" vertical="center"/>
      <protection locked="0"/>
    </xf>
    <xf numFmtId="188" fontId="66" fillId="2" borderId="0" xfId="0" applyNumberFormat="1" applyFont="1" applyFill="1" applyBorder="1" applyAlignment="1" applyProtection="1">
      <alignment horizontal="center" vertical="center" wrapText="1"/>
      <protection locked="0"/>
    </xf>
    <xf numFmtId="49" fontId="55" fillId="0" borderId="18" xfId="0" applyNumberFormat="1" applyFont="1" applyFill="1" applyBorder="1" applyAlignment="1" applyProtection="1">
      <alignment horizontal="center" vertical="center" wrapText="1"/>
      <protection locked="0"/>
    </xf>
    <xf numFmtId="49" fontId="55" fillId="0" borderId="27" xfId="0" applyNumberFormat="1" applyFont="1" applyFill="1" applyBorder="1" applyAlignment="1" applyProtection="1">
      <alignment horizontal="center" vertical="center" wrapText="1"/>
      <protection locked="0"/>
    </xf>
    <xf numFmtId="49" fontId="55" fillId="7" borderId="58" xfId="0" applyNumberFormat="1" applyFont="1" applyFill="1" applyBorder="1" applyAlignment="1" applyProtection="1">
      <alignment horizontal="center" vertical="center" wrapText="1"/>
      <protection locked="0"/>
    </xf>
    <xf numFmtId="0" fontId="76" fillId="2" borderId="4" xfId="0" applyNumberFormat="1" applyFont="1" applyFill="1" applyBorder="1" applyAlignment="1" applyProtection="1">
      <alignment horizontal="center" vertical="center" wrapText="1"/>
      <protection locked="0"/>
    </xf>
    <xf numFmtId="0" fontId="27" fillId="2" borderId="4" xfId="0" applyNumberFormat="1" applyFont="1" applyFill="1" applyBorder="1" applyAlignment="1" applyProtection="1">
      <alignment horizontal="center" vertical="center" wrapText="1"/>
    </xf>
    <xf numFmtId="0" fontId="27" fillId="0" borderId="4" xfId="0" applyNumberFormat="1" applyFont="1" applyFill="1" applyBorder="1" applyAlignment="1" applyProtection="1">
      <alignment horizontal="center" vertical="center" wrapText="1"/>
      <protection locked="0"/>
    </xf>
    <xf numFmtId="0" fontId="65" fillId="2" borderId="0" xfId="0" applyFont="1" applyFill="1" applyBorder="1" applyAlignment="1" applyProtection="1">
      <alignment horizontal="center" vertical="center"/>
      <protection locked="0"/>
    </xf>
    <xf numFmtId="0" fontId="65" fillId="2" borderId="119" xfId="0" applyFont="1" applyFill="1" applyBorder="1" applyAlignment="1" applyProtection="1">
      <alignment horizontal="center" vertical="center"/>
      <protection locked="0"/>
    </xf>
    <xf numFmtId="0" fontId="55" fillId="0" borderId="8" xfId="0" applyNumberFormat="1" applyFont="1" applyFill="1" applyBorder="1" applyAlignment="1" applyProtection="1">
      <alignment horizontal="center" vertical="center" wrapText="1"/>
      <protection locked="0"/>
    </xf>
    <xf numFmtId="0" fontId="77" fillId="2" borderId="4" xfId="0" applyNumberFormat="1" applyFont="1" applyFill="1" applyBorder="1" applyAlignment="1" applyProtection="1">
      <alignment horizontal="center" vertical="center" wrapText="1"/>
    </xf>
    <xf numFmtId="187" fontId="55" fillId="2" borderId="4" xfId="0" applyNumberFormat="1" applyFont="1" applyFill="1" applyBorder="1" applyAlignment="1" applyProtection="1">
      <alignment horizontal="center" vertical="center"/>
    </xf>
    <xf numFmtId="188" fontId="55" fillId="2" borderId="0" xfId="0" applyNumberFormat="1" applyFont="1" applyFill="1" applyBorder="1" applyAlignment="1" applyProtection="1">
      <alignment vertical="center" wrapText="1"/>
      <protection locked="0"/>
    </xf>
    <xf numFmtId="187" fontId="55" fillId="2" borderId="4" xfId="0" applyNumberFormat="1" applyFont="1" applyFill="1" applyBorder="1" applyAlignment="1" applyProtection="1">
      <alignment horizontal="center" vertical="center" wrapText="1"/>
    </xf>
    <xf numFmtId="187" fontId="55" fillId="2" borderId="1" xfId="0" applyNumberFormat="1" applyFont="1" applyFill="1" applyBorder="1" applyAlignment="1" applyProtection="1">
      <alignment horizontal="center" vertical="center" wrapText="1"/>
    </xf>
    <xf numFmtId="0" fontId="55" fillId="2" borderId="2" xfId="0" applyFont="1" applyFill="1" applyBorder="1" applyAlignment="1" applyProtection="1">
      <alignment horizontal="center" vertical="center" wrapText="1"/>
    </xf>
    <xf numFmtId="187" fontId="55" fillId="2" borderId="0" xfId="0" applyNumberFormat="1" applyFont="1" applyFill="1" applyAlignment="1" applyProtection="1">
      <alignment horizontal="center" vertical="center"/>
      <protection locked="0"/>
    </xf>
    <xf numFmtId="188" fontId="55" fillId="2" borderId="0" xfId="0" applyNumberFormat="1" applyFont="1" applyFill="1" applyAlignment="1" applyProtection="1">
      <alignment horizontal="center" vertical="center"/>
      <protection locked="0"/>
    </xf>
    <xf numFmtId="187" fontId="66" fillId="2" borderId="0" xfId="0" applyNumberFormat="1" applyFont="1" applyFill="1" applyAlignment="1" applyProtection="1">
      <alignment horizontal="center" vertical="center"/>
      <protection locked="0"/>
    </xf>
    <xf numFmtId="188" fontId="66" fillId="2" borderId="0" xfId="0" applyNumberFormat="1" applyFont="1" applyFill="1" applyAlignment="1" applyProtection="1">
      <alignment horizontal="center" vertical="center"/>
      <protection locked="0"/>
    </xf>
    <xf numFmtId="0" fontId="55" fillId="2" borderId="1" xfId="0" applyFont="1" applyFill="1" applyBorder="1" applyAlignment="1" applyProtection="1">
      <alignment horizontal="center" vertical="center"/>
    </xf>
    <xf numFmtId="0" fontId="78" fillId="2" borderId="0" xfId="0" applyFont="1" applyFill="1" applyAlignment="1" applyProtection="1">
      <alignment horizontal="left" vertical="center"/>
      <protection locked="0"/>
    </xf>
    <xf numFmtId="0" fontId="67" fillId="2" borderId="0" xfId="0" applyFont="1" applyFill="1" applyAlignment="1" applyProtection="1">
      <alignment horizontal="center" vertical="center"/>
      <protection locked="0"/>
    </xf>
    <xf numFmtId="0" fontId="7" fillId="0" borderId="1" xfId="0" applyFont="1" applyFill="1" applyBorder="1" applyAlignment="1" applyProtection="1">
      <alignment horizontal="center" vertical="center"/>
      <protection locked="0"/>
    </xf>
    <xf numFmtId="187" fontId="55" fillId="2" borderId="0" xfId="0" applyNumberFormat="1" applyFont="1" applyFill="1" applyBorder="1" applyAlignment="1" applyProtection="1">
      <alignment horizontal="center"/>
    </xf>
    <xf numFmtId="188" fontId="55" fillId="2" borderId="0" xfId="0" applyNumberFormat="1" applyFont="1" applyFill="1" applyBorder="1" applyAlignment="1" applyProtection="1"/>
    <xf numFmtId="0" fontId="55" fillId="2" borderId="0" xfId="0" applyFont="1" applyFill="1" applyBorder="1" applyAlignment="1" applyProtection="1">
      <protection locked="0"/>
    </xf>
    <xf numFmtId="0" fontId="55" fillId="0" borderId="0" xfId="0" applyFont="1" applyBorder="1" applyAlignment="1" applyProtection="1">
      <protection locked="0"/>
    </xf>
    <xf numFmtId="0" fontId="55" fillId="2" borderId="64" xfId="0" applyFont="1" applyFill="1" applyBorder="1" applyAlignment="1" applyProtection="1">
      <alignment horizontal="center" vertical="center"/>
    </xf>
    <xf numFmtId="192" fontId="61" fillId="2" borderId="2" xfId="0" applyNumberFormat="1" applyFont="1" applyFill="1" applyBorder="1" applyAlignment="1" applyProtection="1">
      <alignment horizontal="center" vertical="center"/>
    </xf>
    <xf numFmtId="49" fontId="61" fillId="2" borderId="4" xfId="0" applyNumberFormat="1" applyFont="1" applyFill="1" applyBorder="1" applyAlignment="1" applyProtection="1">
      <alignment horizontal="center" vertical="center"/>
    </xf>
    <xf numFmtId="0" fontId="61" fillId="2" borderId="64" xfId="0" applyFont="1" applyFill="1" applyBorder="1" applyAlignment="1" applyProtection="1">
      <alignment horizontal="center" vertical="center"/>
    </xf>
    <xf numFmtId="0" fontId="61" fillId="2" borderId="4" xfId="0" applyFont="1" applyFill="1" applyBorder="1" applyAlignment="1" applyProtection="1">
      <alignment horizontal="center" vertical="center"/>
    </xf>
    <xf numFmtId="0" fontId="61" fillId="2" borderId="1" xfId="0" applyFont="1" applyFill="1" applyBorder="1" applyAlignment="1" applyProtection="1">
      <alignment horizontal="center" vertical="center" wrapText="1"/>
    </xf>
    <xf numFmtId="192" fontId="55" fillId="2" borderId="2" xfId="0" applyNumberFormat="1" applyFont="1" applyFill="1" applyBorder="1" applyAlignment="1" applyProtection="1">
      <alignment horizontal="center" vertical="center"/>
    </xf>
    <xf numFmtId="49" fontId="55" fillId="2" borderId="4" xfId="0" applyNumberFormat="1" applyFont="1" applyFill="1" applyBorder="1" applyAlignment="1" applyProtection="1">
      <alignment horizontal="center" vertical="center"/>
    </xf>
    <xf numFmtId="192" fontId="65" fillId="2" borderId="2" xfId="0" applyNumberFormat="1" applyFont="1" applyFill="1" applyBorder="1" applyAlignment="1" applyProtection="1">
      <alignment horizontal="center" vertical="center"/>
    </xf>
    <xf numFmtId="49" fontId="65" fillId="2" borderId="4" xfId="0" applyNumberFormat="1" applyFont="1" applyFill="1" applyBorder="1" applyAlignment="1" applyProtection="1">
      <alignment horizontal="center" vertical="center"/>
    </xf>
    <xf numFmtId="0" fontId="65" fillId="2" borderId="64" xfId="0" applyFont="1" applyFill="1" applyBorder="1" applyAlignment="1" applyProtection="1">
      <alignment horizontal="center" vertical="center"/>
    </xf>
    <xf numFmtId="9" fontId="61" fillId="0" borderId="0" xfId="0" applyNumberFormat="1" applyFont="1" applyFill="1" applyBorder="1" applyAlignment="1" applyProtection="1">
      <alignment horizontal="center" vertical="center" wrapText="1"/>
      <protection locked="0"/>
    </xf>
    <xf numFmtId="0" fontId="63" fillId="2" borderId="0" xfId="0" applyFont="1" applyFill="1" applyBorder="1" applyAlignment="1" applyProtection="1">
      <alignment horizontal="center" vertical="center"/>
    </xf>
    <xf numFmtId="0" fontId="68" fillId="2" borderId="98" xfId="0" applyFont="1" applyFill="1" applyBorder="1" applyAlignment="1" applyProtection="1">
      <alignment horizontal="center" vertical="center"/>
    </xf>
    <xf numFmtId="0" fontId="63" fillId="2" borderId="0" xfId="0" applyFont="1" applyFill="1" applyAlignment="1" applyProtection="1">
      <alignment horizontal="center" vertical="center"/>
    </xf>
    <xf numFmtId="0" fontId="61" fillId="2" borderId="1" xfId="0" applyNumberFormat="1" applyFont="1" applyFill="1" applyBorder="1" applyAlignment="1" applyProtection="1">
      <alignment horizontal="center" vertical="center"/>
    </xf>
    <xf numFmtId="0" fontId="61" fillId="2" borderId="1" xfId="0" applyFont="1" applyFill="1" applyBorder="1" applyAlignment="1" applyProtection="1">
      <alignment horizontal="center" vertical="center"/>
    </xf>
    <xf numFmtId="0" fontId="55" fillId="2" borderId="1" xfId="0" applyNumberFormat="1" applyFont="1" applyFill="1" applyBorder="1" applyAlignment="1" applyProtection="1">
      <alignment horizontal="center" vertical="center"/>
    </xf>
    <xf numFmtId="0" fontId="65" fillId="2" borderId="1" xfId="0" applyFont="1" applyFill="1" applyBorder="1" applyAlignment="1" applyProtection="1">
      <alignment horizontal="center" vertical="center"/>
    </xf>
    <xf numFmtId="0" fontId="55" fillId="2" borderId="16" xfId="0" applyFont="1" applyFill="1" applyBorder="1" applyAlignment="1" applyProtection="1">
      <alignment vertical="center" textRotation="255" wrapText="1"/>
    </xf>
    <xf numFmtId="0" fontId="71" fillId="2" borderId="49" xfId="0" applyNumberFormat="1" applyFont="1" applyFill="1" applyBorder="1" applyAlignment="1" applyProtection="1">
      <alignment vertical="center"/>
    </xf>
    <xf numFmtId="0" fontId="71" fillId="2" borderId="113" xfId="0" applyNumberFormat="1" applyFont="1" applyFill="1" applyBorder="1" applyAlignment="1" applyProtection="1">
      <alignment vertical="center"/>
    </xf>
    <xf numFmtId="0" fontId="61" fillId="2" borderId="112" xfId="0" applyNumberFormat="1" applyFont="1" applyFill="1" applyBorder="1" applyAlignment="1" applyProtection="1">
      <alignment horizontal="center" vertical="center" wrapText="1"/>
    </xf>
    <xf numFmtId="0" fontId="71" fillId="2" borderId="41" xfId="0" applyNumberFormat="1" applyFont="1" applyFill="1" applyBorder="1" applyAlignment="1" applyProtection="1">
      <alignment horizontal="center" vertical="center" wrapText="1"/>
    </xf>
    <xf numFmtId="10" fontId="71" fillId="2" borderId="1" xfId="0" applyNumberFormat="1" applyFont="1" applyFill="1" applyBorder="1" applyAlignment="1" applyProtection="1">
      <alignment horizontal="center" vertical="center" wrapText="1"/>
    </xf>
    <xf numFmtId="0" fontId="61" fillId="0" borderId="1" xfId="0" applyNumberFormat="1" applyFont="1" applyFill="1" applyBorder="1" applyAlignment="1" applyProtection="1">
      <alignment horizontal="center" vertical="center" wrapText="1"/>
      <protection locked="0"/>
    </xf>
    <xf numFmtId="0" fontId="71" fillId="2" borderId="61" xfId="0" applyNumberFormat="1" applyFont="1" applyFill="1" applyBorder="1" applyAlignment="1" applyProtection="1">
      <alignment vertical="center"/>
    </xf>
    <xf numFmtId="0" fontId="71" fillId="2" borderId="68" xfId="0" applyNumberFormat="1" applyFont="1" applyFill="1" applyBorder="1" applyAlignment="1" applyProtection="1">
      <alignment vertical="center" wrapText="1"/>
    </xf>
    <xf numFmtId="0" fontId="61" fillId="0" borderId="68" xfId="0" applyNumberFormat="1" applyFont="1" applyFill="1" applyBorder="1" applyAlignment="1" applyProtection="1">
      <alignment horizontal="center" vertical="center" wrapText="1"/>
      <protection locked="0"/>
    </xf>
    <xf numFmtId="0" fontId="61" fillId="0" borderId="20" xfId="0" applyNumberFormat="1" applyFont="1" applyFill="1" applyBorder="1" applyAlignment="1" applyProtection="1">
      <alignment horizontal="center" vertical="center" wrapText="1"/>
      <protection locked="0"/>
    </xf>
    <xf numFmtId="0" fontId="71" fillId="2" borderId="50" xfId="0" applyNumberFormat="1" applyFont="1" applyFill="1" applyBorder="1" applyAlignment="1" applyProtection="1">
      <alignment vertical="center" wrapText="1"/>
    </xf>
    <xf numFmtId="0" fontId="71" fillId="2" borderId="119" xfId="0" applyNumberFormat="1" applyFont="1" applyFill="1" applyBorder="1" applyAlignment="1" applyProtection="1">
      <alignment vertical="center" wrapText="1"/>
    </xf>
    <xf numFmtId="0" fontId="61" fillId="2" borderId="108" xfId="0" applyNumberFormat="1" applyFont="1" applyFill="1" applyBorder="1" applyAlignment="1" applyProtection="1">
      <alignment horizontal="center" vertical="center" wrapText="1"/>
    </xf>
    <xf numFmtId="0" fontId="61" fillId="0" borderId="16" xfId="0" applyNumberFormat="1" applyFont="1" applyFill="1" applyBorder="1" applyAlignment="1" applyProtection="1">
      <alignment horizontal="center" vertical="center" wrapText="1"/>
      <protection locked="0"/>
    </xf>
    <xf numFmtId="0" fontId="61" fillId="2" borderId="111" xfId="0" applyNumberFormat="1" applyFont="1" applyFill="1" applyBorder="1" applyAlignment="1" applyProtection="1">
      <alignment horizontal="center" vertical="center" wrapText="1"/>
    </xf>
    <xf numFmtId="0" fontId="61" fillId="0" borderId="15" xfId="0" applyNumberFormat="1" applyFont="1" applyFill="1" applyBorder="1" applyAlignment="1" applyProtection="1">
      <alignment horizontal="center" vertical="center" wrapText="1"/>
      <protection locked="0"/>
    </xf>
    <xf numFmtId="0" fontId="56" fillId="2" borderId="18" xfId="0" applyNumberFormat="1" applyFont="1" applyFill="1" applyBorder="1" applyAlignment="1" applyProtection="1">
      <alignment vertical="center" wrapText="1"/>
    </xf>
    <xf numFmtId="0" fontId="61" fillId="2" borderId="35" xfId="0" applyNumberFormat="1" applyFont="1" applyFill="1" applyBorder="1" applyAlignment="1" applyProtection="1">
      <alignment horizontal="center" vertical="center" wrapText="1"/>
    </xf>
    <xf numFmtId="0" fontId="56" fillId="2" borderId="27" xfId="0" applyNumberFormat="1" applyFont="1" applyFill="1" applyBorder="1" applyAlignment="1" applyProtection="1">
      <alignment vertical="center" wrapText="1"/>
    </xf>
    <xf numFmtId="0" fontId="65" fillId="2" borderId="121" xfId="0" applyNumberFormat="1" applyFont="1" applyFill="1" applyBorder="1" applyAlignment="1" applyProtection="1">
      <alignment horizontal="center" vertical="center" wrapText="1"/>
    </xf>
    <xf numFmtId="0" fontId="55" fillId="0" borderId="6" xfId="0" applyNumberFormat="1" applyFont="1" applyFill="1" applyBorder="1" applyAlignment="1" applyProtection="1">
      <alignment horizontal="center" vertical="center" wrapText="1"/>
      <protection locked="0"/>
    </xf>
    <xf numFmtId="0" fontId="61" fillId="2" borderId="122" xfId="0" applyNumberFormat="1" applyFont="1" applyFill="1" applyBorder="1" applyAlignment="1" applyProtection="1">
      <alignment horizontal="center" vertical="center" wrapText="1"/>
    </xf>
    <xf numFmtId="0" fontId="55" fillId="2" borderId="123" xfId="0" applyNumberFormat="1" applyFont="1" applyFill="1" applyBorder="1" applyAlignment="1" applyProtection="1">
      <alignment horizontal="center" vertical="center" wrapText="1"/>
    </xf>
    <xf numFmtId="0" fontId="61" fillId="2" borderId="121" xfId="0" applyNumberFormat="1" applyFont="1" applyFill="1" applyBorder="1" applyAlignment="1" applyProtection="1">
      <alignment horizontal="center" vertical="center" wrapText="1"/>
    </xf>
    <xf numFmtId="0" fontId="55" fillId="2" borderId="6" xfId="0" applyNumberFormat="1" applyFont="1" applyFill="1" applyBorder="1" applyAlignment="1" applyProtection="1">
      <alignment horizontal="center" vertical="center" wrapText="1"/>
    </xf>
    <xf numFmtId="0" fontId="61" fillId="2" borderId="64" xfId="0" applyNumberFormat="1" applyFont="1" applyFill="1" applyBorder="1" applyAlignment="1" applyProtection="1">
      <alignment horizontal="center" vertical="center" wrapText="1"/>
    </xf>
    <xf numFmtId="0" fontId="55" fillId="2" borderId="16" xfId="0" applyNumberFormat="1" applyFont="1" applyFill="1" applyBorder="1" applyAlignment="1" applyProtection="1">
      <alignment horizontal="center" vertical="center" wrapText="1"/>
    </xf>
    <xf numFmtId="0" fontId="65" fillId="2" borderId="64" xfId="0" applyNumberFormat="1" applyFont="1" applyFill="1" applyBorder="1" applyAlignment="1" applyProtection="1">
      <alignment horizontal="center" vertical="center" wrapText="1"/>
    </xf>
    <xf numFmtId="0" fontId="73" fillId="2" borderId="27" xfId="0" applyNumberFormat="1" applyFont="1" applyFill="1" applyBorder="1" applyAlignment="1" applyProtection="1">
      <alignment vertical="center" wrapText="1"/>
    </xf>
    <xf numFmtId="0" fontId="61" fillId="0" borderId="123" xfId="0" applyNumberFormat="1" applyFont="1" applyFill="1" applyBorder="1" applyAlignment="1" applyProtection="1">
      <alignment horizontal="center" vertical="center" wrapText="1"/>
      <protection locked="0"/>
    </xf>
    <xf numFmtId="0" fontId="65" fillId="0" borderId="123" xfId="0" applyNumberFormat="1" applyFont="1" applyFill="1" applyBorder="1" applyAlignment="1" applyProtection="1">
      <alignment horizontal="center" vertical="center" wrapText="1"/>
      <protection locked="0"/>
    </xf>
    <xf numFmtId="0" fontId="61" fillId="0" borderId="6" xfId="0" applyNumberFormat="1" applyFont="1" applyFill="1" applyBorder="1" applyAlignment="1" applyProtection="1">
      <alignment horizontal="center" vertical="center" wrapText="1"/>
      <protection locked="0"/>
    </xf>
    <xf numFmtId="0" fontId="65" fillId="0" borderId="6"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center" vertical="center" wrapText="1"/>
      <protection locked="0"/>
    </xf>
    <xf numFmtId="0" fontId="73" fillId="2" borderId="110" xfId="0" applyNumberFormat="1" applyFont="1" applyFill="1" applyBorder="1" applyAlignment="1" applyProtection="1">
      <alignment vertical="center" wrapText="1"/>
    </xf>
    <xf numFmtId="0" fontId="61" fillId="2" borderId="20" xfId="0" applyNumberFormat="1" applyFont="1" applyFill="1" applyBorder="1" applyAlignment="1" applyProtection="1">
      <alignment horizontal="center" vertical="center" wrapText="1"/>
    </xf>
    <xf numFmtId="0" fontId="61" fillId="0" borderId="13" xfId="0" applyNumberFormat="1" applyFont="1" applyFill="1" applyBorder="1" applyAlignment="1" applyProtection="1">
      <alignment horizontal="center" vertical="center" wrapText="1"/>
      <protection locked="0"/>
    </xf>
    <xf numFmtId="0" fontId="65" fillId="0" borderId="13" xfId="0" applyNumberFormat="1" applyFont="1" applyFill="1" applyBorder="1" applyAlignment="1" applyProtection="1">
      <alignment horizontal="center" vertical="center" wrapText="1"/>
      <protection locked="0"/>
    </xf>
    <xf numFmtId="0" fontId="61" fillId="2" borderId="8" xfId="0" applyNumberFormat="1" applyFont="1" applyFill="1" applyBorder="1" applyAlignment="1" applyProtection="1">
      <alignment horizontal="center" vertical="center" wrapText="1"/>
    </xf>
    <xf numFmtId="0" fontId="55" fillId="2" borderId="8" xfId="0" applyNumberFormat="1" applyFont="1" applyFill="1" applyBorder="1" applyAlignment="1" applyProtection="1">
      <alignment horizontal="center" vertical="center" wrapText="1"/>
    </xf>
    <xf numFmtId="0" fontId="61" fillId="2" borderId="123" xfId="0" applyNumberFormat="1" applyFont="1" applyFill="1" applyBorder="1" applyAlignment="1" applyProtection="1">
      <alignment horizontal="center" vertical="center" wrapText="1"/>
    </xf>
    <xf numFmtId="0" fontId="71" fillId="2" borderId="27" xfId="0" applyNumberFormat="1" applyFont="1" applyFill="1" applyBorder="1" applyAlignment="1" applyProtection="1">
      <alignment vertical="center" wrapText="1"/>
    </xf>
    <xf numFmtId="0" fontId="61" fillId="2" borderId="6" xfId="0" applyNumberFormat="1" applyFont="1" applyFill="1" applyBorder="1" applyAlignment="1" applyProtection="1">
      <alignment horizontal="center" vertical="center" wrapText="1"/>
    </xf>
    <xf numFmtId="0" fontId="65" fillId="2" borderId="123" xfId="0" applyNumberFormat="1" applyFont="1" applyFill="1" applyBorder="1" applyAlignment="1" applyProtection="1">
      <alignment horizontal="center" vertical="center" wrapText="1"/>
    </xf>
    <xf numFmtId="0" fontId="65" fillId="2" borderId="6" xfId="0" applyNumberFormat="1" applyFont="1" applyFill="1" applyBorder="1" applyAlignment="1" applyProtection="1">
      <alignment horizontal="center" vertical="center" wrapText="1"/>
    </xf>
    <xf numFmtId="0" fontId="55" fillId="2" borderId="64" xfId="0" applyNumberFormat="1" applyFont="1" applyFill="1" applyBorder="1" applyAlignment="1" applyProtection="1">
      <alignment horizontal="center" vertical="center" wrapText="1"/>
    </xf>
    <xf numFmtId="0" fontId="55" fillId="0" borderId="123"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73" fillId="2" borderId="27" xfId="0" applyNumberFormat="1" applyFont="1" applyFill="1" applyBorder="1" applyAlignment="1" applyProtection="1">
      <alignment vertical="center" textRotation="255" wrapText="1"/>
    </xf>
    <xf numFmtId="0" fontId="61" fillId="2" borderId="50" xfId="0" applyNumberFormat="1" applyFont="1" applyFill="1" applyBorder="1" applyAlignment="1" applyProtection="1">
      <alignment horizontal="center" vertical="center"/>
    </xf>
    <xf numFmtId="0" fontId="55" fillId="0" borderId="15" xfId="0" applyNumberFormat="1" applyFont="1" applyFill="1" applyBorder="1" applyAlignment="1" applyProtection="1">
      <alignment horizontal="center" vertical="center" wrapText="1"/>
      <protection locked="0"/>
    </xf>
    <xf numFmtId="0" fontId="56" fillId="2" borderId="27" xfId="0" applyNumberFormat="1" applyFont="1" applyFill="1" applyBorder="1" applyAlignment="1" applyProtection="1">
      <alignment vertical="center" textRotation="255" wrapText="1"/>
    </xf>
    <xf numFmtId="0" fontId="65" fillId="2" borderId="20" xfId="0" applyNumberFormat="1" applyFont="1" applyFill="1" applyBorder="1" applyAlignment="1" applyProtection="1">
      <alignment horizontal="center" vertical="center" wrapText="1"/>
    </xf>
    <xf numFmtId="49" fontId="61" fillId="0" borderId="0" xfId="0" applyNumberFormat="1" applyFont="1" applyFill="1" applyBorder="1" applyAlignment="1" applyProtection="1">
      <alignment horizontal="center" vertical="center"/>
      <protection locked="0"/>
    </xf>
    <xf numFmtId="0" fontId="61" fillId="0" borderId="2" xfId="0" applyNumberFormat="1" applyFont="1" applyFill="1" applyBorder="1" applyAlignment="1" applyProtection="1">
      <alignment horizontal="center" vertical="center" wrapText="1"/>
      <protection locked="0"/>
    </xf>
    <xf numFmtId="0" fontId="61" fillId="0" borderId="11" xfId="0" applyNumberFormat="1" applyFont="1" applyFill="1" applyBorder="1" applyAlignment="1" applyProtection="1">
      <alignment horizontal="center" vertical="center" wrapText="1"/>
      <protection locked="0"/>
    </xf>
    <xf numFmtId="0" fontId="61" fillId="0" borderId="47" xfId="0" applyNumberFormat="1" applyFont="1" applyFill="1" applyBorder="1" applyAlignment="1" applyProtection="1">
      <alignment horizontal="center" vertical="center" wrapText="1"/>
      <protection locked="0"/>
    </xf>
    <xf numFmtId="0" fontId="61" fillId="0" borderId="114" xfId="0" applyNumberFormat="1" applyFont="1" applyFill="1" applyBorder="1" applyAlignment="1" applyProtection="1">
      <alignment horizontal="center" vertical="center" wrapText="1"/>
      <protection locked="0"/>
    </xf>
    <xf numFmtId="0" fontId="61" fillId="0" borderId="16" xfId="0" applyNumberFormat="1" applyFont="1" applyFill="1" applyBorder="1" applyAlignment="1" applyProtection="1">
      <alignment horizontal="left" vertical="center" wrapText="1"/>
      <protection locked="0"/>
    </xf>
    <xf numFmtId="0" fontId="61" fillId="0" borderId="28" xfId="0" applyNumberFormat="1" applyFont="1" applyFill="1" applyBorder="1" applyAlignment="1" applyProtection="1">
      <alignment horizontal="center" vertical="center" wrapText="1"/>
      <protection locked="0"/>
    </xf>
    <xf numFmtId="0" fontId="61" fillId="2" borderId="0"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vertical="center"/>
      <protection locked="0"/>
    </xf>
    <xf numFmtId="0" fontId="61" fillId="0" borderId="40" xfId="0" applyNumberFormat="1" applyFont="1" applyFill="1" applyBorder="1" applyAlignment="1" applyProtection="1">
      <alignment horizontal="center" vertical="center" wrapText="1"/>
      <protection locked="0"/>
    </xf>
    <xf numFmtId="0" fontId="66" fillId="0" borderId="8" xfId="0" applyNumberFormat="1" applyFont="1" applyFill="1" applyBorder="1" applyAlignment="1" applyProtection="1">
      <alignment horizontal="center" vertical="center" wrapText="1"/>
      <protection locked="0"/>
    </xf>
    <xf numFmtId="0" fontId="66" fillId="0" borderId="8" xfId="0" applyNumberFormat="1" applyFont="1" applyFill="1" applyBorder="1" applyAlignment="1" applyProtection="1">
      <alignment horizontal="left" vertical="center" wrapText="1"/>
      <protection locked="0"/>
    </xf>
    <xf numFmtId="0" fontId="66" fillId="0" borderId="9" xfId="0" applyNumberFormat="1" applyFont="1" applyFill="1" applyBorder="1" applyAlignment="1" applyProtection="1">
      <alignment horizontal="center" vertical="center" wrapText="1"/>
      <protection locked="0"/>
    </xf>
    <xf numFmtId="0" fontId="66" fillId="2" borderId="0" xfId="0" applyNumberFormat="1" applyFont="1" applyFill="1" applyBorder="1" applyAlignment="1" applyProtection="1">
      <alignment horizontal="center" vertical="center" wrapText="1"/>
      <protection locked="0"/>
    </xf>
    <xf numFmtId="0" fontId="61" fillId="0" borderId="0" xfId="0" applyFont="1" applyFill="1" applyBorder="1" applyAlignment="1" applyProtection="1">
      <alignment horizontal="center" vertical="center" wrapText="1"/>
      <protection locked="0"/>
    </xf>
    <xf numFmtId="0" fontId="55" fillId="0" borderId="124" xfId="0" applyNumberFormat="1" applyFont="1" applyFill="1" applyBorder="1" applyAlignment="1" applyProtection="1">
      <alignment horizontal="center" vertical="center" wrapText="1"/>
      <protection locked="0"/>
    </xf>
    <xf numFmtId="0" fontId="55" fillId="2" borderId="0" xfId="0" applyNumberFormat="1" applyFont="1" applyFill="1" applyBorder="1" applyAlignment="1" applyProtection="1">
      <alignment horizontal="center" vertical="center" wrapText="1"/>
      <protection locked="0"/>
    </xf>
    <xf numFmtId="0" fontId="66" fillId="2" borderId="123" xfId="0" applyNumberFormat="1" applyFont="1" applyFill="1" applyBorder="1" applyAlignment="1" applyProtection="1">
      <alignment horizontal="center" vertical="center" wrapText="1"/>
    </xf>
    <xf numFmtId="0" fontId="66" fillId="2" borderId="123" xfId="0" applyNumberFormat="1" applyFont="1" applyFill="1" applyBorder="1" applyAlignment="1" applyProtection="1">
      <alignment horizontal="left" vertical="center" wrapText="1"/>
    </xf>
    <xf numFmtId="0" fontId="66" fillId="2" borderId="125" xfId="0" applyNumberFormat="1" applyFont="1" applyFill="1" applyBorder="1" applyAlignment="1" applyProtection="1">
      <alignment horizontal="center" vertical="center" wrapText="1"/>
    </xf>
    <xf numFmtId="0" fontId="55" fillId="2" borderId="124" xfId="0" applyNumberFormat="1" applyFont="1" applyFill="1" applyBorder="1" applyAlignment="1" applyProtection="1">
      <alignment horizontal="center" vertical="center" wrapText="1"/>
    </xf>
    <xf numFmtId="0" fontId="66" fillId="0" borderId="1" xfId="0" applyNumberFormat="1" applyFont="1" applyFill="1" applyBorder="1" applyAlignment="1" applyProtection="1">
      <alignment horizontal="center" vertical="center" wrapText="1"/>
      <protection locked="0"/>
    </xf>
    <xf numFmtId="0" fontId="66" fillId="0" borderId="1" xfId="0" applyNumberFormat="1" applyFont="1" applyFill="1" applyBorder="1" applyAlignment="1" applyProtection="1">
      <alignment horizontal="left" vertical="center" wrapText="1"/>
      <protection locked="0"/>
    </xf>
    <xf numFmtId="0" fontId="66" fillId="0" borderId="11" xfId="0" applyNumberFormat="1" applyFont="1" applyFill="1" applyBorder="1" applyAlignment="1" applyProtection="1">
      <alignment horizontal="center" vertical="center" wrapText="1"/>
      <protection locked="0"/>
    </xf>
    <xf numFmtId="0" fontId="65" fillId="0" borderId="123" xfId="0" applyNumberFormat="1" applyFont="1" applyFill="1" applyBorder="1" applyAlignment="1" applyProtection="1">
      <alignment horizontal="left" vertical="center" wrapText="1"/>
      <protection locked="0"/>
    </xf>
    <xf numFmtId="0" fontId="65" fillId="0" borderId="125" xfId="0" applyNumberFormat="1" applyFont="1" applyFill="1" applyBorder="1" applyAlignment="1" applyProtection="1">
      <alignment horizontal="center" vertical="center" wrapText="1"/>
      <protection locked="0"/>
    </xf>
    <xf numFmtId="0" fontId="65" fillId="2" borderId="0" xfId="0" applyNumberFormat="1" applyFont="1" applyFill="1" applyBorder="1" applyAlignment="1" applyProtection="1">
      <alignment horizontal="center" vertical="center" wrapText="1"/>
      <protection locked="0"/>
    </xf>
    <xf numFmtId="0" fontId="65" fillId="0" borderId="0" xfId="0" applyFont="1" applyFill="1" applyBorder="1" applyAlignment="1" applyProtection="1">
      <alignment horizontal="center" vertical="center" wrapText="1"/>
      <protection locked="0"/>
    </xf>
    <xf numFmtId="0" fontId="65" fillId="0" borderId="0" xfId="0" applyFont="1" applyFill="1" applyBorder="1" applyAlignment="1" applyProtection="1">
      <alignment horizontal="center" vertical="center"/>
      <protection locked="0"/>
    </xf>
    <xf numFmtId="0" fontId="65" fillId="0" borderId="124"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left" vertical="center" wrapText="1"/>
      <protection locked="0"/>
    </xf>
    <xf numFmtId="0" fontId="65" fillId="0" borderId="28" xfId="0" applyNumberFormat="1" applyFont="1" applyFill="1" applyBorder="1" applyAlignment="1" applyProtection="1">
      <alignment horizontal="center" vertical="center" wrapText="1"/>
      <protection locked="0"/>
    </xf>
    <xf numFmtId="0" fontId="65" fillId="0" borderId="0" xfId="0" applyFont="1" applyFill="1" applyBorder="1" applyAlignment="1" applyProtection="1">
      <alignment vertical="center" wrapText="1"/>
      <protection locked="0"/>
    </xf>
    <xf numFmtId="0" fontId="65" fillId="0" borderId="14" xfId="0" applyNumberFormat="1" applyFont="1" applyFill="1" applyBorder="1" applyAlignment="1" applyProtection="1">
      <alignment horizontal="center" vertical="center" wrapText="1"/>
      <protection locked="0"/>
    </xf>
    <xf numFmtId="0" fontId="66" fillId="2" borderId="8" xfId="0" applyNumberFormat="1" applyFont="1" applyFill="1" applyBorder="1" applyAlignment="1" applyProtection="1">
      <alignment horizontal="center" vertical="center" wrapText="1"/>
    </xf>
    <xf numFmtId="0" fontId="66" fillId="2" borderId="8" xfId="0" applyNumberFormat="1" applyFont="1" applyFill="1" applyBorder="1" applyAlignment="1" applyProtection="1">
      <alignment horizontal="left" vertical="center" wrapText="1"/>
    </xf>
    <xf numFmtId="0" fontId="66" fillId="2" borderId="9" xfId="0" applyNumberFormat="1" applyFont="1" applyFill="1" applyBorder="1" applyAlignment="1" applyProtection="1">
      <alignment horizontal="center" vertical="center" wrapText="1"/>
    </xf>
    <xf numFmtId="0" fontId="61" fillId="0" borderId="0" xfId="0" applyFont="1" applyFill="1" applyBorder="1" applyAlignment="1" applyProtection="1">
      <alignment vertical="center" wrapText="1"/>
      <protection locked="0"/>
    </xf>
    <xf numFmtId="0" fontId="61" fillId="2" borderId="123" xfId="0" applyNumberFormat="1" applyFont="1" applyFill="1" applyBorder="1" applyAlignment="1" applyProtection="1">
      <alignment horizontal="left" vertical="center" wrapText="1"/>
    </xf>
    <xf numFmtId="0" fontId="61" fillId="2" borderId="125" xfId="0" applyNumberFormat="1" applyFont="1" applyFill="1" applyBorder="1" applyAlignment="1" applyProtection="1">
      <alignment horizontal="center" vertical="center" wrapText="1"/>
    </xf>
    <xf numFmtId="0" fontId="65" fillId="2" borderId="123" xfId="0" applyNumberFormat="1" applyFont="1" applyFill="1" applyBorder="1" applyAlignment="1" applyProtection="1">
      <alignment horizontal="left" vertical="center" wrapText="1"/>
    </xf>
    <xf numFmtId="0" fontId="65" fillId="2" borderId="125" xfId="0" applyNumberFormat="1" applyFont="1" applyFill="1" applyBorder="1" applyAlignment="1" applyProtection="1">
      <alignment horizontal="center" vertical="center" wrapText="1"/>
    </xf>
    <xf numFmtId="0" fontId="65" fillId="2" borderId="124" xfId="0" applyNumberFormat="1" applyFont="1" applyFill="1" applyBorder="1" applyAlignment="1" applyProtection="1">
      <alignment horizontal="center" vertical="center" wrapText="1"/>
    </xf>
    <xf numFmtId="0" fontId="65" fillId="2" borderId="43" xfId="0" applyNumberFormat="1" applyFont="1" applyFill="1" applyBorder="1" applyAlignment="1" applyProtection="1">
      <alignment horizontal="center" vertical="center" wrapText="1"/>
    </xf>
    <xf numFmtId="0" fontId="66" fillId="0" borderId="123" xfId="0" applyNumberFormat="1" applyFont="1" applyFill="1" applyBorder="1" applyAlignment="1" applyProtection="1">
      <alignment horizontal="center" vertical="center" wrapText="1"/>
      <protection locked="0"/>
    </xf>
    <xf numFmtId="0" fontId="66" fillId="0" borderId="123" xfId="0" applyNumberFormat="1" applyFont="1" applyFill="1" applyBorder="1" applyAlignment="1" applyProtection="1">
      <alignment horizontal="left" vertical="center" wrapText="1"/>
      <protection locked="0"/>
    </xf>
    <xf numFmtId="0" fontId="66" fillId="0" borderId="125"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left" vertical="center" wrapText="1"/>
      <protection locked="0"/>
    </xf>
    <xf numFmtId="0" fontId="66" fillId="0" borderId="28" xfId="0" applyNumberFormat="1" applyFont="1" applyFill="1" applyBorder="1" applyAlignment="1" applyProtection="1">
      <alignment horizontal="center" vertical="center" wrapText="1"/>
      <protection locked="0"/>
    </xf>
    <xf numFmtId="0" fontId="55" fillId="0" borderId="14" xfId="0" applyNumberFormat="1" applyFont="1" applyFill="1" applyBorder="1" applyAlignment="1" applyProtection="1">
      <alignment horizontal="center" vertical="center" wrapText="1"/>
      <protection locked="0"/>
    </xf>
    <xf numFmtId="0" fontId="65" fillId="0" borderId="1" xfId="0" applyNumberFormat="1" applyFont="1" applyFill="1" applyBorder="1" applyAlignment="1" applyProtection="1">
      <alignment horizontal="center" vertical="center" wrapText="1"/>
      <protection locked="0"/>
    </xf>
    <xf numFmtId="0" fontId="65" fillId="0" borderId="1" xfId="0" applyNumberFormat="1" applyFont="1" applyFill="1" applyBorder="1" applyAlignment="1" applyProtection="1">
      <alignment horizontal="left" vertical="center" wrapText="1"/>
      <protection locked="0"/>
    </xf>
    <xf numFmtId="0" fontId="65" fillId="0" borderId="11" xfId="0" applyNumberFormat="1" applyFont="1" applyFill="1" applyBorder="1" applyAlignment="1" applyProtection="1">
      <alignment horizontal="center" vertical="center" wrapText="1"/>
      <protection locked="0"/>
    </xf>
    <xf numFmtId="0" fontId="55" fillId="0" borderId="40" xfId="0" applyNumberFormat="1" applyFont="1" applyFill="1" applyBorder="1" applyAlignment="1" applyProtection="1">
      <alignment horizontal="center" vertical="center" wrapText="1"/>
      <protection locked="0"/>
    </xf>
    <xf numFmtId="0" fontId="47" fillId="2" borderId="8" xfId="0" applyNumberFormat="1" applyFont="1" applyFill="1" applyBorder="1" applyAlignment="1" applyProtection="1">
      <alignment horizontal="center" vertical="center" wrapText="1"/>
    </xf>
    <xf numFmtId="0" fontId="47" fillId="2" borderId="9" xfId="0" applyNumberFormat="1" applyFont="1" applyFill="1" applyBorder="1" applyAlignment="1" applyProtection="1">
      <alignment horizontal="center" vertical="center" wrapText="1"/>
    </xf>
    <xf numFmtId="9" fontId="65" fillId="0" borderId="0" xfId="0" applyNumberFormat="1" applyFont="1" applyFill="1" applyBorder="1" applyAlignment="1" applyProtection="1">
      <alignment horizontal="center" vertical="center" wrapText="1"/>
      <protection locked="0"/>
    </xf>
    <xf numFmtId="9" fontId="65" fillId="0" borderId="0" xfId="0" applyNumberFormat="1" applyFont="1" applyFill="1" applyBorder="1" applyAlignment="1" applyProtection="1">
      <alignment horizontal="center" vertical="center"/>
      <protection locked="0"/>
    </xf>
    <xf numFmtId="0" fontId="79" fillId="0" borderId="0" xfId="0" applyFont="1">
      <alignment vertical="center"/>
    </xf>
    <xf numFmtId="196" fontId="79" fillId="0" borderId="0" xfId="0" applyNumberFormat="1" applyFont="1" applyAlignment="1">
      <alignment vertical="center" wrapText="1"/>
    </xf>
    <xf numFmtId="0" fontId="79" fillId="0" borderId="0" xfId="0" applyNumberFormat="1" applyFont="1" applyAlignment="1">
      <alignment vertical="center" wrapText="1"/>
    </xf>
    <xf numFmtId="181" fontId="79" fillId="0" borderId="0" xfId="0" applyNumberFormat="1" applyFont="1" applyAlignment="1">
      <alignment vertical="center" wrapText="1"/>
    </xf>
    <xf numFmtId="196" fontId="79" fillId="0" borderId="7" xfId="0" applyNumberFormat="1" applyFont="1" applyBorder="1" applyAlignment="1">
      <alignment vertical="center" wrapText="1"/>
    </xf>
    <xf numFmtId="0" fontId="79" fillId="0" borderId="8" xfId="0" applyNumberFormat="1" applyFont="1" applyBorder="1" applyAlignment="1">
      <alignment vertical="center" wrapText="1"/>
    </xf>
    <xf numFmtId="196" fontId="79" fillId="0" borderId="8" xfId="0" applyNumberFormat="1" applyFont="1" applyBorder="1" applyAlignment="1">
      <alignment vertical="center" wrapText="1"/>
    </xf>
    <xf numFmtId="196" fontId="79" fillId="0" borderId="10" xfId="0" applyNumberFormat="1" applyFont="1" applyBorder="1" applyAlignment="1">
      <alignment vertical="center" wrapText="1"/>
    </xf>
    <xf numFmtId="0" fontId="79" fillId="0" borderId="1" xfId="0" applyNumberFormat="1" applyFont="1" applyBorder="1" applyAlignment="1">
      <alignment vertical="center" wrapText="1"/>
    </xf>
    <xf numFmtId="196" fontId="79" fillId="0" borderId="1" xfId="0" applyNumberFormat="1" applyFont="1" applyBorder="1" applyAlignment="1">
      <alignment vertical="center" wrapText="1"/>
    </xf>
    <xf numFmtId="196" fontId="79" fillId="13" borderId="10" xfId="0" applyNumberFormat="1" applyFont="1" applyFill="1" applyBorder="1" applyAlignment="1">
      <alignment vertical="center" wrapText="1"/>
    </xf>
    <xf numFmtId="0" fontId="79" fillId="13" borderId="1" xfId="0" applyNumberFormat="1" applyFont="1" applyFill="1" applyBorder="1" applyAlignment="1">
      <alignment vertical="center" wrapText="1"/>
    </xf>
    <xf numFmtId="196" fontId="79" fillId="13" borderId="1" xfId="0" applyNumberFormat="1" applyFont="1" applyFill="1" applyBorder="1" applyAlignment="1">
      <alignment vertical="center" wrapText="1"/>
    </xf>
    <xf numFmtId="196" fontId="79" fillId="0" borderId="51" xfId="0" applyNumberFormat="1" applyFont="1" applyBorder="1" applyAlignment="1">
      <alignment vertical="center" wrapText="1"/>
    </xf>
    <xf numFmtId="0" fontId="79" fillId="0" borderId="15" xfId="0" applyNumberFormat="1" applyFont="1" applyBorder="1" applyAlignment="1">
      <alignment vertical="center" wrapText="1"/>
    </xf>
    <xf numFmtId="196" fontId="79" fillId="0" borderId="15" xfId="0" applyNumberFormat="1" applyFont="1" applyBorder="1" applyAlignment="1">
      <alignment vertical="center" wrapText="1"/>
    </xf>
    <xf numFmtId="196" fontId="79" fillId="13" borderId="1" xfId="0" applyNumberFormat="1" applyFont="1" applyFill="1" applyBorder="1" applyAlignment="1">
      <alignment vertical="center" wrapText="1"/>
    </xf>
    <xf numFmtId="196" fontId="79" fillId="0" borderId="1" xfId="0" applyNumberFormat="1" applyFont="1" applyBorder="1" applyAlignment="1">
      <alignment vertical="center" wrapText="1"/>
    </xf>
    <xf numFmtId="196" fontId="79" fillId="13" borderId="51" xfId="0" applyNumberFormat="1" applyFont="1" applyFill="1" applyBorder="1" applyAlignment="1">
      <alignment vertical="center" wrapText="1"/>
    </xf>
    <xf numFmtId="0" fontId="79" fillId="13" borderId="15" xfId="0" applyNumberFormat="1" applyFont="1" applyFill="1" applyBorder="1" applyAlignment="1">
      <alignment vertical="center" wrapText="1"/>
    </xf>
    <xf numFmtId="196" fontId="79" fillId="13" borderId="15" xfId="0" applyNumberFormat="1" applyFont="1" applyFill="1" applyBorder="1" applyAlignment="1">
      <alignment vertical="center" wrapText="1"/>
    </xf>
    <xf numFmtId="196" fontId="79" fillId="13" borderId="7" xfId="0" applyNumberFormat="1" applyFont="1" applyFill="1" applyBorder="1" applyAlignment="1">
      <alignment vertical="center" wrapText="1"/>
    </xf>
    <xf numFmtId="0" fontId="79" fillId="13" borderId="8" xfId="0" applyNumberFormat="1" applyFont="1" applyFill="1" applyBorder="1" applyAlignment="1">
      <alignment vertical="center" wrapText="1"/>
    </xf>
    <xf numFmtId="196" fontId="79" fillId="13" borderId="8" xfId="0" applyNumberFormat="1" applyFont="1" applyFill="1" applyBorder="1" applyAlignment="1">
      <alignment vertical="center" wrapText="1"/>
    </xf>
    <xf numFmtId="196" fontId="79" fillId="13" borderId="10" xfId="0" applyNumberFormat="1" applyFont="1" applyFill="1" applyBorder="1" applyAlignment="1">
      <alignment vertical="center" wrapText="1"/>
    </xf>
    <xf numFmtId="196" fontId="79" fillId="0" borderId="10" xfId="0" applyNumberFormat="1" applyFont="1" applyBorder="1" applyAlignment="1">
      <alignment vertical="center" wrapText="1"/>
    </xf>
    <xf numFmtId="196" fontId="79" fillId="0" borderId="51" xfId="0" applyNumberFormat="1" applyFont="1" applyBorder="1" applyAlignment="1">
      <alignment vertical="center" wrapText="1"/>
    </xf>
    <xf numFmtId="196" fontId="79" fillId="0" borderId="7" xfId="0" applyNumberFormat="1" applyFont="1" applyBorder="1" applyAlignment="1">
      <alignment vertical="center" wrapText="1"/>
    </xf>
    <xf numFmtId="0" fontId="79" fillId="0" borderId="8" xfId="0" applyNumberFormat="1" applyFont="1" applyBorder="1" applyAlignment="1">
      <alignment vertical="center" wrapText="1"/>
    </xf>
    <xf numFmtId="181" fontId="79" fillId="0" borderId="8" xfId="0" applyNumberFormat="1" applyFont="1" applyBorder="1" applyAlignment="1">
      <alignment vertical="center" wrapText="1"/>
    </xf>
    <xf numFmtId="0" fontId="79" fillId="0" borderId="1" xfId="0" applyNumberFormat="1" applyFont="1" applyBorder="1" applyAlignment="1">
      <alignment vertical="center" wrapText="1"/>
    </xf>
    <xf numFmtId="181" fontId="79" fillId="0" borderId="1" xfId="0" applyNumberFormat="1" applyFont="1" applyBorder="1" applyAlignment="1">
      <alignment vertical="center" wrapText="1"/>
    </xf>
    <xf numFmtId="181" fontId="79" fillId="0" borderId="1" xfId="0" applyNumberFormat="1" applyFont="1" applyBorder="1" applyAlignment="1">
      <alignment vertical="center" wrapText="1"/>
    </xf>
    <xf numFmtId="181" fontId="79" fillId="13" borderId="1" xfId="0" applyNumberFormat="1" applyFont="1" applyFill="1" applyBorder="1" applyAlignment="1">
      <alignment vertical="center" wrapText="1"/>
    </xf>
    <xf numFmtId="0" fontId="79" fillId="0" borderId="15" xfId="0" applyNumberFormat="1" applyFont="1" applyBorder="1" applyAlignment="1">
      <alignment vertical="center" wrapText="1"/>
    </xf>
    <xf numFmtId="181" fontId="79" fillId="0" borderId="15" xfId="0" applyNumberFormat="1" applyFont="1" applyBorder="1" applyAlignment="1">
      <alignment vertical="center" wrapText="1"/>
    </xf>
    <xf numFmtId="0" fontId="79" fillId="13" borderId="1" xfId="0" applyNumberFormat="1" applyFont="1" applyFill="1" applyBorder="1" applyAlignment="1">
      <alignment vertical="center" wrapText="1"/>
    </xf>
    <xf numFmtId="181" fontId="79" fillId="13" borderId="15" xfId="0" applyNumberFormat="1" applyFont="1" applyFill="1" applyBorder="1" applyAlignment="1">
      <alignment vertical="center" wrapText="1"/>
    </xf>
    <xf numFmtId="181" fontId="79" fillId="13" borderId="8" xfId="0" applyNumberFormat="1" applyFont="1" applyFill="1" applyBorder="1" applyAlignment="1">
      <alignment vertical="center" wrapText="1"/>
    </xf>
    <xf numFmtId="196" fontId="79" fillId="0" borderId="9" xfId="0" applyNumberFormat="1" applyFont="1" applyBorder="1" applyAlignment="1">
      <alignment vertical="center" wrapText="1"/>
    </xf>
    <xf numFmtId="196" fontId="79" fillId="0" borderId="11" xfId="0" applyNumberFormat="1" applyFont="1" applyBorder="1" applyAlignment="1">
      <alignment vertical="center" wrapText="1"/>
    </xf>
    <xf numFmtId="196" fontId="79" fillId="13" borderId="11" xfId="0" applyNumberFormat="1" applyFont="1" applyFill="1" applyBorder="1" applyAlignment="1">
      <alignment vertical="center" wrapText="1"/>
    </xf>
    <xf numFmtId="196" fontId="79" fillId="0" borderId="11" xfId="0" applyNumberFormat="1" applyFont="1" applyBorder="1" applyAlignment="1">
      <alignment vertical="center" wrapText="1"/>
    </xf>
    <xf numFmtId="196" fontId="79" fillId="0" borderId="40" xfId="0" applyNumberFormat="1" applyFont="1" applyBorder="1" applyAlignment="1">
      <alignment vertical="center" wrapText="1"/>
    </xf>
    <xf numFmtId="196" fontId="79" fillId="13" borderId="11" xfId="0" applyNumberFormat="1" applyFont="1" applyFill="1" applyBorder="1" applyAlignment="1">
      <alignment vertical="center" wrapText="1"/>
    </xf>
    <xf numFmtId="196" fontId="79" fillId="13" borderId="40" xfId="0" applyNumberFormat="1" applyFont="1" applyFill="1" applyBorder="1" applyAlignment="1">
      <alignment vertical="center" wrapText="1"/>
    </xf>
    <xf numFmtId="196" fontId="79" fillId="13" borderId="9" xfId="0" applyNumberFormat="1" applyFont="1" applyFill="1" applyBorder="1" applyAlignment="1">
      <alignment vertical="center" wrapText="1"/>
    </xf>
    <xf numFmtId="0" fontId="83" fillId="0" borderId="16" xfId="0" applyFont="1" applyFill="1" applyBorder="1" applyAlignment="1">
      <alignment horizontal="center" vertical="center" wrapText="1"/>
    </xf>
    <xf numFmtId="0" fontId="83" fillId="0" borderId="1" xfId="0" applyFont="1" applyFill="1" applyBorder="1" applyAlignment="1">
      <alignment horizontal="center" vertical="center" wrapText="1"/>
    </xf>
    <xf numFmtId="0" fontId="85" fillId="0" borderId="1" xfId="0" applyFont="1" applyFill="1" applyBorder="1" applyAlignment="1">
      <alignment horizontal="center" vertical="center" wrapText="1"/>
    </xf>
    <xf numFmtId="0" fontId="86" fillId="0" borderId="1" xfId="0" applyFont="1" applyFill="1" applyBorder="1" applyAlignment="1">
      <alignment horizontal="center" vertical="center" wrapText="1"/>
    </xf>
    <xf numFmtId="0" fontId="83" fillId="0" borderId="1" xfId="0" applyFont="1" applyFill="1" applyBorder="1" applyAlignment="1">
      <alignment horizontal="center" vertical="center"/>
    </xf>
    <xf numFmtId="0" fontId="83" fillId="0" borderId="1" xfId="0" applyNumberFormat="1" applyFont="1" applyFill="1" applyBorder="1" applyAlignment="1">
      <alignment horizontal="center" vertical="center"/>
    </xf>
    <xf numFmtId="0" fontId="85" fillId="14" borderId="1" xfId="0" applyFont="1" applyFill="1" applyBorder="1" applyAlignment="1">
      <alignment horizontal="center" vertical="center" wrapText="1"/>
    </xf>
    <xf numFmtId="0" fontId="83" fillId="14" borderId="1" xfId="0" applyFont="1" applyFill="1" applyBorder="1" applyAlignment="1">
      <alignment horizontal="center" vertical="center" wrapText="1"/>
    </xf>
    <xf numFmtId="0" fontId="83" fillId="14" borderId="1" xfId="6" applyFont="1" applyFill="1" applyBorder="1" applyAlignment="1">
      <alignment horizontal="center" vertical="center"/>
    </xf>
    <xf numFmtId="0" fontId="83" fillId="14" borderId="1" xfId="6" applyFont="1" applyFill="1" applyBorder="1" applyAlignment="1">
      <alignment horizontal="center" vertical="center" wrapText="1"/>
    </xf>
    <xf numFmtId="0" fontId="83" fillId="3" borderId="1" xfId="0" applyFont="1" applyFill="1" applyBorder="1" applyAlignment="1">
      <alignment horizontal="center" vertical="center"/>
    </xf>
    <xf numFmtId="0" fontId="83" fillId="3" borderId="1" xfId="1" applyNumberFormat="1" applyFont="1" applyFill="1" applyBorder="1" applyAlignment="1">
      <alignment horizontal="center" vertical="center" wrapText="1"/>
    </xf>
    <xf numFmtId="182" fontId="83" fillId="0" borderId="1" xfId="6" applyNumberFormat="1" applyFont="1" applyFill="1" applyBorder="1" applyAlignment="1">
      <alignment horizontal="center" vertical="center" wrapText="1"/>
    </xf>
    <xf numFmtId="0" fontId="83" fillId="0" borderId="1" xfId="6" applyFont="1" applyFill="1" applyBorder="1" applyAlignment="1">
      <alignment horizontal="center" vertical="center" wrapText="1"/>
    </xf>
    <xf numFmtId="182" fontId="83" fillId="14" borderId="1" xfId="6" applyNumberFormat="1" applyFont="1" applyFill="1" applyBorder="1" applyAlignment="1">
      <alignment horizontal="center" vertical="center" wrapText="1"/>
    </xf>
    <xf numFmtId="0" fontId="83" fillId="14" borderId="1" xfId="0" applyFont="1" applyFill="1" applyBorder="1" applyAlignment="1">
      <alignment horizontal="center" vertical="center"/>
    </xf>
    <xf numFmtId="182" fontId="83" fillId="3" borderId="1" xfId="6" applyNumberFormat="1" applyFont="1" applyFill="1" applyBorder="1" applyAlignment="1">
      <alignment horizontal="center" vertical="center" wrapText="1"/>
    </xf>
    <xf numFmtId="177" fontId="0" fillId="3" borderId="1" xfId="0" applyNumberFormat="1" applyFont="1" applyFill="1" applyBorder="1" applyAlignment="1">
      <alignment horizontal="center" vertical="center" wrapText="1"/>
    </xf>
    <xf numFmtId="177" fontId="0" fillId="3" borderId="1" xfId="0" applyNumberFormat="1" applyFont="1" applyFill="1" applyBorder="1" applyAlignment="1">
      <alignment vertical="center" wrapText="1"/>
    </xf>
    <xf numFmtId="0" fontId="0" fillId="0" borderId="1" xfId="0" applyFont="1" applyFill="1" applyBorder="1" applyAlignment="1">
      <alignment horizontal="center" vertical="center"/>
    </xf>
    <xf numFmtId="0" fontId="83" fillId="3" borderId="1" xfId="0" applyFont="1" applyFill="1" applyBorder="1" applyAlignment="1">
      <alignment horizontal="center" vertical="center" wrapText="1"/>
    </xf>
    <xf numFmtId="0" fontId="83" fillId="3" borderId="1" xfId="6" applyFont="1" applyFill="1" applyBorder="1" applyAlignment="1">
      <alignment horizontal="center" vertical="center" wrapText="1"/>
    </xf>
    <xf numFmtId="0" fontId="87" fillId="0" borderId="1" xfId="0" applyFont="1" applyFill="1" applyBorder="1" applyAlignment="1">
      <alignment horizontal="center" vertical="center" wrapText="1"/>
    </xf>
    <xf numFmtId="0" fontId="89" fillId="0" borderId="1" xfId="0" applyFont="1" applyFill="1" applyBorder="1" applyAlignment="1">
      <alignment horizontal="center" vertical="center" wrapText="1"/>
    </xf>
    <xf numFmtId="0" fontId="85" fillId="3" borderId="1" xfId="0" applyFont="1" applyFill="1" applyBorder="1" applyAlignment="1">
      <alignment horizontal="center" vertical="center" wrapText="1"/>
    </xf>
    <xf numFmtId="0" fontId="83" fillId="0" borderId="1" xfId="6" applyFont="1" applyFill="1" applyBorder="1" applyAlignment="1">
      <alignment horizontal="center" vertical="center"/>
    </xf>
    <xf numFmtId="0" fontId="83" fillId="0" borderId="1" xfId="6" applyNumberFormat="1" applyFont="1" applyFill="1" applyBorder="1" applyAlignment="1">
      <alignment horizontal="center" vertical="center"/>
    </xf>
    <xf numFmtId="0" fontId="83" fillId="0" borderId="1" xfId="0" applyNumberFormat="1" applyFont="1" applyFill="1" applyBorder="1" applyAlignment="1">
      <alignment horizontal="center" vertical="center" wrapText="1"/>
    </xf>
    <xf numFmtId="0" fontId="83" fillId="16" borderId="1" xfId="0" applyFont="1" applyFill="1" applyBorder="1" applyAlignment="1">
      <alignment horizontal="center" vertical="center"/>
    </xf>
    <xf numFmtId="182" fontId="83" fillId="16" borderId="1" xfId="6" applyNumberFormat="1" applyFont="1" applyFill="1" applyBorder="1" applyAlignment="1">
      <alignment horizontal="center" vertical="center" wrapText="1"/>
    </xf>
    <xf numFmtId="0" fontId="85" fillId="16" borderId="1" xfId="0" applyFont="1" applyFill="1" applyBorder="1" applyAlignment="1">
      <alignment horizontal="center" vertical="center" wrapText="1"/>
    </xf>
    <xf numFmtId="0" fontId="84" fillId="0" borderId="0" xfId="0" applyFont="1" applyFill="1" applyAlignment="1">
      <alignment vertical="center"/>
    </xf>
    <xf numFmtId="0" fontId="28" fillId="2" borderId="0" xfId="0" applyFont="1" applyFill="1" applyBorder="1" applyAlignment="1" applyProtection="1">
      <alignment vertical="center"/>
      <protection locked="0"/>
    </xf>
    <xf numFmtId="49" fontId="61" fillId="0" borderId="58" xfId="0" applyNumberFormat="1" applyFont="1" applyFill="1" applyBorder="1" applyAlignment="1" applyProtection="1">
      <alignment horizontal="center" vertical="center" wrapText="1"/>
      <protection locked="0"/>
    </xf>
    <xf numFmtId="49" fontId="61" fillId="0" borderId="108" xfId="0" applyNumberFormat="1" applyFont="1" applyFill="1" applyBorder="1" applyAlignment="1" applyProtection="1">
      <alignment horizontal="center" vertical="center" wrapText="1"/>
      <protection locked="0"/>
    </xf>
    <xf numFmtId="0" fontId="61" fillId="2" borderId="17" xfId="0" applyFont="1" applyFill="1" applyBorder="1" applyAlignment="1" applyProtection="1">
      <alignment horizontal="center" vertical="center" wrapText="1"/>
    </xf>
    <xf numFmtId="49" fontId="55" fillId="2" borderId="18" xfId="0" applyNumberFormat="1"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xf>
    <xf numFmtId="0" fontId="61" fillId="2" borderId="48" xfId="0" applyFont="1" applyFill="1" applyBorder="1" applyAlignment="1" applyProtection="1">
      <alignment horizontal="center" vertical="center" wrapText="1"/>
    </xf>
    <xf numFmtId="0" fontId="55" fillId="7" borderId="27" xfId="0" applyNumberFormat="1" applyFont="1" applyFill="1" applyBorder="1" applyAlignment="1" applyProtection="1">
      <alignment horizontal="center" vertical="center" wrapText="1"/>
      <protection locked="0"/>
    </xf>
    <xf numFmtId="49" fontId="55" fillId="7" borderId="119" xfId="0" applyNumberFormat="1" applyFont="1" applyFill="1" applyBorder="1" applyAlignment="1" applyProtection="1">
      <alignment horizontal="center" vertical="center" wrapText="1"/>
      <protection locked="0"/>
    </xf>
    <xf numFmtId="49" fontId="55" fillId="0" borderId="111" xfId="0" applyNumberFormat="1" applyFont="1" applyFill="1" applyBorder="1" applyAlignment="1" applyProtection="1">
      <alignment horizontal="center" vertical="center" wrapText="1"/>
      <protection locked="0"/>
    </xf>
    <xf numFmtId="0" fontId="61" fillId="2" borderId="50" xfId="0" applyFont="1" applyFill="1" applyBorder="1" applyAlignment="1" applyProtection="1">
      <alignment horizontal="center" vertical="center" wrapText="1"/>
    </xf>
    <xf numFmtId="0" fontId="61" fillId="0" borderId="2" xfId="0" applyFont="1" applyFill="1" applyBorder="1" applyAlignment="1" applyProtection="1">
      <alignment horizontal="center" vertical="center" wrapText="1"/>
      <protection locked="0"/>
    </xf>
    <xf numFmtId="0" fontId="65" fillId="0" borderId="33" xfId="0" applyFont="1" applyFill="1" applyBorder="1" applyAlignment="1" applyProtection="1">
      <alignment horizontal="center" vertical="center"/>
      <protection locked="0"/>
    </xf>
    <xf numFmtId="0" fontId="65" fillId="2" borderId="14" xfId="0" applyNumberFormat="1" applyFont="1" applyFill="1" applyBorder="1" applyAlignment="1" applyProtection="1">
      <alignment horizontal="center" vertical="center" wrapText="1"/>
    </xf>
    <xf numFmtId="0" fontId="55" fillId="2" borderId="32" xfId="0" applyFont="1" applyFill="1" applyBorder="1" applyAlignment="1" applyProtection="1">
      <alignment horizontal="center" vertical="center"/>
    </xf>
    <xf numFmtId="182" fontId="30" fillId="2" borderId="2" xfId="10" applyNumberFormat="1" applyFont="1" applyFill="1" applyBorder="1" applyAlignment="1" applyProtection="1">
      <alignment horizontal="center"/>
    </xf>
    <xf numFmtId="49" fontId="55" fillId="7" borderId="27" xfId="0" applyNumberFormat="1" applyFont="1" applyFill="1" applyBorder="1" applyAlignment="1" applyProtection="1">
      <alignment horizontal="center" vertical="center" wrapText="1"/>
      <protection locked="0"/>
    </xf>
    <xf numFmtId="49" fontId="55" fillId="0" borderId="51" xfId="0" applyNumberFormat="1" applyFont="1" applyFill="1" applyBorder="1" applyAlignment="1" applyProtection="1">
      <alignment horizontal="center" vertical="center" wrapText="1"/>
      <protection locked="0"/>
    </xf>
    <xf numFmtId="0" fontId="47" fillId="2" borderId="9" xfId="0" applyFont="1" applyFill="1" applyBorder="1" applyAlignment="1" applyProtection="1">
      <alignment horizontal="center" vertical="center"/>
    </xf>
    <xf numFmtId="0" fontId="47" fillId="2" borderId="59" xfId="0" applyFont="1" applyFill="1" applyBorder="1" applyAlignment="1" applyProtection="1">
      <alignment horizontal="center" vertical="center"/>
    </xf>
    <xf numFmtId="0" fontId="7" fillId="2" borderId="11" xfId="0" applyFont="1" applyFill="1" applyBorder="1" applyAlignment="1" applyProtection="1">
      <alignment horizontal="center" vertical="center"/>
    </xf>
    <xf numFmtId="0" fontId="7" fillId="2" borderId="126" xfId="0" applyFont="1" applyFill="1" applyBorder="1" applyAlignment="1" applyProtection="1">
      <alignment horizontal="center" vertical="center"/>
    </xf>
    <xf numFmtId="0" fontId="7" fillId="0" borderId="126" xfId="0" applyFont="1" applyFill="1" applyBorder="1" applyAlignment="1" applyProtection="1">
      <alignment horizontal="center" vertical="center"/>
      <protection locked="0"/>
    </xf>
    <xf numFmtId="0" fontId="63" fillId="0" borderId="0" xfId="0" applyFont="1" applyFill="1" applyBorder="1" applyAlignment="1" applyProtection="1">
      <alignment horizontal="center" vertical="center"/>
      <protection locked="0"/>
    </xf>
    <xf numFmtId="0" fontId="30" fillId="2" borderId="0" xfId="0" applyFont="1" applyFill="1" applyAlignment="1" applyProtection="1"/>
    <xf numFmtId="0" fontId="71" fillId="3" borderId="10" xfId="0" applyNumberFormat="1" applyFont="1" applyFill="1" applyBorder="1" applyAlignment="1" applyProtection="1">
      <alignment horizontal="center" vertical="center" wrapText="1"/>
      <protection locked="0"/>
    </xf>
    <xf numFmtId="0" fontId="7" fillId="2" borderId="14" xfId="0" applyFont="1" applyFill="1" applyBorder="1" applyAlignment="1" applyProtection="1">
      <alignment horizontal="center" vertical="center"/>
    </xf>
    <xf numFmtId="0" fontId="7" fillId="0" borderId="60" xfId="0" applyFont="1" applyFill="1" applyBorder="1" applyAlignment="1" applyProtection="1">
      <alignment horizontal="center" vertical="center"/>
      <protection locked="0"/>
    </xf>
    <xf numFmtId="187" fontId="55" fillId="2" borderId="0" xfId="0" applyNumberFormat="1" applyFont="1" applyFill="1" applyBorder="1" applyAlignment="1" applyProtection="1">
      <alignment horizontal="center"/>
      <protection locked="0"/>
    </xf>
    <xf numFmtId="188" fontId="55" fillId="2" borderId="0" xfId="0" applyNumberFormat="1" applyFont="1" applyFill="1" applyBorder="1" applyAlignment="1" applyProtection="1">
      <protection locked="0"/>
    </xf>
    <xf numFmtId="0" fontId="61" fillId="0" borderId="22" xfId="0" applyNumberFormat="1" applyFont="1" applyFill="1" applyBorder="1" applyAlignment="1" applyProtection="1">
      <alignment horizontal="center" vertical="center" wrapText="1"/>
      <protection locked="0"/>
    </xf>
    <xf numFmtId="0" fontId="63" fillId="0" borderId="5" xfId="0" applyFont="1" applyFill="1" applyBorder="1" applyAlignment="1" applyProtection="1">
      <alignment horizontal="center" vertical="center"/>
      <protection locked="0"/>
    </xf>
    <xf numFmtId="0" fontId="31" fillId="2" borderId="127" xfId="0" applyFont="1" applyFill="1" applyBorder="1" applyAlignment="1" applyProtection="1">
      <alignment vertical="center"/>
    </xf>
    <xf numFmtId="0" fontId="68" fillId="7" borderId="128" xfId="0" applyFont="1" applyFill="1" applyBorder="1" applyAlignment="1" applyProtection="1">
      <alignment horizontal="right" vertical="center"/>
      <protection locked="0"/>
    </xf>
    <xf numFmtId="0" fontId="68" fillId="2" borderId="5" xfId="0" applyFont="1" applyFill="1" applyBorder="1" applyAlignment="1" applyProtection="1">
      <alignment horizontal="center" vertical="center"/>
    </xf>
    <xf numFmtId="0" fontId="68" fillId="7" borderId="128" xfId="0" applyFont="1" applyFill="1" applyBorder="1" applyAlignment="1" applyProtection="1">
      <alignment vertical="center"/>
      <protection locked="0"/>
    </xf>
    <xf numFmtId="0" fontId="68" fillId="2" borderId="128" xfId="0" applyFont="1" applyFill="1" applyBorder="1" applyAlignment="1" applyProtection="1">
      <alignment vertical="center"/>
    </xf>
    <xf numFmtId="0" fontId="68" fillId="3" borderId="6" xfId="0" applyFont="1" applyFill="1" applyBorder="1" applyAlignment="1" applyProtection="1">
      <alignment horizontal="center" vertical="center"/>
      <protection locked="0"/>
    </xf>
    <xf numFmtId="0" fontId="69" fillId="2" borderId="128" xfId="0" applyFont="1" applyFill="1" applyBorder="1" applyAlignment="1" applyProtection="1">
      <alignment vertical="center"/>
    </xf>
    <xf numFmtId="0" fontId="28" fillId="2" borderId="16" xfId="10" applyFont="1" applyFill="1" applyBorder="1" applyAlignment="1" applyProtection="1">
      <alignment vertical="center"/>
    </xf>
    <xf numFmtId="0" fontId="28" fillId="2" borderId="16" xfId="0" applyFont="1" applyFill="1" applyBorder="1" applyAlignment="1" applyProtection="1">
      <alignment horizontal="right" vertical="center"/>
    </xf>
    <xf numFmtId="0" fontId="29" fillId="3" borderId="34" xfId="10" applyFont="1" applyFill="1" applyBorder="1" applyAlignment="1" applyProtection="1">
      <alignment vertical="center"/>
      <protection locked="0"/>
    </xf>
    <xf numFmtId="0" fontId="28" fillId="2" borderId="108" xfId="10" applyFont="1" applyFill="1" applyBorder="1" applyAlignment="1" applyProtection="1">
      <alignment vertical="center"/>
      <protection locked="0"/>
    </xf>
    <xf numFmtId="0" fontId="28" fillId="3" borderId="16" xfId="10" applyFont="1" applyFill="1" applyBorder="1" applyAlignment="1" applyProtection="1">
      <alignment vertical="center"/>
      <protection locked="0"/>
    </xf>
    <xf numFmtId="0" fontId="28" fillId="2" borderId="15" xfId="0" applyFont="1" applyFill="1" applyBorder="1" applyAlignment="1" applyProtection="1">
      <alignment horizontal="center" vertical="center"/>
    </xf>
    <xf numFmtId="0" fontId="28" fillId="2" borderId="15" xfId="0" applyFont="1" applyFill="1" applyBorder="1" applyAlignment="1" applyProtection="1">
      <alignment horizontal="right" vertical="center"/>
    </xf>
    <xf numFmtId="0" fontId="61" fillId="0" borderId="37" xfId="0" applyNumberFormat="1" applyFont="1" applyFill="1" applyBorder="1" applyAlignment="1" applyProtection="1">
      <alignment horizontal="center" vertical="center" wrapText="1"/>
      <protection locked="0"/>
    </xf>
    <xf numFmtId="49" fontId="61" fillId="7" borderId="7" xfId="0" applyNumberFormat="1" applyFont="1" applyFill="1" applyBorder="1" applyAlignment="1" applyProtection="1">
      <alignment horizontal="center" vertical="center" wrapText="1"/>
      <protection locked="0"/>
    </xf>
    <xf numFmtId="0" fontId="61" fillId="2" borderId="32" xfId="0" applyNumberFormat="1" applyFont="1" applyFill="1" applyBorder="1" applyAlignment="1" applyProtection="1">
      <alignment horizontal="center" vertical="center" wrapText="1"/>
    </xf>
    <xf numFmtId="49" fontId="61" fillId="7" borderId="10" xfId="0" applyNumberFormat="1" applyFont="1" applyFill="1" applyBorder="1" applyAlignment="1" applyProtection="1">
      <alignment horizontal="center" vertical="center" wrapText="1"/>
      <protection locked="0"/>
    </xf>
    <xf numFmtId="0" fontId="61" fillId="2" borderId="2" xfId="0" applyNumberFormat="1" applyFont="1" applyFill="1" applyBorder="1" applyAlignment="1" applyProtection="1">
      <alignment horizontal="center" vertical="center" wrapText="1"/>
    </xf>
    <xf numFmtId="0" fontId="61" fillId="0" borderId="41" xfId="0" applyNumberFormat="1" applyFont="1" applyFill="1" applyBorder="1" applyAlignment="1" applyProtection="1">
      <alignment horizontal="center" vertical="center" wrapText="1"/>
      <protection locked="0"/>
    </xf>
    <xf numFmtId="0" fontId="61" fillId="0" borderId="44" xfId="0" applyNumberFormat="1" applyFont="1" applyFill="1" applyBorder="1" applyAlignment="1" applyProtection="1">
      <alignment horizontal="center" vertical="center" wrapText="1"/>
      <protection locked="0"/>
    </xf>
    <xf numFmtId="0" fontId="55" fillId="2" borderId="17" xfId="0" applyNumberFormat="1" applyFont="1" applyFill="1" applyBorder="1" applyAlignment="1" applyProtection="1">
      <alignment horizontal="center" vertical="center" wrapText="1"/>
    </xf>
    <xf numFmtId="0" fontId="55" fillId="2" borderId="34" xfId="0" applyNumberFormat="1" applyFont="1" applyFill="1" applyBorder="1" applyAlignment="1" applyProtection="1">
      <alignment horizontal="center" vertical="center" wrapText="1"/>
    </xf>
    <xf numFmtId="0" fontId="55" fillId="2" borderId="48" xfId="0" applyNumberFormat="1" applyFont="1" applyFill="1" applyBorder="1" applyAlignment="1" applyProtection="1">
      <alignment horizontal="center" vertical="center" wrapText="1"/>
    </xf>
    <xf numFmtId="0" fontId="55" fillId="2" borderId="50" xfId="0" applyNumberFormat="1" applyFont="1" applyFill="1" applyBorder="1" applyAlignment="1" applyProtection="1">
      <alignment horizontal="center" vertical="center" wrapText="1"/>
    </xf>
    <xf numFmtId="0" fontId="55" fillId="2" borderId="2" xfId="0" applyNumberFormat="1" applyFont="1" applyFill="1" applyBorder="1" applyAlignment="1" applyProtection="1">
      <alignment horizontal="center" vertical="center" wrapText="1"/>
    </xf>
    <xf numFmtId="0" fontId="55" fillId="0" borderId="129" xfId="0" applyNumberFormat="1" applyFont="1" applyFill="1" applyBorder="1" applyAlignment="1" applyProtection="1">
      <alignment horizontal="center" vertical="center" wrapText="1"/>
      <protection locked="0"/>
    </xf>
    <xf numFmtId="0" fontId="61" fillId="2" borderId="43" xfId="0" applyNumberFormat="1" applyFont="1" applyFill="1" applyBorder="1" applyAlignment="1" applyProtection="1">
      <alignment horizontal="center" vertical="center" wrapText="1"/>
    </xf>
    <xf numFmtId="0" fontId="61" fillId="2" borderId="50" xfId="0" applyNumberFormat="1" applyFont="1" applyFill="1" applyBorder="1" applyAlignment="1" applyProtection="1">
      <alignment horizontal="center" vertical="center" wrapText="1"/>
    </xf>
    <xf numFmtId="0" fontId="56" fillId="2" borderId="18" xfId="0" applyFont="1" applyFill="1" applyBorder="1" applyAlignment="1" applyProtection="1">
      <alignment vertical="center" textRotation="255" wrapText="1"/>
    </xf>
    <xf numFmtId="0" fontId="55" fillId="7" borderId="7" xfId="0" applyNumberFormat="1" applyFont="1" applyFill="1" applyBorder="1" applyAlignment="1" applyProtection="1">
      <alignment horizontal="center" vertical="center" wrapText="1"/>
      <protection locked="0"/>
    </xf>
    <xf numFmtId="0" fontId="55" fillId="2" borderId="32" xfId="0" applyNumberFormat="1" applyFont="1" applyFill="1" applyBorder="1" applyAlignment="1" applyProtection="1">
      <alignment horizontal="center" vertical="center" wrapText="1"/>
    </xf>
    <xf numFmtId="9" fontId="61" fillId="0" borderId="41" xfId="0" applyNumberFormat="1" applyFont="1" applyFill="1" applyBorder="1" applyAlignment="1" applyProtection="1">
      <alignment horizontal="center" vertical="center" wrapText="1"/>
      <protection locked="0"/>
    </xf>
    <xf numFmtId="9" fontId="61" fillId="0" borderId="4" xfId="0" applyNumberFormat="1" applyFont="1" applyFill="1" applyBorder="1" applyAlignment="1" applyProtection="1">
      <alignment horizontal="center" vertical="center" wrapText="1"/>
      <protection locked="0"/>
    </xf>
    <xf numFmtId="9" fontId="61" fillId="0" borderId="10" xfId="0" applyNumberFormat="1" applyFont="1" applyFill="1" applyBorder="1" applyAlignment="1" applyProtection="1">
      <alignment horizontal="center" vertical="center" wrapText="1"/>
      <protection locked="0"/>
    </xf>
    <xf numFmtId="0" fontId="55" fillId="7" borderId="10" xfId="0" applyNumberFormat="1" applyFont="1" applyFill="1" applyBorder="1" applyAlignment="1" applyProtection="1">
      <alignment horizontal="center" vertical="center" wrapText="1"/>
      <protection locked="0"/>
    </xf>
    <xf numFmtId="0" fontId="61" fillId="7" borderId="41" xfId="0" applyNumberFormat="1" applyFont="1" applyFill="1" applyBorder="1" applyAlignment="1" applyProtection="1">
      <alignment horizontal="center" vertical="center" wrapText="1"/>
      <protection locked="0"/>
    </xf>
    <xf numFmtId="0" fontId="56" fillId="2" borderId="110" xfId="0" applyFont="1" applyFill="1" applyBorder="1" applyAlignment="1" applyProtection="1">
      <alignment vertical="center" textRotation="255" wrapText="1"/>
    </xf>
    <xf numFmtId="0" fontId="55" fillId="2" borderId="33" xfId="0" applyNumberFormat="1" applyFont="1" applyFill="1" applyBorder="1" applyAlignment="1" applyProtection="1">
      <alignment horizontal="center" vertical="center" wrapText="1"/>
    </xf>
    <xf numFmtId="49" fontId="56" fillId="2" borderId="38" xfId="0" applyNumberFormat="1" applyFont="1" applyFill="1" applyBorder="1" applyAlignment="1" applyProtection="1">
      <alignment vertical="center"/>
    </xf>
    <xf numFmtId="0" fontId="56" fillId="2" borderId="37" xfId="0" applyNumberFormat="1" applyFont="1" applyFill="1" applyBorder="1" applyAlignment="1" applyProtection="1">
      <alignment horizontal="right" vertical="center" wrapText="1"/>
    </xf>
    <xf numFmtId="0" fontId="56" fillId="2" borderId="39" xfId="0" applyNumberFormat="1" applyFont="1" applyFill="1" applyBorder="1" applyAlignment="1" applyProtection="1">
      <alignment vertical="center" wrapText="1"/>
    </xf>
    <xf numFmtId="0" fontId="74" fillId="4" borderId="38" xfId="0" applyNumberFormat="1" applyFont="1" applyFill="1" applyBorder="1" applyAlignment="1" applyProtection="1">
      <alignment vertical="center" wrapText="1"/>
      <protection locked="0"/>
    </xf>
    <xf numFmtId="0" fontId="74" fillId="2" borderId="38" xfId="0" applyNumberFormat="1" applyFont="1" applyFill="1" applyBorder="1" applyAlignment="1" applyProtection="1">
      <alignment vertical="center" wrapText="1"/>
    </xf>
    <xf numFmtId="0" fontId="74" fillId="4" borderId="37" xfId="0" applyNumberFormat="1" applyFont="1" applyFill="1" applyBorder="1" applyAlignment="1" applyProtection="1">
      <alignment vertical="center" wrapText="1"/>
      <protection locked="0"/>
    </xf>
    <xf numFmtId="0" fontId="74" fillId="2" borderId="39" xfId="0" applyNumberFormat="1" applyFont="1" applyFill="1" applyBorder="1" applyAlignment="1" applyProtection="1">
      <alignment vertical="center" wrapText="1"/>
    </xf>
    <xf numFmtId="49" fontId="56" fillId="2" borderId="45" xfId="0" applyNumberFormat="1" applyFont="1" applyFill="1" applyBorder="1" applyAlignment="1" applyProtection="1">
      <alignment vertical="center"/>
    </xf>
    <xf numFmtId="0" fontId="56" fillId="2" borderId="44" xfId="0" applyNumberFormat="1" applyFont="1" applyFill="1" applyBorder="1" applyAlignment="1" applyProtection="1">
      <alignment vertical="center" wrapText="1"/>
    </xf>
    <xf numFmtId="0" fontId="56" fillId="2" borderId="46" xfId="0" applyNumberFormat="1" applyFont="1" applyFill="1" applyBorder="1" applyAlignment="1" applyProtection="1">
      <alignment vertical="center" wrapText="1"/>
    </xf>
    <xf numFmtId="0" fontId="56" fillId="2" borderId="45" xfId="0" applyNumberFormat="1" applyFont="1" applyFill="1" applyBorder="1" applyAlignment="1" applyProtection="1">
      <alignment vertical="center" wrapText="1"/>
    </xf>
    <xf numFmtId="0" fontId="56" fillId="2" borderId="21" xfId="0" applyNumberFormat="1" applyFont="1" applyFill="1" applyBorder="1" applyAlignment="1" applyProtection="1">
      <alignment vertical="center" wrapText="1"/>
    </xf>
    <xf numFmtId="0" fontId="71" fillId="2" borderId="49" xfId="0" applyNumberFormat="1" applyFont="1" applyFill="1" applyBorder="1" applyAlignment="1" applyProtection="1">
      <alignment vertical="center" wrapText="1"/>
    </xf>
    <xf numFmtId="0" fontId="71" fillId="2" borderId="113" xfId="0" applyNumberFormat="1" applyFont="1" applyFill="1" applyBorder="1" applyAlignment="1" applyProtection="1">
      <alignment vertical="center" wrapText="1"/>
    </xf>
    <xf numFmtId="180" fontId="61" fillId="2" borderId="112" xfId="0" applyNumberFormat="1" applyFont="1" applyFill="1" applyBorder="1" applyAlignment="1" applyProtection="1">
      <alignment horizontal="center" vertical="center" wrapText="1"/>
    </xf>
    <xf numFmtId="180" fontId="61" fillId="2" borderId="8" xfId="0" applyNumberFormat="1" applyFont="1" applyFill="1" applyBorder="1" applyAlignment="1" applyProtection="1">
      <alignment horizontal="center" vertical="center" wrapText="1"/>
    </xf>
    <xf numFmtId="0" fontId="71" fillId="2" borderId="30" xfId="0" applyNumberFormat="1" applyFont="1" applyFill="1" applyBorder="1" applyAlignment="1" applyProtection="1">
      <alignment vertical="center" wrapText="1"/>
    </xf>
    <xf numFmtId="0" fontId="55" fillId="2" borderId="15" xfId="0" applyNumberFormat="1" applyFont="1" applyFill="1" applyBorder="1" applyAlignment="1" applyProtection="1">
      <alignment horizontal="center" vertical="center" wrapText="1"/>
      <protection locked="0"/>
    </xf>
    <xf numFmtId="187" fontId="68" fillId="2" borderId="128" xfId="0" applyNumberFormat="1" applyFont="1" applyFill="1" applyBorder="1" applyAlignment="1" applyProtection="1">
      <alignment horizontal="center" vertical="center"/>
    </xf>
    <xf numFmtId="188" fontId="68" fillId="2" borderId="128" xfId="0" applyNumberFormat="1" applyFont="1" applyFill="1" applyBorder="1" applyAlignment="1" applyProtection="1">
      <alignment vertical="center"/>
    </xf>
    <xf numFmtId="0" fontId="68" fillId="2" borderId="128" xfId="0" applyFont="1" applyFill="1" applyBorder="1" applyAlignment="1" applyProtection="1">
      <alignment horizontal="center" vertical="center"/>
    </xf>
    <xf numFmtId="0" fontId="27" fillId="0" borderId="51" xfId="0" applyNumberFormat="1" applyFont="1" applyFill="1" applyBorder="1" applyAlignment="1" applyProtection="1">
      <alignment horizontal="center" vertical="center" wrapText="1"/>
      <protection locked="0"/>
    </xf>
    <xf numFmtId="0" fontId="27" fillId="2" borderId="58" xfId="0" applyNumberFormat="1" applyFont="1" applyFill="1" applyBorder="1" applyAlignment="1" applyProtection="1">
      <alignment horizontal="center" vertical="center" wrapText="1"/>
    </xf>
    <xf numFmtId="0" fontId="27" fillId="2" borderId="27"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65" fillId="2" borderId="1"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xf>
    <xf numFmtId="0" fontId="55" fillId="2" borderId="122"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xf>
    <xf numFmtId="0" fontId="55" fillId="2" borderId="125" xfId="0" applyNumberFormat="1" applyFont="1" applyFill="1" applyBorder="1" applyAlignment="1" applyProtection="1">
      <alignment horizontal="center" vertical="center" wrapText="1"/>
    </xf>
    <xf numFmtId="0" fontId="61" fillId="0" borderId="123" xfId="0" applyNumberFormat="1" applyFont="1" applyFill="1" applyBorder="1" applyAlignment="1" applyProtection="1">
      <alignment horizontal="left" vertical="center" wrapText="1"/>
      <protection locked="0"/>
    </xf>
    <xf numFmtId="0" fontId="61" fillId="0" borderId="125" xfId="0" applyNumberFormat="1" applyFont="1" applyFill="1" applyBorder="1" applyAlignment="1" applyProtection="1">
      <alignment horizontal="center" vertical="center" wrapText="1"/>
      <protection locked="0"/>
    </xf>
    <xf numFmtId="0" fontId="66" fillId="2" borderId="64" xfId="0" applyNumberFormat="1" applyFont="1" applyFill="1" applyBorder="1" applyAlignment="1" applyProtection="1">
      <alignment horizontal="center" vertical="center" wrapText="1"/>
    </xf>
    <xf numFmtId="0" fontId="66" fillId="2" borderId="64" xfId="0" applyNumberFormat="1" applyFont="1" applyFill="1" applyBorder="1" applyAlignment="1" applyProtection="1">
      <alignment horizontal="left" vertical="center" wrapText="1"/>
    </xf>
    <xf numFmtId="0" fontId="66" fillId="2" borderId="43" xfId="0" applyNumberFormat="1" applyFont="1" applyFill="1" applyBorder="1" applyAlignment="1" applyProtection="1">
      <alignment horizontal="center" vertical="center" wrapText="1"/>
    </xf>
    <xf numFmtId="0" fontId="55" fillId="0" borderId="0" xfId="0" applyFont="1" applyFill="1" applyBorder="1" applyAlignment="1" applyProtection="1">
      <alignment horizontal="center" vertical="center" wrapText="1"/>
      <protection locked="0"/>
    </xf>
    <xf numFmtId="187" fontId="55" fillId="0" borderId="0" xfId="0" applyNumberFormat="1" applyFont="1" applyFill="1" applyAlignment="1" applyProtection="1">
      <alignment horizontal="center" vertical="center"/>
    </xf>
    <xf numFmtId="188" fontId="55" fillId="0" borderId="0" xfId="0" applyNumberFormat="1" applyFont="1" applyFill="1" applyAlignment="1" applyProtection="1">
      <alignment horizontal="center" vertical="center"/>
    </xf>
    <xf numFmtId="9" fontId="55" fillId="0" borderId="0" xfId="0" applyNumberFormat="1" applyFont="1" applyFill="1" applyBorder="1" applyAlignment="1" applyProtection="1">
      <alignment horizontal="center" vertical="center" wrapText="1"/>
      <protection locked="0"/>
    </xf>
    <xf numFmtId="0" fontId="55" fillId="0" borderId="50" xfId="0" applyFont="1" applyFill="1" applyBorder="1" applyAlignment="1" applyProtection="1">
      <alignment horizontal="center" vertical="center"/>
      <protection locked="0"/>
    </xf>
    <xf numFmtId="0" fontId="68" fillId="2" borderId="128" xfId="0" applyFont="1" applyFill="1" applyBorder="1" applyAlignment="1" applyProtection="1">
      <alignment vertical="center"/>
      <protection locked="0"/>
    </xf>
    <xf numFmtId="0" fontId="69" fillId="2" borderId="128" xfId="0" applyFont="1" applyFill="1" applyBorder="1" applyAlignment="1" applyProtection="1">
      <alignment vertical="center"/>
      <protection locked="0"/>
    </xf>
    <xf numFmtId="0" fontId="71" fillId="2" borderId="130" xfId="0" applyFont="1" applyFill="1" applyBorder="1" applyAlignment="1" applyProtection="1">
      <alignment vertical="center" wrapText="1"/>
    </xf>
    <xf numFmtId="0" fontId="61" fillId="2" borderId="38" xfId="0" applyFont="1" applyFill="1" applyBorder="1" applyAlignment="1" applyProtection="1">
      <alignment horizontal="center" vertical="center" wrapText="1"/>
    </xf>
    <xf numFmtId="49" fontId="61" fillId="7" borderId="112" xfId="0" applyNumberFormat="1" applyFont="1" applyFill="1" applyBorder="1" applyAlignment="1" applyProtection="1">
      <alignment horizontal="center" vertical="center" wrapText="1"/>
      <protection locked="0"/>
    </xf>
    <xf numFmtId="0" fontId="72" fillId="2" borderId="131" xfId="0" applyFont="1" applyFill="1" applyBorder="1" applyAlignment="1" applyProtection="1">
      <alignment vertical="center" wrapText="1"/>
    </xf>
    <xf numFmtId="0" fontId="61" fillId="2" borderId="3" xfId="0" applyFont="1" applyFill="1" applyBorder="1" applyAlignment="1" applyProtection="1">
      <alignment horizontal="center" vertical="center" wrapText="1"/>
    </xf>
    <xf numFmtId="49" fontId="61" fillId="7" borderId="4" xfId="0" applyNumberFormat="1" applyFont="1" applyFill="1" applyBorder="1" applyAlignment="1" applyProtection="1">
      <alignment horizontal="center" vertical="center" wrapText="1"/>
      <protection locked="0"/>
    </xf>
    <xf numFmtId="0" fontId="56" fillId="2" borderId="131" xfId="0" applyFont="1" applyFill="1" applyBorder="1" applyAlignment="1" applyProtection="1">
      <alignment vertical="center" wrapText="1"/>
    </xf>
    <xf numFmtId="0" fontId="61" fillId="0" borderId="97" xfId="0" applyFont="1" applyFill="1" applyBorder="1" applyAlignment="1" applyProtection="1">
      <alignment horizontal="center" vertical="center" wrapText="1"/>
      <protection locked="0"/>
    </xf>
    <xf numFmtId="0" fontId="71" fillId="2" borderId="131" xfId="0" applyFont="1" applyFill="1" applyBorder="1" applyAlignment="1" applyProtection="1">
      <alignment vertical="center" wrapText="1"/>
    </xf>
    <xf numFmtId="0" fontId="56" fillId="2" borderId="132" xfId="0" applyFont="1" applyFill="1" applyBorder="1" applyAlignment="1" applyProtection="1">
      <alignment vertical="center" wrapText="1"/>
    </xf>
    <xf numFmtId="0" fontId="55" fillId="2" borderId="43" xfId="0" applyFont="1" applyFill="1" applyBorder="1" applyAlignment="1" applyProtection="1">
      <alignment horizontal="center" vertical="center"/>
    </xf>
    <xf numFmtId="0" fontId="61" fillId="0" borderId="40" xfId="0" applyFont="1" applyFill="1" applyBorder="1" applyAlignment="1" applyProtection="1">
      <alignment horizontal="center" vertical="center" wrapText="1"/>
      <protection locked="0"/>
    </xf>
    <xf numFmtId="0" fontId="61" fillId="0" borderId="14" xfId="0" applyFont="1" applyFill="1" applyBorder="1" applyAlignment="1" applyProtection="1">
      <alignment horizontal="center" vertical="center" wrapText="1"/>
      <protection locked="0"/>
    </xf>
    <xf numFmtId="0" fontId="61" fillId="2" borderId="114" xfId="0" applyNumberFormat="1" applyFont="1" applyFill="1" applyBorder="1" applyAlignment="1" applyProtection="1">
      <alignment horizontal="center" vertical="center" wrapText="1"/>
    </xf>
    <xf numFmtId="0" fontId="61" fillId="0" borderId="110" xfId="0" applyNumberFormat="1" applyFont="1" applyFill="1" applyBorder="1" applyAlignment="1" applyProtection="1">
      <alignment horizontal="center" vertical="center" wrapText="1"/>
      <protection locked="0"/>
    </xf>
    <xf numFmtId="0" fontId="61" fillId="2" borderId="47" xfId="0" applyNumberFormat="1" applyFont="1" applyFill="1" applyBorder="1" applyAlignment="1" applyProtection="1">
      <alignment horizontal="center" vertical="center" wrapText="1"/>
    </xf>
    <xf numFmtId="0" fontId="56" fillId="2" borderId="49" xfId="0" applyFont="1" applyFill="1" applyBorder="1" applyAlignment="1" applyProtection="1">
      <alignment vertical="center" textRotation="255" wrapText="1"/>
    </xf>
    <xf numFmtId="0" fontId="61" fillId="2" borderId="9" xfId="0" applyFont="1" applyFill="1" applyBorder="1" applyAlignment="1" applyProtection="1">
      <alignment horizontal="center" vertical="center" wrapText="1"/>
    </xf>
    <xf numFmtId="0" fontId="55" fillId="2" borderId="58" xfId="0" applyNumberFormat="1" applyFont="1" applyFill="1" applyBorder="1" applyAlignment="1" applyProtection="1">
      <alignment horizontal="center" vertical="center" wrapText="1"/>
    </xf>
    <xf numFmtId="0" fontId="73" fillId="2" borderId="30" xfId="0" applyFont="1" applyFill="1" applyBorder="1" applyAlignment="1" applyProtection="1">
      <alignment vertical="center" textRotation="255" wrapText="1"/>
    </xf>
    <xf numFmtId="49" fontId="61" fillId="0" borderId="41" xfId="0" applyNumberFormat="1" applyFont="1" applyFill="1" applyBorder="1" applyAlignment="1" applyProtection="1">
      <alignment horizontal="center" vertical="center" wrapText="1"/>
      <protection locked="0"/>
    </xf>
    <xf numFmtId="0" fontId="56" fillId="2" borderId="30" xfId="0" applyFont="1" applyFill="1" applyBorder="1" applyAlignment="1" applyProtection="1">
      <alignment vertical="center" textRotation="255" wrapText="1"/>
    </xf>
    <xf numFmtId="0" fontId="71" fillId="2" borderId="30" xfId="0" applyFont="1" applyFill="1" applyBorder="1" applyAlignment="1" applyProtection="1">
      <alignment vertical="center" textRotation="255" wrapText="1"/>
    </xf>
    <xf numFmtId="0" fontId="56" fillId="2" borderId="61" xfId="0" applyFont="1" applyFill="1" applyBorder="1" applyAlignment="1" applyProtection="1">
      <alignment vertical="center" textRotation="255" wrapText="1"/>
    </xf>
    <xf numFmtId="49" fontId="56" fillId="3" borderId="38" xfId="0" applyNumberFormat="1" applyFont="1" applyFill="1" applyBorder="1" applyAlignment="1" applyProtection="1">
      <alignment vertical="center"/>
      <protection locked="0"/>
    </xf>
    <xf numFmtId="0" fontId="75" fillId="2" borderId="0" xfId="0" applyFont="1" applyFill="1" applyBorder="1" applyAlignment="1" applyProtection="1">
      <protection locked="0"/>
    </xf>
    <xf numFmtId="0" fontId="55" fillId="2" borderId="0" xfId="0" applyFont="1" applyFill="1" applyBorder="1" applyAlignment="1" applyProtection="1">
      <alignment horizontal="center"/>
      <protection locked="0"/>
    </xf>
    <xf numFmtId="0" fontId="61" fillId="2" borderId="111" xfId="0" applyNumberFormat="1" applyFont="1" applyFill="1" applyBorder="1" applyAlignment="1" applyProtection="1">
      <alignment horizontal="center" vertical="center" wrapText="1"/>
      <protection locked="0"/>
    </xf>
    <xf numFmtId="187" fontId="68" fillId="2" borderId="128" xfId="0" applyNumberFormat="1" applyFont="1" applyFill="1" applyBorder="1" applyAlignment="1" applyProtection="1">
      <alignment horizontal="center" vertical="center"/>
      <protection locked="0"/>
    </xf>
    <xf numFmtId="188" fontId="68" fillId="2" borderId="128" xfId="0" applyNumberFormat="1" applyFont="1" applyFill="1" applyBorder="1" applyAlignment="1" applyProtection="1">
      <alignment vertical="center"/>
      <protection locked="0"/>
    </xf>
    <xf numFmtId="0" fontId="68" fillId="2" borderId="128" xfId="0" applyFont="1" applyFill="1" applyBorder="1" applyAlignment="1" applyProtection="1">
      <alignment horizontal="center" vertical="center"/>
      <protection locked="0"/>
    </xf>
    <xf numFmtId="0" fontId="68" fillId="2" borderId="133" xfId="0" applyFont="1" applyFill="1" applyBorder="1" applyAlignment="1" applyProtection="1">
      <alignment horizontal="center" vertical="center"/>
    </xf>
    <xf numFmtId="0" fontId="68" fillId="2" borderId="50" xfId="0" applyFont="1" applyFill="1" applyBorder="1" applyAlignment="1" applyProtection="1">
      <alignment horizontal="center" vertical="center"/>
    </xf>
    <xf numFmtId="187" fontId="55" fillId="4" borderId="4" xfId="0" applyNumberFormat="1" applyFont="1" applyFill="1" applyBorder="1" applyAlignment="1" applyProtection="1">
      <alignment horizontal="center" vertical="center"/>
      <protection locked="0"/>
    </xf>
    <xf numFmtId="187" fontId="55" fillId="4" borderId="4" xfId="0" applyNumberFormat="1" applyFont="1" applyFill="1" applyBorder="1" applyAlignment="1" applyProtection="1">
      <alignment horizontal="center" vertical="center" wrapText="1"/>
      <protection locked="0"/>
    </xf>
    <xf numFmtId="187" fontId="55" fillId="4" borderId="1" xfId="0" applyNumberFormat="1" applyFont="1" applyFill="1" applyBorder="1" applyAlignment="1" applyProtection="1">
      <alignment horizontal="center" vertical="center" wrapText="1"/>
      <protection locked="0"/>
    </xf>
    <xf numFmtId="0" fontId="55" fillId="2" borderId="50" xfId="0" applyFont="1" applyFill="1" applyBorder="1" applyAlignment="1" applyProtection="1">
      <alignment horizontal="center" vertical="center"/>
      <protection locked="0"/>
    </xf>
    <xf numFmtId="0" fontId="66" fillId="2" borderId="50" xfId="0" applyFont="1" applyFill="1" applyBorder="1" applyAlignment="1" applyProtection="1">
      <alignment horizontal="center" vertical="center"/>
      <protection locked="0"/>
    </xf>
    <xf numFmtId="0" fontId="55" fillId="2" borderId="50" xfId="0" applyFont="1" applyFill="1" applyBorder="1" applyAlignment="1" applyProtection="1">
      <protection locked="0"/>
    </xf>
    <xf numFmtId="49" fontId="61" fillId="2" borderId="50" xfId="0" applyNumberFormat="1" applyFont="1" applyFill="1" applyBorder="1" applyAlignment="1" applyProtection="1">
      <alignment horizontal="center" vertical="center"/>
      <protection locked="0"/>
    </xf>
    <xf numFmtId="9" fontId="61" fillId="2" borderId="50" xfId="0" applyNumberFormat="1" applyFont="1" applyFill="1" applyBorder="1" applyAlignment="1" applyProtection="1">
      <alignment horizontal="center" vertical="center" wrapText="1"/>
      <protection locked="0"/>
    </xf>
    <xf numFmtId="0" fontId="47" fillId="2" borderId="50" xfId="0" applyFont="1" applyFill="1" applyBorder="1" applyAlignment="1" applyProtection="1">
      <alignment vertical="center"/>
      <protection locked="0"/>
    </xf>
    <xf numFmtId="0" fontId="61" fillId="2" borderId="50" xfId="0" applyFont="1" applyFill="1" applyBorder="1" applyAlignment="1" applyProtection="1">
      <alignment horizontal="center" vertical="center" wrapText="1"/>
      <protection locked="0"/>
    </xf>
    <xf numFmtId="0" fontId="65" fillId="2" borderId="50" xfId="0" applyFont="1" applyFill="1" applyBorder="1" applyAlignment="1" applyProtection="1">
      <alignment horizontal="center" vertical="center" wrapText="1"/>
      <protection locked="0"/>
    </xf>
    <xf numFmtId="0" fontId="65" fillId="2" borderId="50" xfId="0" applyFont="1" applyFill="1" applyBorder="1" applyAlignment="1" applyProtection="1">
      <alignment horizontal="center" vertical="center"/>
      <protection locked="0"/>
    </xf>
    <xf numFmtId="0" fontId="61" fillId="2" borderId="50" xfId="0" applyFont="1" applyFill="1" applyBorder="1" applyAlignment="1" applyProtection="1">
      <alignment vertical="center" wrapText="1"/>
      <protection locked="0"/>
    </xf>
    <xf numFmtId="9" fontId="61" fillId="2" borderId="0" xfId="0" applyNumberFormat="1" applyFont="1" applyFill="1" applyBorder="1" applyAlignment="1" applyProtection="1">
      <alignment horizontal="center" vertical="center" wrapText="1"/>
      <protection locked="0"/>
    </xf>
    <xf numFmtId="49" fontId="61" fillId="2" borderId="0" xfId="0" applyNumberFormat="1" applyFont="1" applyFill="1" applyAlignment="1" applyProtection="1">
      <alignment horizontal="center" vertical="center"/>
      <protection locked="0"/>
    </xf>
    <xf numFmtId="0" fontId="61" fillId="2" borderId="0" xfId="0" applyFont="1" applyFill="1" applyAlignment="1" applyProtection="1">
      <alignment horizontal="center" vertical="center"/>
      <protection locked="0"/>
    </xf>
    <xf numFmtId="9" fontId="65" fillId="2" borderId="0" xfId="0" applyNumberFormat="1" applyFont="1" applyFill="1" applyBorder="1" applyAlignment="1" applyProtection="1">
      <alignment horizontal="center" vertical="center" wrapText="1"/>
      <protection locked="0"/>
    </xf>
    <xf numFmtId="0" fontId="65" fillId="2" borderId="0" xfId="0" applyFont="1" applyFill="1" applyAlignment="1" applyProtection="1">
      <alignment horizontal="center" vertical="center"/>
      <protection locked="0"/>
    </xf>
    <xf numFmtId="9" fontId="65" fillId="2" borderId="0" xfId="0" applyNumberFormat="1" applyFont="1" applyFill="1" applyBorder="1" applyAlignment="1" applyProtection="1">
      <alignment horizontal="center" vertical="center"/>
      <protection locked="0"/>
    </xf>
    <xf numFmtId="49" fontId="55" fillId="0" borderId="8" xfId="0" applyNumberFormat="1" applyFont="1" applyFill="1" applyBorder="1" applyAlignment="1" applyProtection="1">
      <alignment horizontal="center" vertical="center" wrapText="1"/>
      <protection locked="0"/>
    </xf>
    <xf numFmtId="49" fontId="66" fillId="0" borderId="8" xfId="0" applyNumberFormat="1" applyFont="1" applyFill="1" applyBorder="1" applyAlignment="1" applyProtection="1">
      <alignment horizontal="center" vertical="center" wrapText="1"/>
      <protection locked="0"/>
    </xf>
    <xf numFmtId="49" fontId="66" fillId="0" borderId="8" xfId="0" applyNumberFormat="1" applyFont="1" applyFill="1" applyBorder="1" applyAlignment="1" applyProtection="1">
      <alignment horizontal="left" vertical="center" wrapText="1"/>
      <protection locked="0"/>
    </xf>
    <xf numFmtId="49" fontId="66" fillId="0" borderId="9" xfId="0" applyNumberFormat="1" applyFont="1" applyFill="1" applyBorder="1" applyAlignment="1" applyProtection="1">
      <alignment horizontal="center" vertical="center" wrapText="1"/>
      <protection locked="0"/>
    </xf>
    <xf numFmtId="0" fontId="55" fillId="0" borderId="64" xfId="0" applyNumberFormat="1" applyFont="1" applyFill="1" applyBorder="1" applyAlignment="1" applyProtection="1">
      <alignment horizontal="center" vertical="center" wrapText="1"/>
      <protection locked="0"/>
    </xf>
    <xf numFmtId="0" fontId="66" fillId="0" borderId="64" xfId="0" applyNumberFormat="1" applyFont="1" applyFill="1" applyBorder="1" applyAlignment="1" applyProtection="1">
      <alignment horizontal="center" vertical="center" wrapText="1"/>
      <protection locked="0"/>
    </xf>
    <xf numFmtId="0" fontId="66" fillId="0" borderId="64" xfId="0" applyNumberFormat="1" applyFont="1" applyFill="1" applyBorder="1" applyAlignment="1" applyProtection="1">
      <alignment horizontal="left" vertical="center" wrapText="1"/>
      <protection locked="0"/>
    </xf>
    <xf numFmtId="0" fontId="66" fillId="0" borderId="43" xfId="0" applyNumberFormat="1" applyFont="1" applyFill="1" applyBorder="1" applyAlignment="1" applyProtection="1">
      <alignment horizontal="center" vertical="center" wrapText="1"/>
      <protection locked="0"/>
    </xf>
    <xf numFmtId="0" fontId="55" fillId="2" borderId="50" xfId="0" applyFont="1" applyFill="1" applyBorder="1" applyAlignment="1" applyProtection="1">
      <alignment horizontal="center" vertical="center" wrapText="1"/>
      <protection locked="0"/>
    </xf>
    <xf numFmtId="9" fontId="55" fillId="2" borderId="0" xfId="0" applyNumberFormat="1" applyFont="1" applyFill="1" applyBorder="1" applyAlignment="1" applyProtection="1">
      <alignment horizontal="center" vertical="center" wrapText="1"/>
      <protection locked="0"/>
    </xf>
    <xf numFmtId="0" fontId="68" fillId="2" borderId="128" xfId="0" applyFont="1" applyFill="1" applyBorder="1" applyAlignment="1" applyProtection="1">
      <alignment horizontal="right" vertical="center"/>
    </xf>
    <xf numFmtId="0" fontId="61" fillId="0" borderId="3" xfId="0" applyNumberFormat="1" applyFont="1" applyFill="1" applyBorder="1" applyAlignment="1" applyProtection="1">
      <alignment horizontal="center" vertical="center" wrapText="1"/>
      <protection locked="0"/>
    </xf>
    <xf numFmtId="0" fontId="61" fillId="2" borderId="28" xfId="0" applyNumberFormat="1" applyFont="1" applyFill="1" applyBorder="1" applyAlignment="1" applyProtection="1">
      <alignment horizontal="center" vertical="center" wrapText="1"/>
    </xf>
    <xf numFmtId="0" fontId="61" fillId="2" borderId="34" xfId="0" applyNumberFormat="1" applyFont="1" applyFill="1" applyBorder="1" applyAlignment="1" applyProtection="1">
      <alignment horizontal="center" vertical="center" wrapText="1"/>
    </xf>
    <xf numFmtId="0" fontId="56" fillId="2" borderId="110" xfId="0" applyNumberFormat="1" applyFont="1" applyFill="1" applyBorder="1" applyAlignment="1" applyProtection="1">
      <alignment vertical="center" wrapText="1"/>
    </xf>
    <xf numFmtId="0" fontId="28" fillId="2" borderId="0" xfId="0" applyFont="1" applyFill="1" applyBorder="1" applyAlignment="1" applyProtection="1">
      <alignment vertical="center"/>
    </xf>
    <xf numFmtId="0" fontId="63" fillId="2" borderId="0" xfId="0" applyFont="1" applyFill="1" applyAlignment="1" applyProtection="1">
      <alignment horizontal="center" vertical="center"/>
      <protection locked="0"/>
    </xf>
    <xf numFmtId="0" fontId="61" fillId="0" borderId="108" xfId="0" applyNumberFormat="1" applyFont="1" applyFill="1" applyBorder="1" applyAlignment="1" applyProtection="1">
      <alignment horizontal="center" vertical="center" wrapText="1"/>
      <protection locked="0"/>
    </xf>
    <xf numFmtId="49" fontId="55" fillId="2" borderId="113" xfId="0" applyNumberFormat="1" applyFont="1" applyFill="1" applyBorder="1" applyAlignment="1" applyProtection="1">
      <alignment horizontal="center" vertical="center" wrapText="1"/>
    </xf>
    <xf numFmtId="0" fontId="55" fillId="2" borderId="111" xfId="0" applyNumberFormat="1" applyFont="1" applyFill="1" applyBorder="1" applyAlignment="1" applyProtection="1">
      <alignment horizontal="center" vertical="center" wrapText="1"/>
    </xf>
    <xf numFmtId="0" fontId="55" fillId="7" borderId="119" xfId="0" applyNumberFormat="1" applyFont="1" applyFill="1" applyBorder="1" applyAlignment="1" applyProtection="1">
      <alignment horizontal="center" vertical="center" wrapText="1"/>
      <protection locked="0"/>
    </xf>
    <xf numFmtId="0" fontId="55" fillId="0" borderId="3" xfId="0" applyNumberFormat="1" applyFont="1" applyFill="1" applyBorder="1" applyAlignment="1" applyProtection="1">
      <alignment horizontal="center" vertical="center" wrapText="1"/>
      <protection locked="0"/>
    </xf>
    <xf numFmtId="0" fontId="61" fillId="7" borderId="108" xfId="0" applyNumberFormat="1" applyFont="1" applyFill="1" applyBorder="1" applyAlignment="1" applyProtection="1">
      <alignment horizontal="center" vertical="center" wrapText="1"/>
      <protection locked="0"/>
    </xf>
    <xf numFmtId="0" fontId="61" fillId="7" borderId="58" xfId="0" applyNumberFormat="1" applyFont="1" applyFill="1" applyBorder="1" applyAlignment="1" applyProtection="1">
      <alignment horizontal="center" vertical="center" wrapText="1"/>
      <protection locked="0"/>
    </xf>
    <xf numFmtId="0" fontId="55" fillId="0" borderId="45" xfId="0" applyNumberFormat="1" applyFont="1" applyFill="1" applyBorder="1" applyAlignment="1" applyProtection="1">
      <alignment horizontal="center" vertical="center" wrapText="1"/>
      <protection locked="0"/>
    </xf>
    <xf numFmtId="0" fontId="61" fillId="0" borderId="111" xfId="0" applyNumberFormat="1" applyFont="1" applyFill="1" applyBorder="1" applyAlignment="1" applyProtection="1">
      <alignment horizontal="center" vertical="center" wrapText="1"/>
      <protection locked="0"/>
    </xf>
    <xf numFmtId="0" fontId="66" fillId="0" borderId="50" xfId="0" applyFont="1" applyFill="1" applyBorder="1" applyAlignment="1" applyProtection="1">
      <alignment horizontal="center" vertical="center"/>
      <protection locked="0"/>
    </xf>
    <xf numFmtId="0" fontId="55" fillId="0" borderId="50" xfId="0" applyFont="1" applyBorder="1" applyAlignment="1" applyProtection="1">
      <protection locked="0"/>
    </xf>
    <xf numFmtId="49" fontId="61" fillId="0" borderId="50" xfId="0" applyNumberFormat="1" applyFont="1" applyFill="1" applyBorder="1" applyAlignment="1" applyProtection="1">
      <alignment horizontal="center" vertical="center"/>
      <protection locked="0"/>
    </xf>
    <xf numFmtId="9" fontId="61" fillId="0" borderId="50" xfId="0" applyNumberFormat="1" applyFont="1" applyFill="1" applyBorder="1" applyAlignment="1" applyProtection="1">
      <alignment horizontal="center" vertical="center" wrapText="1"/>
      <protection locked="0"/>
    </xf>
    <xf numFmtId="0" fontId="47" fillId="0" borderId="50" xfId="0" applyFont="1" applyFill="1" applyBorder="1" applyAlignment="1" applyProtection="1">
      <alignment vertical="center"/>
      <protection locked="0"/>
    </xf>
    <xf numFmtId="0" fontId="61" fillId="0" borderId="50" xfId="0" applyFont="1" applyFill="1" applyBorder="1" applyAlignment="1" applyProtection="1">
      <alignment horizontal="center" vertical="center" wrapText="1"/>
      <protection locked="0"/>
    </xf>
    <xf numFmtId="0" fontId="55" fillId="2" borderId="35" xfId="0" applyFont="1" applyFill="1" applyBorder="1" applyAlignment="1" applyProtection="1">
      <alignment horizontal="center" vertical="center"/>
    </xf>
    <xf numFmtId="0" fontId="55" fillId="2" borderId="21" xfId="0" applyFont="1" applyFill="1" applyBorder="1" applyAlignment="1" applyProtection="1">
      <alignment horizontal="center" vertical="center"/>
    </xf>
    <xf numFmtId="0" fontId="61" fillId="2" borderId="11" xfId="0" applyNumberFormat="1" applyFont="1" applyFill="1" applyBorder="1" applyAlignment="1" applyProtection="1">
      <alignment horizontal="center" vertical="center"/>
    </xf>
    <xf numFmtId="0" fontId="55" fillId="2" borderId="11" xfId="0" applyNumberFormat="1" applyFont="1" applyFill="1" applyBorder="1" applyAlignment="1" applyProtection="1">
      <alignment horizontal="center" vertical="center"/>
    </xf>
    <xf numFmtId="0" fontId="55" fillId="2" borderId="22" xfId="0" applyFont="1" applyFill="1" applyBorder="1" applyAlignment="1" applyProtection="1">
      <alignment horizontal="center" vertical="center"/>
    </xf>
    <xf numFmtId="0" fontId="61" fillId="0" borderId="134" xfId="0" applyNumberFormat="1" applyFont="1" applyFill="1" applyBorder="1" applyAlignment="1" applyProtection="1">
      <alignment horizontal="center" vertical="center"/>
      <protection locked="0"/>
    </xf>
    <xf numFmtId="0" fontId="65" fillId="0" borderId="50" xfId="0" applyFont="1" applyFill="1" applyBorder="1" applyAlignment="1" applyProtection="1">
      <alignment horizontal="center" vertical="center" wrapText="1"/>
      <protection locked="0"/>
    </xf>
    <xf numFmtId="0" fontId="65" fillId="0" borderId="50" xfId="0" applyFont="1" applyFill="1" applyBorder="1" applyAlignment="1" applyProtection="1">
      <alignment horizontal="center" vertical="center"/>
      <protection locked="0"/>
    </xf>
    <xf numFmtId="0" fontId="65" fillId="0" borderId="50" xfId="0" applyFont="1" applyFill="1" applyBorder="1" applyAlignment="1" applyProtection="1">
      <alignment vertical="center" wrapText="1"/>
      <protection locked="0"/>
    </xf>
    <xf numFmtId="0" fontId="61" fillId="0" borderId="50" xfId="0" applyFont="1" applyFill="1" applyBorder="1" applyAlignment="1" applyProtection="1">
      <alignment vertical="center" wrapText="1"/>
      <protection locked="0"/>
    </xf>
    <xf numFmtId="0" fontId="55" fillId="0" borderId="123" xfId="0" applyNumberFormat="1" applyFont="1" applyFill="1" applyBorder="1" applyAlignment="1" applyProtection="1">
      <alignment horizontal="left" vertical="center" wrapText="1"/>
      <protection locked="0"/>
    </xf>
    <xf numFmtId="0" fontId="55" fillId="0" borderId="125" xfId="0" applyNumberFormat="1" applyFont="1" applyFill="1" applyBorder="1" applyAlignment="1" applyProtection="1">
      <alignment horizontal="center" vertical="center" wrapText="1"/>
      <protection locked="0"/>
    </xf>
    <xf numFmtId="0" fontId="55" fillId="0" borderId="50" xfId="0" applyFont="1" applyFill="1" applyBorder="1" applyAlignment="1" applyProtection="1">
      <alignment horizontal="center" vertical="center" wrapText="1"/>
      <protection locked="0"/>
    </xf>
    <xf numFmtId="0" fontId="55" fillId="0" borderId="30" xfId="0" applyFont="1" applyFill="1" applyBorder="1" applyAlignment="1" applyProtection="1">
      <alignment horizontal="center" vertical="center"/>
      <protection locked="0"/>
    </xf>
    <xf numFmtId="0" fontId="68" fillId="2" borderId="127" xfId="0" applyFont="1" applyFill="1" applyBorder="1" applyAlignment="1" applyProtection="1">
      <alignment horizontal="right" vertical="center"/>
    </xf>
    <xf numFmtId="0" fontId="68" fillId="3" borderId="135" xfId="0" applyFont="1" applyFill="1" applyBorder="1" applyAlignment="1" applyProtection="1">
      <alignment vertical="center"/>
    </xf>
    <xf numFmtId="0" fontId="55" fillId="7" borderId="7" xfId="0" applyFont="1" applyFill="1" applyBorder="1" applyAlignment="1" applyProtection="1">
      <alignment horizontal="center" vertical="center" wrapText="1"/>
      <protection locked="0"/>
    </xf>
    <xf numFmtId="0" fontId="55" fillId="7" borderId="10" xfId="0" applyFont="1" applyFill="1" applyBorder="1" applyAlignment="1" applyProtection="1">
      <alignment horizontal="center" vertical="center" wrapText="1"/>
      <protection locked="0"/>
    </xf>
    <xf numFmtId="17" fontId="65" fillId="0" borderId="41" xfId="0" applyNumberFormat="1" applyFont="1" applyFill="1" applyBorder="1" applyAlignment="1" applyProtection="1">
      <alignment horizontal="center" vertical="center" wrapText="1"/>
      <protection locked="0"/>
    </xf>
    <xf numFmtId="0" fontId="65" fillId="0" borderId="41" xfId="0" applyNumberFormat="1" applyFont="1" applyFill="1" applyBorder="1" applyAlignment="1" applyProtection="1">
      <alignment horizontal="center" vertical="center" wrapText="1"/>
      <protection locked="0"/>
    </xf>
    <xf numFmtId="0" fontId="68" fillId="2" borderId="136" xfId="0" applyFont="1" applyFill="1" applyBorder="1" applyAlignment="1" applyProtection="1">
      <alignment horizontal="center" vertical="center"/>
      <protection locked="0"/>
    </xf>
    <xf numFmtId="0" fontId="68" fillId="2" borderId="30" xfId="0" applyFont="1" applyFill="1" applyBorder="1" applyAlignment="1" applyProtection="1">
      <alignment horizontal="center" vertical="center"/>
      <protection locked="0"/>
    </xf>
    <xf numFmtId="0" fontId="66" fillId="2" borderId="30" xfId="0" applyFont="1" applyFill="1" applyBorder="1" applyAlignment="1" applyProtection="1">
      <alignment horizontal="center" vertical="center"/>
    </xf>
    <xf numFmtId="0" fontId="55" fillId="2" borderId="30" xfId="0" applyFont="1" applyFill="1" applyBorder="1" applyAlignment="1" applyProtection="1"/>
    <xf numFmtId="49" fontId="61" fillId="0" borderId="30" xfId="0" applyNumberFormat="1" applyFont="1" applyFill="1" applyBorder="1" applyAlignment="1" applyProtection="1">
      <alignment horizontal="center" vertical="center"/>
      <protection locked="0"/>
    </xf>
    <xf numFmtId="9" fontId="61" fillId="0" borderId="30" xfId="0" applyNumberFormat="1" applyFont="1" applyFill="1" applyBorder="1" applyAlignment="1" applyProtection="1">
      <alignment horizontal="center" vertical="center" wrapText="1"/>
      <protection locked="0"/>
    </xf>
    <xf numFmtId="0" fontId="47" fillId="0" borderId="30" xfId="0" applyFont="1" applyFill="1" applyBorder="1" applyAlignment="1" applyProtection="1">
      <alignment vertical="center"/>
      <protection locked="0"/>
    </xf>
    <xf numFmtId="0" fontId="61" fillId="0" borderId="30" xfId="0" applyFont="1" applyFill="1" applyBorder="1" applyAlignment="1" applyProtection="1">
      <alignment horizontal="center" vertical="center" wrapText="1"/>
      <protection locked="0"/>
    </xf>
    <xf numFmtId="0" fontId="68" fillId="2" borderId="5" xfId="0" applyFont="1" applyFill="1" applyBorder="1" applyAlignment="1" applyProtection="1">
      <alignment horizontal="center" vertical="center"/>
      <protection locked="0"/>
    </xf>
    <xf numFmtId="9" fontId="61" fillId="2" borderId="0" xfId="0" applyNumberFormat="1"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protection locked="0"/>
    </xf>
    <xf numFmtId="0" fontId="63" fillId="2" borderId="0" xfId="0" applyFont="1" applyFill="1" applyBorder="1" applyAlignment="1" applyProtection="1">
      <alignment horizontal="center" vertical="center"/>
      <protection locked="0"/>
    </xf>
    <xf numFmtId="0" fontId="47" fillId="0" borderId="123" xfId="0" applyNumberFormat="1" applyFont="1" applyFill="1" applyBorder="1" applyAlignment="1" applyProtection="1">
      <alignment horizontal="center" vertical="center" wrapText="1"/>
      <protection locked="0"/>
    </xf>
    <xf numFmtId="0" fontId="65" fillId="0" borderId="30" xfId="0" applyFont="1" applyFill="1" applyBorder="1" applyAlignment="1" applyProtection="1">
      <alignment horizontal="center" vertical="center" wrapText="1"/>
      <protection locked="0"/>
    </xf>
    <xf numFmtId="0" fontId="65" fillId="0" borderId="30" xfId="0" applyFont="1" applyFill="1" applyBorder="1" applyAlignment="1" applyProtection="1">
      <alignment horizontal="center" vertical="center"/>
      <protection locked="0"/>
    </xf>
    <xf numFmtId="0" fontId="65" fillId="0" borderId="30" xfId="0" applyFont="1" applyFill="1" applyBorder="1" applyAlignment="1" applyProtection="1">
      <alignment vertical="center" wrapText="1"/>
      <protection locked="0"/>
    </xf>
    <xf numFmtId="0" fontId="61" fillId="0" borderId="30" xfId="0" applyFont="1" applyFill="1" applyBorder="1" applyAlignment="1" applyProtection="1">
      <alignment vertical="center" wrapText="1"/>
      <protection locked="0"/>
    </xf>
    <xf numFmtId="0" fontId="27" fillId="0" borderId="0" xfId="0" applyFont="1" applyFill="1" applyAlignment="1" applyProtection="1">
      <alignment horizontal="center" vertical="center"/>
      <protection locked="0"/>
    </xf>
    <xf numFmtId="0" fontId="68" fillId="3" borderId="135" xfId="0" applyFont="1" applyFill="1" applyBorder="1" applyAlignment="1" applyProtection="1">
      <alignment vertical="center"/>
      <protection locked="0"/>
    </xf>
    <xf numFmtId="0" fontId="90" fillId="2" borderId="0" xfId="0" applyFont="1" applyFill="1" applyBorder="1" applyAlignment="1" applyProtection="1">
      <alignment vertical="center"/>
      <protection locked="0"/>
    </xf>
    <xf numFmtId="49" fontId="61" fillId="7" borderId="118" xfId="0" applyNumberFormat="1" applyFont="1" applyFill="1" applyBorder="1" applyAlignment="1" applyProtection="1">
      <alignment horizontal="center" vertical="center" wrapText="1"/>
      <protection locked="0"/>
    </xf>
    <xf numFmtId="49" fontId="55" fillId="7" borderId="4" xfId="0" applyNumberFormat="1" applyFont="1" applyFill="1" applyBorder="1" applyAlignment="1" applyProtection="1">
      <alignment horizontal="center" vertical="center" wrapText="1"/>
      <protection locked="0"/>
    </xf>
    <xf numFmtId="0" fontId="55" fillId="7" borderId="112" xfId="0" applyFont="1" applyFill="1" applyBorder="1" applyAlignment="1" applyProtection="1">
      <alignment horizontal="center" vertical="center" wrapText="1"/>
      <protection locked="0"/>
    </xf>
    <xf numFmtId="0" fontId="55" fillId="7" borderId="4" xfId="0" applyFont="1" applyFill="1" applyBorder="1" applyAlignment="1" applyProtection="1">
      <alignment horizontal="center" vertical="center" wrapText="1"/>
      <protection locked="0"/>
    </xf>
    <xf numFmtId="0" fontId="56" fillId="2" borderId="21" xfId="0" applyNumberFormat="1" applyFont="1" applyFill="1" applyBorder="1" applyAlignment="1" applyProtection="1">
      <alignment vertical="center" wrapText="1"/>
      <protection locked="0"/>
    </xf>
    <xf numFmtId="180" fontId="61" fillId="2" borderId="113"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vertical="center" wrapText="1"/>
    </xf>
    <xf numFmtId="0" fontId="68" fillId="2" borderId="136" xfId="0" applyFont="1" applyFill="1" applyBorder="1" applyAlignment="1" applyProtection="1">
      <alignment horizontal="center" vertical="center"/>
    </xf>
    <xf numFmtId="187" fontId="28" fillId="2" borderId="0" xfId="0" applyNumberFormat="1" applyFont="1" applyFill="1" applyBorder="1" applyAlignment="1" applyProtection="1">
      <alignment horizontal="center" vertical="center"/>
      <protection locked="0"/>
    </xf>
    <xf numFmtId="188" fontId="28" fillId="2" borderId="0" xfId="0" applyNumberFormat="1" applyFont="1" applyFill="1" applyBorder="1" applyAlignment="1" applyProtection="1">
      <alignment vertical="center"/>
      <protection locked="0"/>
    </xf>
    <xf numFmtId="0" fontId="28" fillId="2" borderId="0" xfId="0" applyFont="1" applyFill="1" applyBorder="1" applyAlignment="1" applyProtection="1">
      <alignment horizontal="center" vertical="center"/>
      <protection locked="0"/>
    </xf>
    <xf numFmtId="0" fontId="28" fillId="2" borderId="30" xfId="0" applyFont="1" applyFill="1" applyBorder="1" applyAlignment="1" applyProtection="1">
      <alignment horizontal="center" vertical="center"/>
    </xf>
    <xf numFmtId="187" fontId="61" fillId="2" borderId="39" xfId="0" applyNumberFormat="1" applyFont="1" applyFill="1" applyBorder="1" applyAlignment="1" applyProtection="1">
      <alignment horizontal="center" vertical="center" wrapText="1"/>
    </xf>
    <xf numFmtId="187" fontId="61" fillId="2" borderId="42" xfId="0" applyNumberFormat="1" applyFont="1" applyFill="1" applyBorder="1" applyAlignment="1" applyProtection="1">
      <alignment horizontal="center" vertical="center" wrapText="1"/>
    </xf>
    <xf numFmtId="0" fontId="61" fillId="2" borderId="42" xfId="0" applyNumberFormat="1" applyFont="1" applyFill="1" applyBorder="1" applyAlignment="1" applyProtection="1">
      <alignment horizontal="center" vertical="center" wrapText="1"/>
    </xf>
    <xf numFmtId="0" fontId="27" fillId="0" borderId="42" xfId="0" applyNumberFormat="1" applyFont="1" applyFill="1" applyBorder="1" applyAlignment="1" applyProtection="1">
      <alignment horizontal="center" vertical="center" wrapText="1"/>
      <protection locked="0"/>
    </xf>
    <xf numFmtId="0" fontId="27" fillId="2" borderId="42" xfId="0" applyNumberFormat="1" applyFont="1" applyFill="1" applyBorder="1" applyAlignment="1" applyProtection="1">
      <alignment horizontal="center" vertical="center" wrapText="1"/>
    </xf>
    <xf numFmtId="0" fontId="27" fillId="0" borderId="137" xfId="0" applyNumberFormat="1" applyFont="1" applyFill="1" applyBorder="1" applyAlignment="1" applyProtection="1">
      <alignment horizontal="center" vertical="center" wrapText="1"/>
      <protection locked="0"/>
    </xf>
    <xf numFmtId="0" fontId="27" fillId="2" borderId="138" xfId="0" applyNumberFormat="1" applyFont="1" applyFill="1" applyBorder="1" applyAlignment="1" applyProtection="1">
      <alignment horizontal="center" vertical="center" wrapText="1"/>
    </xf>
    <xf numFmtId="0" fontId="27" fillId="2" borderId="131" xfId="0" applyNumberFormat="1" applyFont="1" applyFill="1" applyBorder="1" applyAlignment="1" applyProtection="1">
      <alignment horizontal="center" vertical="center" wrapText="1"/>
    </xf>
    <xf numFmtId="187" fontId="55" fillId="2" borderId="42" xfId="0" applyNumberFormat="1" applyFont="1" applyFill="1" applyBorder="1" applyAlignment="1" applyProtection="1">
      <alignment horizontal="center" vertical="center"/>
    </xf>
    <xf numFmtId="187" fontId="55" fillId="2" borderId="42" xfId="0" applyNumberFormat="1" applyFont="1" applyFill="1" applyBorder="1" applyAlignment="1" applyProtection="1">
      <alignment horizontal="center" vertical="center" wrapText="1"/>
    </xf>
    <xf numFmtId="187" fontId="55" fillId="2" borderId="14" xfId="0" applyNumberFormat="1" applyFont="1" applyFill="1" applyBorder="1" applyAlignment="1" applyProtection="1">
      <alignment horizontal="center" vertical="center" wrapText="1"/>
    </xf>
    <xf numFmtId="0" fontId="66" fillId="0" borderId="30" xfId="0" applyFont="1" applyFill="1" applyBorder="1" applyAlignment="1" applyProtection="1">
      <alignment horizontal="center" vertical="center"/>
      <protection locked="0"/>
    </xf>
    <xf numFmtId="0" fontId="55" fillId="0" borderId="30" xfId="0" applyFont="1" applyBorder="1" applyAlignment="1" applyProtection="1">
      <protection locked="0"/>
    </xf>
    <xf numFmtId="0" fontId="28" fillId="2" borderId="0" xfId="0" applyFont="1" applyFill="1" applyBorder="1" applyAlignment="1" applyProtection="1">
      <alignment horizontal="center" vertical="center"/>
    </xf>
    <xf numFmtId="0" fontId="27" fillId="2" borderId="0" xfId="0" applyFont="1" applyFill="1" applyBorder="1" applyAlignment="1" applyProtection="1">
      <alignment horizontal="center" vertical="center"/>
    </xf>
    <xf numFmtId="0" fontId="27" fillId="2" borderId="0" xfId="0" applyFont="1" applyFill="1" applyAlignment="1" applyProtection="1">
      <alignment horizontal="center" vertical="center"/>
    </xf>
    <xf numFmtId="0" fontId="65" fillId="2" borderId="1" xfId="0" applyNumberFormat="1" applyFont="1" applyFill="1" applyBorder="1" applyAlignment="1" applyProtection="1">
      <alignment horizontal="center" vertical="center" wrapText="1"/>
    </xf>
    <xf numFmtId="0" fontId="65" fillId="2" borderId="1" xfId="0" applyNumberFormat="1" applyFont="1" applyFill="1" applyBorder="1" applyAlignment="1" applyProtection="1">
      <alignment horizontal="left" vertical="center" wrapText="1"/>
    </xf>
    <xf numFmtId="0" fontId="65" fillId="2" borderId="11" xfId="0" applyNumberFormat="1" applyFont="1" applyFill="1" applyBorder="1" applyAlignment="1" applyProtection="1">
      <alignment horizontal="center" vertical="center" wrapText="1"/>
    </xf>
    <xf numFmtId="0" fontId="78" fillId="0" borderId="0" xfId="0" applyFont="1" applyFill="1" applyAlignment="1" applyProtection="1">
      <alignment horizontal="left" vertical="center"/>
      <protection locked="0"/>
    </xf>
    <xf numFmtId="0" fontId="47" fillId="2" borderId="49" xfId="0" applyFont="1" applyFill="1" applyBorder="1" applyAlignment="1" applyProtection="1">
      <alignment horizontal="center" vertical="center"/>
    </xf>
    <xf numFmtId="0" fontId="27" fillId="2" borderId="31" xfId="0" applyFont="1" applyFill="1" applyBorder="1" applyAlignment="1" applyProtection="1">
      <alignment horizontal="center" vertical="center"/>
    </xf>
    <xf numFmtId="0" fontId="55" fillId="2" borderId="31" xfId="0" applyFont="1" applyFill="1" applyBorder="1" applyAlignment="1" applyProtection="1">
      <alignment horizontal="center" vertical="center"/>
    </xf>
    <xf numFmtId="0" fontId="55" fillId="2" borderId="29" xfId="0" applyFont="1" applyFill="1" applyBorder="1" applyAlignment="1" applyProtection="1">
      <alignment horizontal="center" vertical="center"/>
    </xf>
    <xf numFmtId="0" fontId="27" fillId="2" borderId="120" xfId="0" applyFont="1" applyFill="1" applyBorder="1" applyProtection="1">
      <alignment vertical="center"/>
    </xf>
    <xf numFmtId="0" fontId="47" fillId="2" borderId="1" xfId="0" applyFont="1" applyFill="1" applyBorder="1" applyAlignment="1" applyProtection="1">
      <alignment horizontal="center" vertical="center"/>
    </xf>
    <xf numFmtId="0" fontId="47" fillId="2" borderId="2" xfId="0" applyFont="1" applyFill="1" applyBorder="1" applyAlignment="1" applyProtection="1">
      <alignment horizontal="center" vertical="center"/>
    </xf>
    <xf numFmtId="0" fontId="47" fillId="2" borderId="139" xfId="0" applyFont="1" applyFill="1" applyBorder="1" applyAlignment="1" applyProtection="1">
      <alignment horizontal="center" vertical="center"/>
    </xf>
    <xf numFmtId="0" fontId="47" fillId="2" borderId="11" xfId="0" applyFont="1" applyFill="1" applyBorder="1" applyAlignment="1" applyProtection="1">
      <alignment horizontal="center" vertical="center"/>
    </xf>
    <xf numFmtId="0" fontId="27" fillId="2" borderId="58" xfId="0" applyFont="1" applyFill="1" applyBorder="1" applyAlignment="1" applyProtection="1">
      <alignment horizontal="center" vertical="center"/>
    </xf>
    <xf numFmtId="0" fontId="27" fillId="0" borderId="16" xfId="0" applyFont="1" applyBorder="1" applyAlignment="1" applyProtection="1">
      <alignment horizontal="center" vertical="center"/>
      <protection locked="0"/>
    </xf>
    <xf numFmtId="0" fontId="47" fillId="0" borderId="16" xfId="0" applyFont="1" applyBorder="1" applyAlignment="1" applyProtection="1">
      <alignment horizontal="center" vertical="center"/>
      <protection locked="0"/>
    </xf>
    <xf numFmtId="0" fontId="27" fillId="0" borderId="34" xfId="0" applyFont="1" applyBorder="1" applyAlignment="1" applyProtection="1">
      <alignment horizontal="center" vertical="center"/>
      <protection locked="0"/>
    </xf>
    <xf numFmtId="0" fontId="27" fillId="0" borderId="140" xfId="0" applyFont="1" applyFill="1" applyBorder="1" applyAlignment="1" applyProtection="1">
      <alignment horizontal="center" vertical="center"/>
      <protection locked="0"/>
    </xf>
    <xf numFmtId="0" fontId="27" fillId="0" borderId="28" xfId="0" applyFont="1" applyBorder="1" applyAlignment="1" applyProtection="1">
      <alignment horizontal="center" vertical="center"/>
      <protection locked="0"/>
    </xf>
    <xf numFmtId="0" fontId="27" fillId="2" borderId="10" xfId="0" applyFont="1" applyFill="1" applyBorder="1" applyAlignment="1" applyProtection="1">
      <alignment horizontal="center" vertical="center"/>
    </xf>
    <xf numFmtId="0" fontId="27" fillId="0" borderId="1" xfId="0" applyFont="1" applyBorder="1" applyAlignment="1" applyProtection="1">
      <alignment horizontal="center" vertical="center"/>
      <protection locked="0"/>
    </xf>
    <xf numFmtId="0" fontId="27" fillId="0" borderId="2" xfId="0" applyFont="1" applyBorder="1" applyAlignment="1" applyProtection="1">
      <alignment horizontal="center" vertical="center"/>
      <protection locked="0"/>
    </xf>
    <xf numFmtId="0" fontId="27" fillId="0" borderId="139" xfId="0" applyFont="1" applyFill="1" applyBorder="1" applyAlignment="1" applyProtection="1">
      <alignment horizontal="center" vertical="center"/>
      <protection locked="0"/>
    </xf>
    <xf numFmtId="0" fontId="27" fillId="0" borderId="11" xfId="0" applyFont="1" applyBorder="1" applyAlignment="1" applyProtection="1">
      <alignment horizontal="center" vertical="center"/>
      <protection locked="0"/>
    </xf>
    <xf numFmtId="0" fontId="47" fillId="0" borderId="1" xfId="0" applyFont="1" applyBorder="1" applyAlignment="1" applyProtection="1">
      <alignment horizontal="center" vertical="center"/>
      <protection locked="0"/>
    </xf>
    <xf numFmtId="0" fontId="47" fillId="0" borderId="139" xfId="0" applyFont="1" applyFill="1" applyBorder="1" applyAlignment="1" applyProtection="1">
      <alignment horizontal="center" vertical="center"/>
      <protection locked="0"/>
    </xf>
    <xf numFmtId="0" fontId="47" fillId="2" borderId="12" xfId="0" applyFont="1" applyFill="1" applyBorder="1" applyAlignment="1" applyProtection="1">
      <alignment horizontal="center" vertical="center"/>
    </xf>
    <xf numFmtId="0" fontId="27" fillId="2" borderId="13" xfId="0" applyFont="1" applyFill="1" applyBorder="1" applyAlignment="1" applyProtection="1">
      <alignment horizontal="center" vertical="center"/>
    </xf>
    <xf numFmtId="0" fontId="27" fillId="2" borderId="21" xfId="0" applyFont="1" applyFill="1" applyBorder="1" applyAlignment="1" applyProtection="1">
      <alignment horizontal="center" vertical="center"/>
    </xf>
    <xf numFmtId="0" fontId="27" fillId="2" borderId="141" xfId="0" applyFont="1" applyFill="1" applyBorder="1" applyAlignment="1" applyProtection="1">
      <alignment horizontal="left" vertical="center"/>
    </xf>
    <xf numFmtId="0" fontId="47" fillId="2" borderId="31" xfId="0" applyFont="1" applyFill="1" applyBorder="1" applyAlignment="1" applyProtection="1">
      <alignment horizontal="center" vertical="center"/>
    </xf>
    <xf numFmtId="0" fontId="27" fillId="2" borderId="29" xfId="0" applyFont="1" applyFill="1" applyBorder="1" applyAlignment="1" applyProtection="1">
      <alignment horizontal="center" vertical="center"/>
    </xf>
    <xf numFmtId="0" fontId="27" fillId="2" borderId="98" xfId="0" applyFont="1" applyFill="1" applyBorder="1" applyAlignment="1" applyProtection="1">
      <alignment horizontal="center" vertical="center"/>
    </xf>
    <xf numFmtId="0" fontId="47" fillId="2" borderId="108" xfId="0" applyFont="1" applyFill="1" applyBorder="1" applyAlignment="1" applyProtection="1">
      <alignment horizontal="center" vertical="center"/>
    </xf>
    <xf numFmtId="184" fontId="27" fillId="2" borderId="28" xfId="0" applyNumberFormat="1" applyFont="1" applyFill="1" applyBorder="1" applyAlignment="1" applyProtection="1">
      <alignment horizontal="center" vertical="center"/>
    </xf>
    <xf numFmtId="0" fontId="47" fillId="2" borderId="4" xfId="0" applyFont="1" applyFill="1" applyBorder="1" applyAlignment="1" applyProtection="1">
      <alignment horizontal="center" vertical="center"/>
    </xf>
    <xf numFmtId="0" fontId="27" fillId="2" borderId="11" xfId="0" applyFont="1" applyFill="1" applyBorder="1" applyAlignment="1" applyProtection="1">
      <alignment horizontal="center" vertical="center"/>
    </xf>
    <xf numFmtId="178" fontId="27" fillId="2" borderId="11" xfId="0" applyNumberFormat="1" applyFont="1" applyFill="1" applyBorder="1" applyAlignment="1" applyProtection="1">
      <alignment horizontal="center" vertical="center"/>
    </xf>
    <xf numFmtId="178" fontId="27" fillId="0" borderId="11" xfId="0" applyNumberFormat="1" applyFont="1" applyBorder="1" applyAlignment="1" applyProtection="1">
      <alignment horizontal="center" vertical="center"/>
      <protection locked="0"/>
    </xf>
    <xf numFmtId="0" fontId="47" fillId="2" borderId="62" xfId="0" applyFont="1" applyFill="1" applyBorder="1" applyAlignment="1" applyProtection="1">
      <alignment horizontal="center" vertical="center"/>
    </xf>
    <xf numFmtId="0" fontId="27" fillId="0" borderId="13" xfId="0" applyFont="1" applyBorder="1" applyAlignment="1" applyProtection="1">
      <alignment horizontal="center" vertical="center"/>
      <protection locked="0"/>
    </xf>
    <xf numFmtId="178" fontId="27" fillId="2" borderId="14" xfId="0" applyNumberFormat="1" applyFont="1" applyFill="1" applyBorder="1" applyAlignment="1" applyProtection="1">
      <alignment horizontal="center" vertical="center"/>
    </xf>
    <xf numFmtId="0" fontId="9" fillId="0" borderId="1" xfId="0" applyFont="1" applyFill="1" applyBorder="1" applyAlignment="1">
      <alignment horizontal="center" vertical="center"/>
    </xf>
    <xf numFmtId="0" fontId="14" fillId="0" borderId="1" xfId="0" applyFont="1" applyFill="1" applyBorder="1" applyAlignment="1">
      <alignment horizontal="center" vertical="center"/>
    </xf>
    <xf numFmtId="9" fontId="9" fillId="0" borderId="1" xfId="0" applyNumberFormat="1" applyFont="1" applyFill="1" applyBorder="1" applyAlignment="1">
      <alignment horizontal="center" vertical="center"/>
    </xf>
    <xf numFmtId="182" fontId="9" fillId="0" borderId="1" xfId="0" applyNumberFormat="1" applyFont="1" applyFill="1" applyBorder="1" applyAlignment="1">
      <alignment horizontal="center" vertical="center"/>
    </xf>
    <xf numFmtId="0" fontId="11" fillId="0" borderId="1" xfId="0" applyFont="1" applyFill="1" applyBorder="1" applyAlignment="1">
      <alignment horizontal="center" vertical="center"/>
    </xf>
    <xf numFmtId="9" fontId="13" fillId="0" borderId="1" xfId="0" applyNumberFormat="1" applyFont="1" applyFill="1" applyBorder="1" applyAlignment="1">
      <alignment horizontal="center" vertical="center"/>
    </xf>
    <xf numFmtId="182" fontId="13" fillId="0" borderId="1" xfId="0" applyNumberFormat="1" applyFont="1" applyFill="1" applyBorder="1" applyAlignment="1">
      <alignment horizontal="center" vertical="center"/>
    </xf>
    <xf numFmtId="0" fontId="93" fillId="0" borderId="1" xfId="0" applyFont="1" applyFill="1" applyBorder="1" applyAlignment="1">
      <alignment horizontal="center" vertical="center"/>
    </xf>
    <xf numFmtId="0" fontId="0" fillId="0" borderId="1" xfId="0" applyFill="1" applyBorder="1" applyAlignment="1">
      <alignment vertical="center"/>
    </xf>
    <xf numFmtId="0" fontId="14" fillId="0" borderId="1" xfId="0" applyFont="1" applyFill="1" applyBorder="1" applyAlignment="1">
      <alignment horizontal="center" vertical="center" wrapText="1"/>
    </xf>
    <xf numFmtId="0" fontId="93" fillId="0" borderId="1" xfId="0" applyFont="1" applyFill="1" applyBorder="1" applyAlignment="1">
      <alignment vertical="center"/>
    </xf>
    <xf numFmtId="9" fontId="94" fillId="0" borderId="1" xfId="0" applyNumberFormat="1" applyFont="1" applyFill="1" applyBorder="1" applyAlignment="1">
      <alignment horizontal="center" vertical="center"/>
    </xf>
    <xf numFmtId="0" fontId="14" fillId="0" borderId="1" xfId="0" applyFont="1" applyBorder="1" applyAlignment="1">
      <alignment horizontal="center" vertical="center"/>
    </xf>
    <xf numFmtId="9" fontId="14" fillId="0" borderId="1" xfId="0" applyNumberFormat="1" applyFont="1" applyBorder="1" applyAlignment="1">
      <alignment horizontal="center" vertical="center"/>
    </xf>
    <xf numFmtId="0" fontId="11" fillId="0" borderId="13" xfId="0" applyFont="1" applyFill="1" applyBorder="1" applyAlignment="1">
      <alignment horizontal="center" vertical="center"/>
    </xf>
    <xf numFmtId="9" fontId="11" fillId="0" borderId="13" xfId="0" applyNumberFormat="1" applyFont="1" applyFill="1" applyBorder="1" applyAlignment="1">
      <alignment horizontal="center" vertical="center"/>
    </xf>
    <xf numFmtId="182" fontId="11" fillId="0" borderId="13" xfId="0" applyNumberFormat="1" applyFont="1" applyFill="1" applyBorder="1" applyAlignment="1">
      <alignment horizontal="center" vertical="center"/>
    </xf>
    <xf numFmtId="0" fontId="11" fillId="17" borderId="1" xfId="0" applyFont="1" applyFill="1" applyBorder="1" applyAlignment="1">
      <alignment vertical="center"/>
    </xf>
    <xf numFmtId="0" fontId="95" fillId="0" borderId="0" xfId="0" applyFont="1">
      <alignment vertical="center"/>
    </xf>
    <xf numFmtId="0" fontId="9" fillId="0" borderId="1" xfId="0" applyFont="1" applyBorder="1" applyAlignment="1">
      <alignment horizontal="center"/>
    </xf>
    <xf numFmtId="0" fontId="9" fillId="0" borderId="1" xfId="0" applyFont="1" applyBorder="1" applyAlignment="1"/>
    <xf numFmtId="49" fontId="9" fillId="0" borderId="1" xfId="0" applyNumberFormat="1" applyFont="1" applyBorder="1" applyAlignment="1">
      <alignment horizontal="center"/>
    </xf>
    <xf numFmtId="9" fontId="9" fillId="0" borderId="1" xfId="0" applyNumberFormat="1" applyFont="1" applyBorder="1" applyAlignment="1"/>
    <xf numFmtId="0" fontId="9" fillId="0" borderId="1" xfId="0" applyFont="1" applyFill="1" applyBorder="1" applyAlignment="1">
      <alignment horizontal="center"/>
    </xf>
    <xf numFmtId="182" fontId="9" fillId="0" borderId="11" xfId="0" applyNumberFormat="1" applyFont="1" applyFill="1" applyBorder="1" applyAlignment="1">
      <alignment horizontal="center" vertical="center"/>
    </xf>
    <xf numFmtId="0" fontId="9" fillId="0" borderId="11" xfId="0" applyFont="1" applyFill="1" applyBorder="1" applyAlignment="1">
      <alignment horizontal="center" vertical="center"/>
    </xf>
    <xf numFmtId="0" fontId="13" fillId="0" borderId="11" xfId="0" applyFont="1" applyFill="1" applyBorder="1" applyAlignment="1">
      <alignment horizontal="center" vertical="center"/>
    </xf>
    <xf numFmtId="0" fontId="11" fillId="0" borderId="11" xfId="0" applyFont="1" applyFill="1" applyBorder="1" applyAlignment="1">
      <alignment horizontal="center" vertical="center"/>
    </xf>
    <xf numFmtId="0" fontId="14" fillId="0" borderId="11" xfId="0" applyFont="1" applyFill="1" applyBorder="1" applyAlignment="1">
      <alignment horizontal="center" vertical="center"/>
    </xf>
    <xf numFmtId="0" fontId="13" fillId="0" borderId="14" xfId="0" applyFont="1" applyFill="1" applyBorder="1" applyAlignment="1">
      <alignment horizontal="center" vertical="center"/>
    </xf>
    <xf numFmtId="0" fontId="47" fillId="2" borderId="31" xfId="0" applyFont="1" applyFill="1" applyBorder="1">
      <alignment vertical="center"/>
    </xf>
    <xf numFmtId="0" fontId="47" fillId="2" borderId="29" xfId="0" applyFont="1" applyFill="1" applyBorder="1">
      <alignment vertical="center"/>
    </xf>
    <xf numFmtId="0" fontId="28" fillId="2" borderId="10" xfId="10" applyFont="1" applyFill="1" applyBorder="1" applyAlignment="1" applyProtection="1">
      <alignment vertical="center"/>
    </xf>
    <xf numFmtId="0" fontId="47" fillId="2" borderId="2" xfId="0" applyFont="1" applyFill="1" applyBorder="1">
      <alignment vertical="center"/>
    </xf>
    <xf numFmtId="0" fontId="47" fillId="2" borderId="4" xfId="0" applyFont="1" applyFill="1" applyBorder="1">
      <alignment vertical="center"/>
    </xf>
    <xf numFmtId="0" fontId="60" fillId="2" borderId="1" xfId="0" applyFont="1" applyFill="1" applyBorder="1">
      <alignment vertical="center"/>
    </xf>
    <xf numFmtId="0" fontId="47" fillId="2" borderId="11" xfId="0" applyFont="1" applyFill="1" applyBorder="1" applyProtection="1">
      <alignment vertical="center"/>
    </xf>
    <xf numFmtId="0" fontId="47" fillId="2" borderId="0" xfId="0" applyFont="1" applyFill="1" applyBorder="1">
      <alignment vertical="center"/>
    </xf>
    <xf numFmtId="0" fontId="47" fillId="2" borderId="23" xfId="0" applyFont="1" applyFill="1" applyBorder="1" applyProtection="1">
      <alignment vertical="center"/>
    </xf>
    <xf numFmtId="0" fontId="28" fillId="2" borderId="30" xfId="10" applyFont="1" applyFill="1" applyBorder="1" applyAlignment="1" applyProtection="1">
      <alignment vertical="center"/>
    </xf>
    <xf numFmtId="0" fontId="60" fillId="2" borderId="10" xfId="0" applyFont="1" applyFill="1" applyBorder="1" applyAlignment="1">
      <alignment horizontal="center" vertical="center"/>
    </xf>
    <xf numFmtId="0" fontId="60" fillId="2" borderId="0" xfId="0" applyFont="1" applyFill="1" applyBorder="1">
      <alignment vertical="center"/>
    </xf>
    <xf numFmtId="0" fontId="60" fillId="2" borderId="2" xfId="0" applyFont="1" applyFill="1" applyBorder="1" applyAlignment="1" applyProtection="1">
      <alignment horizontal="center" vertical="center"/>
    </xf>
    <xf numFmtId="0" fontId="47" fillId="2" borderId="10" xfId="0" applyFont="1" applyFill="1" applyBorder="1" applyAlignment="1">
      <alignment horizontal="center" vertical="center"/>
    </xf>
    <xf numFmtId="0" fontId="47" fillId="2" borderId="2" xfId="0" applyFont="1" applyFill="1" applyBorder="1" applyProtection="1">
      <alignment vertical="center"/>
    </xf>
    <xf numFmtId="0" fontId="47" fillId="3" borderId="1" xfId="0" applyFont="1" applyFill="1" applyBorder="1" applyAlignment="1" applyProtection="1">
      <alignment horizontal="center" vertical="center"/>
      <protection locked="0"/>
    </xf>
    <xf numFmtId="0" fontId="47" fillId="2" borderId="12" xfId="0" applyFont="1" applyFill="1" applyBorder="1" applyAlignment="1">
      <alignment horizontal="center" vertical="center"/>
    </xf>
    <xf numFmtId="0" fontId="47" fillId="2" borderId="62" xfId="0" applyFont="1" applyFill="1" applyBorder="1">
      <alignment vertical="center"/>
    </xf>
    <xf numFmtId="0" fontId="47" fillId="2" borderId="21" xfId="0" applyFont="1" applyFill="1" applyBorder="1">
      <alignment vertical="center"/>
    </xf>
    <xf numFmtId="0" fontId="63" fillId="0" borderId="0" xfId="0" applyFont="1" applyFill="1" applyAlignment="1" applyProtection="1">
      <alignment vertical="center"/>
      <protection locked="0"/>
    </xf>
    <xf numFmtId="0" fontId="37" fillId="0" borderId="0" xfId="0" applyFont="1" applyFill="1" applyAlignment="1" applyProtection="1">
      <alignment vertical="center"/>
      <protection locked="0"/>
    </xf>
    <xf numFmtId="0" fontId="30" fillId="0" borderId="0" xfId="0" applyFont="1" applyFill="1" applyAlignment="1" applyProtection="1">
      <alignment horizontal="left" vertical="center"/>
      <protection locked="0"/>
    </xf>
    <xf numFmtId="49" fontId="96" fillId="2" borderId="98" xfId="0" applyNumberFormat="1" applyFont="1" applyFill="1" applyBorder="1" applyAlignment="1" applyProtection="1"/>
    <xf numFmtId="49" fontId="28" fillId="7" borderId="130" xfId="0" applyNumberFormat="1" applyFont="1" applyFill="1" applyBorder="1" applyAlignment="1" applyProtection="1">
      <alignment horizontal="right"/>
      <protection locked="0"/>
    </xf>
    <xf numFmtId="0" fontId="27" fillId="3" borderId="0" xfId="0" applyFont="1" applyFill="1" applyAlignment="1" applyProtection="1">
      <alignment horizontal="right" vertical="center"/>
      <protection locked="0"/>
    </xf>
    <xf numFmtId="49" fontId="27" fillId="2" borderId="0" xfId="0" applyNumberFormat="1" applyFont="1" applyFill="1" applyBorder="1" applyAlignment="1" applyProtection="1">
      <alignment horizontal="center"/>
    </xf>
    <xf numFmtId="0" fontId="27" fillId="2" borderId="0" xfId="0" applyNumberFormat="1" applyFont="1" applyFill="1" applyBorder="1" applyAlignment="1" applyProtection="1">
      <alignment horizontal="center"/>
    </xf>
    <xf numFmtId="182" fontId="28" fillId="2" borderId="98" xfId="0" applyNumberFormat="1" applyFont="1" applyFill="1" applyBorder="1" applyAlignment="1" applyProtection="1"/>
    <xf numFmtId="0" fontId="63" fillId="2" borderId="0" xfId="0" applyFont="1" applyFill="1" applyAlignment="1" applyProtection="1">
      <alignment vertical="center"/>
    </xf>
    <xf numFmtId="0" fontId="29" fillId="2" borderId="1" xfId="10" applyFont="1" applyFill="1" applyBorder="1" applyAlignment="1" applyProtection="1">
      <alignment vertical="center"/>
    </xf>
    <xf numFmtId="0" fontId="38" fillId="2" borderId="1" xfId="0" applyFont="1" applyFill="1" applyBorder="1" applyAlignment="1" applyProtection="1">
      <alignment horizontal="right" vertical="center"/>
    </xf>
    <xf numFmtId="0" fontId="30"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30" fillId="2" borderId="0" xfId="0" applyNumberFormat="1" applyFont="1" applyFill="1" applyBorder="1" applyAlignment="1" applyProtection="1"/>
    <xf numFmtId="49" fontId="29" fillId="2" borderId="0" xfId="0" applyNumberFormat="1" applyFont="1" applyFill="1" applyBorder="1" applyAlignment="1" applyProtection="1"/>
    <xf numFmtId="182" fontId="29" fillId="5" borderId="0" xfId="0" applyNumberFormat="1" applyFont="1" applyFill="1" applyBorder="1" applyAlignment="1" applyProtection="1"/>
    <xf numFmtId="49" fontId="29" fillId="2" borderId="0" xfId="0" applyNumberFormat="1" applyFont="1" applyFill="1" applyBorder="1" applyAlignment="1" applyProtection="1">
      <alignment horizontal="center"/>
    </xf>
    <xf numFmtId="0" fontId="29" fillId="2" borderId="13" xfId="10" applyFont="1" applyFill="1" applyBorder="1" applyAlignment="1" applyProtection="1">
      <alignment vertical="center"/>
    </xf>
    <xf numFmtId="0" fontId="38" fillId="2" borderId="13" xfId="0" applyFont="1" applyFill="1" applyBorder="1" applyAlignment="1" applyProtection="1">
      <alignment horizontal="right" vertical="center"/>
    </xf>
    <xf numFmtId="49" fontId="28" fillId="2" borderId="0" xfId="0" applyNumberFormat="1" applyFont="1" applyFill="1" applyBorder="1" applyAlignment="1" applyProtection="1">
      <alignment horizontal="center"/>
    </xf>
    <xf numFmtId="49" fontId="36" fillId="2" borderId="7" xfId="0" applyNumberFormat="1" applyFont="1" applyFill="1" applyBorder="1" applyAlignment="1" applyProtection="1">
      <alignment horizontal="center" vertical="center"/>
    </xf>
    <xf numFmtId="0" fontId="36" fillId="2" borderId="8" xfId="0" applyFont="1" applyFill="1" applyBorder="1" applyAlignment="1" applyProtection="1">
      <alignment horizontal="center" vertical="center"/>
    </xf>
    <xf numFmtId="0" fontId="36" fillId="2" borderId="32" xfId="0" applyFont="1" applyFill="1" applyBorder="1" applyAlignment="1" applyProtection="1">
      <alignment horizontal="right" vertical="center"/>
    </xf>
    <xf numFmtId="0" fontId="36" fillId="2" borderId="39" xfId="0" applyFont="1" applyFill="1" applyBorder="1" applyAlignment="1" applyProtection="1">
      <alignment horizontal="center" vertical="center"/>
    </xf>
    <xf numFmtId="0" fontId="30" fillId="5" borderId="0" xfId="0" applyFont="1" applyFill="1" applyAlignment="1" applyProtection="1">
      <alignment vertical="center"/>
    </xf>
    <xf numFmtId="49" fontId="38" fillId="2" borderId="51" xfId="0" applyNumberFormat="1" applyFont="1" applyFill="1" applyBorder="1" applyAlignment="1" applyProtection="1">
      <alignment vertical="center"/>
    </xf>
    <xf numFmtId="0" fontId="38" fillId="2" borderId="15" xfId="0" applyFont="1" applyFill="1" applyBorder="1" applyAlignment="1" applyProtection="1">
      <alignment vertical="center" wrapText="1"/>
    </xf>
    <xf numFmtId="0" fontId="36" fillId="2" borderId="64" xfId="0" applyFont="1" applyFill="1" applyBorder="1" applyAlignment="1" applyProtection="1">
      <alignment horizontal="center" vertical="center"/>
    </xf>
    <xf numFmtId="0" fontId="30" fillId="2" borderId="15" xfId="0" applyFont="1" applyFill="1" applyBorder="1" applyAlignment="1" applyProtection="1">
      <alignment vertical="center"/>
    </xf>
    <xf numFmtId="0" fontId="36" fillId="2" borderId="34" xfId="0" applyFont="1" applyFill="1" applyBorder="1" applyAlignment="1" applyProtection="1">
      <alignment horizontal="right" vertical="center"/>
    </xf>
    <xf numFmtId="0" fontId="36" fillId="2" borderId="116" xfId="0" applyFont="1" applyFill="1" applyBorder="1" applyAlignment="1" applyProtection="1">
      <alignment horizontal="center" vertical="center"/>
    </xf>
    <xf numFmtId="49" fontId="36" fillId="2" borderId="51" xfId="0" applyNumberFormat="1" applyFont="1" applyFill="1" applyBorder="1" applyAlignment="1" applyProtection="1">
      <alignment horizontal="left" vertical="center"/>
    </xf>
    <xf numFmtId="0" fontId="38" fillId="2" borderId="111" xfId="0" applyFont="1" applyFill="1" applyBorder="1" applyAlignment="1" applyProtection="1">
      <alignment horizontal="center" vertical="center"/>
    </xf>
    <xf numFmtId="0" fontId="36" fillId="2" borderId="15" xfId="0" applyFont="1" applyFill="1" applyBorder="1" applyAlignment="1" applyProtection="1">
      <alignment vertical="center"/>
    </xf>
    <xf numFmtId="0" fontId="36" fillId="2" borderId="1" xfId="0" applyFont="1" applyFill="1" applyBorder="1" applyAlignment="1" applyProtection="1">
      <alignment horizontal="left" vertical="center"/>
    </xf>
    <xf numFmtId="0" fontId="38" fillId="2" borderId="11" xfId="0" applyFont="1" applyFill="1" applyBorder="1" applyAlignment="1" applyProtection="1">
      <alignment horizontal="center" vertical="center"/>
    </xf>
    <xf numFmtId="49" fontId="36" fillId="2" borderId="119" xfId="0" applyNumberFormat="1" applyFont="1" applyFill="1" applyBorder="1" applyAlignment="1" applyProtection="1">
      <alignment horizontal="left" vertical="center"/>
    </xf>
    <xf numFmtId="0" fontId="38" fillId="2" borderId="0" xfId="0" applyFont="1" applyFill="1" applyBorder="1" applyAlignment="1" applyProtection="1">
      <alignment horizontal="center" vertical="center"/>
    </xf>
    <xf numFmtId="0" fontId="36" fillId="2" borderId="64" xfId="0" applyFont="1" applyFill="1" applyBorder="1" applyAlignment="1" applyProtection="1">
      <alignment vertical="center"/>
    </xf>
    <xf numFmtId="0" fontId="36" fillId="2" borderId="4" xfId="0" applyFont="1" applyFill="1" applyBorder="1" applyAlignment="1" applyProtection="1">
      <alignment horizontal="left" vertical="center"/>
    </xf>
    <xf numFmtId="49" fontId="38" fillId="2" borderId="27" xfId="0" applyNumberFormat="1" applyFont="1" applyFill="1" applyBorder="1" applyAlignment="1" applyProtection="1">
      <alignment vertical="center"/>
    </xf>
    <xf numFmtId="0" fontId="38" fillId="2" borderId="64" xfId="0" applyFont="1" applyFill="1" applyBorder="1" applyAlignment="1" applyProtection="1">
      <alignment horizontal="center" vertical="center"/>
    </xf>
    <xf numFmtId="188" fontId="38" fillId="2" borderId="11" xfId="0" applyNumberFormat="1" applyFont="1" applyFill="1" applyBorder="1" applyAlignment="1" applyProtection="1">
      <alignment horizontal="center" vertical="center"/>
    </xf>
    <xf numFmtId="0" fontId="36" fillId="2" borderId="111" xfId="0" applyFont="1" applyFill="1" applyBorder="1" applyAlignment="1" applyProtection="1">
      <alignment vertical="center" wrapText="1"/>
    </xf>
    <xf numFmtId="0" fontId="36" fillId="2" borderId="111" xfId="0" applyFont="1" applyFill="1" applyBorder="1" applyAlignment="1" applyProtection="1">
      <alignment vertical="center"/>
    </xf>
    <xf numFmtId="0" fontId="36" fillId="2" borderId="15" xfId="0" applyFont="1" applyFill="1" applyBorder="1" applyAlignment="1" applyProtection="1">
      <alignment horizontal="left" vertical="center"/>
    </xf>
    <xf numFmtId="188" fontId="38" fillId="3" borderId="40" xfId="0" applyNumberFormat="1" applyFont="1" applyFill="1" applyBorder="1" applyAlignment="1" applyProtection="1">
      <alignment horizontal="center" vertical="center"/>
      <protection locked="0"/>
    </xf>
    <xf numFmtId="49" fontId="38" fillId="2" borderId="58" xfId="0" applyNumberFormat="1" applyFont="1" applyFill="1" applyBorder="1" applyAlignment="1" applyProtection="1">
      <alignment vertical="center"/>
    </xf>
    <xf numFmtId="0" fontId="97" fillId="2" borderId="1" xfId="0" applyFont="1" applyFill="1" applyBorder="1" applyAlignment="1" applyProtection="1">
      <alignment horizontal="right" vertical="center" wrapText="1"/>
    </xf>
    <xf numFmtId="0" fontId="38" fillId="2" borderId="1" xfId="0" applyFont="1" applyFill="1" applyBorder="1" applyAlignment="1" applyProtection="1">
      <alignment horizontal="center" vertical="center"/>
      <protection locked="0"/>
    </xf>
    <xf numFmtId="188" fontId="38" fillId="2" borderId="40" xfId="0" applyNumberFormat="1" applyFont="1" applyFill="1" applyBorder="1" applyAlignment="1" applyProtection="1">
      <alignment horizontal="center" vertical="center"/>
    </xf>
    <xf numFmtId="49" fontId="38" fillId="2" borderId="120" xfId="0" applyNumberFormat="1" applyFont="1" applyFill="1" applyBorder="1" applyAlignment="1" applyProtection="1">
      <alignment vertical="center"/>
    </xf>
    <xf numFmtId="49" fontId="36" fillId="2" borderId="142" xfId="0" applyNumberFormat="1" applyFont="1" applyFill="1" applyBorder="1" applyAlignment="1" applyProtection="1">
      <alignment vertical="center"/>
    </xf>
    <xf numFmtId="0" fontId="36" fillId="2" borderId="135" xfId="0" applyFont="1" applyFill="1" applyBorder="1" applyAlignment="1" applyProtection="1">
      <alignment vertical="center" wrapText="1"/>
    </xf>
    <xf numFmtId="0" fontId="38" fillId="0" borderId="6" xfId="0" applyFont="1" applyFill="1" applyBorder="1" applyAlignment="1" applyProtection="1">
      <alignment horizontal="center" vertical="center"/>
      <protection locked="0"/>
    </xf>
    <xf numFmtId="0" fontId="36" fillId="2" borderId="6" xfId="0" applyFont="1" applyFill="1" applyBorder="1" applyAlignment="1" applyProtection="1">
      <alignment vertical="center"/>
    </xf>
    <xf numFmtId="0" fontId="36" fillId="2" borderId="6" xfId="0" applyFont="1" applyFill="1" applyBorder="1" applyAlignment="1" applyProtection="1">
      <alignment horizontal="left" vertical="center"/>
    </xf>
    <xf numFmtId="188" fontId="38" fillId="2" borderId="124" xfId="0" applyNumberFormat="1" applyFont="1" applyFill="1" applyBorder="1" applyAlignment="1" applyProtection="1">
      <alignment horizontal="center" vertical="center"/>
    </xf>
    <xf numFmtId="49" fontId="38" fillId="2" borderId="58" xfId="0" applyNumberFormat="1" applyFont="1" applyFill="1" applyBorder="1" applyAlignment="1" applyProtection="1">
      <alignment horizontal="left" vertical="center"/>
    </xf>
    <xf numFmtId="0" fontId="38" fillId="2" borderId="16" xfId="0" applyFont="1" applyFill="1" applyBorder="1" applyAlignment="1" applyProtection="1">
      <alignment horizontal="left" vertical="center"/>
    </xf>
    <xf numFmtId="0" fontId="38" fillId="2" borderId="16" xfId="0" applyFont="1" applyFill="1" applyBorder="1" applyAlignment="1" applyProtection="1">
      <alignment horizontal="center" vertical="center"/>
    </xf>
    <xf numFmtId="0" fontId="36" fillId="2" borderId="64" xfId="0" applyFont="1" applyFill="1" applyBorder="1" applyAlignment="1" applyProtection="1">
      <alignment horizontal="left" vertical="center"/>
    </xf>
    <xf numFmtId="188" fontId="36" fillId="2" borderId="43" xfId="0" applyNumberFormat="1" applyFont="1" applyFill="1" applyBorder="1" applyAlignment="1" applyProtection="1">
      <alignment horizontal="center" vertical="center"/>
    </xf>
    <xf numFmtId="49" fontId="36" fillId="2" borderId="10" xfId="0" applyNumberFormat="1" applyFont="1" applyFill="1" applyBorder="1" applyAlignment="1" applyProtection="1">
      <alignment horizontal="left" vertical="center"/>
    </xf>
    <xf numFmtId="0" fontId="7" fillId="2" borderId="2" xfId="0" applyFont="1" applyFill="1" applyBorder="1" applyAlignment="1" applyProtection="1">
      <alignment horizontal="center" vertical="center"/>
    </xf>
    <xf numFmtId="0" fontId="36" fillId="2" borderId="2" xfId="0" applyFont="1" applyFill="1" applyBorder="1" applyAlignment="1" applyProtection="1">
      <alignment horizontal="left" vertical="center" wrapText="1"/>
    </xf>
    <xf numFmtId="0" fontId="36" fillId="2" borderId="3" xfId="0" applyFont="1" applyFill="1" applyBorder="1" applyAlignment="1" applyProtection="1">
      <alignment horizontal="left" vertical="center" wrapText="1"/>
    </xf>
    <xf numFmtId="185" fontId="38" fillId="2" borderId="42" xfId="0" applyNumberFormat="1" applyFont="1" applyFill="1" applyBorder="1" applyAlignment="1" applyProtection="1">
      <alignment horizontal="center" vertical="center"/>
    </xf>
    <xf numFmtId="0" fontId="36" fillId="2" borderId="16" xfId="0" applyFont="1" applyFill="1" applyBorder="1" applyAlignment="1" applyProtection="1">
      <alignment horizontal="left" vertical="center"/>
    </xf>
    <xf numFmtId="188" fontId="36" fillId="2" borderId="28" xfId="0" applyNumberFormat="1" applyFont="1" applyFill="1" applyBorder="1" applyAlignment="1" applyProtection="1">
      <alignment horizontal="center" vertical="center"/>
    </xf>
    <xf numFmtId="0" fontId="37" fillId="5" borderId="0" xfId="0" applyFont="1" applyFill="1" applyAlignment="1" applyProtection="1">
      <alignment vertical="center"/>
    </xf>
    <xf numFmtId="49" fontId="36" fillId="2" borderId="142" xfId="0" applyNumberFormat="1" applyFont="1" applyFill="1" applyBorder="1" applyAlignment="1" applyProtection="1">
      <alignment horizontal="left" vertical="center"/>
    </xf>
    <xf numFmtId="188" fontId="36" fillId="2" borderId="11" xfId="0" applyNumberFormat="1" applyFont="1" applyFill="1" applyBorder="1" applyAlignment="1" applyProtection="1">
      <alignment horizontal="center" vertical="center"/>
    </xf>
    <xf numFmtId="0" fontId="36" fillId="2" borderId="42" xfId="0" applyFont="1" applyFill="1" applyBorder="1" applyAlignment="1" applyProtection="1">
      <alignment horizontal="center" vertical="center"/>
    </xf>
    <xf numFmtId="0" fontId="36" fillId="2" borderId="2" xfId="0" applyFont="1" applyFill="1" applyBorder="1" applyAlignment="1" applyProtection="1">
      <alignment vertical="center"/>
    </xf>
    <xf numFmtId="0" fontId="36" fillId="2" borderId="1" xfId="0" applyFont="1" applyFill="1" applyBorder="1" applyAlignment="1" applyProtection="1">
      <alignment vertical="center" wrapText="1"/>
    </xf>
    <xf numFmtId="49" fontId="36" fillId="2" borderId="58" xfId="0" applyNumberFormat="1" applyFont="1" applyFill="1" applyBorder="1" applyAlignment="1" applyProtection="1">
      <alignment vertical="center"/>
    </xf>
    <xf numFmtId="0" fontId="36" fillId="2" borderId="1" xfId="0" applyFont="1" applyFill="1" applyBorder="1" applyAlignment="1" applyProtection="1">
      <alignment vertical="center"/>
    </xf>
    <xf numFmtId="0" fontId="36" fillId="2" borderId="11" xfId="0" applyFont="1" applyFill="1" applyBorder="1" applyAlignment="1" applyProtection="1">
      <alignment horizontal="center" vertical="center"/>
    </xf>
    <xf numFmtId="10" fontId="36" fillId="2" borderId="11" xfId="0" applyNumberFormat="1" applyFont="1" applyFill="1" applyBorder="1" applyAlignment="1" applyProtection="1">
      <alignment horizontal="center" vertical="center"/>
    </xf>
    <xf numFmtId="0" fontId="36" fillId="2" borderId="6" xfId="0" applyFont="1" applyFill="1" applyBorder="1" applyAlignment="1" applyProtection="1">
      <alignment horizontal="center" vertical="center"/>
    </xf>
    <xf numFmtId="0" fontId="36" fillId="2" borderId="6" xfId="0" applyFont="1" applyFill="1" applyBorder="1" applyAlignment="1" applyProtection="1">
      <alignment horizontal="left" vertical="center" wrapText="1"/>
    </xf>
    <xf numFmtId="188" fontId="36" fillId="2" borderId="124" xfId="0" applyNumberFormat="1" applyFont="1" applyFill="1" applyBorder="1" applyAlignment="1" applyProtection="1">
      <alignment horizontal="center" vertical="center"/>
    </xf>
    <xf numFmtId="49" fontId="38" fillId="2" borderId="12" xfId="0" applyNumberFormat="1" applyFont="1" applyFill="1" applyBorder="1" applyAlignment="1" applyProtection="1">
      <alignment horizontal="left" vertical="center"/>
    </xf>
    <xf numFmtId="0" fontId="36" fillId="2" borderId="34" xfId="0" applyFont="1" applyFill="1" applyBorder="1" applyAlignment="1" applyProtection="1">
      <alignment horizontal="left" vertical="center"/>
    </xf>
    <xf numFmtId="0" fontId="36" fillId="2" borderId="98"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xf>
    <xf numFmtId="0" fontId="36" fillId="2" borderId="1" xfId="0" applyFont="1" applyFill="1" applyBorder="1" applyAlignment="1" applyProtection="1">
      <alignment horizontal="left" vertical="center" wrapText="1"/>
    </xf>
    <xf numFmtId="188" fontId="36" fillId="2" borderId="42" xfId="0" applyNumberFormat="1" applyFont="1" applyFill="1" applyBorder="1" applyAlignment="1" applyProtection="1">
      <alignment horizontal="center" vertical="center" wrapText="1"/>
    </xf>
    <xf numFmtId="0" fontId="36" fillId="7" borderId="1" xfId="0" applyFont="1" applyFill="1" applyBorder="1" applyAlignment="1" applyProtection="1">
      <alignment horizontal="left" vertical="center" wrapText="1"/>
      <protection locked="0"/>
    </xf>
    <xf numFmtId="0" fontId="7" fillId="2" borderId="0" xfId="0" applyFont="1" applyFill="1" applyAlignment="1" applyProtection="1"/>
    <xf numFmtId="0" fontId="36" fillId="2" borderId="15" xfId="0" applyFont="1" applyFill="1" applyBorder="1" applyAlignment="1" applyProtection="1">
      <alignment horizontal="center" vertical="center"/>
    </xf>
    <xf numFmtId="0" fontId="36" fillId="2" borderId="15" xfId="0" applyFont="1" applyFill="1" applyBorder="1" applyAlignment="1" applyProtection="1">
      <alignment horizontal="left" vertical="center" wrapText="1"/>
    </xf>
    <xf numFmtId="49" fontId="36" fillId="2" borderId="108" xfId="0" applyNumberFormat="1" applyFont="1" applyFill="1" applyBorder="1" applyAlignment="1" applyProtection="1">
      <alignment vertical="center"/>
    </xf>
    <xf numFmtId="0" fontId="36" fillId="2" borderId="108" xfId="0" applyFont="1" applyFill="1" applyBorder="1" applyAlignment="1" applyProtection="1">
      <alignment vertical="center"/>
    </xf>
    <xf numFmtId="0" fontId="36" fillId="2" borderId="16" xfId="0" applyFont="1" applyFill="1" applyBorder="1" applyAlignment="1" applyProtection="1">
      <alignment horizontal="center" vertical="center"/>
    </xf>
    <xf numFmtId="0" fontId="36" fillId="2" borderId="16" xfId="0" applyFont="1" applyFill="1" applyBorder="1" applyAlignment="1" applyProtection="1">
      <alignment horizontal="left" vertical="center" wrapText="1"/>
    </xf>
    <xf numFmtId="49" fontId="36" fillId="2" borderId="58" xfId="0" applyNumberFormat="1" applyFont="1" applyFill="1" applyBorder="1" applyAlignment="1" applyProtection="1">
      <alignment horizontal="left" vertical="center"/>
    </xf>
    <xf numFmtId="10" fontId="38" fillId="2" borderId="11" xfId="0" applyNumberFormat="1" applyFont="1" applyFill="1" applyBorder="1" applyAlignment="1" applyProtection="1">
      <alignment horizontal="center" vertical="center"/>
    </xf>
    <xf numFmtId="198" fontId="38" fillId="2" borderId="11" xfId="0" applyNumberFormat="1" applyFont="1" applyFill="1" applyBorder="1" applyAlignment="1" applyProtection="1">
      <alignment horizontal="center" vertical="center"/>
    </xf>
    <xf numFmtId="0" fontId="38" fillId="2" borderId="16" xfId="0" applyFont="1" applyFill="1" applyBorder="1" applyAlignment="1" applyProtection="1">
      <alignment horizontal="left" vertical="center" wrapText="1"/>
    </xf>
    <xf numFmtId="0" fontId="36" fillId="2" borderId="34" xfId="0" applyFont="1" applyFill="1" applyBorder="1" applyAlignment="1" applyProtection="1">
      <alignment horizontal="left" vertical="center" wrapText="1"/>
    </xf>
    <xf numFmtId="0" fontId="36" fillId="2" borderId="98" xfId="0" applyFont="1" applyFill="1" applyBorder="1" applyAlignment="1" applyProtection="1">
      <alignment horizontal="center" vertical="center" wrapText="1"/>
    </xf>
    <xf numFmtId="0" fontId="36" fillId="2" borderId="116" xfId="0" applyFont="1" applyFill="1" applyBorder="1" applyAlignment="1" applyProtection="1">
      <alignment horizontal="center" vertical="center" wrapText="1"/>
    </xf>
    <xf numFmtId="0" fontId="38" fillId="2" borderId="15" xfId="0" applyFont="1" applyFill="1" applyBorder="1" applyAlignment="1" applyProtection="1">
      <alignment horizontal="center" vertical="center"/>
    </xf>
    <xf numFmtId="0" fontId="30" fillId="2" borderId="0" xfId="0" applyFont="1" applyFill="1" applyAlignment="1" applyProtection="1">
      <alignment vertical="center"/>
    </xf>
    <xf numFmtId="0" fontId="38" fillId="2" borderId="64" xfId="0" applyFont="1" applyFill="1" applyBorder="1" applyAlignment="1" applyProtection="1">
      <alignment vertical="center" wrapText="1"/>
    </xf>
    <xf numFmtId="0" fontId="36" fillId="2" borderId="64" xfId="0" applyFont="1" applyFill="1" applyBorder="1" applyAlignment="1" applyProtection="1">
      <alignment horizontal="left" vertical="center" wrapText="1"/>
    </xf>
    <xf numFmtId="185" fontId="38" fillId="2" borderId="11" xfId="0" applyNumberFormat="1" applyFont="1" applyFill="1" applyBorder="1" applyAlignment="1" applyProtection="1">
      <alignment horizontal="center" vertical="center"/>
    </xf>
    <xf numFmtId="0" fontId="36" fillId="2" borderId="0" xfId="0" applyFont="1" applyFill="1" applyAlignment="1" applyProtection="1">
      <alignment vertical="center"/>
    </xf>
    <xf numFmtId="0" fontId="38" fillId="2" borderId="16" xfId="0" applyFont="1" applyFill="1" applyBorder="1" applyAlignment="1" applyProtection="1">
      <alignment vertical="center" wrapText="1"/>
    </xf>
    <xf numFmtId="0" fontId="38" fillId="2" borderId="13" xfId="0" applyFont="1" applyFill="1" applyBorder="1" applyAlignment="1" applyProtection="1">
      <alignment horizontal="left" vertical="center"/>
    </xf>
    <xf numFmtId="0" fontId="38" fillId="2" borderId="13" xfId="0" applyFont="1" applyFill="1" applyBorder="1" applyAlignment="1" applyProtection="1">
      <alignment horizontal="center" vertical="center"/>
    </xf>
    <xf numFmtId="0" fontId="36" fillId="2" borderId="13" xfId="0" applyFont="1" applyFill="1" applyBorder="1" applyAlignment="1" applyProtection="1">
      <alignment vertical="center"/>
    </xf>
    <xf numFmtId="0" fontId="36" fillId="2" borderId="13" xfId="0" applyFont="1" applyFill="1" applyBorder="1" applyAlignment="1" applyProtection="1">
      <alignment horizontal="left" vertical="center"/>
    </xf>
    <xf numFmtId="185" fontId="38" fillId="2" borderId="14" xfId="0" applyNumberFormat="1" applyFont="1" applyFill="1" applyBorder="1" applyAlignment="1" applyProtection="1">
      <alignment horizontal="center" vertical="center"/>
    </xf>
    <xf numFmtId="0" fontId="36" fillId="5" borderId="0" xfId="0" applyFont="1" applyFill="1" applyAlignment="1" applyProtection="1">
      <protection locked="0"/>
    </xf>
    <xf numFmtId="0" fontId="36" fillId="5" borderId="0" xfId="0" applyFont="1" applyFill="1" applyAlignment="1" applyProtection="1">
      <alignment horizontal="center"/>
      <protection locked="0"/>
    </xf>
    <xf numFmtId="0" fontId="36" fillId="2" borderId="0" xfId="0" applyFont="1" applyFill="1" applyAlignment="1" applyProtection="1"/>
    <xf numFmtId="0" fontId="36" fillId="2" borderId="0" xfId="0" applyFont="1" applyFill="1" applyAlignment="1" applyProtection="1">
      <protection locked="0"/>
    </xf>
    <xf numFmtId="0" fontId="58" fillId="5" borderId="0" xfId="0" applyFont="1" applyFill="1" applyAlignment="1" applyProtection="1">
      <protection locked="0"/>
    </xf>
    <xf numFmtId="0" fontId="30" fillId="2" borderId="49" xfId="0" applyFont="1" applyFill="1" applyBorder="1" applyAlignment="1" applyProtection="1">
      <alignment horizontal="center" vertical="center"/>
    </xf>
    <xf numFmtId="0" fontId="36" fillId="2" borderId="29" xfId="0" applyFont="1" applyFill="1" applyBorder="1" applyAlignment="1" applyProtection="1"/>
    <xf numFmtId="49" fontId="36" fillId="2" borderId="7" xfId="0" applyNumberFormat="1" applyFont="1" applyFill="1" applyBorder="1" applyAlignment="1" applyProtection="1">
      <alignment horizontal="center" vertical="center"/>
      <protection locked="0"/>
    </xf>
    <xf numFmtId="0" fontId="36" fillId="2" borderId="35" xfId="0" applyFont="1" applyFill="1" applyBorder="1" applyAlignment="1" applyProtection="1">
      <alignment horizontal="center" vertical="center"/>
      <protection locked="0"/>
    </xf>
    <xf numFmtId="0" fontId="36" fillId="2" borderId="17" xfId="0" applyFont="1" applyFill="1" applyBorder="1" applyAlignment="1" applyProtection="1">
      <alignment horizontal="right" vertical="center"/>
      <protection locked="0"/>
    </xf>
    <xf numFmtId="185" fontId="30" fillId="5" borderId="0" xfId="0" applyNumberFormat="1" applyFont="1" applyFill="1" applyBorder="1" applyAlignment="1" applyProtection="1">
      <alignment horizontal="center" vertical="center"/>
      <protection locked="0"/>
    </xf>
    <xf numFmtId="49" fontId="36" fillId="2" borderId="30" xfId="0" applyNumberFormat="1"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protection locked="0"/>
    </xf>
    <xf numFmtId="0" fontId="36" fillId="2" borderId="2" xfId="0" applyFont="1" applyFill="1" applyBorder="1" applyAlignment="1" applyProtection="1">
      <alignment horizontal="right" vertical="center"/>
      <protection locked="0"/>
    </xf>
    <xf numFmtId="0" fontId="36" fillId="2" borderId="42" xfId="0" applyFont="1" applyFill="1" applyBorder="1" applyAlignment="1" applyProtection="1">
      <alignment horizontal="center" vertical="center"/>
      <protection locked="0"/>
    </xf>
    <xf numFmtId="49" fontId="29" fillId="5" borderId="0" xfId="0" applyNumberFormat="1" applyFont="1" applyFill="1" applyBorder="1" applyAlignment="1" applyProtection="1">
      <alignment horizontal="left" vertical="center"/>
      <protection locked="0"/>
    </xf>
    <xf numFmtId="49" fontId="38" fillId="2" borderId="129" xfId="0" applyNumberFormat="1" applyFont="1" applyFill="1" applyBorder="1" applyAlignment="1" applyProtection="1">
      <alignment horizontal="left" vertical="center"/>
      <protection locked="0"/>
    </xf>
    <xf numFmtId="0" fontId="38" fillId="2" borderId="48" xfId="0" applyFont="1" applyFill="1" applyBorder="1" applyAlignment="1" applyProtection="1">
      <alignment vertical="center" wrapText="1"/>
      <protection locked="0"/>
    </xf>
    <xf numFmtId="0" fontId="38" fillId="2" borderId="48" xfId="0" applyFont="1" applyFill="1" applyBorder="1" applyAlignment="1" applyProtection="1">
      <alignment horizontal="center" vertical="center"/>
    </xf>
    <xf numFmtId="0" fontId="36" fillId="2" borderId="48" xfId="0" applyFont="1" applyFill="1" applyBorder="1" applyAlignment="1" applyProtection="1">
      <alignment vertical="center"/>
      <protection locked="0"/>
    </xf>
    <xf numFmtId="0" fontId="36" fillId="2" borderId="1" xfId="0" applyFont="1" applyFill="1" applyBorder="1" applyAlignment="1" applyProtection="1">
      <protection locked="0"/>
    </xf>
    <xf numFmtId="0" fontId="29" fillId="5" borderId="11" xfId="0" applyFont="1" applyFill="1" applyBorder="1" applyAlignment="1" applyProtection="1">
      <alignment horizontal="center" vertical="center"/>
      <protection locked="0"/>
    </xf>
    <xf numFmtId="0" fontId="30" fillId="5" borderId="0" xfId="0" applyFont="1" applyFill="1" applyBorder="1" applyAlignment="1" applyProtection="1">
      <alignment vertical="center"/>
      <protection locked="0"/>
    </xf>
    <xf numFmtId="49" fontId="38" fillId="2" borderId="30" xfId="0" applyNumberFormat="1" applyFont="1" applyFill="1" applyBorder="1" applyAlignment="1" applyProtection="1">
      <alignment horizontal="center" vertical="center"/>
      <protection locked="0"/>
    </xf>
    <xf numFmtId="0" fontId="38" fillId="2" borderId="50" xfId="0" applyFont="1" applyFill="1" applyBorder="1" applyAlignment="1" applyProtection="1">
      <alignment vertical="center" wrapText="1"/>
      <protection locked="0"/>
    </xf>
    <xf numFmtId="0" fontId="38" fillId="2" borderId="50" xfId="0" applyFont="1" applyFill="1" applyBorder="1" applyAlignment="1" applyProtection="1">
      <alignment horizontal="center" vertical="center"/>
      <protection locked="0"/>
    </xf>
    <xf numFmtId="0" fontId="36" fillId="2" borderId="64" xfId="0" applyFont="1" applyFill="1" applyBorder="1" applyAlignment="1" applyProtection="1">
      <alignment vertical="center"/>
      <protection locked="0"/>
    </xf>
    <xf numFmtId="0" fontId="36" fillId="2" borderId="108" xfId="0" applyFont="1" applyFill="1" applyBorder="1" applyAlignment="1" applyProtection="1">
      <alignment horizontal="left" vertical="center"/>
      <protection locked="0"/>
    </xf>
    <xf numFmtId="0" fontId="38" fillId="2" borderId="28" xfId="0" applyFont="1" applyFill="1" applyBorder="1" applyAlignment="1" applyProtection="1">
      <alignment horizontal="center" vertical="center"/>
    </xf>
    <xf numFmtId="49" fontId="38" fillId="2" borderId="30" xfId="0" applyNumberFormat="1" applyFont="1" applyFill="1" applyBorder="1" applyAlignment="1" applyProtection="1">
      <alignment horizontal="left" vertical="center"/>
      <protection locked="0"/>
    </xf>
    <xf numFmtId="0" fontId="36" fillId="2" borderId="4" xfId="0" applyFont="1" applyFill="1" applyBorder="1" applyAlignment="1" applyProtection="1">
      <alignment horizontal="left" vertical="center"/>
      <protection locked="0"/>
    </xf>
    <xf numFmtId="188" fontId="38" fillId="0" borderId="11" xfId="0" applyNumberFormat="1" applyFont="1" applyFill="1" applyBorder="1" applyAlignment="1" applyProtection="1">
      <alignment horizontal="center" vertical="center"/>
      <protection locked="0"/>
    </xf>
    <xf numFmtId="49" fontId="38" fillId="2" borderId="41" xfId="0" applyNumberFormat="1" applyFont="1" applyFill="1" applyBorder="1" applyAlignment="1" applyProtection="1">
      <alignment horizontal="left" vertical="center"/>
      <protection locked="0"/>
    </xf>
    <xf numFmtId="0" fontId="97" fillId="2" borderId="4" xfId="0" applyFont="1" applyFill="1" applyBorder="1" applyAlignment="1" applyProtection="1">
      <alignment horizontal="right" vertical="center" wrapText="1"/>
    </xf>
    <xf numFmtId="0" fontId="36" fillId="2" borderId="97" xfId="0" applyFont="1" applyFill="1" applyBorder="1" applyAlignment="1" applyProtection="1">
      <alignment horizontal="left" vertical="center"/>
    </xf>
    <xf numFmtId="0" fontId="30" fillId="2" borderId="42" xfId="0" applyFont="1" applyFill="1" applyBorder="1" applyAlignment="1" applyProtection="1">
      <alignment vertical="center"/>
      <protection locked="0"/>
    </xf>
    <xf numFmtId="49" fontId="38" fillId="2" borderId="10" xfId="0" applyNumberFormat="1" applyFont="1" applyFill="1" applyBorder="1" applyAlignment="1" applyProtection="1">
      <alignment horizontal="left" vertical="center"/>
      <protection locked="0"/>
    </xf>
    <xf numFmtId="0" fontId="38" fillId="2" borderId="1" xfId="0" applyFont="1" applyFill="1" applyBorder="1" applyAlignment="1" applyProtection="1">
      <alignment horizontal="left" vertical="center"/>
      <protection locked="0"/>
    </xf>
    <xf numFmtId="0" fontId="30" fillId="2" borderId="1" xfId="0" applyFont="1" applyFill="1" applyBorder="1" applyAlignment="1" applyProtection="1">
      <alignment vertical="center"/>
      <protection locked="0"/>
    </xf>
    <xf numFmtId="0" fontId="30" fillId="2" borderId="3" xfId="0" applyFont="1" applyFill="1" applyBorder="1" applyAlignment="1" applyProtection="1">
      <alignment vertical="center"/>
      <protection locked="0"/>
    </xf>
    <xf numFmtId="0" fontId="30" fillId="2" borderId="30" xfId="0" applyFont="1" applyFill="1" applyBorder="1" applyAlignment="1" applyProtection="1">
      <alignment vertical="center"/>
      <protection locked="0"/>
    </xf>
    <xf numFmtId="0" fontId="36" fillId="2" borderId="1" xfId="0" applyFont="1" applyFill="1" applyBorder="1" applyAlignment="1" applyProtection="1">
      <alignment horizontal="left" vertical="center"/>
      <protection locked="0"/>
    </xf>
    <xf numFmtId="0" fontId="30" fillId="2" borderId="34" xfId="0" applyFont="1" applyFill="1" applyBorder="1" applyAlignment="1" applyProtection="1">
      <alignment vertical="center"/>
      <protection locked="0"/>
    </xf>
    <xf numFmtId="0" fontId="30" fillId="2" borderId="98" xfId="0" applyFont="1" applyFill="1" applyBorder="1" applyAlignment="1" applyProtection="1">
      <alignment vertical="center"/>
      <protection locked="0"/>
    </xf>
    <xf numFmtId="0" fontId="30" fillId="2" borderId="116" xfId="0" applyFont="1" applyFill="1" applyBorder="1" applyAlignment="1" applyProtection="1">
      <alignment vertical="center"/>
      <protection locked="0"/>
    </xf>
    <xf numFmtId="49" fontId="38" fillId="2" borderId="10" xfId="0" applyNumberFormat="1" applyFont="1" applyFill="1" applyBorder="1" applyAlignment="1" applyProtection="1">
      <alignment horizontal="left" vertical="center"/>
    </xf>
    <xf numFmtId="0" fontId="36" fillId="2" borderId="2" xfId="0" applyFont="1" applyFill="1" applyBorder="1" applyAlignment="1" applyProtection="1">
      <alignment horizontal="left" vertical="center"/>
      <protection locked="0"/>
    </xf>
    <xf numFmtId="0" fontId="36" fillId="2" borderId="3" xfId="0" applyFont="1" applyFill="1" applyBorder="1" applyAlignment="1" applyProtection="1">
      <alignment horizontal="center" vertical="center"/>
      <protection locked="0"/>
    </xf>
    <xf numFmtId="0" fontId="36" fillId="2" borderId="2" xfId="0" applyFont="1" applyFill="1" applyBorder="1" applyAlignment="1" applyProtection="1">
      <alignment horizontal="left" vertical="center" wrapText="1"/>
      <protection locked="0"/>
    </xf>
    <xf numFmtId="0" fontId="36" fillId="2" borderId="1" xfId="0" applyFont="1" applyFill="1" applyBorder="1" applyAlignment="1" applyProtection="1">
      <alignment horizontal="left" vertical="center" wrapText="1"/>
      <protection locked="0"/>
    </xf>
    <xf numFmtId="0" fontId="36" fillId="2" borderId="15" xfId="0" applyFont="1" applyFill="1" applyBorder="1" applyAlignment="1" applyProtection="1">
      <alignment vertical="center"/>
      <protection locked="0"/>
    </xf>
    <xf numFmtId="0" fontId="36" fillId="2" borderId="15" xfId="0" applyFont="1" applyFill="1" applyBorder="1" applyAlignment="1" applyProtection="1">
      <alignment horizontal="left" vertical="center" wrapText="1"/>
      <protection locked="0"/>
    </xf>
    <xf numFmtId="0" fontId="36" fillId="2" borderId="16" xfId="0" applyFont="1" applyFill="1" applyBorder="1" applyAlignment="1" applyProtection="1">
      <alignment vertical="center"/>
      <protection locked="0"/>
    </xf>
    <xf numFmtId="0" fontId="36" fillId="2" borderId="16" xfId="0" applyFont="1" applyFill="1" applyBorder="1" applyAlignment="1" applyProtection="1">
      <alignment horizontal="left" vertical="center" wrapText="1"/>
      <protection locked="0"/>
    </xf>
    <xf numFmtId="49" fontId="68" fillId="2" borderId="0" xfId="0" applyNumberFormat="1" applyFont="1" applyFill="1" applyBorder="1" applyAlignment="1" applyProtection="1">
      <alignment horizontal="center"/>
    </xf>
    <xf numFmtId="49" fontId="68" fillId="2" borderId="0" xfId="0" applyNumberFormat="1" applyFont="1" applyFill="1" applyBorder="1" applyAlignment="1" applyProtection="1">
      <alignment horizontal="left"/>
    </xf>
    <xf numFmtId="0" fontId="63" fillId="5" borderId="0" xfId="0" applyFont="1" applyFill="1" applyAlignment="1" applyProtection="1">
      <alignment vertical="center"/>
      <protection locked="0"/>
    </xf>
    <xf numFmtId="49" fontId="29" fillId="2" borderId="0" xfId="0" applyNumberFormat="1" applyFont="1" applyFill="1" applyBorder="1" applyAlignment="1" applyProtection="1">
      <alignment horizontal="left"/>
    </xf>
    <xf numFmtId="0" fontId="98" fillId="2" borderId="15" xfId="0" applyFont="1" applyFill="1" applyBorder="1" applyAlignment="1" applyProtection="1">
      <alignment vertical="center"/>
    </xf>
    <xf numFmtId="0" fontId="98" fillId="2" borderId="111" xfId="0" applyFont="1" applyFill="1" applyBorder="1" applyAlignment="1" applyProtection="1">
      <alignment vertical="center"/>
    </xf>
    <xf numFmtId="0" fontId="36" fillId="2" borderId="0" xfId="0" applyFont="1" applyFill="1" applyBorder="1" applyAlignment="1" applyProtection="1">
      <alignment vertical="center"/>
    </xf>
    <xf numFmtId="188" fontId="38" fillId="2" borderId="69" xfId="0" applyNumberFormat="1" applyFont="1" applyFill="1" applyBorder="1" applyAlignment="1" applyProtection="1">
      <alignment horizontal="center" vertical="center"/>
    </xf>
    <xf numFmtId="0" fontId="36" fillId="2" borderId="127" xfId="0" applyFont="1" applyFill="1" applyBorder="1" applyAlignment="1" applyProtection="1">
      <alignment vertical="center"/>
    </xf>
    <xf numFmtId="188" fontId="38" fillId="2" borderId="6" xfId="0" applyNumberFormat="1" applyFont="1" applyFill="1" applyBorder="1" applyAlignment="1" applyProtection="1">
      <alignment horizontal="center" vertical="center"/>
    </xf>
    <xf numFmtId="0" fontId="38" fillId="2" borderId="34" xfId="0" applyFont="1" applyFill="1" applyBorder="1" applyAlignment="1" applyProtection="1">
      <alignment horizontal="center" vertical="center"/>
    </xf>
    <xf numFmtId="0" fontId="36" fillId="2" borderId="98" xfId="0" applyFont="1" applyFill="1" applyBorder="1" applyAlignment="1" applyProtection="1">
      <alignment vertical="center"/>
    </xf>
    <xf numFmtId="0" fontId="36" fillId="2" borderId="116" xfId="0" applyFont="1" applyFill="1" applyBorder="1" applyAlignment="1" applyProtection="1">
      <alignment vertical="center"/>
    </xf>
    <xf numFmtId="0" fontId="36" fillId="2" borderId="2" xfId="0" applyFont="1" applyFill="1" applyBorder="1" applyAlignment="1" applyProtection="1">
      <alignment horizontal="left" vertical="center"/>
    </xf>
    <xf numFmtId="0" fontId="36" fillId="2" borderId="3" xfId="0" applyFont="1" applyFill="1" applyBorder="1" applyAlignment="1" applyProtection="1">
      <alignment vertical="center"/>
    </xf>
    <xf numFmtId="0" fontId="36" fillId="2" borderId="42" xfId="0" applyFont="1" applyFill="1" applyBorder="1" applyAlignment="1" applyProtection="1">
      <alignment vertical="center"/>
    </xf>
    <xf numFmtId="0" fontId="36" fillId="2" borderId="127" xfId="0" applyFont="1" applyFill="1" applyBorder="1" applyAlignment="1" applyProtection="1">
      <alignment horizontal="left" vertical="center"/>
    </xf>
    <xf numFmtId="0" fontId="36" fillId="2" borderId="128" xfId="0" applyFont="1" applyFill="1" applyBorder="1" applyAlignment="1" applyProtection="1">
      <alignment vertical="center"/>
    </xf>
    <xf numFmtId="0" fontId="36" fillId="2" borderId="143" xfId="0" applyFont="1" applyFill="1" applyBorder="1" applyAlignment="1" applyProtection="1">
      <alignment vertical="center"/>
    </xf>
    <xf numFmtId="0" fontId="37" fillId="5" borderId="0" xfId="0" applyFont="1" applyFill="1" applyAlignment="1" applyProtection="1">
      <alignment vertical="center"/>
      <protection locked="0"/>
    </xf>
    <xf numFmtId="0" fontId="36" fillId="2" borderId="16" xfId="0" applyFont="1" applyFill="1" applyBorder="1" applyAlignment="1" applyProtection="1">
      <alignment vertical="center"/>
    </xf>
    <xf numFmtId="0" fontId="29" fillId="2" borderId="0" xfId="0" applyFont="1" applyFill="1" applyBorder="1" applyAlignment="1" applyProtection="1">
      <alignment horizontal="left" vertical="center"/>
    </xf>
    <xf numFmtId="0" fontId="35" fillId="2" borderId="0" xfId="0" applyFont="1" applyFill="1" applyBorder="1" applyAlignment="1" applyProtection="1">
      <alignment horizontal="center" vertical="center"/>
    </xf>
    <xf numFmtId="0" fontId="30" fillId="2" borderId="0" xfId="0" applyFont="1" applyFill="1" applyBorder="1" applyAlignment="1" applyProtection="1">
      <alignment horizontal="left" vertical="center"/>
    </xf>
    <xf numFmtId="185" fontId="35" fillId="2" borderId="0" xfId="0" applyNumberFormat="1" applyFont="1" applyFill="1" applyBorder="1" applyAlignment="1" applyProtection="1">
      <alignment horizontal="center" vertical="center"/>
    </xf>
    <xf numFmtId="0" fontId="29" fillId="2" borderId="0" xfId="0" applyFont="1" applyFill="1" applyBorder="1" applyAlignment="1" applyProtection="1">
      <alignment horizontal="left" vertical="center"/>
      <protection locked="0"/>
    </xf>
    <xf numFmtId="0" fontId="35" fillId="2" borderId="0" xfId="0" applyFont="1" applyFill="1" applyBorder="1" applyAlignment="1" applyProtection="1">
      <alignment horizontal="center" vertical="center"/>
      <protection locked="0"/>
    </xf>
    <xf numFmtId="0" fontId="7" fillId="2" borderId="0" xfId="0" applyFont="1" applyFill="1" applyAlignment="1" applyProtection="1">
      <alignment horizontal="left"/>
    </xf>
    <xf numFmtId="0" fontId="38" fillId="2" borderId="0" xfId="0" applyFont="1" applyFill="1" applyAlignment="1" applyProtection="1">
      <alignment horizontal="left"/>
    </xf>
    <xf numFmtId="0" fontId="38" fillId="2" borderId="0" xfId="0" applyFont="1" applyFill="1" applyAlignment="1" applyProtection="1"/>
    <xf numFmtId="0" fontId="36" fillId="2" borderId="0" xfId="0" applyFont="1" applyFill="1" applyAlignment="1" applyProtection="1">
      <alignment horizontal="left" vertical="center"/>
    </xf>
    <xf numFmtId="0" fontId="30" fillId="2" borderId="0" xfId="0" applyFont="1" applyFill="1" applyAlignment="1" applyProtection="1">
      <alignment horizontal="left" vertical="center"/>
    </xf>
    <xf numFmtId="0" fontId="30" fillId="5" borderId="0" xfId="0" applyFont="1" applyFill="1" applyAlignment="1" applyProtection="1">
      <alignment horizontal="left" vertical="center"/>
      <protection locked="0"/>
    </xf>
    <xf numFmtId="0" fontId="58" fillId="2" borderId="0" xfId="0" applyFont="1" applyFill="1" applyAlignment="1" applyProtection="1">
      <alignment vertical="center"/>
    </xf>
    <xf numFmtId="0" fontId="58" fillId="5" borderId="117" xfId="0" applyFont="1" applyFill="1" applyBorder="1" applyAlignment="1" applyProtection="1">
      <alignment vertical="center"/>
      <protection locked="0"/>
    </xf>
    <xf numFmtId="0" fontId="30" fillId="5" borderId="25" xfId="0" applyFont="1" applyFill="1" applyBorder="1" applyAlignment="1" applyProtection="1">
      <alignment vertical="center"/>
      <protection locked="0"/>
    </xf>
    <xf numFmtId="0" fontId="30" fillId="5" borderId="115" xfId="0" applyFont="1" applyFill="1" applyBorder="1" applyAlignment="1" applyProtection="1">
      <alignment horizontal="left" vertical="center"/>
      <protection locked="0"/>
    </xf>
    <xf numFmtId="0" fontId="41" fillId="2" borderId="144" xfId="0" applyFont="1" applyFill="1" applyBorder="1" applyAlignment="1" applyProtection="1">
      <alignment horizontal="center" vertical="center"/>
    </xf>
    <xf numFmtId="0" fontId="7" fillId="2" borderId="144" xfId="0" applyFont="1" applyFill="1" applyBorder="1" applyAlignment="1" applyProtection="1">
      <alignment vertical="center" wrapText="1"/>
    </xf>
    <xf numFmtId="0" fontId="7" fillId="2" borderId="115" xfId="0" applyFont="1" applyFill="1" applyBorder="1" applyAlignment="1" applyProtection="1">
      <alignment vertical="center"/>
    </xf>
    <xf numFmtId="0" fontId="30" fillId="2" borderId="7" xfId="0" applyFont="1" applyFill="1" applyBorder="1" applyAlignment="1" applyProtection="1">
      <alignment vertical="center"/>
    </xf>
    <xf numFmtId="0" fontId="30" fillId="3" borderId="9" xfId="0" applyFont="1" applyFill="1" applyBorder="1" applyAlignment="1" applyProtection="1">
      <alignment horizontal="center" vertical="center"/>
      <protection locked="0"/>
    </xf>
    <xf numFmtId="0" fontId="30" fillId="2" borderId="7" xfId="0" applyFont="1" applyFill="1" applyBorder="1" applyAlignment="1" applyProtection="1">
      <alignment horizontal="left" vertical="center"/>
      <protection locked="0"/>
    </xf>
    <xf numFmtId="0" fontId="30" fillId="2" borderId="9" xfId="0" applyFont="1" applyFill="1" applyBorder="1" applyAlignment="1" applyProtection="1">
      <alignment horizontal="center" vertical="center"/>
    </xf>
    <xf numFmtId="0" fontId="30" fillId="2" borderId="0" xfId="0" applyFont="1" applyFill="1" applyAlignment="1" applyProtection="1">
      <alignment horizontal="center" vertical="center"/>
    </xf>
    <xf numFmtId="0" fontId="7" fillId="2" borderId="132" xfId="0" applyFont="1" applyFill="1" applyBorder="1" applyAlignment="1" applyProtection="1">
      <alignment vertical="center" wrapText="1"/>
    </xf>
    <xf numFmtId="0" fontId="7" fillId="2" borderId="22" xfId="0" applyFont="1" applyFill="1" applyBorder="1" applyAlignment="1" applyProtection="1">
      <alignment vertical="center"/>
    </xf>
    <xf numFmtId="0" fontId="7" fillId="3" borderId="11" xfId="0" applyFont="1" applyFill="1" applyBorder="1" applyAlignment="1" applyProtection="1">
      <alignment horizontal="center"/>
      <protection locked="0"/>
    </xf>
    <xf numFmtId="0" fontId="7" fillId="2" borderId="10" xfId="0" applyFont="1" applyFill="1" applyBorder="1" applyAlignment="1" applyProtection="1">
      <alignment horizontal="left"/>
      <protection locked="0"/>
    </xf>
    <xf numFmtId="0" fontId="30" fillId="2" borderId="11" xfId="0" applyFont="1" applyFill="1" applyBorder="1" applyAlignment="1" applyProtection="1">
      <alignment horizontal="center" vertical="center"/>
    </xf>
    <xf numFmtId="0" fontId="30" fillId="5" borderId="11" xfId="0" applyFont="1" applyFill="1" applyBorder="1" applyAlignment="1" applyProtection="1">
      <alignment horizontal="center" vertical="center"/>
      <protection locked="0"/>
    </xf>
    <xf numFmtId="0" fontId="30" fillId="0" borderId="11" xfId="0" applyFont="1" applyFill="1" applyBorder="1" applyAlignment="1" applyProtection="1">
      <alignment horizontal="center" vertical="center"/>
      <protection locked="0"/>
    </xf>
    <xf numFmtId="0" fontId="7" fillId="2" borderId="132" xfId="0" applyFont="1" applyFill="1" applyBorder="1" applyAlignment="1" applyProtection="1">
      <alignment horizontal="right" vertical="center" wrapText="1"/>
    </xf>
    <xf numFmtId="0" fontId="7" fillId="2" borderId="11" xfId="0" applyFont="1" applyFill="1" applyBorder="1" applyAlignment="1" applyProtection="1">
      <alignment horizontal="center"/>
    </xf>
    <xf numFmtId="0" fontId="30" fillId="5" borderId="119" xfId="0" applyFont="1" applyFill="1" applyBorder="1" applyAlignment="1" applyProtection="1">
      <alignment vertical="center" wrapText="1"/>
      <protection locked="0"/>
    </xf>
    <xf numFmtId="49" fontId="30" fillId="2" borderId="10" xfId="0" applyNumberFormat="1" applyFont="1" applyFill="1" applyBorder="1" applyAlignment="1" applyProtection="1">
      <alignment horizontal="left" vertical="center"/>
    </xf>
    <xf numFmtId="0" fontId="30" fillId="2" borderId="11" xfId="0" applyNumberFormat="1" applyFont="1" applyFill="1" applyBorder="1" applyAlignment="1" applyProtection="1">
      <alignment horizontal="center" vertical="center"/>
    </xf>
    <xf numFmtId="0" fontId="30" fillId="2" borderId="10" xfId="0" applyFont="1" applyFill="1" applyBorder="1" applyAlignment="1" applyProtection="1">
      <alignment vertical="center"/>
      <protection locked="0"/>
    </xf>
    <xf numFmtId="186" fontId="30" fillId="2" borderId="11" xfId="0" applyNumberFormat="1" applyFont="1" applyFill="1" applyBorder="1" applyAlignment="1" applyProtection="1">
      <alignment horizontal="center" vertical="center"/>
    </xf>
    <xf numFmtId="0" fontId="30" fillId="5" borderId="108" xfId="0" applyFont="1" applyFill="1" applyBorder="1" applyAlignment="1" applyProtection="1">
      <alignment vertical="center" wrapText="1"/>
      <protection locked="0"/>
    </xf>
    <xf numFmtId="0" fontId="30" fillId="2" borderId="12" xfId="0" applyFont="1" applyFill="1" applyBorder="1" applyAlignment="1" applyProtection="1">
      <alignment vertical="center"/>
    </xf>
    <xf numFmtId="10" fontId="30" fillId="0" borderId="14" xfId="0" applyNumberFormat="1" applyFont="1" applyFill="1" applyBorder="1" applyAlignment="1" applyProtection="1">
      <alignment horizontal="center" vertical="center"/>
      <protection locked="0"/>
    </xf>
    <xf numFmtId="0" fontId="30" fillId="2" borderId="19" xfId="0" applyFont="1" applyFill="1" applyBorder="1" applyAlignment="1" applyProtection="1">
      <alignment vertical="center" wrapText="1"/>
    </xf>
    <xf numFmtId="0" fontId="30" fillId="2" borderId="24" xfId="0" applyFont="1" applyFill="1" applyBorder="1" applyAlignment="1" applyProtection="1">
      <alignment horizontal="center" vertical="center"/>
    </xf>
    <xf numFmtId="0" fontId="43" fillId="2" borderId="0" xfId="0" applyFont="1" applyFill="1" applyAlignment="1" applyProtection="1">
      <alignment vertical="center"/>
      <protection locked="0"/>
    </xf>
    <xf numFmtId="0" fontId="43" fillId="2" borderId="21" xfId="0" applyFont="1" applyFill="1" applyBorder="1" applyAlignment="1" applyProtection="1">
      <alignment vertical="center" wrapText="1"/>
    </xf>
    <xf numFmtId="0" fontId="29" fillId="2" borderId="37" xfId="0" applyFont="1" applyFill="1" applyBorder="1" applyAlignment="1" applyProtection="1">
      <alignment horizontal="left" vertical="center" wrapText="1"/>
    </xf>
    <xf numFmtId="188" fontId="30" fillId="2" borderId="8" xfId="0" applyNumberFormat="1" applyFont="1" applyFill="1" applyBorder="1" applyAlignment="1" applyProtection="1">
      <alignment horizontal="center" vertical="center"/>
    </xf>
    <xf numFmtId="0" fontId="29" fillId="2" borderId="49" xfId="0" applyFont="1" applyFill="1" applyBorder="1" applyAlignment="1" applyProtection="1">
      <alignment horizontal="center" vertical="center"/>
    </xf>
    <xf numFmtId="0" fontId="30" fillId="3" borderId="39" xfId="0" applyFont="1" applyFill="1" applyBorder="1" applyAlignment="1" applyProtection="1">
      <alignment horizontal="center" vertical="center"/>
      <protection locked="0"/>
    </xf>
    <xf numFmtId="0" fontId="30" fillId="2" borderId="58" xfId="0" applyFont="1" applyFill="1" applyBorder="1" applyAlignment="1" applyProtection="1">
      <alignment vertical="center" wrapText="1"/>
    </xf>
    <xf numFmtId="0" fontId="30" fillId="3" borderId="0" xfId="0" applyFont="1" applyFill="1" applyBorder="1" applyAlignment="1" applyProtection="1">
      <alignment horizontal="center" vertical="center"/>
      <protection locked="0"/>
    </xf>
    <xf numFmtId="0" fontId="30" fillId="2" borderId="10" xfId="0" applyFont="1" applyFill="1" applyBorder="1" applyAlignment="1" applyProtection="1">
      <alignment vertical="center" wrapText="1"/>
    </xf>
    <xf numFmtId="0" fontId="30" fillId="2" borderId="2" xfId="0" applyFont="1" applyFill="1" applyBorder="1" applyAlignment="1" applyProtection="1">
      <alignment horizontal="center" vertical="center"/>
    </xf>
    <xf numFmtId="188" fontId="30" fillId="2" borderId="2" xfId="0" applyNumberFormat="1" applyFont="1" applyFill="1" applyBorder="1" applyAlignment="1" applyProtection="1">
      <alignment horizontal="center" vertical="center"/>
    </xf>
    <xf numFmtId="49" fontId="29" fillId="2" borderId="12" xfId="0" applyNumberFormat="1" applyFont="1" applyFill="1" applyBorder="1" applyAlignment="1" applyProtection="1">
      <alignment horizontal="left" vertical="center"/>
    </xf>
    <xf numFmtId="0" fontId="30" fillId="2" borderId="14" xfId="0" applyFont="1" applyFill="1" applyBorder="1" applyAlignment="1" applyProtection="1">
      <alignment horizontal="center" vertical="center"/>
    </xf>
    <xf numFmtId="0" fontId="29" fillId="2" borderId="12" xfId="0" applyFont="1" applyFill="1" applyBorder="1" applyAlignment="1" applyProtection="1">
      <alignment horizontal="center" vertical="center"/>
    </xf>
    <xf numFmtId="0" fontId="30" fillId="2" borderId="0" xfId="0" applyFont="1" applyFill="1" applyAlignment="1" applyProtection="1">
      <alignment vertical="center"/>
      <protection locked="0"/>
    </xf>
    <xf numFmtId="0" fontId="30" fillId="2" borderId="1" xfId="0" applyFont="1" applyFill="1" applyBorder="1" applyAlignment="1"/>
    <xf numFmtId="0" fontId="30" fillId="2" borderId="1" xfId="0" applyFont="1" applyFill="1" applyBorder="1" applyAlignment="1">
      <alignment horizontal="center"/>
    </xf>
    <xf numFmtId="0" fontId="30" fillId="2" borderId="1" xfId="0" applyFont="1" applyFill="1" applyBorder="1" applyAlignment="1" applyProtection="1">
      <alignment horizontal="center" vertical="center"/>
      <protection locked="0"/>
    </xf>
    <xf numFmtId="9" fontId="30" fillId="2" borderId="1" xfId="0" applyNumberFormat="1" applyFont="1" applyFill="1" applyBorder="1" applyAlignment="1" applyProtection="1">
      <alignment horizontal="center" vertical="center"/>
      <protection locked="0"/>
    </xf>
    <xf numFmtId="0" fontId="7" fillId="2" borderId="115" xfId="0" applyFont="1" applyFill="1" applyBorder="1" applyAlignment="1" applyProtection="1">
      <alignment vertical="center" wrapText="1"/>
    </xf>
    <xf numFmtId="0" fontId="7" fillId="2" borderId="22" xfId="0" applyFont="1" applyFill="1" applyBorder="1" applyAlignment="1" applyProtection="1">
      <alignment vertical="center" wrapText="1"/>
    </xf>
    <xf numFmtId="10" fontId="7" fillId="2" borderId="22" xfId="0" applyNumberFormat="1" applyFont="1" applyFill="1" applyBorder="1" applyAlignment="1" applyProtection="1">
      <alignment vertical="center" wrapText="1"/>
    </xf>
    <xf numFmtId="0" fontId="38" fillId="2" borderId="1" xfId="0" applyFont="1" applyFill="1" applyBorder="1" applyAlignment="1" applyProtection="1">
      <alignment horizontal="left" vertical="center" wrapText="1"/>
      <protection locked="0"/>
    </xf>
    <xf numFmtId="0" fontId="36" fillId="2" borderId="3" xfId="0" applyFont="1" applyFill="1" applyBorder="1" applyAlignment="1" applyProtection="1">
      <alignment horizontal="center" vertical="center" wrapText="1"/>
      <protection locked="0"/>
    </xf>
    <xf numFmtId="0" fontId="36" fillId="2" borderId="42" xfId="0" applyFont="1" applyFill="1" applyBorder="1" applyAlignment="1" applyProtection="1">
      <alignment horizontal="center" vertical="center" wrapText="1"/>
      <protection locked="0"/>
    </xf>
    <xf numFmtId="49" fontId="38" fillId="2" borderId="51" xfId="0" applyNumberFormat="1" applyFont="1" applyFill="1" applyBorder="1" applyAlignment="1" applyProtection="1">
      <alignment vertical="center"/>
      <protection locked="0"/>
    </xf>
    <xf numFmtId="0" fontId="38" fillId="2" borderId="15" xfId="0" applyFont="1" applyFill="1" applyBorder="1" applyAlignment="1" applyProtection="1">
      <alignment vertical="center" wrapText="1"/>
      <protection locked="0"/>
    </xf>
    <xf numFmtId="49" fontId="38" fillId="2" borderId="27" xfId="0" applyNumberFormat="1" applyFont="1" applyFill="1" applyBorder="1" applyAlignment="1" applyProtection="1">
      <alignment vertical="center"/>
      <protection locked="0"/>
    </xf>
    <xf numFmtId="0" fontId="38" fillId="2" borderId="64" xfId="0" applyFont="1" applyFill="1" applyBorder="1" applyAlignment="1" applyProtection="1">
      <alignment vertical="center" wrapText="1"/>
      <protection locked="0"/>
    </xf>
    <xf numFmtId="0" fontId="36" fillId="2" borderId="64" xfId="0" applyFont="1" applyFill="1" applyBorder="1" applyAlignment="1" applyProtection="1">
      <alignment horizontal="left" vertical="center" wrapText="1"/>
      <protection locked="0"/>
    </xf>
    <xf numFmtId="49" fontId="38" fillId="2" borderId="58" xfId="0" applyNumberFormat="1" applyFont="1" applyFill="1" applyBorder="1" applyAlignment="1" applyProtection="1">
      <alignment vertical="center"/>
      <protection locked="0"/>
    </xf>
    <xf numFmtId="0" fontId="38" fillId="2" borderId="16" xfId="0" applyFont="1" applyFill="1" applyBorder="1" applyAlignment="1" applyProtection="1">
      <alignment vertical="center" wrapText="1"/>
      <protection locked="0"/>
    </xf>
    <xf numFmtId="49" fontId="38" fillId="2" borderId="12" xfId="0" applyNumberFormat="1" applyFont="1" applyFill="1" applyBorder="1" applyAlignment="1" applyProtection="1">
      <alignment horizontal="left" vertical="center"/>
      <protection locked="0"/>
    </xf>
    <xf numFmtId="0" fontId="38" fillId="2" borderId="13" xfId="0" applyFont="1" applyFill="1" applyBorder="1" applyAlignment="1" applyProtection="1">
      <alignment horizontal="left" vertical="center"/>
      <protection locked="0"/>
    </xf>
    <xf numFmtId="0" fontId="36" fillId="2" borderId="13" xfId="0" applyFont="1" applyFill="1" applyBorder="1" applyAlignment="1" applyProtection="1">
      <alignment vertical="center"/>
      <protection locked="0"/>
    </xf>
    <xf numFmtId="0" fontId="36" fillId="2" borderId="13" xfId="0" applyFont="1" applyFill="1" applyBorder="1" applyAlignment="1" applyProtection="1">
      <alignment horizontal="left" vertical="center"/>
      <protection locked="0"/>
    </xf>
    <xf numFmtId="0" fontId="36" fillId="2" borderId="1" xfId="0" applyFont="1" applyFill="1" applyBorder="1" applyAlignment="1" applyProtection="1">
      <alignment horizontal="center"/>
    </xf>
    <xf numFmtId="0" fontId="30" fillId="2" borderId="1" xfId="0" applyFont="1" applyFill="1" applyBorder="1" applyAlignment="1" applyProtection="1">
      <alignment horizontal="left"/>
    </xf>
    <xf numFmtId="190" fontId="30" fillId="2" borderId="1" xfId="0" applyNumberFormat="1" applyFont="1" applyFill="1" applyBorder="1" applyAlignment="1" applyProtection="1">
      <alignment horizontal="center"/>
    </xf>
    <xf numFmtId="188" fontId="38" fillId="2" borderId="1" xfId="0" applyNumberFormat="1" applyFont="1" applyFill="1" applyBorder="1" applyAlignment="1" applyProtection="1">
      <alignment horizontal="center" vertical="center"/>
    </xf>
    <xf numFmtId="0" fontId="41" fillId="2" borderId="1" xfId="0" applyFont="1" applyFill="1" applyBorder="1" applyAlignment="1" applyProtection="1">
      <alignment horizontal="left"/>
    </xf>
    <xf numFmtId="0" fontId="41" fillId="2" borderId="1" xfId="0" applyFont="1" applyFill="1" applyBorder="1" applyAlignment="1" applyProtection="1">
      <alignment horizontal="center"/>
    </xf>
    <xf numFmtId="0" fontId="35" fillId="2" borderId="1" xfId="0" applyFont="1" applyFill="1" applyBorder="1" applyAlignment="1" applyProtection="1">
      <alignment horizontal="center"/>
    </xf>
    <xf numFmtId="0" fontId="6" fillId="2" borderId="22" xfId="0" applyFont="1" applyFill="1" applyBorder="1" applyAlignment="1" applyProtection="1">
      <alignment vertical="center"/>
    </xf>
    <xf numFmtId="186" fontId="7" fillId="2" borderId="22" xfId="0" applyNumberFormat="1" applyFont="1" applyFill="1" applyBorder="1" applyAlignment="1" applyProtection="1">
      <alignment vertical="center" wrapText="1"/>
    </xf>
    <xf numFmtId="0" fontId="43" fillId="2" borderId="64" xfId="0" applyFont="1" applyFill="1" applyBorder="1" applyAlignment="1" applyProtection="1">
      <alignment vertical="center"/>
    </xf>
    <xf numFmtId="0" fontId="36" fillId="2" borderId="35" xfId="0" applyFont="1" applyFill="1" applyBorder="1" applyAlignment="1" applyProtection="1">
      <alignment horizontal="center" vertical="center"/>
    </xf>
    <xf numFmtId="0" fontId="38" fillId="2" borderId="50" xfId="0" applyFont="1" applyFill="1" applyBorder="1" applyAlignment="1" applyProtection="1">
      <alignment horizontal="center" vertical="center"/>
    </xf>
    <xf numFmtId="49" fontId="38" fillId="2" borderId="111" xfId="0" applyNumberFormat="1" applyFont="1" applyFill="1" applyBorder="1" applyAlignment="1" applyProtection="1">
      <alignment horizontal="left" vertical="center"/>
      <protection locked="0"/>
    </xf>
    <xf numFmtId="0" fontId="36" fillId="2" borderId="4" xfId="0" applyFont="1" applyFill="1" applyBorder="1" applyAlignment="1" applyProtection="1">
      <alignment vertical="center" wrapText="1"/>
    </xf>
    <xf numFmtId="49" fontId="38" fillId="2" borderId="58" xfId="0" applyNumberFormat="1" applyFont="1" applyFill="1" applyBorder="1" applyAlignment="1" applyProtection="1">
      <alignment horizontal="left" vertical="center"/>
      <protection locked="0"/>
    </xf>
    <xf numFmtId="0" fontId="76" fillId="5"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36" fillId="0" borderId="0" xfId="0" applyFont="1" applyFill="1" applyAlignment="1" applyProtection="1">
      <alignment vertical="center"/>
      <protection locked="0"/>
    </xf>
    <xf numFmtId="0" fontId="61" fillId="5" borderId="0" xfId="0" applyFont="1" applyFill="1" applyAlignment="1" applyProtection="1">
      <alignment vertical="center"/>
      <protection locked="0"/>
    </xf>
    <xf numFmtId="0" fontId="65" fillId="5" borderId="0" xfId="0" applyFont="1" applyFill="1" applyAlignment="1" applyProtection="1">
      <alignment vertical="center"/>
      <protection locked="0"/>
    </xf>
    <xf numFmtId="0" fontId="65" fillId="0" borderId="0" xfId="0" applyFont="1" applyFill="1" applyAlignment="1" applyProtection="1">
      <alignment vertical="center"/>
      <protection locked="0"/>
    </xf>
    <xf numFmtId="0" fontId="37" fillId="4" borderId="0" xfId="0" applyFont="1" applyFill="1" applyAlignment="1" applyProtection="1">
      <alignment vertical="center"/>
      <protection locked="0"/>
    </xf>
    <xf numFmtId="0" fontId="65" fillId="4" borderId="0" xfId="0" applyFont="1" applyFill="1" applyAlignment="1" applyProtection="1">
      <alignment vertical="center" wrapText="1"/>
      <protection locked="0"/>
    </xf>
    <xf numFmtId="0" fontId="37" fillId="4" borderId="0" xfId="0" applyFont="1" applyFill="1" applyAlignment="1" applyProtection="1">
      <alignment vertical="center" wrapText="1"/>
      <protection locked="0"/>
    </xf>
    <xf numFmtId="0" fontId="36" fillId="4" borderId="0" xfId="0" applyFont="1" applyFill="1" applyAlignment="1" applyProtection="1">
      <alignment vertical="center"/>
      <protection locked="0"/>
    </xf>
    <xf numFmtId="190" fontId="36" fillId="4" borderId="0" xfId="0" applyNumberFormat="1" applyFont="1" applyFill="1" applyAlignment="1" applyProtection="1">
      <alignment horizontal="center" vertical="center"/>
      <protection locked="0"/>
    </xf>
    <xf numFmtId="0" fontId="36" fillId="2" borderId="0" xfId="0" applyFont="1" applyFill="1" applyAlignment="1" applyProtection="1">
      <alignment vertical="center"/>
      <protection locked="0"/>
    </xf>
    <xf numFmtId="0" fontId="40" fillId="3" borderId="2" xfId="10" applyFont="1" applyFill="1" applyBorder="1" applyAlignment="1" applyProtection="1">
      <alignment horizontal="left" vertical="center"/>
      <protection locked="0"/>
    </xf>
    <xf numFmtId="0" fontId="40" fillId="3" borderId="4" xfId="10" applyFont="1" applyFill="1" applyBorder="1" applyAlignment="1" applyProtection="1">
      <alignment vertical="center"/>
    </xf>
    <xf numFmtId="0" fontId="40" fillId="2" borderId="0" xfId="10" applyFont="1" applyFill="1" applyBorder="1" applyAlignment="1" applyProtection="1">
      <alignment vertical="center"/>
    </xf>
    <xf numFmtId="0" fontId="40" fillId="2" borderId="37" xfId="0" applyFont="1" applyFill="1" applyBorder="1" applyAlignment="1" applyProtection="1">
      <alignment vertical="center"/>
    </xf>
    <xf numFmtId="0" fontId="40" fillId="2" borderId="38" xfId="0" applyFont="1" applyFill="1" applyBorder="1" applyAlignment="1" applyProtection="1">
      <alignment vertical="center"/>
    </xf>
    <xf numFmtId="190" fontId="71" fillId="2" borderId="32" xfId="0" applyNumberFormat="1" applyFont="1" applyFill="1" applyBorder="1" applyAlignment="1" applyProtection="1">
      <alignment horizontal="center" vertical="center"/>
    </xf>
    <xf numFmtId="0" fontId="71" fillId="2" borderId="10" xfId="0" applyFont="1" applyFill="1" applyBorder="1" applyAlignment="1" applyProtection="1">
      <alignment horizontal="center" vertical="center"/>
    </xf>
    <xf numFmtId="0" fontId="71" fillId="2" borderId="48" xfId="0" applyFont="1" applyFill="1" applyBorder="1" applyAlignment="1" applyProtection="1">
      <alignment vertical="center"/>
    </xf>
    <xf numFmtId="190" fontId="36" fillId="3" borderId="1" xfId="0" applyNumberFormat="1" applyFont="1" applyFill="1" applyBorder="1" applyAlignment="1" applyProtection="1">
      <alignment horizontal="center" vertical="center" wrapText="1"/>
      <protection locked="0"/>
    </xf>
    <xf numFmtId="49" fontId="36" fillId="2" borderId="10" xfId="0" applyNumberFormat="1" applyFont="1" applyFill="1" applyBorder="1" applyAlignment="1" applyProtection="1">
      <alignment horizontal="center" vertical="center"/>
    </xf>
    <xf numFmtId="190" fontId="36" fillId="0" borderId="1" xfId="0" applyNumberFormat="1" applyFont="1" applyFill="1" applyBorder="1" applyAlignment="1" applyProtection="1">
      <alignment horizontal="center" vertical="center"/>
      <protection locked="0"/>
    </xf>
    <xf numFmtId="177" fontId="7" fillId="2" borderId="1" xfId="0" applyNumberFormat="1" applyFont="1" applyFill="1" applyBorder="1" applyAlignment="1" applyProtection="1">
      <alignment horizontal="center" vertical="center"/>
    </xf>
    <xf numFmtId="49" fontId="36" fillId="2" borderId="51" xfId="0" applyNumberFormat="1" applyFont="1" applyFill="1" applyBorder="1" applyAlignment="1" applyProtection="1">
      <alignment horizontal="center" vertical="center"/>
    </xf>
    <xf numFmtId="0" fontId="36" fillId="2" borderId="48" xfId="0" applyFont="1" applyFill="1" applyBorder="1" applyAlignment="1" applyProtection="1">
      <alignment vertical="center"/>
    </xf>
    <xf numFmtId="190" fontId="7" fillId="0" borderId="15" xfId="0" applyNumberFormat="1" applyFont="1" applyFill="1" applyBorder="1" applyAlignment="1" applyProtection="1">
      <alignment horizontal="center" vertical="center"/>
      <protection locked="0"/>
    </xf>
    <xf numFmtId="190" fontId="36" fillId="0" borderId="15" xfId="0" applyNumberFormat="1" applyFont="1" applyFill="1" applyBorder="1" applyAlignment="1" applyProtection="1">
      <alignment horizontal="center" vertical="center"/>
      <protection locked="0"/>
    </xf>
    <xf numFmtId="0" fontId="71" fillId="2" borderId="2" xfId="0" applyFont="1" applyFill="1" applyBorder="1" applyAlignment="1" applyProtection="1">
      <alignment vertical="center"/>
    </xf>
    <xf numFmtId="190" fontId="71" fillId="2" borderId="1" xfId="0" applyNumberFormat="1" applyFont="1" applyFill="1" applyBorder="1" applyAlignment="1" applyProtection="1">
      <alignment horizontal="center" vertical="center"/>
    </xf>
    <xf numFmtId="0" fontId="71" fillId="2" borderId="1" xfId="0" applyFont="1" applyFill="1" applyBorder="1" applyAlignment="1" applyProtection="1">
      <alignment horizontal="center" vertical="center"/>
    </xf>
    <xf numFmtId="0" fontId="71" fillId="2" borderId="3" xfId="0" applyFont="1" applyFill="1" applyBorder="1" applyAlignment="1" applyProtection="1">
      <alignment vertical="center"/>
    </xf>
    <xf numFmtId="0" fontId="36" fillId="2" borderId="10" xfId="10" applyFont="1" applyFill="1" applyBorder="1" applyAlignment="1" applyProtection="1">
      <alignment horizontal="right" vertical="center"/>
    </xf>
    <xf numFmtId="0" fontId="36" fillId="2" borderId="2" xfId="10" applyFont="1" applyFill="1" applyBorder="1" applyAlignment="1" applyProtection="1">
      <alignment vertical="center"/>
    </xf>
    <xf numFmtId="182" fontId="36" fillId="2" borderId="1" xfId="0" applyNumberFormat="1" applyFont="1" applyFill="1" applyBorder="1" applyAlignment="1" applyProtection="1">
      <alignment horizontal="center" vertical="center"/>
    </xf>
    <xf numFmtId="185" fontId="36" fillId="2" borderId="1" xfId="10" applyNumberFormat="1" applyFont="1" applyFill="1" applyBorder="1" applyAlignment="1" applyProtection="1">
      <alignment horizontal="center" vertical="center"/>
    </xf>
    <xf numFmtId="188" fontId="36" fillId="2" borderId="1" xfId="10" applyNumberFormat="1" applyFont="1" applyFill="1" applyBorder="1" applyAlignment="1" applyProtection="1">
      <alignment horizontal="center" vertical="center"/>
    </xf>
    <xf numFmtId="9" fontId="36" fillId="2" borderId="1" xfId="10" applyNumberFormat="1" applyFont="1" applyFill="1" applyBorder="1" applyAlignment="1" applyProtection="1">
      <alignment horizontal="center" vertical="center"/>
    </xf>
    <xf numFmtId="0" fontId="36" fillId="2" borderId="1" xfId="10" applyNumberFormat="1" applyFont="1" applyFill="1" applyBorder="1" applyAlignment="1" applyProtection="1">
      <alignment horizontal="center" vertical="center"/>
    </xf>
    <xf numFmtId="182" fontId="36" fillId="2" borderId="1" xfId="10" applyNumberFormat="1" applyFont="1" applyFill="1" applyBorder="1" applyAlignment="1" applyProtection="1">
      <alignment horizontal="center" vertical="center"/>
    </xf>
    <xf numFmtId="182" fontId="36" fillId="2" borderId="1" xfId="10" applyNumberFormat="1" applyFont="1" applyFill="1" applyBorder="1" applyAlignment="1" applyProtection="1">
      <alignment vertical="center"/>
    </xf>
    <xf numFmtId="10" fontId="36" fillId="2" borderId="1" xfId="10" applyNumberFormat="1" applyFont="1" applyFill="1" applyBorder="1" applyAlignment="1" applyProtection="1">
      <alignment horizontal="center" vertical="center"/>
    </xf>
    <xf numFmtId="0" fontId="36" fillId="2" borderId="97" xfId="0" applyFont="1" applyFill="1" applyBorder="1" applyAlignment="1" applyProtection="1">
      <alignment vertical="center"/>
    </xf>
    <xf numFmtId="0" fontId="58" fillId="3" borderId="2" xfId="10" applyFont="1" applyFill="1" applyBorder="1" applyAlignment="1" applyProtection="1">
      <alignment horizontal="right" vertical="center"/>
      <protection locked="0"/>
    </xf>
    <xf numFmtId="0" fontId="36" fillId="0" borderId="3" xfId="0" applyFont="1" applyFill="1" applyBorder="1" applyAlignment="1" applyProtection="1">
      <alignment vertical="center"/>
      <protection locked="0"/>
    </xf>
    <xf numFmtId="0" fontId="36" fillId="2" borderId="98" xfId="0" applyFont="1" applyFill="1" applyBorder="1" applyAlignment="1" applyProtection="1">
      <alignment horizontal="left" vertical="center"/>
    </xf>
    <xf numFmtId="0" fontId="36" fillId="2" borderId="3" xfId="0" applyFont="1" applyFill="1" applyBorder="1" applyAlignment="1" applyProtection="1">
      <alignment horizontal="left" vertical="center"/>
    </xf>
    <xf numFmtId="0" fontId="71" fillId="2" borderId="2" xfId="10" applyFont="1" applyFill="1" applyBorder="1" applyAlignment="1" applyProtection="1">
      <alignment vertical="center"/>
    </xf>
    <xf numFmtId="182" fontId="71" fillId="2" borderId="1" xfId="10" applyNumberFormat="1" applyFont="1" applyFill="1" applyBorder="1" applyAlignment="1" applyProtection="1">
      <alignment horizontal="center" vertical="center"/>
    </xf>
    <xf numFmtId="0" fontId="71" fillId="2" borderId="1" xfId="10" applyFont="1" applyFill="1" applyBorder="1" applyAlignment="1" applyProtection="1">
      <alignment vertical="center"/>
    </xf>
    <xf numFmtId="182" fontId="71" fillId="2" borderId="1" xfId="10" applyNumberFormat="1" applyFont="1" applyFill="1" applyBorder="1" applyAlignment="1" applyProtection="1">
      <alignment vertical="center"/>
    </xf>
    <xf numFmtId="10" fontId="71" fillId="2" borderId="1" xfId="10" applyNumberFormat="1" applyFont="1" applyFill="1" applyBorder="1" applyAlignment="1" applyProtection="1">
      <alignment horizontal="center" vertical="center"/>
    </xf>
    <xf numFmtId="0" fontId="71" fillId="2" borderId="1" xfId="0" applyFont="1" applyFill="1" applyBorder="1" applyAlignment="1" applyProtection="1">
      <alignment horizontal="right" vertical="center"/>
    </xf>
    <xf numFmtId="0" fontId="61" fillId="2" borderId="3" xfId="0" applyFont="1" applyFill="1" applyBorder="1" applyAlignment="1" applyProtection="1">
      <alignment vertical="center"/>
    </xf>
    <xf numFmtId="182" fontId="71" fillId="2" borderId="0" xfId="0" applyNumberFormat="1" applyFont="1" applyFill="1" applyBorder="1" applyAlignment="1" applyProtection="1">
      <alignment horizontal="center" vertical="center"/>
    </xf>
    <xf numFmtId="182" fontId="71" fillId="2" borderId="3" xfId="10" applyNumberFormat="1" applyFont="1" applyFill="1" applyBorder="1" applyAlignment="1" applyProtection="1">
      <alignment vertical="center"/>
    </xf>
    <xf numFmtId="10" fontId="71" fillId="2" borderId="15" xfId="0" applyNumberFormat="1" applyFont="1" applyFill="1" applyBorder="1" applyAlignment="1" applyProtection="1">
      <alignment horizontal="center" vertical="center"/>
    </xf>
    <xf numFmtId="0" fontId="36" fillId="2" borderId="1" xfId="10" applyFont="1" applyFill="1" applyBorder="1" applyAlignment="1" applyProtection="1">
      <alignment horizontal="left" vertical="center"/>
    </xf>
    <xf numFmtId="184" fontId="36" fillId="2" borderId="4" xfId="0" applyNumberFormat="1" applyFont="1" applyFill="1" applyBorder="1" applyAlignment="1" applyProtection="1">
      <alignment horizontal="center" vertical="center"/>
    </xf>
    <xf numFmtId="184" fontId="36" fillId="2" borderId="1" xfId="0" applyNumberFormat="1" applyFont="1" applyFill="1" applyBorder="1" applyAlignment="1" applyProtection="1">
      <alignment horizontal="center" vertical="center"/>
    </xf>
    <xf numFmtId="182" fontId="36" fillId="2" borderId="3" xfId="10" applyNumberFormat="1" applyFont="1" applyFill="1" applyBorder="1" applyAlignment="1" applyProtection="1">
      <alignment vertical="center"/>
    </xf>
    <xf numFmtId="10" fontId="36" fillId="2" borderId="15" xfId="0" applyNumberFormat="1" applyFont="1" applyFill="1" applyBorder="1" applyAlignment="1" applyProtection="1">
      <alignment horizontal="center" vertical="center"/>
    </xf>
    <xf numFmtId="0" fontId="36" fillId="2" borderId="2" xfId="0" applyFont="1" applyFill="1" applyBorder="1" applyAlignment="1" applyProtection="1"/>
    <xf numFmtId="182" fontId="36" fillId="2" borderId="0" xfId="0" applyNumberFormat="1" applyFont="1" applyFill="1" applyBorder="1" applyAlignment="1" applyProtection="1">
      <alignment horizontal="center" vertical="center"/>
    </xf>
    <xf numFmtId="0" fontId="71" fillId="2" borderId="1" xfId="10" applyFont="1" applyFill="1" applyBorder="1" applyAlignment="1" applyProtection="1">
      <alignment vertical="center" wrapText="1"/>
    </xf>
    <xf numFmtId="182" fontId="71" fillId="2" borderId="4" xfId="0" applyNumberFormat="1" applyFont="1" applyFill="1" applyBorder="1" applyAlignment="1" applyProtection="1">
      <alignment horizontal="center" vertical="center" wrapText="1"/>
    </xf>
    <xf numFmtId="0" fontId="61" fillId="2" borderId="2" xfId="0" applyFont="1" applyFill="1" applyBorder="1" applyAlignment="1" applyProtection="1">
      <alignment vertical="center"/>
    </xf>
    <xf numFmtId="0" fontId="36" fillId="2" borderId="2" xfId="10" applyFont="1" applyFill="1" applyBorder="1" applyAlignment="1" applyProtection="1">
      <alignment horizontal="left" vertical="center"/>
    </xf>
    <xf numFmtId="10" fontId="36" fillId="2" borderId="1" xfId="0" applyNumberFormat="1" applyFont="1" applyFill="1" applyBorder="1" applyAlignment="1" applyProtection="1">
      <alignment horizontal="center" vertical="center" wrapText="1"/>
    </xf>
    <xf numFmtId="182" fontId="36" fillId="2" borderId="1" xfId="0" applyNumberFormat="1" applyFont="1" applyFill="1" applyBorder="1" applyAlignment="1" applyProtection="1">
      <alignment horizontal="center" vertical="center" wrapText="1"/>
    </xf>
    <xf numFmtId="49" fontId="36" fillId="2" borderId="12" xfId="0" applyNumberFormat="1" applyFont="1" applyFill="1" applyBorder="1" applyAlignment="1" applyProtection="1">
      <alignment horizontal="center" vertical="center"/>
    </xf>
    <xf numFmtId="0" fontId="71" fillId="2" borderId="33" xfId="10" applyFont="1" applyFill="1" applyBorder="1" applyAlignment="1" applyProtection="1">
      <alignment vertical="center"/>
    </xf>
    <xf numFmtId="182" fontId="71" fillId="2" borderId="13" xfId="0" applyNumberFormat="1" applyFont="1" applyFill="1" applyBorder="1" applyAlignment="1" applyProtection="1">
      <alignment horizontal="center" vertical="center"/>
    </xf>
    <xf numFmtId="0" fontId="71" fillId="2" borderId="13" xfId="0" applyFont="1" applyFill="1" applyBorder="1" applyAlignment="1" applyProtection="1">
      <alignment vertical="center"/>
    </xf>
    <xf numFmtId="182" fontId="71" fillId="2" borderId="13" xfId="0" applyNumberFormat="1" applyFont="1" applyFill="1" applyBorder="1" applyAlignment="1" applyProtection="1">
      <alignment vertical="center"/>
    </xf>
    <xf numFmtId="10" fontId="71" fillId="2" borderId="13" xfId="0" applyNumberFormat="1" applyFont="1" applyFill="1" applyBorder="1" applyAlignment="1" applyProtection="1">
      <alignment horizontal="center" vertical="center"/>
    </xf>
    <xf numFmtId="182" fontId="71" fillId="2" borderId="33" xfId="0" applyNumberFormat="1" applyFont="1" applyFill="1" applyBorder="1" applyAlignment="1" applyProtection="1">
      <alignment vertical="center"/>
    </xf>
    <xf numFmtId="182" fontId="71" fillId="2" borderId="45" xfId="0" applyNumberFormat="1" applyFont="1" applyFill="1" applyBorder="1" applyAlignment="1" applyProtection="1">
      <alignment vertical="center"/>
    </xf>
    <xf numFmtId="0" fontId="71" fillId="2" borderId="61" xfId="0" applyFont="1" applyFill="1" applyBorder="1" applyAlignment="1" applyProtection="1">
      <alignment vertical="center"/>
    </xf>
    <xf numFmtId="0" fontId="71" fillId="2" borderId="21" xfId="0" applyFont="1" applyFill="1" applyBorder="1" applyAlignment="1" applyProtection="1">
      <alignment vertical="center"/>
    </xf>
    <xf numFmtId="190" fontId="40" fillId="2" borderId="20" xfId="0" applyNumberFormat="1" applyFont="1" applyFill="1" applyBorder="1" applyAlignment="1" applyProtection="1">
      <alignment horizontal="center" vertical="center"/>
    </xf>
    <xf numFmtId="0" fontId="40" fillId="2" borderId="47" xfId="0" applyFont="1" applyFill="1" applyBorder="1" applyAlignment="1" applyProtection="1">
      <alignment vertical="center"/>
    </xf>
    <xf numFmtId="0" fontId="40" fillId="2" borderId="39" xfId="0" applyFont="1" applyFill="1" applyBorder="1" applyAlignment="1" applyProtection="1">
      <alignment vertical="center"/>
    </xf>
    <xf numFmtId="0" fontId="71" fillId="5" borderId="0" xfId="0" applyFont="1" applyFill="1" applyAlignment="1" applyProtection="1">
      <alignment vertical="center"/>
      <protection locked="0"/>
    </xf>
    <xf numFmtId="190" fontId="36" fillId="0" borderId="11" xfId="0" applyNumberFormat="1" applyFont="1" applyFill="1" applyBorder="1" applyAlignment="1" applyProtection="1">
      <alignment horizontal="center" vertical="center"/>
      <protection locked="0"/>
    </xf>
    <xf numFmtId="0" fontId="36" fillId="5" borderId="0" xfId="0" applyFont="1" applyFill="1" applyAlignment="1" applyProtection="1">
      <alignment vertical="center"/>
      <protection locked="0"/>
    </xf>
    <xf numFmtId="177" fontId="7" fillId="2" borderId="11" xfId="0" applyNumberFormat="1" applyFont="1" applyFill="1" applyBorder="1" applyAlignment="1" applyProtection="1">
      <alignment horizontal="center" vertical="center"/>
    </xf>
    <xf numFmtId="190" fontId="36" fillId="0" borderId="40" xfId="0" applyNumberFormat="1" applyFont="1" applyFill="1" applyBorder="1" applyAlignment="1" applyProtection="1">
      <alignment horizontal="center" vertical="center"/>
      <protection locked="0"/>
    </xf>
    <xf numFmtId="0" fontId="71" fillId="2" borderId="42" xfId="0" applyFont="1" applyFill="1" applyBorder="1" applyAlignment="1" applyProtection="1">
      <alignment vertical="center"/>
    </xf>
    <xf numFmtId="0" fontId="38" fillId="2" borderId="3" xfId="0" applyFont="1" applyFill="1" applyBorder="1" applyAlignment="1" applyProtection="1">
      <alignment vertical="center"/>
    </xf>
    <xf numFmtId="0" fontId="36" fillId="2" borderId="42" xfId="0" applyFont="1" applyFill="1" applyBorder="1" applyAlignment="1" applyProtection="1">
      <alignment horizontal="left" vertical="center"/>
    </xf>
    <xf numFmtId="0" fontId="61" fillId="2" borderId="42" xfId="0" applyFont="1" applyFill="1" applyBorder="1" applyAlignment="1" applyProtection="1">
      <alignment vertical="center"/>
    </xf>
    <xf numFmtId="182" fontId="71" fillId="2" borderId="46" xfId="0" applyNumberFormat="1" applyFont="1" applyFill="1" applyBorder="1" applyAlignment="1" applyProtection="1">
      <alignment vertical="center"/>
    </xf>
    <xf numFmtId="0" fontId="71" fillId="2" borderId="22" xfId="0" applyFont="1" applyFill="1" applyBorder="1" applyAlignment="1" applyProtection="1">
      <alignment vertical="center"/>
    </xf>
    <xf numFmtId="49" fontId="68" fillId="7" borderId="130" xfId="0" applyNumberFormat="1" applyFont="1" applyFill="1" applyBorder="1" applyAlignment="1" applyProtection="1">
      <alignment horizontal="right"/>
      <protection locked="0"/>
    </xf>
    <xf numFmtId="0" fontId="99" fillId="2" borderId="31" xfId="10" applyFont="1" applyFill="1" applyBorder="1" applyAlignment="1" applyProtection="1">
      <alignment vertical="center"/>
    </xf>
    <xf numFmtId="49" fontId="28" fillId="2" borderId="0" xfId="10" applyNumberFormat="1" applyFont="1" applyFill="1" applyBorder="1" applyAlignment="1" applyProtection="1">
      <alignment horizontal="right" vertical="center"/>
    </xf>
    <xf numFmtId="0" fontId="29" fillId="3" borderId="2" xfId="10" applyFont="1" applyFill="1" applyBorder="1" applyAlignment="1" applyProtection="1">
      <alignment vertical="center"/>
      <protection locked="0"/>
    </xf>
    <xf numFmtId="0" fontId="28" fillId="2" borderId="2" xfId="10" applyFont="1" applyFill="1" applyBorder="1" applyAlignment="1" applyProtection="1">
      <alignment horizontal="right" vertical="center"/>
    </xf>
    <xf numFmtId="0" fontId="28" fillId="2" borderId="4" xfId="10" applyFont="1" applyFill="1" applyBorder="1" applyAlignment="1" applyProtection="1">
      <alignment vertical="center"/>
    </xf>
    <xf numFmtId="0" fontId="28" fillId="3" borderId="1" xfId="10" applyFont="1" applyFill="1" applyBorder="1" applyAlignment="1" applyProtection="1">
      <alignment vertical="center"/>
      <protection locked="0"/>
    </xf>
    <xf numFmtId="0" fontId="29" fillId="3" borderId="11" xfId="10" applyFont="1" applyFill="1" applyBorder="1" applyAlignment="1" applyProtection="1">
      <alignment horizontal="left" vertical="center"/>
      <protection locked="0"/>
    </xf>
    <xf numFmtId="0" fontId="29" fillId="2" borderId="1" xfId="0" applyNumberFormat="1" applyFont="1" applyFill="1" applyBorder="1" applyAlignment="1" applyProtection="1">
      <alignment horizontal="center" vertical="center"/>
    </xf>
    <xf numFmtId="0" fontId="30" fillId="2" borderId="1" xfId="0" applyNumberFormat="1" applyFont="1" applyFill="1" applyBorder="1" applyAlignment="1" applyProtection="1">
      <alignment horizontal="center" vertical="center"/>
    </xf>
    <xf numFmtId="0" fontId="29" fillId="2" borderId="1" xfId="0" applyNumberFormat="1" applyFont="1" applyFill="1" applyBorder="1" applyAlignment="1" applyProtection="1">
      <alignment horizontal="right" vertical="center"/>
    </xf>
    <xf numFmtId="0" fontId="58" fillId="3" borderId="11" xfId="10" applyFont="1" applyFill="1" applyBorder="1" applyAlignment="1" applyProtection="1">
      <alignment horizontal="right" vertical="center"/>
      <protection locked="0"/>
    </xf>
    <xf numFmtId="0" fontId="58" fillId="4" borderId="4" xfId="0" applyFont="1" applyFill="1" applyBorder="1" applyAlignment="1" applyProtection="1">
      <alignment vertical="center"/>
      <protection locked="0"/>
    </xf>
    <xf numFmtId="0" fontId="58" fillId="4" borderId="0" xfId="0" applyFont="1" applyFill="1" applyAlignment="1" applyProtection="1">
      <alignment vertical="center"/>
      <protection locked="0"/>
    </xf>
    <xf numFmtId="0" fontId="36" fillId="0" borderId="0" xfId="0" applyFont="1" applyFill="1" applyProtection="1">
      <alignment vertical="center"/>
    </xf>
    <xf numFmtId="0" fontId="47" fillId="0" borderId="0" xfId="0" applyFont="1" applyFill="1" applyProtection="1">
      <alignment vertical="center"/>
    </xf>
    <xf numFmtId="0" fontId="36" fillId="5" borderId="0" xfId="0" applyFont="1" applyFill="1" applyProtection="1">
      <alignment vertical="center"/>
    </xf>
    <xf numFmtId="0" fontId="36" fillId="0" borderId="0" xfId="0" applyFont="1" applyProtection="1">
      <alignment vertical="center"/>
    </xf>
    <xf numFmtId="0" fontId="100" fillId="2" borderId="0" xfId="0" applyFont="1" applyFill="1" applyProtection="1">
      <alignment vertical="center"/>
    </xf>
    <xf numFmtId="0" fontId="36" fillId="2" borderId="0" xfId="0" applyFont="1" applyFill="1" applyProtection="1">
      <alignment vertical="center"/>
    </xf>
    <xf numFmtId="0" fontId="36" fillId="3" borderId="0" xfId="0" applyFont="1" applyFill="1" applyProtection="1">
      <alignment vertical="center"/>
      <protection locked="0"/>
    </xf>
    <xf numFmtId="0" fontId="76" fillId="2" borderId="15" xfId="0" applyFont="1" applyFill="1" applyBorder="1" applyProtection="1">
      <alignment vertical="center"/>
    </xf>
    <xf numFmtId="0" fontId="76" fillId="3" borderId="15" xfId="0" applyFont="1" applyFill="1" applyBorder="1" applyAlignment="1" applyProtection="1">
      <alignment horizontal="center" vertical="center" wrapText="1"/>
      <protection locked="0"/>
    </xf>
    <xf numFmtId="0" fontId="76" fillId="2" borderId="15" xfId="0" applyNumberFormat="1" applyFont="1" applyFill="1" applyBorder="1" applyProtection="1">
      <alignment vertical="center"/>
    </xf>
    <xf numFmtId="0" fontId="61" fillId="2" borderId="15" xfId="0" applyFont="1" applyFill="1" applyBorder="1" applyAlignment="1" applyProtection="1">
      <alignment vertical="center" wrapText="1"/>
    </xf>
    <xf numFmtId="0" fontId="61" fillId="2" borderId="15" xfId="0" applyFont="1" applyFill="1" applyBorder="1" applyAlignment="1" applyProtection="1">
      <alignment horizontal="center" vertical="center" wrapText="1"/>
    </xf>
    <xf numFmtId="0" fontId="47" fillId="7" borderId="15" xfId="0"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wrapText="1"/>
    </xf>
    <xf numFmtId="0" fontId="36" fillId="2" borderId="3" xfId="0" applyFont="1" applyFill="1" applyBorder="1" applyAlignment="1" applyProtection="1">
      <alignment horizontal="center" vertical="center" wrapText="1"/>
    </xf>
    <xf numFmtId="0" fontId="61" fillId="0" borderId="1" xfId="0" applyFont="1" applyBorder="1" applyAlignment="1" applyProtection="1">
      <alignment horizontal="center" vertical="center"/>
      <protection locked="0"/>
    </xf>
    <xf numFmtId="0" fontId="36" fillId="2" borderId="3" xfId="0" applyFont="1" applyFill="1" applyBorder="1" applyAlignment="1" applyProtection="1">
      <alignment vertical="center" wrapText="1"/>
    </xf>
    <xf numFmtId="0" fontId="71" fillId="2" borderId="2" xfId="0" applyFont="1" applyFill="1" applyBorder="1" applyAlignment="1" applyProtection="1">
      <alignment horizontal="right" vertical="center"/>
    </xf>
    <xf numFmtId="0" fontId="61" fillId="2" borderId="4" xfId="0" applyFont="1" applyFill="1" applyBorder="1" applyProtection="1">
      <alignment vertical="center"/>
    </xf>
    <xf numFmtId="0" fontId="61" fillId="2" borderId="16" xfId="0" applyFont="1" applyFill="1" applyBorder="1" applyAlignment="1" applyProtection="1">
      <alignment horizontal="center" vertical="center"/>
    </xf>
    <xf numFmtId="0" fontId="71" fillId="2" borderId="50" xfId="0" applyFont="1" applyFill="1" applyBorder="1" applyAlignment="1" applyProtection="1">
      <alignment horizontal="right" vertical="center"/>
    </xf>
    <xf numFmtId="0" fontId="61" fillId="2" borderId="0" xfId="0" applyFont="1" applyFill="1" applyProtection="1">
      <alignment vertical="center"/>
    </xf>
    <xf numFmtId="185" fontId="61" fillId="2" borderId="15" xfId="0" applyNumberFormat="1" applyFont="1" applyFill="1" applyBorder="1" applyAlignment="1" applyProtection="1">
      <alignment horizontal="center" vertical="center"/>
    </xf>
    <xf numFmtId="0" fontId="71" fillId="2" borderId="49" xfId="0" applyFont="1" applyFill="1" applyBorder="1" applyAlignment="1" applyProtection="1">
      <alignment vertical="center"/>
    </xf>
    <xf numFmtId="0" fontId="61" fillId="2" borderId="8" xfId="0" applyFont="1" applyFill="1" applyBorder="1" applyAlignment="1" applyProtection="1">
      <alignment vertical="center"/>
    </xf>
    <xf numFmtId="0" fontId="47" fillId="2" borderId="8" xfId="0" applyFont="1" applyFill="1" applyBorder="1" applyAlignment="1" applyProtection="1">
      <alignment horizontal="center" vertical="center"/>
    </xf>
    <xf numFmtId="0" fontId="61" fillId="2" borderId="32" xfId="0" applyFont="1" applyFill="1" applyBorder="1" applyAlignment="1" applyProtection="1">
      <alignment horizontal="right" vertical="center"/>
    </xf>
    <xf numFmtId="0" fontId="36" fillId="2" borderId="39" xfId="0" applyFont="1" applyFill="1" applyBorder="1" applyAlignment="1" applyProtection="1">
      <alignment vertical="center"/>
    </xf>
    <xf numFmtId="0" fontId="71" fillId="2" borderId="30" xfId="0" applyFont="1" applyFill="1" applyBorder="1" applyAlignment="1" applyProtection="1">
      <alignment vertical="center"/>
    </xf>
    <xf numFmtId="0" fontId="61" fillId="2" borderId="1" xfId="0" applyFont="1" applyFill="1" applyBorder="1" applyProtection="1">
      <alignment vertical="center"/>
    </xf>
    <xf numFmtId="0" fontId="61" fillId="2" borderId="2" xfId="0" applyFont="1" applyFill="1" applyBorder="1" applyAlignment="1" applyProtection="1">
      <alignment horizontal="right" vertical="center"/>
    </xf>
    <xf numFmtId="0" fontId="61" fillId="2" borderId="13" xfId="0" applyFont="1" applyFill="1" applyBorder="1" applyProtection="1">
      <alignment vertical="center"/>
    </xf>
    <xf numFmtId="0" fontId="61" fillId="2" borderId="13" xfId="0" applyFont="1" applyFill="1" applyBorder="1" applyAlignment="1" applyProtection="1">
      <alignment horizontal="center" vertical="center"/>
    </xf>
    <xf numFmtId="0" fontId="61" fillId="2" borderId="14" xfId="0" applyFont="1" applyFill="1" applyBorder="1" applyAlignment="1" applyProtection="1">
      <alignment horizontal="center" vertical="center"/>
    </xf>
    <xf numFmtId="0" fontId="61" fillId="2" borderId="33" xfId="0" applyFont="1" applyFill="1" applyBorder="1" applyAlignment="1" applyProtection="1">
      <alignment horizontal="right" vertical="center"/>
    </xf>
    <xf numFmtId="0" fontId="36" fillId="2" borderId="46" xfId="0" applyFont="1" applyFill="1" applyBorder="1" applyAlignment="1" applyProtection="1">
      <alignment vertical="center"/>
    </xf>
    <xf numFmtId="0" fontId="61" fillId="2" borderId="117" xfId="0" applyFont="1" applyFill="1" applyBorder="1" applyAlignment="1" applyProtection="1">
      <alignment vertical="center"/>
    </xf>
    <xf numFmtId="0" fontId="61" fillId="2" borderId="118" xfId="0" applyFont="1" applyFill="1" applyBorder="1" applyProtection="1">
      <alignment vertical="center"/>
    </xf>
    <xf numFmtId="0" fontId="61" fillId="2" borderId="109" xfId="0" applyFont="1" applyFill="1" applyBorder="1" applyProtection="1">
      <alignment vertical="center"/>
    </xf>
    <xf numFmtId="188" fontId="101" fillId="2" borderId="115" xfId="0" applyNumberFormat="1" applyFont="1" applyFill="1" applyBorder="1" applyAlignment="1" applyProtection="1">
      <alignment horizontal="center" vertical="center"/>
    </xf>
    <xf numFmtId="0" fontId="61" fillId="2" borderId="39" xfId="0" applyFont="1" applyFill="1" applyBorder="1" applyAlignment="1" applyProtection="1">
      <alignment horizontal="center" vertical="center"/>
    </xf>
    <xf numFmtId="0" fontId="61" fillId="2" borderId="34" xfId="0" applyFont="1" applyFill="1" applyBorder="1" applyAlignment="1" applyProtection="1">
      <alignment horizontal="right" vertical="center"/>
    </xf>
    <xf numFmtId="0" fontId="61" fillId="2" borderId="42" xfId="0" applyFont="1" applyFill="1" applyBorder="1" applyAlignment="1" applyProtection="1">
      <alignment horizontal="center" vertical="center"/>
    </xf>
    <xf numFmtId="0" fontId="78" fillId="0" borderId="10" xfId="0" applyFont="1" applyBorder="1" applyAlignment="1" applyProtection="1">
      <alignment horizontal="center" vertical="center"/>
      <protection locked="0"/>
    </xf>
    <xf numFmtId="0" fontId="78" fillId="0" borderId="1" xfId="0" applyFont="1" applyFill="1" applyBorder="1" applyAlignment="1" applyProtection="1">
      <alignment horizontal="center" vertical="center"/>
      <protection locked="0"/>
    </xf>
    <xf numFmtId="0" fontId="78" fillId="0" borderId="11" xfId="0" applyFont="1" applyFill="1" applyBorder="1" applyAlignment="1" applyProtection="1">
      <alignment horizontal="center" vertical="center"/>
      <protection locked="0"/>
    </xf>
    <xf numFmtId="0" fontId="43" fillId="2" borderId="0" xfId="0" applyFont="1" applyFill="1" applyProtection="1">
      <alignment vertical="center"/>
      <protection locked="0"/>
    </xf>
    <xf numFmtId="0" fontId="78" fillId="2" borderId="0" xfId="0" applyFont="1" applyFill="1" applyBorder="1" applyAlignment="1" applyProtection="1">
      <alignment horizontal="center" vertical="center"/>
    </xf>
    <xf numFmtId="0" fontId="71" fillId="2" borderId="49" xfId="0" applyFont="1" applyFill="1" applyBorder="1" applyAlignment="1" applyProtection="1">
      <alignment horizontal="left" vertical="center"/>
    </xf>
    <xf numFmtId="0" fontId="61" fillId="2" borderId="31" xfId="0" applyFont="1" applyFill="1" applyBorder="1" applyProtection="1">
      <alignment vertical="center"/>
    </xf>
    <xf numFmtId="0" fontId="61" fillId="2" borderId="17" xfId="0" applyFont="1" applyFill="1" applyBorder="1" applyAlignment="1" applyProtection="1">
      <alignment horizontal="center" vertical="center"/>
    </xf>
    <xf numFmtId="0" fontId="71" fillId="3" borderId="36" xfId="0" applyFont="1" applyFill="1" applyBorder="1" applyAlignment="1" applyProtection="1">
      <alignment horizontal="right" vertical="center"/>
      <protection locked="0"/>
    </xf>
    <xf numFmtId="0" fontId="36" fillId="2" borderId="2" xfId="0" applyFont="1" applyFill="1" applyBorder="1" applyProtection="1">
      <alignment vertical="center"/>
    </xf>
    <xf numFmtId="0" fontId="71" fillId="3" borderId="1" xfId="0" applyFont="1" applyFill="1" applyBorder="1" applyAlignment="1" applyProtection="1">
      <alignment horizontal="center" vertical="center"/>
      <protection locked="0"/>
    </xf>
    <xf numFmtId="0" fontId="60" fillId="7" borderId="11" xfId="0" applyFont="1" applyFill="1" applyBorder="1" applyAlignment="1" applyProtection="1">
      <alignment horizontal="center" vertical="center"/>
      <protection locked="0"/>
    </xf>
    <xf numFmtId="0" fontId="36" fillId="2" borderId="112" xfId="0" applyFont="1" applyFill="1" applyBorder="1" applyProtection="1">
      <alignment vertical="center"/>
    </xf>
    <xf numFmtId="0" fontId="36" fillId="2" borderId="9" xfId="0" applyFont="1" applyFill="1" applyBorder="1" applyAlignment="1" applyProtection="1">
      <alignment horizontal="center" vertical="center"/>
    </xf>
    <xf numFmtId="0" fontId="71" fillId="2" borderId="120" xfId="0" applyFont="1" applyFill="1" applyBorder="1" applyAlignment="1" applyProtection="1">
      <alignment horizontal="left" vertical="center"/>
    </xf>
    <xf numFmtId="0" fontId="61" fillId="2" borderId="108" xfId="0" applyFont="1" applyFill="1" applyBorder="1" applyAlignment="1" applyProtection="1">
      <alignment horizontal="right" vertical="center"/>
    </xf>
    <xf numFmtId="0" fontId="71" fillId="2" borderId="34" xfId="0" applyFont="1" applyFill="1" applyBorder="1" applyAlignment="1" applyProtection="1">
      <alignment horizontal="center" vertical="center"/>
    </xf>
    <xf numFmtId="188" fontId="61" fillId="2" borderId="28" xfId="0" applyNumberFormat="1" applyFont="1" applyFill="1" applyBorder="1" applyProtection="1">
      <alignment vertical="center"/>
    </xf>
    <xf numFmtId="0" fontId="36" fillId="2" borderId="4" xfId="0" applyFont="1" applyFill="1" applyBorder="1" applyProtection="1">
      <alignment vertical="center"/>
    </xf>
    <xf numFmtId="0" fontId="36" fillId="0" borderId="11" xfId="0" applyFont="1" applyBorder="1" applyProtection="1">
      <alignment vertical="center"/>
      <protection locked="0"/>
    </xf>
    <xf numFmtId="0" fontId="71" fillId="2" borderId="44" xfId="0" applyFont="1" applyFill="1" applyBorder="1" applyAlignment="1" applyProtection="1">
      <alignment horizontal="left" vertical="center"/>
    </xf>
    <xf numFmtId="0" fontId="61" fillId="2" borderId="62" xfId="0" applyFont="1" applyFill="1" applyBorder="1" applyAlignment="1" applyProtection="1">
      <alignment horizontal="right" vertical="center"/>
    </xf>
    <xf numFmtId="0" fontId="71" fillId="2" borderId="33" xfId="0" applyFont="1" applyFill="1" applyBorder="1" applyAlignment="1" applyProtection="1">
      <alignment horizontal="center" vertical="center"/>
    </xf>
    <xf numFmtId="188" fontId="61" fillId="2" borderId="14" xfId="0" applyNumberFormat="1" applyFont="1" applyFill="1" applyBorder="1" applyProtection="1">
      <alignment vertical="center"/>
    </xf>
    <xf numFmtId="0" fontId="36" fillId="2" borderId="62" xfId="0" applyFont="1" applyFill="1" applyBorder="1" applyProtection="1">
      <alignment vertical="center"/>
    </xf>
    <xf numFmtId="0" fontId="36" fillId="0" borderId="14" xfId="0" applyFont="1" applyBorder="1" applyProtection="1">
      <alignment vertical="center"/>
      <protection locked="0"/>
    </xf>
    <xf numFmtId="0" fontId="61" fillId="2" borderId="112" xfId="0" applyFont="1" applyFill="1" applyBorder="1" applyAlignment="1" applyProtection="1">
      <alignment horizontal="left" vertical="center"/>
    </xf>
    <xf numFmtId="0" fontId="71" fillId="0" borderId="9" xfId="0" applyFont="1" applyFill="1" applyBorder="1" applyAlignment="1" applyProtection="1">
      <alignment horizontal="center" vertical="center"/>
      <protection locked="0"/>
    </xf>
    <xf numFmtId="0" fontId="61" fillId="3" borderId="117" xfId="0" applyFont="1" applyFill="1" applyBorder="1" applyProtection="1">
      <alignment vertical="center"/>
      <protection locked="0"/>
    </xf>
    <xf numFmtId="0" fontId="61" fillId="2" borderId="115" xfId="0" applyFont="1" applyFill="1" applyBorder="1" applyProtection="1">
      <alignment vertical="center"/>
    </xf>
    <xf numFmtId="0" fontId="61" fillId="2" borderId="0" xfId="0" applyFont="1" applyFill="1" applyBorder="1" applyAlignment="1" applyProtection="1">
      <alignment horizontal="left" vertical="center"/>
      <protection locked="0"/>
    </xf>
    <xf numFmtId="0" fontId="61" fillId="2" borderId="4" xfId="0" applyFont="1" applyFill="1" applyBorder="1" applyAlignment="1" applyProtection="1">
      <alignment horizontal="left" vertical="center"/>
    </xf>
    <xf numFmtId="0" fontId="71" fillId="0" borderId="11" xfId="0" applyFont="1" applyFill="1" applyBorder="1" applyAlignment="1" applyProtection="1">
      <alignment horizontal="center" vertical="center"/>
      <protection locked="0"/>
    </xf>
    <xf numFmtId="0" fontId="61" fillId="2" borderId="0" xfId="0" applyFont="1" applyFill="1" applyProtection="1">
      <alignment vertical="center"/>
      <protection locked="0"/>
    </xf>
    <xf numFmtId="0" fontId="61" fillId="2" borderId="62" xfId="0" applyFont="1" applyFill="1" applyBorder="1" applyAlignment="1" applyProtection="1">
      <alignment horizontal="left" vertical="center"/>
    </xf>
    <xf numFmtId="0" fontId="71" fillId="0" borderId="13" xfId="0" applyFont="1" applyFill="1" applyBorder="1" applyAlignment="1" applyProtection="1">
      <alignment horizontal="center" vertical="center"/>
      <protection locked="0"/>
    </xf>
    <xf numFmtId="0" fontId="61" fillId="0" borderId="115" xfId="0" applyFont="1" applyFill="1" applyBorder="1" applyProtection="1">
      <alignment vertical="center"/>
      <protection locked="0"/>
    </xf>
    <xf numFmtId="0" fontId="78" fillId="0" borderId="7" xfId="0" applyFont="1" applyFill="1" applyBorder="1" applyAlignment="1" applyProtection="1">
      <alignment horizontal="center" vertical="center"/>
      <protection locked="0"/>
    </xf>
    <xf numFmtId="0" fontId="78" fillId="0" borderId="8" xfId="0" applyFont="1" applyFill="1" applyBorder="1" applyAlignment="1" applyProtection="1">
      <alignment horizontal="center" vertical="center"/>
      <protection locked="0"/>
    </xf>
    <xf numFmtId="0" fontId="78" fillId="0" borderId="9" xfId="0" applyFont="1" applyFill="1" applyBorder="1" applyAlignment="1" applyProtection="1">
      <alignment horizontal="center" vertical="center"/>
      <protection locked="0"/>
    </xf>
    <xf numFmtId="0" fontId="36" fillId="2" borderId="30" xfId="0" applyFont="1" applyFill="1" applyBorder="1" applyProtection="1">
      <alignment vertical="center"/>
    </xf>
    <xf numFmtId="0" fontId="36" fillId="0" borderId="10" xfId="0" applyFont="1" applyBorder="1" applyProtection="1">
      <alignment vertical="center"/>
      <protection locked="0"/>
    </xf>
    <xf numFmtId="0" fontId="36" fillId="0" borderId="11" xfId="0" applyFont="1" applyFill="1" applyBorder="1" applyAlignment="1" applyProtection="1">
      <alignment horizontal="center" vertical="center"/>
      <protection locked="0"/>
    </xf>
    <xf numFmtId="0" fontId="36" fillId="2" borderId="61" xfId="0" applyFont="1" applyFill="1" applyBorder="1" applyProtection="1">
      <alignment vertical="center"/>
    </xf>
    <xf numFmtId="0" fontId="36" fillId="0" borderId="12" xfId="0" applyFont="1" applyBorder="1" applyProtection="1">
      <alignment vertical="center"/>
      <protection locked="0"/>
    </xf>
    <xf numFmtId="0" fontId="36" fillId="0" borderId="13" xfId="0" applyFont="1" applyBorder="1" applyProtection="1">
      <alignment vertical="center"/>
      <protection locked="0"/>
    </xf>
    <xf numFmtId="0" fontId="36" fillId="2" borderId="0" xfId="0" applyFont="1" applyFill="1" applyBorder="1" applyAlignment="1" applyProtection="1">
      <alignment horizontal="center" vertical="center"/>
    </xf>
    <xf numFmtId="0" fontId="43" fillId="2" borderId="0" xfId="0" applyFont="1" applyFill="1" applyBorder="1" applyAlignment="1" applyProtection="1">
      <alignment horizontal="center" vertical="center"/>
    </xf>
    <xf numFmtId="0" fontId="100" fillId="2" borderId="0" xfId="0" applyFont="1" applyFill="1" applyBorder="1" applyAlignment="1" applyProtection="1">
      <alignment horizontal="left" vertical="center"/>
    </xf>
    <xf numFmtId="0" fontId="102" fillId="2" borderId="0" xfId="0" applyFont="1" applyFill="1" applyBorder="1" applyAlignment="1" applyProtection="1">
      <alignment horizontal="left" vertical="center"/>
    </xf>
    <xf numFmtId="0" fontId="103" fillId="2" borderId="0" xfId="0" applyFont="1" applyFill="1" applyBorder="1" applyAlignment="1" applyProtection="1">
      <alignment vertical="center"/>
    </xf>
    <xf numFmtId="0" fontId="103" fillId="2" borderId="0" xfId="0" applyFont="1" applyFill="1" applyBorder="1" applyAlignment="1" applyProtection="1">
      <alignment horizontal="center" vertical="center"/>
    </xf>
    <xf numFmtId="0" fontId="36" fillId="2" borderId="97" xfId="0" applyFont="1" applyFill="1" applyBorder="1" applyAlignment="1" applyProtection="1">
      <alignment horizontal="right" vertical="center"/>
    </xf>
    <xf numFmtId="9" fontId="36" fillId="3" borderId="97" xfId="0" applyNumberFormat="1" applyFont="1" applyFill="1" applyBorder="1" applyAlignment="1" applyProtection="1">
      <alignment horizontal="center" vertical="center"/>
      <protection locked="0"/>
    </xf>
    <xf numFmtId="0" fontId="36" fillId="2" borderId="111" xfId="0" applyFont="1" applyFill="1" applyBorder="1" applyProtection="1">
      <alignment vertical="center"/>
    </xf>
    <xf numFmtId="9" fontId="36" fillId="2" borderId="0" xfId="0" applyNumberFormat="1" applyFont="1" applyFill="1" applyAlignment="1" applyProtection="1">
      <alignment horizontal="center" vertical="center"/>
      <protection locked="0"/>
    </xf>
    <xf numFmtId="0" fontId="38" fillId="2" borderId="30" xfId="0" applyFont="1" applyFill="1" applyBorder="1" applyAlignment="1" applyProtection="1">
      <alignment horizontal="left" vertical="center" wrapText="1"/>
    </xf>
    <xf numFmtId="0" fontId="38" fillId="2" borderId="98" xfId="0" applyFont="1" applyFill="1" applyBorder="1" applyAlignment="1" applyProtection="1">
      <alignment horizontal="left" vertical="center" wrapText="1"/>
    </xf>
    <xf numFmtId="0" fontId="38" fillId="2" borderId="108" xfId="0" applyFont="1" applyFill="1" applyBorder="1" applyAlignment="1" applyProtection="1">
      <alignment horizontal="left" vertical="center" wrapText="1"/>
    </xf>
    <xf numFmtId="0" fontId="36" fillId="2" borderId="34" xfId="0" applyFont="1" applyFill="1" applyBorder="1" applyAlignment="1" applyProtection="1">
      <alignment horizontal="center" vertical="center"/>
    </xf>
    <xf numFmtId="0" fontId="38" fillId="2" borderId="1" xfId="0" applyFont="1" applyFill="1" applyBorder="1" applyAlignment="1" applyProtection="1">
      <alignment horizontal="left" vertical="center" wrapText="1"/>
    </xf>
    <xf numFmtId="9" fontId="36" fillId="2" borderId="11" xfId="0" applyNumberFormat="1" applyFont="1" applyFill="1" applyBorder="1" applyAlignment="1" applyProtection="1">
      <alignment horizontal="center" vertical="center"/>
    </xf>
    <xf numFmtId="10" fontId="36" fillId="2" borderId="16" xfId="0" applyNumberFormat="1" applyFont="1" applyFill="1" applyBorder="1" applyAlignment="1" applyProtection="1">
      <alignment horizontal="center" vertical="center"/>
    </xf>
    <xf numFmtId="0" fontId="37" fillId="0" borderId="11" xfId="0" applyFont="1" applyFill="1" applyBorder="1" applyAlignment="1" applyProtection="1">
      <alignment vertical="center" wrapText="1"/>
      <protection locked="0"/>
    </xf>
    <xf numFmtId="0" fontId="36" fillId="3" borderId="4" xfId="0" applyFont="1" applyFill="1" applyBorder="1" applyAlignment="1" applyProtection="1">
      <alignment horizontal="center" vertical="center"/>
      <protection locked="0"/>
    </xf>
    <xf numFmtId="0" fontId="36" fillId="2" borderId="51" xfId="0" applyFont="1" applyFill="1" applyBorder="1" applyAlignment="1" applyProtection="1">
      <alignment horizontal="right" vertical="center" wrapText="1"/>
    </xf>
    <xf numFmtId="0" fontId="36" fillId="2" borderId="15" xfId="0" applyFont="1" applyFill="1" applyBorder="1" applyAlignment="1" applyProtection="1">
      <alignment horizontal="center" vertical="center" wrapText="1"/>
    </xf>
    <xf numFmtId="0" fontId="36" fillId="2" borderId="119" xfId="0" applyFont="1" applyFill="1" applyBorder="1" applyAlignment="1" applyProtection="1">
      <alignment horizontal="center" vertical="center"/>
    </xf>
    <xf numFmtId="0" fontId="36" fillId="2" borderId="40" xfId="0" applyFont="1" applyFill="1" applyBorder="1" applyAlignment="1" applyProtection="1">
      <alignment horizontal="center" vertical="center"/>
    </xf>
    <xf numFmtId="0" fontId="36" fillId="2" borderId="27" xfId="0" applyFont="1" applyFill="1" applyBorder="1" applyAlignment="1" applyProtection="1">
      <alignment horizontal="right" vertical="center" wrapText="1"/>
    </xf>
    <xf numFmtId="0" fontId="36" fillId="2" borderId="50" xfId="0" applyFont="1" applyFill="1" applyBorder="1" applyAlignment="1" applyProtection="1">
      <alignment vertical="center"/>
    </xf>
    <xf numFmtId="0" fontId="36" fillId="2" borderId="64" xfId="0" applyFont="1" applyFill="1" applyBorder="1" applyAlignment="1" applyProtection="1">
      <alignment horizontal="center" vertical="center" wrapText="1"/>
    </xf>
    <xf numFmtId="0" fontId="36" fillId="2" borderId="119" xfId="0" applyFont="1" applyFill="1" applyBorder="1" applyProtection="1">
      <alignment vertical="center"/>
    </xf>
    <xf numFmtId="0" fontId="36" fillId="2" borderId="58" xfId="0" applyFont="1" applyFill="1" applyBorder="1" applyAlignment="1" applyProtection="1">
      <alignment horizontal="right" vertical="center" wrapText="1"/>
    </xf>
    <xf numFmtId="0" fontId="36" fillId="2" borderId="34" xfId="0" applyFont="1" applyFill="1" applyBorder="1" applyAlignment="1" applyProtection="1">
      <alignment vertical="center"/>
    </xf>
    <xf numFmtId="0" fontId="36" fillId="2" borderId="28" xfId="0" applyFont="1" applyFill="1" applyBorder="1" applyAlignment="1" applyProtection="1">
      <alignment horizontal="center" vertical="center"/>
    </xf>
    <xf numFmtId="0" fontId="36" fillId="2" borderId="10" xfId="0" applyFont="1" applyFill="1" applyBorder="1" applyAlignment="1" applyProtection="1">
      <alignment horizontal="right" vertical="center" wrapText="1"/>
    </xf>
    <xf numFmtId="10" fontId="36" fillId="2" borderId="1" xfId="0" applyNumberFormat="1" applyFont="1" applyFill="1" applyBorder="1" applyAlignment="1" applyProtection="1">
      <alignment horizontal="center" vertical="center"/>
    </xf>
    <xf numFmtId="0" fontId="36" fillId="2" borderId="11" xfId="0" applyFont="1" applyFill="1" applyBorder="1" applyProtection="1">
      <alignment vertical="center"/>
    </xf>
    <xf numFmtId="0" fontId="37" fillId="2" borderId="0" xfId="0" applyFont="1" applyFill="1" applyProtection="1">
      <alignment vertical="center"/>
      <protection locked="0"/>
    </xf>
    <xf numFmtId="0" fontId="36" fillId="2" borderId="2" xfId="0" applyFont="1" applyFill="1" applyBorder="1" applyAlignment="1" applyProtection="1">
      <alignment horizontal="right" vertical="center"/>
    </xf>
    <xf numFmtId="0" fontId="43" fillId="0" borderId="11" xfId="0" applyFont="1" applyFill="1" applyBorder="1" applyAlignment="1" applyProtection="1">
      <alignment vertical="center" wrapText="1"/>
      <protection locked="0"/>
    </xf>
    <xf numFmtId="0" fontId="36" fillId="7" borderId="4" xfId="0" applyFont="1" applyFill="1" applyBorder="1" applyAlignment="1" applyProtection="1">
      <alignment horizontal="center" vertical="center" wrapText="1"/>
      <protection locked="0"/>
    </xf>
    <xf numFmtId="0" fontId="36" fillId="2" borderId="4" xfId="0" applyFont="1" applyFill="1" applyBorder="1" applyAlignment="1" applyProtection="1">
      <alignment horizontal="center" vertical="center" wrapText="1"/>
    </xf>
    <xf numFmtId="0" fontId="36" fillId="2" borderId="48" xfId="0" applyFont="1" applyFill="1" applyBorder="1" applyAlignment="1" applyProtection="1">
      <alignment horizontal="right" vertical="center"/>
    </xf>
    <xf numFmtId="0" fontId="36" fillId="2" borderId="0" xfId="0" applyFont="1" applyFill="1" applyBorder="1" applyAlignment="1" applyProtection="1">
      <alignment horizontal="center" vertical="center" wrapText="1"/>
      <protection locked="0"/>
    </xf>
    <xf numFmtId="0" fontId="36" fillId="2" borderId="33" xfId="0" applyFont="1" applyFill="1" applyBorder="1" applyAlignment="1" applyProtection="1">
      <alignment horizontal="right" vertical="center"/>
    </xf>
    <xf numFmtId="0" fontId="36" fillId="2" borderId="13" xfId="0" applyFont="1" applyFill="1" applyBorder="1" applyAlignment="1" applyProtection="1">
      <alignment horizontal="center" vertical="center" wrapText="1"/>
    </xf>
    <xf numFmtId="10" fontId="36" fillId="2" borderId="13" xfId="0" applyNumberFormat="1" applyFont="1" applyFill="1" applyBorder="1" applyAlignment="1" applyProtection="1">
      <alignment horizontal="center" vertical="center"/>
    </xf>
    <xf numFmtId="0" fontId="43" fillId="0" borderId="14" xfId="0" applyFont="1" applyFill="1" applyBorder="1" applyAlignment="1" applyProtection="1">
      <alignment vertical="center" wrapText="1"/>
      <protection locked="0"/>
    </xf>
    <xf numFmtId="0" fontId="36" fillId="2" borderId="0" xfId="0" applyFont="1" applyFill="1" applyBorder="1" applyAlignment="1" applyProtection="1">
      <alignment horizontal="left" vertical="center" wrapText="1"/>
    </xf>
    <xf numFmtId="0" fontId="36" fillId="2" borderId="0" xfId="0" applyFont="1" applyFill="1" applyBorder="1" applyAlignment="1" applyProtection="1">
      <alignment horizontal="center" vertical="center" wrapText="1"/>
    </xf>
    <xf numFmtId="0" fontId="36" fillId="2" borderId="0" xfId="0" applyFont="1" applyFill="1" applyBorder="1" applyAlignment="1" applyProtection="1">
      <alignment horizontal="center" vertical="center"/>
      <protection locked="0"/>
    </xf>
    <xf numFmtId="0" fontId="36" fillId="2" borderId="9" xfId="0" applyFont="1" applyFill="1" applyBorder="1" applyAlignment="1" applyProtection="1">
      <alignment horizontal="left" vertical="center" wrapText="1"/>
    </xf>
    <xf numFmtId="49" fontId="38" fillId="2" borderId="10" xfId="0" applyNumberFormat="1" applyFont="1" applyFill="1" applyBorder="1" applyAlignment="1" applyProtection="1">
      <alignment horizontal="left" vertical="center" wrapText="1"/>
    </xf>
    <xf numFmtId="0" fontId="29" fillId="2" borderId="16" xfId="0" applyFont="1" applyFill="1" applyBorder="1" applyAlignment="1" applyProtection="1">
      <alignment horizontal="left" vertical="center" wrapText="1"/>
    </xf>
    <xf numFmtId="182" fontId="29" fillId="2" borderId="1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center" vertical="center" wrapText="1"/>
    </xf>
    <xf numFmtId="0" fontId="36" fillId="2" borderId="28" xfId="0" applyFont="1" applyFill="1" applyBorder="1" applyAlignment="1" applyProtection="1">
      <alignment horizontal="left" vertical="center" wrapText="1"/>
    </xf>
    <xf numFmtId="49" fontId="36" fillId="2" borderId="10" xfId="0" applyNumberFormat="1" applyFont="1" applyFill="1" applyBorder="1" applyAlignment="1" applyProtection="1">
      <alignment horizontal="left" vertical="center" wrapText="1"/>
    </xf>
    <xf numFmtId="182" fontId="30" fillId="2" borderId="1" xfId="0" applyNumberFormat="1" applyFont="1" applyFill="1" applyBorder="1" applyAlignment="1" applyProtection="1">
      <alignment horizontal="center" vertical="center" wrapText="1"/>
    </xf>
    <xf numFmtId="0" fontId="36" fillId="2" borderId="11" xfId="0" applyFont="1" applyFill="1" applyBorder="1" applyAlignment="1" applyProtection="1">
      <alignment horizontal="left" vertical="center" wrapText="1"/>
    </xf>
    <xf numFmtId="0" fontId="76" fillId="3" borderId="15" xfId="0" applyFont="1" applyFill="1" applyBorder="1" applyAlignment="1" applyProtection="1">
      <alignment horizontal="center" vertical="center"/>
      <protection locked="0"/>
    </xf>
    <xf numFmtId="0" fontId="36" fillId="5" borderId="1" xfId="0" applyFont="1" applyFill="1" applyBorder="1" applyProtection="1">
      <alignment vertical="center"/>
    </xf>
    <xf numFmtId="0" fontId="36" fillId="5" borderId="1" xfId="0" applyFont="1" applyFill="1" applyBorder="1" applyAlignment="1" applyProtection="1">
      <alignment horizontal="right" vertical="center"/>
    </xf>
    <xf numFmtId="0" fontId="43" fillId="2" borderId="0" xfId="0" applyFont="1" applyFill="1" applyProtection="1">
      <alignment vertical="center"/>
    </xf>
    <xf numFmtId="0" fontId="41" fillId="2" borderId="0" xfId="0" applyFont="1" applyFill="1" applyBorder="1" applyAlignment="1" applyProtection="1">
      <alignment horizontal="left" vertical="center"/>
    </xf>
    <xf numFmtId="0" fontId="47" fillId="2" borderId="0" xfId="0" applyFont="1" applyFill="1" applyBorder="1" applyProtection="1">
      <alignment vertical="center"/>
    </xf>
    <xf numFmtId="0" fontId="41" fillId="2" borderId="1" xfId="0" applyFont="1" applyFill="1" applyBorder="1" applyAlignment="1" applyProtection="1">
      <alignment horizontal="center" vertical="center" wrapText="1"/>
    </xf>
    <xf numFmtId="10" fontId="36" fillId="2" borderId="0" xfId="0" applyNumberFormat="1" applyFont="1" applyFill="1" applyAlignment="1" applyProtection="1">
      <alignment horizontal="center" vertical="center"/>
      <protection locked="0"/>
    </xf>
    <xf numFmtId="0" fontId="105" fillId="2" borderId="1" xfId="0" applyFont="1" applyFill="1" applyBorder="1" applyAlignment="1" applyProtection="1">
      <alignment horizontal="center" vertical="center" wrapText="1"/>
    </xf>
    <xf numFmtId="10" fontId="105" fillId="2" borderId="1" xfId="0" applyNumberFormat="1" applyFont="1" applyFill="1" applyBorder="1" applyAlignment="1" applyProtection="1">
      <alignment horizontal="center" vertical="center"/>
    </xf>
    <xf numFmtId="9" fontId="105" fillId="2" borderId="1" xfId="0" applyNumberFormat="1" applyFont="1" applyFill="1" applyBorder="1" applyAlignment="1" applyProtection="1">
      <alignment horizontal="center" vertical="center"/>
    </xf>
    <xf numFmtId="10" fontId="36" fillId="2" borderId="2" xfId="0" applyNumberFormat="1" applyFont="1" applyFill="1" applyBorder="1" applyAlignment="1" applyProtection="1">
      <alignment horizontal="center" vertical="center"/>
    </xf>
    <xf numFmtId="0" fontId="105" fillId="2" borderId="15" xfId="0" applyFont="1" applyFill="1" applyBorder="1" applyAlignment="1" applyProtection="1">
      <alignment horizontal="center" vertical="center" wrapText="1"/>
    </xf>
    <xf numFmtId="9" fontId="105" fillId="2" borderId="15" xfId="0" applyNumberFormat="1" applyFont="1" applyFill="1" applyBorder="1" applyAlignment="1" applyProtection="1">
      <alignment horizontal="center" vertical="center"/>
    </xf>
    <xf numFmtId="0" fontId="7" fillId="2" borderId="2" xfId="0" applyFont="1" applyFill="1" applyBorder="1" applyAlignment="1" applyProtection="1">
      <alignment horizontal="center" vertical="center" wrapText="1"/>
    </xf>
    <xf numFmtId="0" fontId="105" fillId="2" borderId="48" xfId="0" applyFont="1" applyFill="1" applyBorder="1" applyAlignment="1" applyProtection="1">
      <alignment vertical="center" wrapText="1"/>
    </xf>
    <xf numFmtId="0" fontId="105" fillId="2" borderId="97" xfId="0" applyFont="1" applyFill="1" applyBorder="1" applyAlignment="1" applyProtection="1">
      <alignment horizontal="center" vertical="center" wrapText="1"/>
    </xf>
    <xf numFmtId="0" fontId="105" fillId="2" borderId="111" xfId="0" applyFont="1" applyFill="1" applyBorder="1" applyAlignment="1" applyProtection="1">
      <alignment vertical="center" wrapText="1"/>
    </xf>
    <xf numFmtId="188" fontId="36" fillId="2" borderId="0" xfId="0" applyNumberFormat="1" applyFont="1" applyFill="1" applyProtection="1">
      <alignment vertical="center"/>
    </xf>
    <xf numFmtId="0" fontId="105" fillId="2" borderId="2" xfId="0" applyFont="1" applyFill="1" applyBorder="1" applyAlignment="1" applyProtection="1">
      <alignment vertical="center" wrapText="1"/>
    </xf>
    <xf numFmtId="0" fontId="105" fillId="2" borderId="3" xfId="0" applyFont="1" applyFill="1" applyBorder="1" applyAlignment="1" applyProtection="1">
      <alignment horizontal="center" vertical="center"/>
    </xf>
    <xf numFmtId="0" fontId="105" fillId="2" borderId="4" xfId="0" applyFont="1" applyFill="1" applyBorder="1" applyAlignment="1" applyProtection="1">
      <alignment vertical="center" wrapText="1"/>
    </xf>
    <xf numFmtId="9" fontId="36" fillId="2" borderId="2" xfId="0" applyNumberFormat="1" applyFont="1" applyFill="1" applyBorder="1" applyAlignment="1" applyProtection="1">
      <alignment horizontal="center" vertical="center" wrapText="1"/>
    </xf>
    <xf numFmtId="0" fontId="105" fillId="2" borderId="50" xfId="0" applyFont="1" applyFill="1" applyBorder="1" applyAlignment="1" applyProtection="1">
      <alignment vertical="center" wrapText="1"/>
    </xf>
    <xf numFmtId="0" fontId="105" fillId="2" borderId="0" xfId="0" applyFont="1" applyFill="1" applyBorder="1" applyAlignment="1" applyProtection="1">
      <alignment horizontal="center" vertical="center" wrapText="1"/>
    </xf>
    <xf numFmtId="0" fontId="105" fillId="2" borderId="119" xfId="0" applyFont="1" applyFill="1" applyBorder="1" applyAlignment="1" applyProtection="1">
      <alignment vertical="center" wrapText="1"/>
    </xf>
    <xf numFmtId="0" fontId="105" fillId="2" borderId="34" xfId="0" applyFont="1" applyFill="1" applyBorder="1" applyAlignment="1" applyProtection="1">
      <alignment vertical="center" wrapText="1"/>
    </xf>
    <xf numFmtId="0" fontId="105" fillId="2" borderId="98" xfId="0" applyFont="1" applyFill="1" applyBorder="1" applyAlignment="1" applyProtection="1">
      <alignment horizontal="center" vertical="center" wrapText="1"/>
    </xf>
    <xf numFmtId="0" fontId="105" fillId="2" borderId="108" xfId="0" applyFont="1" applyFill="1" applyBorder="1" applyAlignment="1" applyProtection="1">
      <alignment vertical="center" wrapText="1"/>
    </xf>
    <xf numFmtId="0" fontId="6" fillId="2" borderId="1" xfId="0" applyFont="1" applyFill="1" applyBorder="1" applyAlignment="1">
      <alignment horizontal="center" vertical="center" wrapText="1"/>
    </xf>
    <xf numFmtId="0" fontId="6" fillId="2" borderId="1" xfId="0" applyFont="1" applyFill="1" applyBorder="1" applyAlignment="1">
      <alignment horizontal="left" vertical="center" wrapText="1"/>
    </xf>
    <xf numFmtId="182" fontId="30" fillId="0" borderId="1" xfId="0" applyNumberFormat="1" applyFont="1" applyFill="1" applyBorder="1" applyAlignment="1" applyProtection="1">
      <alignment horizontal="center" vertical="center" wrapText="1"/>
      <protection locked="0"/>
    </xf>
    <xf numFmtId="0" fontId="29" fillId="2" borderId="1" xfId="0" applyFont="1" applyFill="1" applyBorder="1" applyAlignment="1" applyProtection="1">
      <alignment horizontal="left" vertical="center" wrapText="1"/>
    </xf>
    <xf numFmtId="0" fontId="29" fillId="0" borderId="1" xfId="0" applyFont="1" applyFill="1" applyBorder="1" applyAlignment="1" applyProtection="1">
      <alignment horizontal="center" vertical="center" wrapText="1"/>
      <protection locked="0"/>
    </xf>
    <xf numFmtId="0" fontId="43" fillId="2" borderId="11" xfId="0" applyFont="1" applyFill="1" applyBorder="1" applyAlignment="1" applyProtection="1">
      <alignment horizontal="left" vertical="center"/>
    </xf>
    <xf numFmtId="182" fontId="29" fillId="2" borderId="1" xfId="0" applyNumberFormat="1" applyFont="1" applyFill="1" applyBorder="1" applyAlignment="1" applyProtection="1">
      <alignment horizontal="center" vertical="center" wrapText="1"/>
    </xf>
    <xf numFmtId="49" fontId="38" fillId="2" borderId="12" xfId="0" applyNumberFormat="1"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82" fontId="29" fillId="2" borderId="13" xfId="0" applyNumberFormat="1" applyFont="1" applyFill="1" applyBorder="1" applyAlignment="1" applyProtection="1">
      <alignment horizontal="center" vertical="center" wrapText="1"/>
    </xf>
    <xf numFmtId="0" fontId="36" fillId="2" borderId="14" xfId="0" applyFont="1" applyFill="1" applyBorder="1" applyAlignment="1" applyProtection="1">
      <alignment horizontal="left" vertical="center"/>
    </xf>
    <xf numFmtId="49" fontId="38" fillId="2" borderId="3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82" fontId="29" fillId="2" borderId="0" xfId="0" applyNumberFormat="1" applyFont="1" applyFill="1" applyBorder="1" applyAlignment="1" applyProtection="1">
      <alignment horizontal="center" vertical="center" wrapText="1"/>
    </xf>
    <xf numFmtId="0" fontId="36" fillId="2" borderId="0" xfId="0" applyFont="1" applyFill="1" applyBorder="1" applyAlignment="1" applyProtection="1">
      <alignment horizontal="left" vertical="center"/>
    </xf>
    <xf numFmtId="0" fontId="36" fillId="2" borderId="32" xfId="0" applyFont="1" applyFill="1" applyBorder="1" applyAlignment="1" applyProtection="1">
      <alignment horizontal="left" vertical="center" wrapText="1"/>
    </xf>
    <xf numFmtId="0" fontId="36" fillId="2" borderId="38" xfId="0" applyFont="1" applyFill="1" applyBorder="1" applyAlignment="1" applyProtection="1">
      <alignment horizontal="left" vertical="center" wrapText="1"/>
    </xf>
    <xf numFmtId="0" fontId="61" fillId="2" borderId="39" xfId="11" applyFont="1" applyFill="1" applyBorder="1" applyAlignment="1" applyProtection="1">
      <alignment horizontal="left" vertical="center" wrapText="1"/>
    </xf>
    <xf numFmtId="0" fontId="61" fillId="2" borderId="42" xfId="11" applyFont="1" applyFill="1" applyBorder="1" applyAlignment="1" applyProtection="1">
      <alignment horizontal="left" vertical="center" wrapText="1"/>
    </xf>
    <xf numFmtId="49" fontId="36" fillId="2" borderId="10" xfId="0" applyNumberFormat="1" applyFont="1" applyFill="1" applyBorder="1" applyAlignment="1" applyProtection="1">
      <alignment vertical="center" wrapText="1"/>
    </xf>
    <xf numFmtId="0" fontId="30" fillId="0" borderId="1" xfId="0" applyFont="1" applyFill="1" applyBorder="1" applyAlignment="1" applyProtection="1">
      <alignment horizontal="center" vertical="center" wrapText="1"/>
      <protection locked="0"/>
    </xf>
    <xf numFmtId="0" fontId="61" fillId="2" borderId="1" xfId="11" applyFont="1" applyFill="1" applyBorder="1" applyAlignment="1" applyProtection="1">
      <alignment horizontal="left" vertical="center" wrapText="1"/>
    </xf>
    <xf numFmtId="0" fontId="61" fillId="7" borderId="1" xfId="11" applyFont="1" applyFill="1" applyBorder="1" applyAlignment="1" applyProtection="1">
      <alignment horizontal="center" vertical="center" wrapText="1"/>
      <protection locked="0"/>
    </xf>
    <xf numFmtId="182" fontId="30" fillId="0" borderId="11" xfId="0" applyNumberFormat="1" applyFont="1" applyFill="1" applyBorder="1" applyAlignment="1" applyProtection="1">
      <alignment horizontal="center" vertical="center" wrapText="1"/>
      <protection locked="0"/>
    </xf>
    <xf numFmtId="0" fontId="30" fillId="2" borderId="16" xfId="0" applyFont="1" applyFill="1" applyBorder="1" applyAlignment="1" applyProtection="1">
      <alignment horizontal="left" vertical="center" wrapText="1"/>
    </xf>
    <xf numFmtId="9" fontId="61" fillId="2" borderId="0" xfId="0" applyNumberFormat="1" applyFont="1" applyFill="1" applyBorder="1" applyAlignment="1" applyProtection="1">
      <alignment horizontal="center" vertical="center"/>
    </xf>
    <xf numFmtId="0" fontId="36" fillId="2" borderId="42" xfId="0" applyFont="1" applyFill="1" applyBorder="1" applyAlignment="1" applyProtection="1">
      <alignment horizontal="left" vertical="center" wrapText="1"/>
    </xf>
    <xf numFmtId="10" fontId="30" fillId="2" borderId="1" xfId="0" applyNumberFormat="1" applyFont="1" applyFill="1" applyBorder="1" applyAlignment="1" applyProtection="1">
      <alignment horizontal="center" vertical="center" wrapText="1"/>
    </xf>
    <xf numFmtId="0" fontId="61" fillId="2" borderId="3" xfId="0" applyFont="1" applyFill="1" applyBorder="1" applyAlignment="1" applyProtection="1">
      <alignment horizontal="left" vertical="center"/>
    </xf>
    <xf numFmtId="0" fontId="36" fillId="7" borderId="3" xfId="0" applyFont="1" applyFill="1" applyBorder="1" applyAlignment="1" applyProtection="1">
      <alignment horizontal="left" vertical="center" wrapText="1"/>
      <protection locked="0"/>
    </xf>
    <xf numFmtId="197" fontId="30" fillId="2" borderId="1" xfId="0" applyNumberFormat="1" applyFont="1" applyFill="1" applyBorder="1" applyAlignment="1" applyProtection="1">
      <alignment horizontal="center" vertical="center" wrapText="1"/>
    </xf>
    <xf numFmtId="10" fontId="38" fillId="2" borderId="2" xfId="0" applyNumberFormat="1" applyFont="1" applyFill="1" applyBorder="1" applyAlignment="1" applyProtection="1">
      <alignment horizontal="center" vertical="center" wrapText="1"/>
    </xf>
    <xf numFmtId="10" fontId="36" fillId="2" borderId="2" xfId="0" applyNumberFormat="1" applyFont="1" applyFill="1" applyBorder="1" applyAlignment="1" applyProtection="1">
      <alignment horizontal="left" vertical="center" wrapText="1"/>
    </xf>
    <xf numFmtId="10" fontId="36" fillId="2" borderId="3" xfId="0" applyNumberFormat="1" applyFont="1" applyFill="1" applyBorder="1" applyAlignment="1" applyProtection="1">
      <alignment horizontal="left" vertical="center" wrapText="1"/>
    </xf>
    <xf numFmtId="10" fontId="36" fillId="2" borderId="42" xfId="0" applyNumberFormat="1" applyFont="1" applyFill="1" applyBorder="1" applyAlignment="1" applyProtection="1">
      <alignment horizontal="left" vertical="center" wrapText="1"/>
    </xf>
    <xf numFmtId="49" fontId="38" fillId="2" borderId="10" xfId="0" applyNumberFormat="1" applyFont="1" applyFill="1" applyBorder="1" applyAlignment="1" applyProtection="1">
      <alignment vertical="center" wrapText="1"/>
    </xf>
    <xf numFmtId="188" fontId="29" fillId="2" borderId="1" xfId="0" applyNumberFormat="1" applyFont="1" applyFill="1" applyBorder="1" applyAlignment="1" applyProtection="1">
      <alignment horizontal="center" vertical="center" wrapText="1"/>
    </xf>
    <xf numFmtId="49" fontId="38" fillId="2" borderId="12" xfId="0" applyNumberFormat="1" applyFont="1" applyFill="1" applyBorder="1" applyAlignment="1" applyProtection="1">
      <alignment vertical="center" wrapText="1"/>
    </xf>
    <xf numFmtId="0" fontId="38" fillId="2" borderId="13" xfId="0" applyFont="1" applyFill="1" applyBorder="1" applyAlignment="1" applyProtection="1">
      <alignment horizontal="center" vertical="center" wrapText="1"/>
    </xf>
    <xf numFmtId="0" fontId="36" fillId="2" borderId="33" xfId="0" applyFont="1" applyFill="1" applyBorder="1" applyAlignment="1" applyProtection="1">
      <alignment horizontal="left" vertical="center"/>
    </xf>
    <xf numFmtId="0" fontId="36" fillId="2" borderId="45" xfId="0" applyFont="1" applyFill="1" applyBorder="1" applyAlignment="1" applyProtection="1">
      <alignment horizontal="left" vertical="center" wrapText="1"/>
    </xf>
    <xf numFmtId="0" fontId="61" fillId="2" borderId="46" xfId="11" applyFont="1" applyFill="1" applyBorder="1" applyAlignment="1" applyProtection="1">
      <alignment horizontal="left" vertical="center" wrapText="1"/>
    </xf>
    <xf numFmtId="0" fontId="47" fillId="2" borderId="0" xfId="0" applyFont="1" applyFill="1" applyAlignment="1" applyProtection="1">
      <alignment vertical="center"/>
    </xf>
    <xf numFmtId="0" fontId="47" fillId="2" borderId="0" xfId="0" applyFont="1" applyFill="1" applyAlignment="1" applyProtection="1">
      <alignment horizontal="left" vertical="center"/>
    </xf>
    <xf numFmtId="0" fontId="47" fillId="2" borderId="0" xfId="11" applyFont="1" applyFill="1" applyAlignment="1" applyProtection="1">
      <alignment horizontal="left"/>
    </xf>
    <xf numFmtId="0" fontId="36" fillId="2" borderId="39" xfId="11" applyFont="1" applyFill="1" applyBorder="1" applyAlignment="1" applyProtection="1">
      <alignment horizontal="left" vertical="center" wrapText="1"/>
    </xf>
    <xf numFmtId="0" fontId="36" fillId="2" borderId="42" xfId="11" applyFont="1" applyFill="1" applyBorder="1" applyAlignment="1" applyProtection="1">
      <alignment horizontal="left" vertical="center" wrapText="1"/>
    </xf>
    <xf numFmtId="0" fontId="30" fillId="2" borderId="2" xfId="0" applyFont="1" applyFill="1" applyBorder="1" applyAlignment="1" applyProtection="1">
      <alignment horizontal="center" vertical="center" wrapText="1"/>
    </xf>
    <xf numFmtId="197" fontId="30" fillId="0" borderId="1" xfId="0" applyNumberFormat="1" applyFont="1" applyFill="1" applyBorder="1" applyAlignment="1" applyProtection="1">
      <alignment horizontal="center" vertical="center" wrapText="1"/>
      <protection locked="0"/>
    </xf>
    <xf numFmtId="10" fontId="36" fillId="2" borderId="2" xfId="0" applyNumberFormat="1" applyFont="1" applyFill="1" applyBorder="1" applyAlignment="1" applyProtection="1">
      <alignment horizontal="left" vertical="center"/>
    </xf>
    <xf numFmtId="0" fontId="106" fillId="2" borderId="0" xfId="0" applyFont="1" applyFill="1" applyBorder="1" applyAlignment="1" applyProtection="1">
      <alignment horizontal="left" vertical="center"/>
    </xf>
    <xf numFmtId="10" fontId="36" fillId="7" borderId="42" xfId="0" applyNumberFormat="1" applyFont="1" applyFill="1" applyBorder="1" applyAlignment="1" applyProtection="1">
      <alignment horizontal="left" vertical="center" wrapText="1"/>
      <protection locked="0"/>
    </xf>
    <xf numFmtId="10" fontId="36" fillId="3" borderId="42" xfId="0" applyNumberFormat="1" applyFont="1" applyFill="1" applyBorder="1" applyAlignment="1" applyProtection="1">
      <alignment horizontal="left" vertical="center" wrapText="1"/>
      <protection locked="0"/>
    </xf>
    <xf numFmtId="0" fontId="36" fillId="2" borderId="46" xfId="11" applyFont="1" applyFill="1" applyBorder="1" applyAlignment="1" applyProtection="1">
      <alignment horizontal="left" vertical="center" wrapText="1"/>
    </xf>
    <xf numFmtId="0" fontId="107" fillId="2" borderId="1" xfId="0" applyFont="1" applyFill="1" applyBorder="1" applyAlignment="1" applyProtection="1">
      <alignment horizontal="center" vertical="center" wrapText="1"/>
    </xf>
    <xf numFmtId="0" fontId="107" fillId="2" borderId="11" xfId="0" applyFont="1" applyFill="1" applyBorder="1" applyAlignment="1" applyProtection="1">
      <alignment horizontal="center" vertical="center" wrapText="1"/>
    </xf>
    <xf numFmtId="0" fontId="71" fillId="2" borderId="4" xfId="0" applyFont="1" applyFill="1" applyBorder="1" applyAlignment="1" applyProtection="1">
      <alignment horizontal="left" vertical="center"/>
    </xf>
    <xf numFmtId="0" fontId="108" fillId="2" borderId="1" xfId="0" applyFont="1" applyFill="1" applyBorder="1" applyAlignment="1" applyProtection="1">
      <alignment vertical="center" wrapText="1"/>
    </xf>
    <xf numFmtId="0" fontId="71" fillId="2" borderId="11" xfId="0" applyFont="1" applyFill="1" applyBorder="1" applyAlignment="1" applyProtection="1">
      <alignment horizontal="center" vertical="center"/>
    </xf>
    <xf numFmtId="0" fontId="107" fillId="2" borderId="15" xfId="0" applyFont="1" applyFill="1" applyBorder="1" applyAlignment="1" applyProtection="1">
      <alignment horizontal="center" vertical="center" wrapText="1"/>
    </xf>
    <xf numFmtId="0" fontId="107" fillId="2" borderId="40" xfId="0" applyFont="1" applyFill="1" applyBorder="1" applyAlignment="1" applyProtection="1">
      <alignment horizontal="center" vertical="center" wrapText="1"/>
    </xf>
    <xf numFmtId="0" fontId="107" fillId="2" borderId="1" xfId="0" applyFont="1" applyFill="1" applyBorder="1" applyAlignment="1" applyProtection="1">
      <alignment vertical="center" wrapText="1"/>
    </xf>
    <xf numFmtId="0" fontId="108" fillId="2" borderId="2" xfId="0" applyFont="1" applyFill="1" applyBorder="1" applyAlignment="1" applyProtection="1">
      <alignment vertical="center" wrapText="1"/>
    </xf>
    <xf numFmtId="0" fontId="107" fillId="2" borderId="2" xfId="0" applyFont="1" applyFill="1" applyBorder="1" applyAlignment="1" applyProtection="1">
      <alignment vertical="center" wrapText="1"/>
    </xf>
    <xf numFmtId="0" fontId="107" fillId="2" borderId="42" xfId="0" applyFont="1" applyFill="1" applyBorder="1" applyAlignment="1" applyProtection="1">
      <alignment vertical="center" wrapText="1"/>
    </xf>
    <xf numFmtId="0" fontId="61" fillId="2" borderId="1" xfId="0" applyFont="1" applyFill="1" applyBorder="1" applyAlignment="1" applyProtection="1">
      <alignment horizontal="left" vertical="center"/>
    </xf>
    <xf numFmtId="0" fontId="61" fillId="2" borderId="11" xfId="0" applyFont="1" applyFill="1" applyBorder="1" applyAlignment="1" applyProtection="1">
      <alignment horizontal="center" vertical="center"/>
    </xf>
    <xf numFmtId="0" fontId="108" fillId="2" borderId="33" xfId="0" applyFont="1" applyFill="1" applyBorder="1" applyAlignment="1" applyProtection="1">
      <alignment vertical="center" wrapText="1"/>
    </xf>
    <xf numFmtId="0" fontId="107" fillId="2" borderId="33" xfId="0" applyFont="1" applyFill="1" applyBorder="1" applyAlignment="1" applyProtection="1">
      <alignment vertical="center" wrapText="1"/>
    </xf>
    <xf numFmtId="0" fontId="107" fillId="2" borderId="46" xfId="0" applyFont="1" applyFill="1" applyBorder="1" applyAlignment="1" applyProtection="1">
      <alignment vertical="center" wrapText="1"/>
    </xf>
    <xf numFmtId="0" fontId="61" fillId="2" borderId="10" xfId="0" applyFont="1" applyFill="1" applyBorder="1" applyAlignment="1" applyProtection="1">
      <alignment horizontal="left" vertical="center"/>
    </xf>
    <xf numFmtId="0" fontId="108" fillId="2" borderId="13" xfId="0" applyFont="1" applyFill="1" applyBorder="1" applyAlignment="1" applyProtection="1">
      <alignment vertical="center" wrapText="1"/>
    </xf>
    <xf numFmtId="0" fontId="61" fillId="3" borderId="16" xfId="0" applyFont="1" applyFill="1" applyBorder="1" applyAlignment="1" applyProtection="1">
      <alignment horizontal="center" vertical="center" wrapText="1"/>
      <protection locked="0"/>
    </xf>
    <xf numFmtId="0" fontId="61" fillId="2" borderId="1" xfId="0" applyFont="1" applyFill="1" applyBorder="1" applyAlignment="1" applyProtection="1">
      <alignment horizontal="center" vertical="center" wrapText="1"/>
      <protection locked="0"/>
    </xf>
    <xf numFmtId="0" fontId="61" fillId="2" borderId="4" xfId="0" applyFont="1" applyFill="1" applyBorder="1" applyAlignment="1" applyProtection="1">
      <alignment horizontal="center" vertical="center" wrapText="1"/>
    </xf>
    <xf numFmtId="0" fontId="6" fillId="2" borderId="1" xfId="0" applyFont="1" applyFill="1" applyBorder="1" applyAlignment="1">
      <alignment vertical="center" wrapText="1"/>
    </xf>
    <xf numFmtId="0" fontId="36" fillId="2" borderId="0" xfId="11" applyFont="1" applyFill="1" applyBorder="1" applyAlignment="1" applyProtection="1">
      <alignment horizontal="left" vertical="center" wrapText="1"/>
    </xf>
    <xf numFmtId="0" fontId="47" fillId="5" borderId="0" xfId="0" applyFont="1" applyFill="1" applyProtection="1">
      <alignment vertical="center"/>
      <protection locked="0"/>
    </xf>
    <xf numFmtId="0" fontId="47" fillId="2" borderId="0" xfId="11" applyFont="1" applyFill="1" applyAlignment="1" applyProtection="1">
      <alignment vertical="center" wrapText="1"/>
      <protection locked="0"/>
    </xf>
    <xf numFmtId="0" fontId="47" fillId="2" borderId="0" xfId="0" applyFont="1" applyFill="1" applyProtection="1">
      <alignment vertical="center"/>
      <protection locked="0"/>
    </xf>
    <xf numFmtId="0" fontId="47" fillId="2" borderId="0" xfId="11" applyFont="1" applyFill="1" applyProtection="1">
      <protection locked="0"/>
    </xf>
    <xf numFmtId="0" fontId="47" fillId="0" borderId="10" xfId="0" applyFont="1" applyFill="1" applyBorder="1" applyProtection="1">
      <alignment vertical="center"/>
      <protection locked="0"/>
    </xf>
    <xf numFmtId="0" fontId="71" fillId="2" borderId="4" xfId="0" applyFont="1" applyFill="1" applyBorder="1" applyAlignment="1" applyProtection="1">
      <alignment horizontal="center" vertical="center"/>
    </xf>
    <xf numFmtId="0" fontId="47" fillId="5" borderId="0" xfId="0" applyFont="1" applyFill="1" applyProtection="1">
      <alignment vertical="center"/>
    </xf>
    <xf numFmtId="0" fontId="99" fillId="0" borderId="48" xfId="0" applyFont="1" applyBorder="1" applyAlignment="1" applyProtection="1">
      <alignment horizontal="left" vertical="center"/>
    </xf>
    <xf numFmtId="0" fontId="36" fillId="0" borderId="97" xfId="0" applyFont="1" applyBorder="1" applyAlignment="1" applyProtection="1">
      <alignment horizontal="left" vertical="center" wrapText="1"/>
    </xf>
    <xf numFmtId="0" fontId="75" fillId="3" borderId="97" xfId="0" applyFont="1" applyFill="1" applyBorder="1" applyAlignment="1" applyProtection="1">
      <alignment horizontal="left" vertical="center" wrapText="1"/>
      <protection locked="0"/>
    </xf>
    <xf numFmtId="0" fontId="36" fillId="5" borderId="97" xfId="0" applyFont="1" applyFill="1" applyBorder="1" applyAlignment="1" applyProtection="1">
      <alignment horizontal="center" vertical="center" wrapText="1"/>
    </xf>
    <xf numFmtId="0" fontId="36" fillId="5" borderId="97" xfId="0" applyFont="1" applyFill="1" applyBorder="1" applyAlignment="1" applyProtection="1">
      <alignment horizontal="center" vertical="center"/>
    </xf>
    <xf numFmtId="0" fontId="36" fillId="5" borderId="50" xfId="0" applyFont="1" applyFill="1" applyBorder="1" applyAlignment="1" applyProtection="1">
      <alignment horizontal="left" vertical="center" wrapText="1"/>
      <protection locked="0"/>
    </xf>
    <xf numFmtId="0" fontId="36" fillId="5" borderId="0" xfId="0" applyFont="1" applyFill="1" applyBorder="1" applyAlignment="1" applyProtection="1">
      <alignment horizontal="left" vertical="center" wrapText="1"/>
      <protection locked="0"/>
    </xf>
    <xf numFmtId="0" fontId="36" fillId="5" borderId="0" xfId="0" applyFont="1" applyFill="1" applyBorder="1" applyAlignment="1" applyProtection="1">
      <alignment horizontal="center" vertical="center" wrapText="1"/>
      <protection locked="0"/>
    </xf>
    <xf numFmtId="0" fontId="36" fillId="5" borderId="0" xfId="0" applyFont="1" applyFill="1" applyBorder="1" applyAlignment="1" applyProtection="1">
      <alignment horizontal="center" vertical="center"/>
      <protection locked="0"/>
    </xf>
    <xf numFmtId="0" fontId="36" fillId="5" borderId="34" xfId="0" applyFont="1" applyFill="1" applyBorder="1" applyAlignment="1" applyProtection="1">
      <alignment horizontal="left" vertical="center" wrapText="1"/>
      <protection locked="0"/>
    </xf>
    <xf numFmtId="0" fontId="36" fillId="5" borderId="98" xfId="0" applyFont="1" applyFill="1" applyBorder="1" applyAlignment="1" applyProtection="1">
      <alignment horizontal="left" vertical="center" wrapText="1"/>
      <protection locked="0"/>
    </xf>
    <xf numFmtId="0" fontId="36" fillId="5" borderId="98" xfId="0" applyFont="1" applyFill="1" applyBorder="1" applyAlignment="1" applyProtection="1">
      <alignment horizontal="center" vertical="center" wrapText="1"/>
      <protection locked="0"/>
    </xf>
    <xf numFmtId="0" fontId="36" fillId="5" borderId="98" xfId="0" applyFont="1" applyFill="1" applyBorder="1" applyAlignment="1" applyProtection="1">
      <alignment horizontal="center" vertical="center"/>
      <protection locked="0"/>
    </xf>
    <xf numFmtId="0" fontId="38" fillId="5" borderId="98" xfId="0" applyFont="1" applyFill="1" applyBorder="1" applyAlignment="1" applyProtection="1">
      <alignment horizontal="left" vertical="center"/>
      <protection locked="0"/>
    </xf>
    <xf numFmtId="0" fontId="36" fillId="5" borderId="98" xfId="0" applyFont="1" applyFill="1" applyBorder="1" applyProtection="1">
      <alignment vertical="center"/>
      <protection locked="0"/>
    </xf>
    <xf numFmtId="0" fontId="38" fillId="5" borderId="0" xfId="0" applyFont="1" applyFill="1" applyAlignment="1" applyProtection="1">
      <alignment horizontal="left" vertical="center"/>
      <protection locked="0"/>
    </xf>
    <xf numFmtId="2" fontId="36" fillId="5" borderId="0" xfId="0" applyNumberFormat="1" applyFont="1" applyFill="1" applyAlignment="1" applyProtection="1">
      <alignment vertical="center" wrapText="1"/>
      <protection locked="0"/>
    </xf>
    <xf numFmtId="0" fontId="38" fillId="5" borderId="0" xfId="0" applyFont="1" applyFill="1" applyAlignment="1" applyProtection="1">
      <alignment vertical="center" wrapText="1"/>
      <protection locked="0"/>
    </xf>
    <xf numFmtId="0" fontId="36" fillId="5" borderId="0" xfId="0" applyFont="1" applyFill="1" applyAlignment="1" applyProtection="1">
      <alignment vertical="center" wrapText="1"/>
      <protection locked="0"/>
    </xf>
    <xf numFmtId="0" fontId="36" fillId="5" borderId="111" xfId="0" applyFont="1" applyFill="1" applyBorder="1" applyProtection="1">
      <alignment vertical="center"/>
    </xf>
    <xf numFmtId="0" fontId="36" fillId="5" borderId="119" xfId="0" applyFont="1" applyFill="1" applyBorder="1" applyProtection="1">
      <alignment vertical="center"/>
      <protection locked="0"/>
    </xf>
    <xf numFmtId="0" fontId="36" fillId="5" borderId="108" xfId="0" applyFont="1" applyFill="1" applyBorder="1" applyProtection="1">
      <alignment vertical="center"/>
      <protection locked="0"/>
    </xf>
    <xf numFmtId="0" fontId="36" fillId="5" borderId="98" xfId="0" applyFont="1" applyFill="1" applyBorder="1" applyAlignment="1" applyProtection="1">
      <alignment horizontal="right" vertical="center"/>
      <protection locked="0"/>
    </xf>
    <xf numFmtId="0" fontId="109" fillId="0" borderId="0" xfId="5"/>
    <xf numFmtId="0" fontId="110" fillId="2" borderId="1" xfId="5" applyFont="1" applyFill="1" applyBorder="1" applyAlignment="1">
      <alignment horizontal="center" vertical="center" wrapText="1"/>
    </xf>
    <xf numFmtId="0" fontId="110" fillId="0" borderId="0" xfId="5" applyFont="1" applyBorder="1" applyAlignment="1">
      <alignment horizontal="left" vertical="center" wrapText="1"/>
    </xf>
    <xf numFmtId="0" fontId="109" fillId="0" borderId="0" xfId="5" applyBorder="1"/>
    <xf numFmtId="14" fontId="110" fillId="2" borderId="1" xfId="5" applyNumberFormat="1" applyFont="1" applyFill="1" applyBorder="1" applyAlignment="1">
      <alignment horizontal="center" vertical="center" wrapText="1"/>
    </xf>
    <xf numFmtId="0" fontId="110" fillId="11" borderId="1" xfId="5" applyFont="1" applyFill="1" applyBorder="1" applyAlignment="1" applyProtection="1">
      <alignment horizontal="center" vertical="center" wrapText="1"/>
      <protection locked="0"/>
    </xf>
    <xf numFmtId="0" fontId="109" fillId="2" borderId="1" xfId="5" applyFill="1" applyBorder="1" applyAlignment="1">
      <alignment vertical="center"/>
    </xf>
    <xf numFmtId="0" fontId="110" fillId="2" borderId="15" xfId="5" applyFont="1" applyFill="1" applyBorder="1" applyAlignment="1">
      <alignment horizontal="center" vertical="center" wrapText="1"/>
    </xf>
    <xf numFmtId="0" fontId="109" fillId="0" borderId="1" xfId="5" applyBorder="1" applyProtection="1">
      <protection locked="0"/>
    </xf>
    <xf numFmtId="0" fontId="110" fillId="0" borderId="1" xfId="5" applyFont="1" applyBorder="1" applyAlignment="1" applyProtection="1">
      <alignment horizontal="left" vertical="center" wrapText="1"/>
      <protection locked="0"/>
    </xf>
    <xf numFmtId="0" fontId="103" fillId="0" borderId="0" xfId="0" applyFont="1" applyAlignment="1" applyProtection="1">
      <alignment horizontal="center" vertical="center"/>
      <protection locked="0"/>
    </xf>
    <xf numFmtId="0" fontId="61" fillId="5" borderId="0" xfId="0" applyFont="1" applyFill="1" applyAlignment="1" applyProtection="1">
      <alignment horizontal="center" vertical="center"/>
      <protection locked="0"/>
    </xf>
    <xf numFmtId="0" fontId="61" fillId="0" borderId="0" xfId="0" applyFont="1" applyAlignment="1" applyProtection="1">
      <alignment horizontal="center" vertical="center"/>
      <protection locked="0"/>
    </xf>
    <xf numFmtId="0" fontId="61" fillId="0" borderId="0" xfId="0" applyFont="1" applyAlignment="1" applyProtection="1">
      <alignment horizontal="center" vertical="center" wrapText="1"/>
      <protection locked="0"/>
    </xf>
    <xf numFmtId="0" fontId="61" fillId="0" borderId="0" xfId="0" applyFont="1" applyFill="1" applyAlignment="1" applyProtection="1">
      <alignment horizontal="center" vertical="center" wrapText="1"/>
      <protection locked="0"/>
    </xf>
    <xf numFmtId="0" fontId="61" fillId="0" borderId="0" xfId="0" applyNumberFormat="1" applyFont="1" applyFill="1" applyAlignment="1" applyProtection="1">
      <alignment horizontal="center" vertical="center" wrapText="1"/>
      <protection locked="0"/>
    </xf>
    <xf numFmtId="0" fontId="61" fillId="5" borderId="0" xfId="0" applyFont="1" applyFill="1" applyAlignment="1" applyProtection="1">
      <alignment horizontal="center" vertical="center" wrapText="1"/>
      <protection locked="0"/>
    </xf>
    <xf numFmtId="0" fontId="61" fillId="5" borderId="0" xfId="0" applyNumberFormat="1" applyFont="1" applyFill="1" applyAlignment="1" applyProtection="1">
      <alignment horizontal="center" vertical="center" wrapText="1"/>
      <protection locked="0"/>
    </xf>
    <xf numFmtId="0" fontId="61" fillId="5" borderId="0" xfId="0" applyNumberFormat="1" applyFont="1" applyFill="1" applyAlignment="1" applyProtection="1">
      <alignment horizontal="center" vertical="center"/>
      <protection locked="0"/>
    </xf>
    <xf numFmtId="0" fontId="102" fillId="5" borderId="148" xfId="0" applyFont="1" applyFill="1" applyBorder="1" applyAlignment="1" applyProtection="1">
      <alignment horizontal="center" vertical="center" wrapText="1"/>
      <protection locked="0"/>
    </xf>
    <xf numFmtId="0" fontId="71" fillId="2" borderId="117" xfId="0" applyFont="1" applyFill="1" applyBorder="1" applyAlignment="1" applyProtection="1">
      <alignment horizontal="center" vertical="center" wrapText="1"/>
    </xf>
    <xf numFmtId="0" fontId="71" fillId="2" borderId="109" xfId="0" applyFont="1" applyFill="1" applyBorder="1" applyAlignment="1" applyProtection="1">
      <alignment horizontal="right" vertical="center" wrapText="1"/>
    </xf>
    <xf numFmtId="0" fontId="71" fillId="2" borderId="115" xfId="0" applyFont="1" applyFill="1" applyBorder="1" applyAlignment="1" applyProtection="1">
      <alignment horizontal="center" vertical="center"/>
    </xf>
    <xf numFmtId="0" fontId="71" fillId="2" borderId="0" xfId="0" applyFont="1" applyFill="1" applyBorder="1" applyAlignment="1" applyProtection="1">
      <alignment horizontal="right" vertical="center" wrapText="1"/>
    </xf>
    <xf numFmtId="0" fontId="71" fillId="2" borderId="117" xfId="0" applyFont="1" applyFill="1" applyBorder="1" applyAlignment="1" applyProtection="1">
      <alignment horizontal="right" vertical="center" wrapText="1"/>
    </xf>
    <xf numFmtId="0" fontId="61" fillId="2" borderId="25" xfId="0" applyFont="1" applyFill="1" applyBorder="1" applyAlignment="1" applyProtection="1">
      <alignment horizontal="center" vertical="center"/>
    </xf>
    <xf numFmtId="0" fontId="61" fillId="2" borderId="8" xfId="0" applyFont="1" applyFill="1" applyBorder="1" applyAlignment="1" applyProtection="1">
      <alignment horizontal="center" vertical="center" wrapText="1"/>
    </xf>
    <xf numFmtId="49" fontId="70" fillId="0" borderId="9" xfId="0" applyNumberFormat="1" applyFont="1" applyFill="1" applyBorder="1" applyAlignment="1" applyProtection="1">
      <alignment horizontal="center" vertical="center" wrapText="1"/>
      <protection locked="0"/>
    </xf>
    <xf numFmtId="49" fontId="61" fillId="2" borderId="0" xfId="0" applyNumberFormat="1" applyFont="1" applyFill="1" applyBorder="1" applyAlignment="1" applyProtection="1">
      <alignment horizontal="center" vertical="center" wrapText="1"/>
      <protection locked="0"/>
    </xf>
    <xf numFmtId="0" fontId="61" fillId="2" borderId="108" xfId="0" applyFont="1" applyFill="1" applyBorder="1" applyAlignment="1" applyProtection="1">
      <alignment horizontal="center" vertical="center" wrapText="1"/>
    </xf>
    <xf numFmtId="0" fontId="70" fillId="0" borderId="28" xfId="0" applyNumberFormat="1" applyFont="1" applyFill="1" applyBorder="1" applyAlignment="1" applyProtection="1">
      <alignment horizontal="center" vertical="center" wrapText="1"/>
      <protection locked="0"/>
    </xf>
    <xf numFmtId="49" fontId="70" fillId="0" borderId="11" xfId="0" applyNumberFormat="1" applyFont="1" applyFill="1" applyBorder="1" applyAlignment="1" applyProtection="1">
      <alignment horizontal="center" vertical="center" wrapText="1"/>
      <protection locked="0"/>
    </xf>
    <xf numFmtId="49" fontId="61" fillId="2" borderId="27" xfId="0" applyNumberFormat="1" applyFont="1" applyFill="1" applyBorder="1" applyAlignment="1" applyProtection="1">
      <alignment horizontal="center" vertical="center" wrapText="1"/>
    </xf>
    <xf numFmtId="0" fontId="70" fillId="0" borderId="11" xfId="0" applyFont="1" applyBorder="1" applyAlignment="1" applyProtection="1">
      <alignment horizontal="center" vertical="center" wrapText="1"/>
      <protection locked="0"/>
    </xf>
    <xf numFmtId="0" fontId="61" fillId="2" borderId="0" xfId="0" applyFont="1" applyFill="1" applyBorder="1" applyAlignment="1" applyProtection="1">
      <alignment horizontal="center" vertical="center" wrapText="1"/>
      <protection locked="0"/>
    </xf>
    <xf numFmtId="49" fontId="61" fillId="2" borderId="110" xfId="0" applyNumberFormat="1" applyFont="1" applyFill="1" applyBorder="1" applyAlignment="1" applyProtection="1">
      <alignment horizontal="center" vertical="center" wrapText="1"/>
    </xf>
    <xf numFmtId="0" fontId="61" fillId="2" borderId="62" xfId="0" applyFont="1" applyFill="1" applyBorder="1" applyAlignment="1" applyProtection="1">
      <alignment horizontal="center" vertical="center" wrapText="1"/>
    </xf>
    <xf numFmtId="0" fontId="70" fillId="0" borderId="14" xfId="0" applyNumberFormat="1" applyFont="1" applyFill="1" applyBorder="1" applyAlignment="1" applyProtection="1">
      <alignment horizontal="center" vertical="center" wrapText="1"/>
      <protection locked="0"/>
    </xf>
    <xf numFmtId="0" fontId="71" fillId="2" borderId="110" xfId="0" applyFont="1" applyFill="1" applyBorder="1" applyAlignment="1" applyProtection="1">
      <alignment vertical="center" wrapText="1"/>
    </xf>
    <xf numFmtId="0" fontId="61" fillId="2" borderId="13" xfId="0" applyFont="1" applyFill="1" applyBorder="1" applyAlignment="1" applyProtection="1">
      <alignment horizontal="center" vertical="center" wrapText="1"/>
    </xf>
    <xf numFmtId="0" fontId="70" fillId="0" borderId="14" xfId="0" applyFont="1" applyBorder="1" applyAlignment="1" applyProtection="1">
      <alignment horizontal="center" vertical="center"/>
      <protection locked="0"/>
    </xf>
    <xf numFmtId="0" fontId="61" fillId="5" borderId="0" xfId="0"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wrapText="1"/>
      <protection locked="0"/>
    </xf>
    <xf numFmtId="0" fontId="112" fillId="2" borderId="0" xfId="0" applyFont="1" applyFill="1" applyBorder="1" applyAlignment="1" applyProtection="1">
      <alignment horizontal="center" vertical="center"/>
    </xf>
    <xf numFmtId="0" fontId="102" fillId="5" borderId="0" xfId="0" applyFont="1" applyFill="1" applyBorder="1" applyAlignment="1" applyProtection="1">
      <alignment horizontal="center" vertical="center" wrapText="1"/>
      <protection locked="0"/>
    </xf>
    <xf numFmtId="0" fontId="112" fillId="2" borderId="149" xfId="0" applyFont="1" applyFill="1" applyBorder="1" applyAlignment="1" applyProtection="1">
      <alignment horizontal="center" vertical="center"/>
    </xf>
    <xf numFmtId="0" fontId="71" fillId="2" borderId="0" xfId="0" applyFont="1" applyFill="1" applyBorder="1" applyAlignment="1" applyProtection="1">
      <alignment horizontal="right" vertical="center" wrapText="1"/>
      <protection locked="0"/>
    </xf>
    <xf numFmtId="0" fontId="71" fillId="2" borderId="49" xfId="0" applyFont="1" applyFill="1" applyBorder="1" applyAlignment="1" applyProtection="1">
      <alignment horizontal="center" vertical="center" wrapText="1"/>
    </xf>
    <xf numFmtId="0" fontId="71" fillId="2" borderId="49" xfId="0" applyFont="1" applyFill="1" applyBorder="1" applyAlignment="1" applyProtection="1">
      <alignment horizontal="right" vertical="center" wrapText="1"/>
    </xf>
    <xf numFmtId="0" fontId="71" fillId="2" borderId="29" xfId="0" applyFont="1" applyFill="1" applyBorder="1" applyAlignment="1" applyProtection="1">
      <alignment horizontal="center" vertical="center" wrapText="1"/>
    </xf>
    <xf numFmtId="0" fontId="71" fillId="2" borderId="144" xfId="0" applyFont="1" applyFill="1" applyBorder="1" applyAlignment="1" applyProtection="1">
      <alignment horizontal="right" vertical="center" wrapText="1"/>
    </xf>
    <xf numFmtId="0" fontId="61" fillId="2" borderId="7" xfId="0" applyFont="1" applyFill="1" applyBorder="1" applyAlignment="1" applyProtection="1">
      <alignment horizontal="center" vertical="center" wrapText="1"/>
    </xf>
    <xf numFmtId="49" fontId="61" fillId="2" borderId="36" xfId="0" applyNumberFormat="1" applyFont="1" applyFill="1" applyBorder="1" applyAlignment="1" applyProtection="1">
      <alignment horizontal="center" vertical="center" wrapText="1"/>
    </xf>
    <xf numFmtId="49" fontId="71" fillId="2" borderId="130" xfId="0" applyNumberFormat="1" applyFont="1" applyFill="1" applyBorder="1" applyAlignment="1" applyProtection="1">
      <alignment vertical="center" wrapText="1"/>
    </xf>
    <xf numFmtId="0" fontId="61" fillId="2" borderId="58" xfId="0" applyFont="1" applyFill="1" applyBorder="1" applyAlignment="1" applyProtection="1">
      <alignment horizontal="center" vertical="center" wrapText="1"/>
    </xf>
    <xf numFmtId="49" fontId="61" fillId="2" borderId="11" xfId="0" applyNumberFormat="1" applyFont="1" applyFill="1" applyBorder="1" applyAlignment="1" applyProtection="1">
      <alignment horizontal="center" vertical="center" wrapText="1"/>
    </xf>
    <xf numFmtId="49" fontId="71" fillId="2" borderId="131" xfId="0" applyNumberFormat="1" applyFont="1" applyFill="1" applyBorder="1" applyAlignment="1" applyProtection="1">
      <alignment vertical="center" wrapText="1"/>
    </xf>
    <xf numFmtId="0" fontId="61" fillId="2" borderId="10" xfId="0" applyFont="1" applyFill="1" applyBorder="1" applyAlignment="1" applyProtection="1">
      <alignment horizontal="center" vertical="center" wrapText="1"/>
    </xf>
    <xf numFmtId="0" fontId="61" fillId="3" borderId="11" xfId="0" applyNumberFormat="1" applyFont="1" applyFill="1" applyBorder="1" applyAlignment="1" applyProtection="1">
      <alignment horizontal="center" vertical="center" wrapText="1"/>
      <protection locked="0"/>
    </xf>
    <xf numFmtId="49" fontId="71" fillId="2" borderId="132" xfId="0" applyNumberFormat="1" applyFont="1" applyFill="1" applyBorder="1" applyAlignment="1" applyProtection="1">
      <alignment vertical="center" wrapText="1"/>
    </xf>
    <xf numFmtId="0" fontId="61" fillId="2" borderId="12" xfId="0" applyFont="1" applyFill="1" applyBorder="1" applyAlignment="1" applyProtection="1">
      <alignment horizontal="center" vertical="center" wrapText="1"/>
    </xf>
    <xf numFmtId="0" fontId="61" fillId="0" borderId="14" xfId="0" applyNumberFormat="1" applyFont="1" applyFill="1" applyBorder="1" applyAlignment="1" applyProtection="1">
      <alignment horizontal="center" vertical="center" wrapText="1"/>
      <protection locked="0"/>
    </xf>
    <xf numFmtId="0" fontId="71" fillId="2" borderId="132" xfId="0" applyFont="1" applyFill="1" applyBorder="1" applyAlignment="1" applyProtection="1">
      <alignment vertical="center" wrapText="1"/>
    </xf>
    <xf numFmtId="0" fontId="61" fillId="2" borderId="0" xfId="0" applyFont="1" applyFill="1" applyAlignment="1" applyProtection="1">
      <alignment horizontal="center" vertical="center" wrapText="1"/>
      <protection locked="0"/>
    </xf>
    <xf numFmtId="0" fontId="61" fillId="2" borderId="0" xfId="0" applyNumberFormat="1" applyFont="1" applyFill="1" applyAlignment="1" applyProtection="1">
      <alignment horizontal="center" vertical="center" wrapText="1"/>
      <protection locked="0"/>
    </xf>
    <xf numFmtId="0" fontId="102" fillId="5" borderId="148" xfId="0" applyNumberFormat="1" applyFont="1" applyFill="1" applyBorder="1" applyAlignment="1" applyProtection="1">
      <alignment horizontal="center" vertical="center" wrapText="1"/>
      <protection locked="0"/>
    </xf>
    <xf numFmtId="0" fontId="61" fillId="5" borderId="0" xfId="0" applyNumberFormat="1" applyFont="1" applyFill="1" applyBorder="1" applyAlignment="1" applyProtection="1">
      <alignment horizontal="center" vertical="center" wrapText="1"/>
      <protection locked="0"/>
    </xf>
    <xf numFmtId="49" fontId="61" fillId="5" borderId="0" xfId="0" applyNumberFormat="1" applyFont="1" applyFill="1" applyBorder="1" applyAlignment="1" applyProtection="1">
      <alignment horizontal="center" vertical="center" wrapText="1"/>
      <protection locked="0"/>
    </xf>
    <xf numFmtId="0" fontId="102" fillId="5" borderId="0" xfId="0" applyNumberFormat="1" applyFont="1" applyFill="1" applyBorder="1" applyAlignment="1" applyProtection="1">
      <alignment horizontal="center" vertical="center" wrapText="1"/>
      <protection locked="0"/>
    </xf>
    <xf numFmtId="0" fontId="102" fillId="5" borderId="119" xfId="0" applyNumberFormat="1" applyFont="1" applyFill="1" applyBorder="1" applyAlignment="1" applyProtection="1">
      <alignment horizontal="center" vertical="center" wrapText="1"/>
      <protection locked="0"/>
    </xf>
    <xf numFmtId="0" fontId="103" fillId="5" borderId="0" xfId="0" applyFont="1" applyFill="1" applyAlignment="1" applyProtection="1">
      <alignment horizontal="center" vertical="center" wrapText="1"/>
      <protection locked="0"/>
    </xf>
    <xf numFmtId="0" fontId="103" fillId="5" borderId="0" xfId="0" applyNumberFormat="1" applyFont="1" applyFill="1" applyAlignment="1" applyProtection="1">
      <alignment horizontal="center" vertical="center" wrapText="1"/>
      <protection locked="0"/>
    </xf>
    <xf numFmtId="0" fontId="102" fillId="5" borderId="150" xfId="0" applyFont="1" applyFill="1" applyBorder="1" applyAlignment="1" applyProtection="1">
      <alignment horizontal="center" vertical="center" wrapText="1"/>
      <protection locked="0"/>
    </xf>
    <xf numFmtId="0" fontId="103" fillId="5" borderId="0" xfId="0" applyNumberFormat="1" applyFont="1" applyFill="1" applyAlignment="1" applyProtection="1">
      <alignment horizontal="center" vertical="center"/>
      <protection locked="0"/>
    </xf>
    <xf numFmtId="0" fontId="103" fillId="5" borderId="0" xfId="0" applyFont="1" applyFill="1" applyAlignment="1" applyProtection="1">
      <alignment horizontal="center" vertical="center"/>
      <protection locked="0"/>
    </xf>
    <xf numFmtId="0" fontId="61" fillId="0" borderId="0" xfId="0" applyFont="1" applyAlignment="1" applyProtection="1">
      <alignment vertical="center"/>
    </xf>
    <xf numFmtId="0" fontId="61" fillId="0" borderId="0" xfId="0" applyFont="1" applyAlignment="1" applyProtection="1">
      <alignment vertical="center" wrapText="1"/>
    </xf>
    <xf numFmtId="0" fontId="36" fillId="0" borderId="0" xfId="0" applyFont="1" applyFill="1" applyAlignment="1" applyProtection="1">
      <alignment vertical="center"/>
    </xf>
    <xf numFmtId="0" fontId="36" fillId="0" borderId="0" xfId="0" applyFont="1" applyAlignment="1" applyProtection="1">
      <alignment vertical="center"/>
      <protection locked="0"/>
    </xf>
    <xf numFmtId="0" fontId="36" fillId="0" borderId="0" xfId="0" applyFont="1" applyAlignment="1" applyProtection="1">
      <alignment vertical="center" wrapText="1"/>
    </xf>
    <xf numFmtId="0" fontId="36" fillId="0" borderId="0" xfId="0" applyFont="1" applyAlignment="1" applyProtection="1">
      <alignment vertical="center"/>
    </xf>
    <xf numFmtId="185" fontId="36" fillId="0" borderId="0" xfId="0" applyNumberFormat="1" applyFont="1" applyAlignment="1" applyProtection="1">
      <alignment vertical="center"/>
    </xf>
    <xf numFmtId="0" fontId="36" fillId="0" borderId="0" xfId="0" applyFont="1" applyAlignment="1" applyProtection="1">
      <alignment horizontal="center" vertical="center"/>
    </xf>
    <xf numFmtId="0" fontId="100" fillId="2" borderId="0" xfId="0" applyFont="1" applyFill="1" applyAlignment="1" applyProtection="1">
      <alignment vertical="center" wrapText="1"/>
    </xf>
    <xf numFmtId="185" fontId="36" fillId="2" borderId="0" xfId="0" applyNumberFormat="1" applyFont="1" applyFill="1" applyAlignment="1" applyProtection="1">
      <alignment vertical="center"/>
      <protection locked="0"/>
    </xf>
    <xf numFmtId="0" fontId="71" fillId="2" borderId="19" xfId="0" applyFont="1" applyFill="1" applyBorder="1" applyAlignment="1" applyProtection="1">
      <alignment vertical="center" wrapText="1"/>
    </xf>
    <xf numFmtId="14" fontId="61" fillId="2" borderId="26" xfId="0" applyNumberFormat="1" applyFont="1" applyFill="1" applyBorder="1" applyAlignment="1" applyProtection="1">
      <alignment horizontal="center" vertical="center"/>
    </xf>
    <xf numFmtId="0" fontId="61" fillId="2" borderId="0" xfId="0" applyFont="1" applyFill="1" applyAlignment="1" applyProtection="1">
      <alignment vertical="center"/>
      <protection locked="0"/>
    </xf>
    <xf numFmtId="185" fontId="61" fillId="2" borderId="0" xfId="0" applyNumberFormat="1" applyFont="1" applyFill="1" applyAlignment="1" applyProtection="1">
      <alignment vertical="center"/>
      <protection locked="0"/>
    </xf>
    <xf numFmtId="0" fontId="61" fillId="2" borderId="0" xfId="0" applyFont="1" applyFill="1" applyAlignment="1" applyProtection="1">
      <alignment vertical="center" wrapText="1"/>
    </xf>
    <xf numFmtId="0" fontId="61" fillId="2" borderId="0" xfId="0" applyFont="1" applyFill="1" applyAlignment="1" applyProtection="1">
      <alignment vertical="center"/>
    </xf>
    <xf numFmtId="0" fontId="61" fillId="2" borderId="25" xfId="0" applyFont="1" applyFill="1" applyBorder="1" applyAlignment="1" applyProtection="1">
      <alignment vertical="center"/>
    </xf>
    <xf numFmtId="185" fontId="61" fillId="2" borderId="25" xfId="0" applyNumberFormat="1" applyFont="1" applyFill="1" applyBorder="1" applyAlignment="1" applyProtection="1">
      <alignment vertical="center"/>
    </xf>
    <xf numFmtId="0" fontId="61" fillId="2" borderId="7" xfId="10" applyFont="1" applyFill="1" applyBorder="1" applyAlignment="1" applyProtection="1">
      <alignment vertical="center" wrapText="1"/>
    </xf>
    <xf numFmtId="0" fontId="61" fillId="2" borderId="8" xfId="10" applyFont="1" applyFill="1" applyBorder="1" applyAlignment="1" applyProtection="1">
      <alignment vertical="center" wrapText="1"/>
    </xf>
    <xf numFmtId="0" fontId="61" fillId="2" borderId="32" xfId="10" applyFont="1" applyFill="1" applyBorder="1" applyAlignment="1" applyProtection="1">
      <alignment vertical="center" wrapText="1"/>
    </xf>
    <xf numFmtId="193" fontId="55" fillId="2" borderId="7" xfId="10" applyNumberFormat="1" applyFont="1" applyFill="1" applyBorder="1" applyAlignment="1" applyProtection="1">
      <alignment horizontal="center" vertical="center" wrapText="1"/>
    </xf>
    <xf numFmtId="185" fontId="61" fillId="2" borderId="8" xfId="0" applyNumberFormat="1" applyFont="1" applyFill="1" applyBorder="1" applyAlignment="1" applyProtection="1">
      <alignment horizontal="center" vertical="center" wrapText="1"/>
    </xf>
    <xf numFmtId="182" fontId="36" fillId="2" borderId="10" xfId="10" applyNumberFormat="1" applyFont="1" applyFill="1" applyBorder="1" applyAlignment="1" applyProtection="1">
      <alignment horizontal="left" vertical="center"/>
    </xf>
    <xf numFmtId="182" fontId="61" fillId="2" borderId="1" xfId="10" applyNumberFormat="1" applyFont="1" applyFill="1" applyBorder="1" applyAlignment="1" applyProtection="1">
      <alignment vertical="center"/>
    </xf>
    <xf numFmtId="182" fontId="61" fillId="7" borderId="2" xfId="10" applyNumberFormat="1" applyFont="1" applyFill="1" applyBorder="1" applyAlignment="1" applyProtection="1">
      <alignment vertical="center"/>
      <protection locked="0"/>
    </xf>
    <xf numFmtId="182" fontId="36" fillId="2" borderId="10" xfId="10" applyNumberFormat="1" applyFont="1" applyFill="1" applyBorder="1" applyAlignment="1" applyProtection="1">
      <alignment horizontal="center" vertical="center"/>
    </xf>
    <xf numFmtId="195" fontId="36" fillId="2" borderId="1" xfId="0" applyNumberFormat="1" applyFont="1" applyFill="1" applyBorder="1" applyAlignment="1" applyProtection="1">
      <alignment horizontal="center" vertical="center"/>
    </xf>
    <xf numFmtId="185" fontId="55" fillId="2" borderId="1" xfId="10" applyNumberFormat="1" applyFont="1" applyFill="1" applyBorder="1" applyAlignment="1" applyProtection="1">
      <alignment horizontal="center" vertical="center"/>
    </xf>
    <xf numFmtId="193" fontId="55" fillId="2" borderId="1" xfId="10" applyNumberFormat="1" applyFont="1" applyFill="1" applyBorder="1" applyAlignment="1" applyProtection="1">
      <alignment horizontal="center" vertical="center"/>
    </xf>
    <xf numFmtId="188" fontId="7" fillId="0" borderId="1" xfId="0" applyNumberFormat="1" applyFont="1" applyFill="1" applyBorder="1" applyAlignment="1" applyProtection="1">
      <alignment horizontal="center" vertical="center"/>
      <protection locked="0"/>
    </xf>
    <xf numFmtId="188" fontId="61" fillId="0" borderId="1" xfId="0" applyNumberFormat="1" applyFont="1" applyFill="1" applyBorder="1" applyAlignment="1" applyProtection="1">
      <alignment horizontal="center" vertical="center"/>
      <protection locked="0"/>
    </xf>
    <xf numFmtId="182" fontId="61" fillId="2" borderId="10" xfId="10" applyNumberFormat="1" applyFont="1" applyFill="1" applyBorder="1" applyAlignment="1" applyProtection="1">
      <alignment horizontal="left" vertical="center" wrapText="1"/>
      <protection locked="0"/>
    </xf>
    <xf numFmtId="182" fontId="61" fillId="2" borderId="2" xfId="10" applyNumberFormat="1" applyFont="1" applyFill="1" applyBorder="1" applyAlignment="1" applyProtection="1">
      <alignment vertical="center"/>
    </xf>
    <xf numFmtId="188" fontId="65" fillId="2" borderId="1" xfId="0" applyNumberFormat="1" applyFont="1" applyFill="1" applyBorder="1" applyAlignment="1" applyProtection="1">
      <alignment horizontal="center" vertical="center"/>
      <protection locked="0"/>
    </xf>
    <xf numFmtId="0" fontId="71" fillId="2" borderId="12" xfId="10" applyFont="1" applyFill="1" applyBorder="1" applyAlignment="1" applyProtection="1">
      <alignment vertical="center" wrapText="1"/>
    </xf>
    <xf numFmtId="0" fontId="71" fillId="2" borderId="13" xfId="10" applyFont="1" applyFill="1" applyBorder="1" applyAlignment="1" applyProtection="1">
      <alignment vertical="center"/>
    </xf>
    <xf numFmtId="0" fontId="71" fillId="2" borderId="12" xfId="10" applyFont="1" applyFill="1" applyBorder="1" applyAlignment="1" applyProtection="1">
      <alignment vertical="center"/>
    </xf>
    <xf numFmtId="0" fontId="71" fillId="2" borderId="13" xfId="10" applyFont="1" applyFill="1" applyBorder="1" applyAlignment="1" applyProtection="1">
      <alignment horizontal="center" vertical="center"/>
    </xf>
    <xf numFmtId="188" fontId="71" fillId="2" borderId="13" xfId="10" applyNumberFormat="1" applyFont="1" applyFill="1" applyBorder="1" applyAlignment="1" applyProtection="1">
      <alignment vertical="center"/>
    </xf>
    <xf numFmtId="0" fontId="38" fillId="2" borderId="0" xfId="0" applyFont="1" applyFill="1" applyAlignment="1" applyProtection="1">
      <alignment vertical="center" wrapText="1"/>
    </xf>
    <xf numFmtId="177" fontId="55" fillId="2" borderId="7" xfId="10" applyNumberFormat="1" applyFont="1" applyFill="1" applyBorder="1" applyAlignment="1" applyProtection="1">
      <alignment vertical="center" wrapText="1"/>
    </xf>
    <xf numFmtId="177" fontId="55" fillId="0" borderId="9" xfId="10" applyNumberFormat="1" applyFont="1" applyFill="1" applyBorder="1" applyAlignment="1" applyProtection="1">
      <alignment horizontal="center" vertical="center"/>
      <protection locked="0"/>
    </xf>
    <xf numFmtId="177" fontId="55" fillId="2" borderId="10" xfId="10" applyNumberFormat="1" applyFont="1" applyFill="1" applyBorder="1" applyAlignment="1" applyProtection="1">
      <alignment vertical="center" wrapText="1"/>
    </xf>
    <xf numFmtId="177" fontId="61" fillId="0" borderId="11" xfId="10" applyNumberFormat="1" applyFont="1" applyFill="1" applyBorder="1" applyAlignment="1" applyProtection="1">
      <alignment horizontal="center" vertical="center"/>
      <protection locked="0"/>
    </xf>
    <xf numFmtId="177" fontId="61" fillId="2" borderId="10" xfId="10" applyNumberFormat="1" applyFont="1" applyFill="1" applyBorder="1" applyAlignment="1" applyProtection="1">
      <alignment vertical="center" wrapText="1"/>
    </xf>
    <xf numFmtId="177" fontId="55" fillId="2" borderId="11" xfId="10" applyNumberFormat="1" applyFont="1" applyFill="1" applyBorder="1" applyAlignment="1" applyProtection="1">
      <alignment horizontal="center" vertical="center"/>
    </xf>
    <xf numFmtId="177" fontId="55" fillId="2" borderId="12" xfId="10" applyNumberFormat="1" applyFont="1" applyFill="1" applyBorder="1" applyAlignment="1" applyProtection="1">
      <alignment vertical="center" wrapText="1"/>
    </xf>
    <xf numFmtId="177" fontId="55" fillId="2" borderId="14" xfId="10" applyNumberFormat="1" applyFont="1" applyFill="1" applyBorder="1" applyAlignment="1" applyProtection="1">
      <alignment horizontal="center" vertical="center"/>
    </xf>
    <xf numFmtId="0" fontId="61" fillId="2" borderId="109" xfId="0" applyFont="1" applyFill="1" applyBorder="1" applyAlignment="1" applyProtection="1">
      <alignment horizontal="center" vertical="center"/>
    </xf>
    <xf numFmtId="0" fontId="61" fillId="2" borderId="26" xfId="0" applyFont="1" applyFill="1" applyBorder="1" applyAlignment="1" applyProtection="1">
      <alignment horizontal="center" vertical="center"/>
      <protection locked="0"/>
    </xf>
    <xf numFmtId="0" fontId="61" fillId="2" borderId="7" xfId="0" applyFont="1" applyFill="1" applyBorder="1" applyAlignment="1" applyProtection="1">
      <alignment vertical="center" wrapText="1"/>
    </xf>
    <xf numFmtId="0" fontId="30" fillId="0" borderId="9" xfId="10" applyNumberFormat="1" applyFont="1" applyFill="1" applyBorder="1" applyAlignment="1" applyProtection="1">
      <alignment horizontal="center" vertical="center"/>
      <protection locked="0"/>
    </xf>
    <xf numFmtId="0" fontId="47" fillId="2" borderId="0" xfId="0" applyFont="1" applyFill="1" applyAlignment="1" applyProtection="1">
      <alignment horizontal="left" vertical="center"/>
      <protection locked="0"/>
    </xf>
    <xf numFmtId="185" fontId="61" fillId="2" borderId="0" xfId="0" applyNumberFormat="1" applyFont="1" applyFill="1" applyAlignment="1" applyProtection="1">
      <alignment horizontal="center" vertical="center"/>
      <protection locked="0"/>
    </xf>
    <xf numFmtId="0" fontId="61" fillId="2" borderId="10" xfId="0" applyFont="1" applyFill="1" applyBorder="1" applyAlignment="1" applyProtection="1">
      <alignment vertical="center" wrapText="1"/>
    </xf>
    <xf numFmtId="0" fontId="30" fillId="0" borderId="11" xfId="10" applyNumberFormat="1" applyFont="1" applyFill="1" applyBorder="1" applyAlignment="1" applyProtection="1">
      <alignment horizontal="center" vertical="center"/>
      <protection locked="0"/>
    </xf>
    <xf numFmtId="0" fontId="47" fillId="2" borderId="0" xfId="0" applyFont="1" applyFill="1" applyAlignment="1" applyProtection="1">
      <alignment horizontal="center" vertical="center"/>
      <protection locked="0"/>
    </xf>
    <xf numFmtId="0" fontId="61" fillId="2" borderId="12" xfId="0" applyFont="1" applyFill="1" applyBorder="1" applyAlignment="1" applyProtection="1">
      <alignment vertical="center" wrapText="1"/>
    </xf>
    <xf numFmtId="0" fontId="30" fillId="0" borderId="14" xfId="10" applyNumberFormat="1" applyFont="1" applyFill="1" applyBorder="1" applyAlignment="1" applyProtection="1">
      <alignment horizontal="center" vertical="center"/>
      <protection locked="0"/>
    </xf>
    <xf numFmtId="0" fontId="61" fillId="2" borderId="58" xfId="0" applyFont="1" applyFill="1" applyBorder="1" applyAlignment="1" applyProtection="1">
      <alignment vertical="center" wrapText="1"/>
    </xf>
    <xf numFmtId="0" fontId="30" fillId="0" borderId="28" xfId="10" applyNumberFormat="1" applyFont="1" applyFill="1" applyBorder="1" applyAlignment="1" applyProtection="1">
      <alignment horizontal="center" vertical="center"/>
      <protection locked="0"/>
    </xf>
    <xf numFmtId="0" fontId="55" fillId="2" borderId="11" xfId="10" applyNumberFormat="1" applyFont="1" applyFill="1" applyBorder="1" applyAlignment="1" applyProtection="1">
      <alignment horizontal="center" vertical="center"/>
    </xf>
    <xf numFmtId="0" fontId="61" fillId="2" borderId="51" xfId="0" applyFont="1" applyFill="1" applyBorder="1" applyAlignment="1" applyProtection="1">
      <alignment vertical="center" wrapText="1"/>
    </xf>
    <xf numFmtId="0" fontId="30" fillId="0" borderId="40" xfId="10" applyNumberFormat="1" applyFont="1" applyFill="1" applyBorder="1" applyAlignment="1" applyProtection="1">
      <alignment horizontal="center" vertical="center"/>
      <protection locked="0"/>
    </xf>
    <xf numFmtId="188" fontId="36" fillId="0" borderId="9" xfId="0" applyNumberFormat="1" applyFont="1" applyFill="1" applyBorder="1" applyAlignment="1" applyProtection="1">
      <alignment horizontal="center" vertical="center"/>
      <protection locked="0"/>
    </xf>
    <xf numFmtId="0" fontId="7" fillId="2" borderId="0" xfId="0" applyFont="1" applyFill="1" applyAlignment="1" applyProtection="1">
      <alignment vertical="center"/>
      <protection locked="0"/>
    </xf>
    <xf numFmtId="188" fontId="36" fillId="0" borderId="11" xfId="0" applyNumberFormat="1" applyFont="1" applyFill="1" applyBorder="1" applyAlignment="1" applyProtection="1">
      <alignment horizontal="center" vertical="center"/>
      <protection locked="0"/>
    </xf>
    <xf numFmtId="188" fontId="36" fillId="0" borderId="14" xfId="0" applyNumberFormat="1" applyFont="1" applyFill="1" applyBorder="1" applyAlignment="1" applyProtection="1">
      <alignment horizontal="center" vertical="center"/>
      <protection locked="0"/>
    </xf>
    <xf numFmtId="188" fontId="36" fillId="0" borderId="28" xfId="0" applyNumberFormat="1" applyFont="1" applyFill="1" applyBorder="1" applyAlignment="1" applyProtection="1">
      <alignment horizontal="center" vertical="center"/>
      <protection locked="0"/>
    </xf>
    <xf numFmtId="188" fontId="36" fillId="2" borderId="40" xfId="0" applyNumberFormat="1" applyFont="1" applyFill="1" applyBorder="1" applyAlignment="1" applyProtection="1">
      <alignment horizontal="center" vertical="center"/>
    </xf>
    <xf numFmtId="10" fontId="36" fillId="2" borderId="40" xfId="0" applyNumberFormat="1" applyFont="1" applyFill="1" applyBorder="1" applyAlignment="1" applyProtection="1">
      <alignment horizontal="center" vertical="center"/>
    </xf>
    <xf numFmtId="10" fontId="61" fillId="2" borderId="9" xfId="0" applyNumberFormat="1" applyFont="1" applyFill="1" applyBorder="1" applyAlignment="1" applyProtection="1">
      <alignment horizontal="center" vertical="center"/>
    </xf>
    <xf numFmtId="0" fontId="61" fillId="2" borderId="51" xfId="0" applyFont="1" applyFill="1" applyBorder="1" applyAlignment="1" applyProtection="1">
      <alignment horizontal="left" vertical="center" wrapText="1"/>
    </xf>
    <xf numFmtId="10" fontId="61" fillId="0" borderId="40" xfId="0" applyNumberFormat="1" applyFont="1" applyFill="1" applyBorder="1" applyAlignment="1" applyProtection="1">
      <alignment horizontal="center" vertical="center"/>
      <protection locked="0"/>
    </xf>
    <xf numFmtId="188" fontId="47" fillId="2" borderId="0" xfId="0" applyNumberFormat="1" applyFont="1" applyFill="1" applyAlignment="1" applyProtection="1">
      <alignment horizontal="center" vertical="center"/>
    </xf>
    <xf numFmtId="198" fontId="61" fillId="2" borderId="40" xfId="0" applyNumberFormat="1" applyFont="1" applyFill="1" applyBorder="1" applyAlignment="1" applyProtection="1">
      <alignment horizontal="center" vertical="center"/>
    </xf>
    <xf numFmtId="0" fontId="61" fillId="2" borderId="51" xfId="0" applyFont="1" applyFill="1" applyBorder="1" applyAlignment="1" applyProtection="1">
      <alignment horizontal="right" vertical="center" wrapText="1"/>
    </xf>
    <xf numFmtId="10" fontId="61" fillId="7" borderId="40" xfId="0" applyNumberFormat="1" applyFont="1" applyFill="1" applyBorder="1" applyAlignment="1" applyProtection="1">
      <alignment horizontal="center" vertical="center"/>
      <protection locked="0"/>
    </xf>
    <xf numFmtId="0" fontId="61" fillId="2" borderId="12" xfId="0" applyFont="1" applyFill="1" applyBorder="1" applyAlignment="1" applyProtection="1">
      <alignment horizontal="right" vertical="center" wrapText="1"/>
    </xf>
    <xf numFmtId="10" fontId="61" fillId="0" borderId="14" xfId="0" applyNumberFormat="1" applyFont="1" applyFill="1" applyBorder="1" applyAlignment="1" applyProtection="1">
      <alignment horizontal="center" vertical="center"/>
      <protection locked="0"/>
    </xf>
    <xf numFmtId="0" fontId="61" fillId="2" borderId="27" xfId="0" applyFont="1" applyFill="1" applyBorder="1" applyAlignment="1" applyProtection="1">
      <alignment vertical="center" wrapText="1"/>
    </xf>
    <xf numFmtId="10" fontId="61" fillId="0" borderId="43" xfId="0" applyNumberFormat="1" applyFont="1" applyFill="1" applyBorder="1" applyAlignment="1" applyProtection="1">
      <alignment horizontal="center" vertical="center"/>
      <protection locked="0"/>
    </xf>
    <xf numFmtId="0" fontId="61" fillId="2" borderId="0" xfId="0" applyFont="1" applyFill="1" applyAlignment="1" applyProtection="1">
      <alignment horizontal="left" vertical="center"/>
      <protection locked="0"/>
    </xf>
    <xf numFmtId="0" fontId="61" fillId="2" borderId="18" xfId="0" applyFont="1" applyFill="1" applyBorder="1" applyAlignment="1" applyProtection="1">
      <alignment vertical="center" wrapText="1"/>
    </xf>
    <xf numFmtId="10" fontId="61" fillId="2" borderId="36" xfId="0" applyNumberFormat="1" applyFont="1" applyFill="1" applyBorder="1" applyAlignment="1" applyProtection="1">
      <alignment horizontal="center" vertical="center"/>
    </xf>
    <xf numFmtId="10" fontId="61" fillId="2" borderId="14" xfId="0" applyNumberFormat="1" applyFont="1" applyFill="1" applyBorder="1" applyAlignment="1" applyProtection="1">
      <alignment horizontal="center" vertical="center"/>
    </xf>
    <xf numFmtId="178" fontId="61" fillId="2" borderId="36" xfId="0" applyNumberFormat="1" applyFont="1" applyFill="1" applyBorder="1" applyAlignment="1" applyProtection="1">
      <alignment horizontal="center" vertical="center"/>
    </xf>
    <xf numFmtId="0" fontId="61" fillId="7" borderId="11" xfId="0" applyFont="1" applyFill="1" applyBorder="1" applyAlignment="1" applyProtection="1">
      <alignment horizontal="center" vertical="center"/>
      <protection locked="0"/>
    </xf>
    <xf numFmtId="0" fontId="65" fillId="2" borderId="0" xfId="0" applyFont="1" applyFill="1" applyAlignment="1" applyProtection="1">
      <alignment vertical="center"/>
      <protection locked="0"/>
    </xf>
    <xf numFmtId="0" fontId="61" fillId="0" borderId="10" xfId="0" applyFont="1" applyBorder="1" applyAlignment="1" applyProtection="1">
      <alignment horizontal="right" vertical="center" wrapText="1"/>
      <protection locked="0"/>
    </xf>
    <xf numFmtId="0" fontId="61" fillId="0" borderId="11" xfId="0" applyFont="1" applyBorder="1" applyAlignment="1" applyProtection="1">
      <alignment horizontal="center" vertical="center"/>
      <protection locked="0"/>
    </xf>
    <xf numFmtId="0" fontId="61" fillId="0" borderId="12" xfId="0" applyFont="1" applyBorder="1" applyAlignment="1" applyProtection="1">
      <alignment horizontal="right" vertical="center" wrapText="1"/>
      <protection locked="0"/>
    </xf>
    <xf numFmtId="0" fontId="61" fillId="0" borderId="14" xfId="0" applyFont="1" applyBorder="1" applyAlignment="1" applyProtection="1">
      <alignment vertical="center"/>
      <protection locked="0"/>
    </xf>
    <xf numFmtId="185" fontId="36" fillId="5" borderId="0" xfId="0" applyNumberFormat="1" applyFont="1" applyFill="1" applyAlignment="1" applyProtection="1">
      <alignment vertical="center"/>
      <protection locked="0"/>
    </xf>
    <xf numFmtId="0" fontId="61" fillId="2" borderId="115" xfId="0" applyFont="1" applyFill="1" applyBorder="1" applyAlignment="1" applyProtection="1">
      <alignment vertical="center"/>
    </xf>
    <xf numFmtId="0" fontId="61" fillId="2" borderId="117" xfId="0" applyFont="1" applyFill="1" applyBorder="1" applyAlignment="1" applyProtection="1">
      <alignment horizontal="center" vertical="center"/>
    </xf>
    <xf numFmtId="0" fontId="47" fillId="2" borderId="9" xfId="0" applyFont="1" applyFill="1" applyBorder="1" applyAlignment="1" applyProtection="1">
      <alignment horizontal="center" vertical="center" wrapText="1"/>
    </xf>
    <xf numFmtId="182" fontId="61" fillId="2" borderId="7" xfId="10" applyNumberFormat="1" applyFont="1" applyFill="1" applyBorder="1" applyAlignment="1" applyProtection="1">
      <alignment horizontal="center" vertical="center" wrapText="1"/>
    </xf>
    <xf numFmtId="0" fontId="61" fillId="2" borderId="8" xfId="10" applyFont="1" applyFill="1" applyBorder="1" applyAlignment="1" applyProtection="1">
      <alignment horizontal="center" vertical="center" wrapText="1"/>
    </xf>
    <xf numFmtId="185" fontId="61" fillId="2" borderId="8" xfId="10" applyNumberFormat="1" applyFont="1" applyFill="1" applyBorder="1" applyAlignment="1" applyProtection="1">
      <alignment horizontal="center" vertical="center" wrapText="1"/>
    </xf>
    <xf numFmtId="0" fontId="61" fillId="3" borderId="8" xfId="10" applyFont="1" applyFill="1" applyBorder="1" applyAlignment="1" applyProtection="1">
      <alignment horizontal="center" vertical="center" wrapText="1"/>
      <protection locked="0"/>
    </xf>
    <xf numFmtId="0" fontId="61" fillId="2" borderId="32" xfId="10" applyFont="1" applyFill="1" applyBorder="1" applyAlignment="1" applyProtection="1">
      <alignment horizontal="center" vertical="center" wrapText="1"/>
    </xf>
    <xf numFmtId="185" fontId="36" fillId="2" borderId="10" xfId="10" applyNumberFormat="1" applyFont="1" applyFill="1" applyBorder="1" applyAlignment="1" applyProtection="1">
      <alignment horizontal="center" vertical="center"/>
    </xf>
    <xf numFmtId="182" fontId="36" fillId="0" borderId="1" xfId="10" applyNumberFormat="1" applyFont="1" applyFill="1" applyBorder="1" applyAlignment="1" applyProtection="1">
      <alignment horizontal="center" vertical="center"/>
      <protection locked="0"/>
    </xf>
    <xf numFmtId="0" fontId="61" fillId="2" borderId="1" xfId="10" applyNumberFormat="1" applyFont="1" applyFill="1" applyBorder="1" applyAlignment="1" applyProtection="1">
      <alignment horizontal="center" vertical="center"/>
    </xf>
    <xf numFmtId="10" fontId="36" fillId="0" borderId="1" xfId="10" applyNumberFormat="1" applyFont="1" applyFill="1" applyBorder="1" applyAlignment="1" applyProtection="1">
      <alignment horizontal="center" vertical="center"/>
      <protection locked="0"/>
    </xf>
    <xf numFmtId="0" fontId="61" fillId="2" borderId="2" xfId="0" applyNumberFormat="1" applyFont="1" applyFill="1" applyBorder="1" applyAlignment="1" applyProtection="1">
      <alignment horizontal="center" vertical="center"/>
    </xf>
    <xf numFmtId="182" fontId="61" fillId="0" borderId="1" xfId="10" applyNumberFormat="1" applyFont="1" applyFill="1" applyBorder="1" applyAlignment="1" applyProtection="1">
      <alignment horizontal="center" vertical="center"/>
      <protection locked="0"/>
    </xf>
    <xf numFmtId="10" fontId="61" fillId="0" borderId="1" xfId="10" applyNumberFormat="1" applyFont="1" applyFill="1" applyBorder="1" applyAlignment="1" applyProtection="1">
      <alignment horizontal="center" vertical="center"/>
      <protection locked="0"/>
    </xf>
    <xf numFmtId="182" fontId="61" fillId="2" borderId="1" xfId="10" applyNumberFormat="1" applyFont="1" applyFill="1" applyBorder="1" applyAlignment="1" applyProtection="1">
      <alignment horizontal="center" vertical="center"/>
    </xf>
    <xf numFmtId="10" fontId="61" fillId="2" borderId="1" xfId="10" applyNumberFormat="1" applyFont="1" applyFill="1" applyBorder="1" applyAlignment="1" applyProtection="1">
      <alignment horizontal="center" vertical="center"/>
    </xf>
    <xf numFmtId="0" fontId="71" fillId="2" borderId="14" xfId="10" applyFont="1" applyFill="1" applyBorder="1" applyAlignment="1" applyProtection="1">
      <alignment vertical="center"/>
    </xf>
    <xf numFmtId="177" fontId="61" fillId="2" borderId="12" xfId="0" applyNumberFormat="1" applyFont="1" applyFill="1" applyBorder="1" applyAlignment="1" applyProtection="1">
      <alignment horizontal="center" vertical="center"/>
    </xf>
    <xf numFmtId="0" fontId="61" fillId="2" borderId="13" xfId="10" applyNumberFormat="1" applyFont="1" applyFill="1" applyBorder="1" applyAlignment="1" applyProtection="1">
      <alignment horizontal="center" vertical="center"/>
    </xf>
    <xf numFmtId="10" fontId="61" fillId="2" borderId="13" xfId="10" applyNumberFormat="1" applyFont="1" applyFill="1" applyBorder="1" applyAlignment="1" applyProtection="1">
      <alignment horizontal="center" vertical="center"/>
    </xf>
    <xf numFmtId="0" fontId="61" fillId="2" borderId="0" xfId="0" applyFont="1" applyFill="1" applyBorder="1" applyAlignment="1" applyProtection="1">
      <alignment vertical="center"/>
      <protection locked="0"/>
    </xf>
    <xf numFmtId="0" fontId="61" fillId="2" borderId="144" xfId="0" applyFont="1" applyFill="1" applyBorder="1" applyAlignment="1" applyProtection="1">
      <alignment horizontal="center" vertical="center"/>
    </xf>
    <xf numFmtId="0" fontId="61" fillId="2" borderId="7" xfId="10" applyFont="1" applyFill="1" applyBorder="1" applyAlignment="1" applyProtection="1">
      <alignment horizontal="center" vertical="center" wrapText="1"/>
    </xf>
    <xf numFmtId="0" fontId="61" fillId="2" borderId="31" xfId="10" applyFont="1" applyFill="1" applyBorder="1" applyAlignment="1" applyProtection="1">
      <alignment horizontal="center" vertical="center" wrapText="1"/>
    </xf>
    <xf numFmtId="0" fontId="61" fillId="2" borderId="36" xfId="10" applyFont="1" applyFill="1" applyBorder="1" applyAlignment="1" applyProtection="1">
      <alignment horizontal="center" vertical="center" wrapText="1"/>
    </xf>
    <xf numFmtId="9" fontId="36" fillId="0" borderId="2" xfId="0" applyNumberFormat="1" applyFont="1" applyFill="1" applyBorder="1" applyAlignment="1" applyProtection="1">
      <alignment horizontal="center" vertical="center"/>
      <protection locked="0"/>
    </xf>
    <xf numFmtId="185" fontId="61" fillId="2" borderId="10" xfId="10" applyNumberFormat="1" applyFont="1" applyFill="1" applyBorder="1" applyAlignment="1" applyProtection="1">
      <alignment horizontal="center" vertical="center"/>
    </xf>
    <xf numFmtId="185" fontId="61" fillId="2" borderId="1" xfId="0" applyNumberFormat="1" applyFont="1" applyFill="1" applyBorder="1" applyAlignment="1" applyProtection="1">
      <alignment horizontal="center" vertical="center"/>
    </xf>
    <xf numFmtId="0" fontId="61" fillId="2" borderId="11" xfId="10" applyNumberFormat="1" applyFont="1" applyFill="1" applyBorder="1" applyAlignment="1" applyProtection="1">
      <alignment horizontal="center" vertical="center"/>
    </xf>
    <xf numFmtId="0" fontId="61" fillId="0" borderId="10" xfId="0" applyFont="1" applyBorder="1" applyAlignment="1" applyProtection="1">
      <alignment vertical="center"/>
      <protection locked="0"/>
    </xf>
    <xf numFmtId="188" fontId="61" fillId="0" borderId="1" xfId="0" applyNumberFormat="1" applyFont="1" applyBorder="1" applyAlignment="1" applyProtection="1">
      <alignment vertical="center"/>
      <protection locked="0"/>
    </xf>
    <xf numFmtId="188" fontId="61" fillId="2" borderId="2" xfId="0" applyNumberFormat="1" applyFont="1" applyFill="1" applyBorder="1" applyAlignment="1" applyProtection="1">
      <alignment horizontal="center" vertical="center"/>
    </xf>
    <xf numFmtId="0" fontId="36" fillId="0" borderId="10" xfId="0" applyFont="1" applyBorder="1" applyAlignment="1" applyProtection="1">
      <alignment vertical="center"/>
      <protection locked="0"/>
    </xf>
    <xf numFmtId="9" fontId="61" fillId="0" borderId="2" xfId="0" applyNumberFormat="1" applyFont="1" applyFill="1" applyBorder="1" applyAlignment="1" applyProtection="1">
      <alignment horizontal="center" vertical="center"/>
      <protection locked="0"/>
    </xf>
    <xf numFmtId="0" fontId="61" fillId="0" borderId="10" xfId="0" applyFont="1" applyBorder="1" applyAlignment="1" applyProtection="1">
      <alignment horizontal="center" vertical="center"/>
      <protection locked="0"/>
    </xf>
    <xf numFmtId="9" fontId="61" fillId="2" borderId="2" xfId="0" applyNumberFormat="1" applyFont="1" applyFill="1" applyBorder="1" applyAlignment="1" applyProtection="1">
      <alignment horizontal="center" vertical="center"/>
    </xf>
    <xf numFmtId="0" fontId="61" fillId="2" borderId="10" xfId="0" applyFont="1" applyFill="1" applyBorder="1" applyAlignment="1" applyProtection="1">
      <alignment vertical="center"/>
    </xf>
    <xf numFmtId="188" fontId="61" fillId="2" borderId="1" xfId="0" applyNumberFormat="1" applyFont="1" applyFill="1" applyBorder="1" applyAlignment="1" applyProtection="1">
      <alignment vertical="center"/>
    </xf>
    <xf numFmtId="188" fontId="61" fillId="2" borderId="2" xfId="0" applyNumberFormat="1" applyFont="1" applyFill="1" applyBorder="1" applyAlignment="1" applyProtection="1">
      <alignment vertical="center"/>
    </xf>
    <xf numFmtId="9" fontId="61" fillId="2" borderId="33" xfId="0" applyNumberFormat="1" applyFont="1" applyFill="1" applyBorder="1" applyAlignment="1" applyProtection="1">
      <alignment horizontal="center" vertical="center"/>
    </xf>
    <xf numFmtId="185" fontId="61" fillId="2" borderId="12" xfId="10" applyNumberFormat="1" applyFont="1" applyFill="1" applyBorder="1" applyAlignment="1" applyProtection="1">
      <alignment horizontal="center" vertical="center"/>
    </xf>
    <xf numFmtId="185" fontId="61" fillId="2" borderId="62" xfId="10" applyNumberFormat="1" applyFont="1" applyFill="1" applyBorder="1" applyAlignment="1" applyProtection="1">
      <alignment horizontal="center" vertical="center"/>
    </xf>
    <xf numFmtId="0" fontId="61" fillId="2" borderId="46" xfId="10" applyNumberFormat="1" applyFont="1" applyFill="1" applyBorder="1" applyAlignment="1" applyProtection="1">
      <alignment horizontal="center" vertical="center"/>
    </xf>
    <xf numFmtId="0" fontId="61" fillId="2" borderId="12" xfId="0" applyFont="1" applyFill="1" applyBorder="1" applyAlignment="1" applyProtection="1">
      <alignment vertical="center"/>
    </xf>
    <xf numFmtId="0" fontId="61" fillId="2" borderId="13" xfId="0" applyFont="1" applyFill="1" applyBorder="1" applyAlignment="1" applyProtection="1">
      <alignment vertical="center"/>
    </xf>
    <xf numFmtId="0" fontId="61" fillId="2" borderId="33" xfId="0" applyFont="1" applyFill="1" applyBorder="1" applyAlignment="1" applyProtection="1">
      <alignment vertical="center"/>
    </xf>
    <xf numFmtId="0" fontId="61" fillId="2" borderId="31" xfId="0" applyFont="1" applyFill="1" applyBorder="1" applyAlignment="1" applyProtection="1">
      <alignment vertical="center"/>
    </xf>
    <xf numFmtId="0" fontId="61" fillId="2" borderId="49" xfId="0" applyFont="1" applyFill="1" applyBorder="1" applyAlignment="1" applyProtection="1">
      <alignment vertical="center"/>
    </xf>
    <xf numFmtId="0" fontId="61" fillId="2" borderId="112" xfId="0" applyFont="1" applyFill="1" applyBorder="1" applyAlignment="1" applyProtection="1">
      <alignment horizontal="center" vertical="center" wrapText="1"/>
    </xf>
    <xf numFmtId="188" fontId="61" fillId="0" borderId="11" xfId="0" applyNumberFormat="1" applyFont="1" applyBorder="1" applyAlignment="1" applyProtection="1">
      <alignment vertical="center"/>
      <protection locked="0"/>
    </xf>
    <xf numFmtId="0" fontId="61" fillId="0" borderId="4" xfId="0" applyFont="1" applyBorder="1" applyAlignment="1" applyProtection="1">
      <alignment vertical="center"/>
      <protection locked="0"/>
    </xf>
    <xf numFmtId="188" fontId="61" fillId="0" borderId="2" xfId="0" applyNumberFormat="1" applyFont="1" applyBorder="1" applyAlignment="1" applyProtection="1">
      <alignment vertical="center"/>
      <protection locked="0"/>
    </xf>
    <xf numFmtId="0" fontId="61" fillId="2" borderId="10" xfId="0" applyFont="1" applyFill="1" applyBorder="1" applyAlignment="1" applyProtection="1">
      <alignment horizontal="center" vertical="center"/>
    </xf>
    <xf numFmtId="0" fontId="61" fillId="0" borderId="4" xfId="0" applyFont="1" applyBorder="1" applyAlignment="1" applyProtection="1">
      <alignment horizontal="center" vertical="center"/>
      <protection locked="0"/>
    </xf>
    <xf numFmtId="188" fontId="61" fillId="2" borderId="11" xfId="0" applyNumberFormat="1" applyFont="1" applyFill="1" applyBorder="1" applyAlignment="1" applyProtection="1">
      <alignment vertical="center"/>
    </xf>
    <xf numFmtId="0" fontId="61" fillId="2" borderId="4" xfId="0" applyFont="1" applyFill="1" applyBorder="1" applyAlignment="1" applyProtection="1">
      <alignment vertical="center"/>
    </xf>
    <xf numFmtId="188" fontId="61" fillId="2" borderId="1" xfId="0" applyNumberFormat="1" applyFont="1" applyFill="1" applyBorder="1" applyAlignment="1" applyProtection="1">
      <alignment horizontal="center" vertical="center"/>
    </xf>
    <xf numFmtId="0" fontId="61" fillId="2" borderId="14" xfId="0" applyFont="1" applyFill="1" applyBorder="1" applyAlignment="1" applyProtection="1">
      <alignment vertical="center"/>
    </xf>
    <xf numFmtId="0" fontId="61" fillId="2" borderId="62" xfId="0" applyFont="1" applyFill="1" applyBorder="1" applyAlignment="1" applyProtection="1">
      <alignment vertical="center"/>
    </xf>
    <xf numFmtId="0" fontId="61" fillId="0" borderId="0" xfId="0" applyFont="1" applyAlignment="1" applyProtection="1">
      <alignment vertical="center"/>
      <protection locked="0"/>
    </xf>
    <xf numFmtId="0" fontId="61" fillId="2" borderId="29" xfId="0" applyFont="1" applyFill="1" applyBorder="1" applyAlignment="1" applyProtection="1">
      <alignment vertical="center"/>
    </xf>
    <xf numFmtId="0" fontId="61" fillId="2" borderId="4" xfId="0" applyFont="1" applyFill="1" applyBorder="1" applyAlignment="1" applyProtection="1">
      <alignment horizontal="center" vertical="center" wrapText="1"/>
      <protection locked="0"/>
    </xf>
    <xf numFmtId="0" fontId="61" fillId="3" borderId="4" xfId="0" applyFont="1" applyFill="1" applyBorder="1" applyAlignment="1" applyProtection="1">
      <alignment horizontal="center" vertical="center"/>
      <protection locked="0"/>
    </xf>
    <xf numFmtId="0" fontId="61" fillId="0" borderId="1" xfId="0" applyNumberFormat="1" applyFont="1" applyBorder="1" applyAlignment="1" applyProtection="1">
      <alignment horizontal="center" vertical="center"/>
      <protection locked="0"/>
    </xf>
    <xf numFmtId="10" fontId="61" fillId="0" borderId="1" xfId="0" applyNumberFormat="1" applyFont="1" applyBorder="1" applyAlignment="1" applyProtection="1">
      <alignment horizontal="center" vertical="center"/>
      <protection locked="0"/>
    </xf>
    <xf numFmtId="198" fontId="61" fillId="0" borderId="1" xfId="0" applyNumberFormat="1" applyFont="1" applyBorder="1" applyAlignment="1" applyProtection="1">
      <alignment horizontal="center" vertical="center"/>
      <protection locked="0"/>
    </xf>
    <xf numFmtId="188" fontId="61" fillId="0" borderId="11" xfId="0" applyNumberFormat="1" applyFont="1" applyBorder="1" applyAlignment="1" applyProtection="1">
      <alignment horizontal="center" vertical="center"/>
      <protection locked="0"/>
    </xf>
    <xf numFmtId="0" fontId="47" fillId="7" borderId="4" xfId="0" applyFont="1" applyFill="1" applyBorder="1" applyAlignment="1" applyProtection="1">
      <alignment horizontal="center" vertical="center"/>
      <protection locked="0"/>
    </xf>
    <xf numFmtId="0" fontId="36" fillId="0" borderId="10" xfId="0" applyFont="1" applyBorder="1" applyAlignment="1" applyProtection="1">
      <alignment horizontal="center" vertical="center"/>
      <protection locked="0"/>
    </xf>
    <xf numFmtId="10" fontId="61" fillId="2" borderId="1" xfId="0" applyNumberFormat="1" applyFont="1" applyFill="1" applyBorder="1" applyAlignment="1" applyProtection="1">
      <alignment horizontal="center" vertical="center"/>
    </xf>
    <xf numFmtId="198" fontId="61" fillId="2" borderId="1" xfId="0" applyNumberFormat="1" applyFont="1" applyFill="1" applyBorder="1" applyAlignment="1" applyProtection="1">
      <alignment horizontal="center" vertical="center"/>
    </xf>
    <xf numFmtId="188" fontId="61" fillId="2" borderId="11" xfId="0" applyNumberFormat="1" applyFont="1" applyFill="1" applyBorder="1" applyAlignment="1" applyProtection="1">
      <alignment horizontal="center" vertical="center"/>
    </xf>
    <xf numFmtId="0" fontId="61" fillId="2" borderId="1" xfId="0" applyFont="1" applyFill="1" applyBorder="1" applyAlignment="1" applyProtection="1">
      <alignment vertical="center" wrapText="1"/>
    </xf>
    <xf numFmtId="0" fontId="61" fillId="2" borderId="1" xfId="0" applyFont="1" applyFill="1" applyBorder="1" applyAlignment="1" applyProtection="1">
      <alignment horizontal="right" vertical="center" wrapText="1"/>
    </xf>
    <xf numFmtId="0" fontId="61" fillId="2" borderId="1" xfId="10" applyFont="1" applyFill="1" applyBorder="1" applyAlignment="1" applyProtection="1">
      <alignment horizontal="center" vertical="center" wrapText="1"/>
    </xf>
    <xf numFmtId="0" fontId="61" fillId="0" borderId="0" xfId="0" applyFont="1" applyAlignment="1" applyProtection="1">
      <alignment vertical="center" wrapText="1"/>
      <protection locked="0"/>
    </xf>
    <xf numFmtId="0" fontId="61" fillId="2" borderId="1" xfId="0" applyFont="1" applyFill="1" applyBorder="1" applyAlignment="1" applyProtection="1">
      <alignment horizontal="right" vertical="center"/>
    </xf>
    <xf numFmtId="0" fontId="36" fillId="0" borderId="0" xfId="0" applyFont="1" applyAlignment="1" applyProtection="1">
      <alignment vertical="center" wrapText="1"/>
      <protection locked="0"/>
    </xf>
    <xf numFmtId="185" fontId="36" fillId="0" borderId="0" xfId="0" applyNumberFormat="1" applyFont="1" applyAlignment="1" applyProtection="1">
      <alignment vertical="center"/>
      <protection locked="0"/>
    </xf>
    <xf numFmtId="0" fontId="61" fillId="0" borderId="0" xfId="0" applyFont="1" applyProtection="1">
      <alignment vertical="center"/>
      <protection locked="0"/>
    </xf>
    <xf numFmtId="177" fontId="56" fillId="2" borderId="1" xfId="10" applyNumberFormat="1" applyFont="1" applyFill="1" applyBorder="1" applyAlignment="1" applyProtection="1">
      <alignment horizontal="center" vertical="center"/>
    </xf>
    <xf numFmtId="0" fontId="61" fillId="2" borderId="2" xfId="0" applyFont="1" applyFill="1" applyBorder="1" applyProtection="1">
      <alignment vertical="center"/>
    </xf>
    <xf numFmtId="0" fontId="61" fillId="2" borderId="3" xfId="0" applyFont="1" applyFill="1" applyBorder="1" applyProtection="1">
      <alignment vertical="center"/>
    </xf>
    <xf numFmtId="0" fontId="71" fillId="2" borderId="15" xfId="0" applyFont="1" applyFill="1" applyBorder="1" applyAlignment="1" applyProtection="1">
      <alignment vertical="center"/>
    </xf>
    <xf numFmtId="0" fontId="61" fillId="2" borderId="15" xfId="0" applyFont="1" applyFill="1" applyBorder="1" applyProtection="1">
      <alignment vertical="center"/>
    </xf>
    <xf numFmtId="0" fontId="71" fillId="2" borderId="8" xfId="0" applyFont="1" applyFill="1" applyBorder="1" applyAlignment="1" applyProtection="1">
      <alignment horizontal="center" vertical="center"/>
    </xf>
    <xf numFmtId="177" fontId="56" fillId="2" borderId="9" xfId="10" applyNumberFormat="1" applyFont="1" applyFill="1" applyBorder="1" applyAlignment="1" applyProtection="1">
      <alignment horizontal="center" vertical="center"/>
    </xf>
    <xf numFmtId="0" fontId="61" fillId="2" borderId="16" xfId="0" applyFont="1" applyFill="1" applyBorder="1" applyProtection="1">
      <alignment vertical="center"/>
    </xf>
    <xf numFmtId="0" fontId="61" fillId="2" borderId="51" xfId="0" applyFont="1" applyFill="1" applyBorder="1" applyAlignment="1" applyProtection="1">
      <alignment vertical="center"/>
    </xf>
    <xf numFmtId="0" fontId="61" fillId="2" borderId="1" xfId="0" applyFont="1" applyFill="1" applyBorder="1" applyAlignment="1" applyProtection="1">
      <alignment vertical="center"/>
    </xf>
    <xf numFmtId="177" fontId="61" fillId="2" borderId="11" xfId="0" applyNumberFormat="1" applyFont="1" applyFill="1" applyBorder="1" applyAlignment="1" applyProtection="1">
      <alignment vertical="center"/>
    </xf>
    <xf numFmtId="0" fontId="61" fillId="2" borderId="110" xfId="0" applyFont="1" applyFill="1" applyBorder="1" applyAlignment="1" applyProtection="1">
      <alignment vertical="center"/>
    </xf>
    <xf numFmtId="0" fontId="61" fillId="2" borderId="64" xfId="0" applyFont="1" applyFill="1" applyBorder="1" applyProtection="1">
      <alignment vertical="center"/>
    </xf>
    <xf numFmtId="177" fontId="71" fillId="2" borderId="9" xfId="10" applyNumberFormat="1" applyFont="1" applyFill="1" applyBorder="1" applyAlignment="1" applyProtection="1">
      <alignment horizontal="center" vertical="center"/>
    </xf>
    <xf numFmtId="0" fontId="61" fillId="2" borderId="15" xfId="0" applyFont="1" applyFill="1" applyBorder="1" applyAlignment="1" applyProtection="1">
      <alignment vertical="center"/>
    </xf>
    <xf numFmtId="0" fontId="61" fillId="2" borderId="11" xfId="0" applyFont="1" applyFill="1" applyBorder="1" applyAlignment="1" applyProtection="1">
      <alignment vertical="center"/>
    </xf>
    <xf numFmtId="0" fontId="61" fillId="2" borderId="0" xfId="0" applyFont="1" applyFill="1" applyBorder="1" applyProtection="1">
      <alignment vertical="center"/>
      <protection locked="0"/>
    </xf>
    <xf numFmtId="0" fontId="61" fillId="2" borderId="27" xfId="0" applyFont="1" applyFill="1" applyBorder="1" applyAlignment="1" applyProtection="1">
      <alignment vertical="center"/>
    </xf>
    <xf numFmtId="0" fontId="61" fillId="2" borderId="64" xfId="0" applyFont="1" applyFill="1" applyBorder="1" applyAlignment="1" applyProtection="1">
      <alignment vertical="center"/>
    </xf>
    <xf numFmtId="0" fontId="61" fillId="0" borderId="11" xfId="0" applyFont="1" applyFill="1" applyBorder="1" applyAlignment="1" applyProtection="1">
      <alignment vertical="center"/>
      <protection locked="0"/>
    </xf>
    <xf numFmtId="0" fontId="61" fillId="2" borderId="40" xfId="0" applyFont="1" applyFill="1" applyBorder="1" applyAlignment="1" applyProtection="1">
      <alignment vertical="center"/>
    </xf>
    <xf numFmtId="0" fontId="71" fillId="2" borderId="37" xfId="0" applyFont="1" applyFill="1" applyBorder="1" applyProtection="1">
      <alignment vertical="center"/>
    </xf>
    <xf numFmtId="0" fontId="61" fillId="2" borderId="35" xfId="0" applyFont="1" applyFill="1" applyBorder="1" applyProtection="1">
      <alignment vertical="center"/>
    </xf>
    <xf numFmtId="0" fontId="71" fillId="2" borderId="35" xfId="0" applyFont="1" applyFill="1" applyBorder="1" applyAlignment="1" applyProtection="1">
      <alignment horizontal="center" vertical="center"/>
    </xf>
    <xf numFmtId="177" fontId="56" fillId="2" borderId="17" xfId="10" applyNumberFormat="1" applyFont="1" applyFill="1" applyBorder="1" applyAlignment="1" applyProtection="1">
      <alignment horizontal="center" vertical="center"/>
    </xf>
    <xf numFmtId="177" fontId="56" fillId="2" borderId="38" xfId="10" applyNumberFormat="1" applyFont="1" applyFill="1" applyBorder="1" applyAlignment="1" applyProtection="1">
      <alignment horizontal="center" vertical="center"/>
    </xf>
    <xf numFmtId="177" fontId="56" fillId="2" borderId="39" xfId="10" applyNumberFormat="1" applyFont="1" applyFill="1" applyBorder="1" applyAlignment="1" applyProtection="1">
      <alignment horizontal="center" vertical="center"/>
    </xf>
    <xf numFmtId="0" fontId="71" fillId="2" borderId="129" xfId="0" applyFont="1" applyFill="1" applyBorder="1" applyAlignment="1" applyProtection="1">
      <alignment horizontal="right" vertical="center"/>
    </xf>
    <xf numFmtId="0" fontId="61" fillId="2" borderId="16" xfId="0" applyFont="1" applyFill="1" applyBorder="1" applyAlignment="1" applyProtection="1">
      <alignment vertical="center"/>
    </xf>
    <xf numFmtId="0" fontId="61" fillId="2" borderId="0" xfId="0" applyFont="1" applyFill="1" applyBorder="1" applyAlignment="1" applyProtection="1">
      <alignment vertical="center"/>
    </xf>
    <xf numFmtId="0" fontId="71" fillId="2" borderId="16" xfId="0" applyFont="1" applyFill="1" applyBorder="1" applyAlignment="1" applyProtection="1">
      <alignment horizontal="center" vertical="center"/>
    </xf>
    <xf numFmtId="177" fontId="55" fillId="2" borderId="16" xfId="10" applyNumberFormat="1" applyFont="1" applyFill="1" applyBorder="1" applyAlignment="1" applyProtection="1">
      <alignment horizontal="center" vertical="center"/>
    </xf>
    <xf numFmtId="0" fontId="61" fillId="2" borderId="108" xfId="0" applyFont="1" applyFill="1" applyBorder="1" applyAlignment="1" applyProtection="1">
      <alignment horizontal="center" vertical="center"/>
    </xf>
    <xf numFmtId="0" fontId="61" fillId="2" borderId="28" xfId="0" applyFont="1" applyFill="1" applyBorder="1" applyAlignment="1" applyProtection="1">
      <alignment horizontal="center" vertical="center"/>
    </xf>
    <xf numFmtId="0" fontId="61" fillId="2" borderId="30" xfId="0" applyFont="1" applyFill="1" applyBorder="1" applyProtection="1">
      <alignment vertical="center"/>
    </xf>
    <xf numFmtId="177" fontId="61" fillId="2" borderId="1" xfId="0" applyNumberFormat="1" applyFont="1" applyFill="1" applyBorder="1" applyAlignment="1" applyProtection="1">
      <alignment vertical="center"/>
    </xf>
    <xf numFmtId="0" fontId="36" fillId="4" borderId="4" xfId="0" applyFont="1" applyFill="1" applyBorder="1" applyProtection="1">
      <alignment vertical="center"/>
      <protection locked="0"/>
    </xf>
    <xf numFmtId="0" fontId="36" fillId="4" borderId="11" xfId="0" applyFont="1" applyFill="1" applyBorder="1" applyProtection="1">
      <alignment vertical="center"/>
      <protection locked="0"/>
    </xf>
    <xf numFmtId="0" fontId="61" fillId="2" borderId="30" xfId="0" applyFont="1" applyFill="1" applyBorder="1" applyAlignment="1" applyProtection="1">
      <alignment vertical="center"/>
    </xf>
    <xf numFmtId="0" fontId="61" fillId="4" borderId="111" xfId="0" applyFont="1" applyFill="1" applyBorder="1" applyProtection="1">
      <alignment vertical="center"/>
      <protection locked="0"/>
    </xf>
    <xf numFmtId="0" fontId="61" fillId="4" borderId="40" xfId="0" applyFont="1" applyFill="1" applyBorder="1" applyProtection="1">
      <alignment vertical="center"/>
      <protection locked="0"/>
    </xf>
    <xf numFmtId="182" fontId="61" fillId="0" borderId="4" xfId="10" applyNumberFormat="1" applyFont="1" applyFill="1" applyBorder="1" applyAlignment="1" applyProtection="1">
      <alignment vertical="center"/>
      <protection locked="0"/>
    </xf>
    <xf numFmtId="177" fontId="71" fillId="2" borderId="1" xfId="0" applyNumberFormat="1" applyFont="1" applyFill="1" applyBorder="1" applyAlignment="1" applyProtection="1">
      <alignment vertical="center"/>
    </xf>
    <xf numFmtId="177" fontId="71" fillId="2" borderId="1" xfId="0" applyNumberFormat="1" applyFont="1" applyFill="1" applyBorder="1" applyAlignment="1" applyProtection="1">
      <alignment horizontal="center" vertical="center"/>
    </xf>
    <xf numFmtId="177" fontId="71" fillId="2" borderId="11" xfId="0" applyNumberFormat="1" applyFont="1" applyFill="1" applyBorder="1" applyAlignment="1" applyProtection="1">
      <alignment vertical="center"/>
    </xf>
    <xf numFmtId="177" fontId="71" fillId="2" borderId="12" xfId="0" applyNumberFormat="1" applyFont="1" applyFill="1" applyBorder="1" applyAlignment="1" applyProtection="1">
      <alignment vertical="center"/>
    </xf>
    <xf numFmtId="0" fontId="61" fillId="2" borderId="42" xfId="0" applyFont="1" applyFill="1" applyBorder="1" applyProtection="1">
      <alignment vertical="center"/>
    </xf>
    <xf numFmtId="0" fontId="61" fillId="2" borderId="111" xfId="0" applyFont="1" applyFill="1" applyBorder="1" applyProtection="1">
      <alignment vertical="center"/>
    </xf>
    <xf numFmtId="0" fontId="61" fillId="2" borderId="40" xfId="0" applyFont="1" applyFill="1" applyBorder="1" applyProtection="1">
      <alignment vertical="center"/>
    </xf>
    <xf numFmtId="0" fontId="71" fillId="2" borderId="111" xfId="0" applyFont="1" applyFill="1" applyBorder="1" applyAlignment="1" applyProtection="1">
      <alignment horizontal="left" vertical="center"/>
    </xf>
    <xf numFmtId="0" fontId="61" fillId="2" borderId="61" xfId="0" applyFont="1" applyFill="1" applyBorder="1" applyAlignment="1" applyProtection="1">
      <alignment vertical="center"/>
    </xf>
    <xf numFmtId="0" fontId="61" fillId="2" borderId="33" xfId="0" applyFont="1" applyFill="1" applyBorder="1" applyProtection="1">
      <alignment vertical="center"/>
    </xf>
    <xf numFmtId="185" fontId="71" fillId="2" borderId="62" xfId="0" applyNumberFormat="1" applyFont="1" applyFill="1" applyBorder="1" applyAlignment="1" applyProtection="1">
      <alignment vertical="center"/>
    </xf>
    <xf numFmtId="185" fontId="71" fillId="2" borderId="13" xfId="0" applyNumberFormat="1" applyFont="1" applyFill="1" applyBorder="1" applyAlignment="1" applyProtection="1">
      <alignment vertical="center"/>
    </xf>
    <xf numFmtId="185" fontId="71" fillId="2" borderId="14" xfId="0" applyNumberFormat="1" applyFont="1" applyFill="1" applyBorder="1" applyAlignment="1" applyProtection="1">
      <alignment vertical="center"/>
    </xf>
    <xf numFmtId="185" fontId="61" fillId="2" borderId="16" xfId="0" applyNumberFormat="1" applyFont="1" applyFill="1" applyBorder="1" applyProtection="1">
      <alignment vertical="center"/>
    </xf>
    <xf numFmtId="177" fontId="61" fillId="0" borderId="0" xfId="0" applyNumberFormat="1" applyFont="1" applyProtection="1">
      <alignment vertical="center"/>
      <protection locked="0"/>
    </xf>
    <xf numFmtId="0" fontId="61" fillId="2" borderId="15" xfId="0" applyFont="1" applyFill="1" applyBorder="1" applyAlignment="1" applyProtection="1">
      <alignment horizontal="center" vertical="center"/>
    </xf>
    <xf numFmtId="0" fontId="61" fillId="2" borderId="39" xfId="0" applyFont="1" applyFill="1" applyBorder="1" applyProtection="1">
      <alignment vertical="center"/>
    </xf>
    <xf numFmtId="185" fontId="71" fillId="7" borderId="11" xfId="0" applyNumberFormat="1" applyFont="1" applyFill="1" applyBorder="1" applyAlignment="1" applyProtection="1">
      <alignment horizontal="center" vertical="center"/>
      <protection locked="0"/>
    </xf>
    <xf numFmtId="185" fontId="61" fillId="2" borderId="11" xfId="0" applyNumberFormat="1" applyFont="1" applyFill="1" applyBorder="1" applyAlignment="1" applyProtection="1">
      <alignment horizontal="center" vertical="center"/>
    </xf>
    <xf numFmtId="0" fontId="61" fillId="2" borderId="10" xfId="0" applyFont="1" applyFill="1" applyBorder="1" applyProtection="1">
      <alignment vertical="center"/>
    </xf>
    <xf numFmtId="0" fontId="61" fillId="2" borderId="11" xfId="0" applyFont="1" applyFill="1" applyBorder="1" applyProtection="1">
      <alignment vertical="center"/>
    </xf>
    <xf numFmtId="0" fontId="61" fillId="0" borderId="10" xfId="0" applyFont="1" applyBorder="1" applyProtection="1">
      <alignment vertical="center"/>
      <protection locked="0"/>
    </xf>
    <xf numFmtId="0" fontId="61" fillId="0" borderId="1" xfId="0" applyFont="1" applyBorder="1" applyProtection="1">
      <alignment vertical="center"/>
      <protection locked="0"/>
    </xf>
    <xf numFmtId="0" fontId="61" fillId="2" borderId="51" xfId="0" applyFont="1" applyFill="1" applyBorder="1" applyProtection="1">
      <alignment vertical="center"/>
    </xf>
    <xf numFmtId="0" fontId="61" fillId="0" borderId="51" xfId="0" applyFont="1" applyBorder="1" applyProtection="1">
      <alignment vertical="center"/>
      <protection locked="0"/>
    </xf>
    <xf numFmtId="0" fontId="61" fillId="0" borderId="15" xfId="0" applyFont="1" applyBorder="1" applyProtection="1">
      <alignment vertical="center"/>
      <protection locked="0"/>
    </xf>
    <xf numFmtId="177" fontId="71" fillId="2" borderId="114" xfId="0" applyNumberFormat="1" applyFont="1" applyFill="1" applyBorder="1" applyAlignment="1" applyProtection="1">
      <alignment vertical="center"/>
    </xf>
    <xf numFmtId="0" fontId="71" fillId="2" borderId="12" xfId="0" applyFont="1" applyFill="1" applyBorder="1" applyProtection="1">
      <alignment vertical="center"/>
    </xf>
    <xf numFmtId="0" fontId="71" fillId="2" borderId="13" xfId="0" applyFont="1" applyFill="1" applyBorder="1" applyProtection="1">
      <alignment vertical="center"/>
    </xf>
    <xf numFmtId="0" fontId="71" fillId="2" borderId="14" xfId="0" applyFont="1" applyFill="1" applyBorder="1" applyProtection="1">
      <alignment vertical="center"/>
    </xf>
    <xf numFmtId="0" fontId="61" fillId="2" borderId="14" xfId="0" applyFont="1" applyFill="1" applyBorder="1" applyProtection="1">
      <alignment vertical="center"/>
    </xf>
    <xf numFmtId="177" fontId="61" fillId="2" borderId="1" xfId="0" applyNumberFormat="1" applyFont="1" applyFill="1" applyBorder="1" applyProtection="1">
      <alignment vertical="center"/>
    </xf>
    <xf numFmtId="0" fontId="0" fillId="0" borderId="0" xfId="0" applyAlignment="1">
      <alignment vertical="center" wrapText="1"/>
    </xf>
    <xf numFmtId="0" fontId="114" fillId="0" borderId="1" xfId="0" applyFont="1" applyBorder="1" applyAlignment="1">
      <alignment horizontal="center" vertical="center" wrapText="1"/>
    </xf>
    <xf numFmtId="0" fontId="114" fillId="0" borderId="1" xfId="0" applyFont="1" applyBorder="1" applyAlignment="1">
      <alignment vertical="center" wrapText="1"/>
    </xf>
    <xf numFmtId="0" fontId="36" fillId="0" borderId="0" xfId="0" applyFont="1" applyAlignment="1" applyProtection="1">
      <alignment horizontal="center" vertical="center" wrapText="1"/>
    </xf>
    <xf numFmtId="0" fontId="36" fillId="0" borderId="0" xfId="0" applyFont="1" applyFill="1" applyAlignment="1" applyProtection="1">
      <alignment horizontal="center" vertical="center" wrapText="1"/>
    </xf>
    <xf numFmtId="177" fontId="36" fillId="0" borderId="0" xfId="0" applyNumberFormat="1" applyFont="1" applyAlignment="1" applyProtection="1">
      <alignment horizontal="center" vertical="center" wrapText="1"/>
    </xf>
    <xf numFmtId="0" fontId="61" fillId="0" borderId="0" xfId="0" applyFont="1" applyFill="1" applyAlignment="1" applyProtection="1">
      <alignment horizontal="center" vertical="center" wrapText="1"/>
    </xf>
    <xf numFmtId="0" fontId="65" fillId="0" borderId="0" xfId="0" applyFont="1" applyAlignment="1" applyProtection="1">
      <alignment horizontal="center" vertical="center" wrapText="1"/>
    </xf>
    <xf numFmtId="0" fontId="61" fillId="0" borderId="0" xfId="0" applyFont="1" applyAlignment="1" applyProtection="1">
      <alignment horizontal="center" vertical="center" wrapText="1"/>
    </xf>
    <xf numFmtId="0" fontId="100" fillId="2" borderId="0" xfId="0" applyFont="1" applyFill="1" applyAlignment="1" applyProtection="1">
      <alignment horizontal="left" vertical="center"/>
    </xf>
    <xf numFmtId="0" fontId="61" fillId="2" borderId="0" xfId="0" applyFont="1" applyFill="1" applyAlignment="1" applyProtection="1">
      <alignment horizontal="center" vertical="center" wrapText="1"/>
    </xf>
    <xf numFmtId="0" fontId="36" fillId="2" borderId="0" xfId="0" applyFont="1" applyFill="1" applyAlignment="1" applyProtection="1">
      <alignment horizontal="center" vertical="center" wrapText="1"/>
    </xf>
    <xf numFmtId="185" fontId="7" fillId="2" borderId="1" xfId="0" applyNumberFormat="1" applyFont="1" applyFill="1" applyBorder="1" applyAlignment="1" applyProtection="1">
      <alignment horizontal="center" vertical="center" wrapText="1"/>
    </xf>
    <xf numFmtId="0" fontId="36" fillId="7" borderId="1" xfId="0" applyFont="1" applyFill="1" applyBorder="1" applyAlignment="1" applyProtection="1">
      <alignment horizontal="center" vertical="center" wrapText="1"/>
      <protection locked="0"/>
    </xf>
    <xf numFmtId="0" fontId="37" fillId="2" borderId="34" xfId="0" applyFont="1" applyFill="1" applyBorder="1" applyAlignment="1" applyProtection="1">
      <alignment horizontal="left" vertical="center"/>
    </xf>
    <xf numFmtId="185" fontId="36" fillId="2" borderId="0" xfId="0" applyNumberFormat="1" applyFont="1" applyFill="1" applyBorder="1" applyAlignment="1" applyProtection="1">
      <alignment horizontal="center" vertical="center" wrapText="1"/>
    </xf>
    <xf numFmtId="185" fontId="37" fillId="2" borderId="0" xfId="0" applyNumberFormat="1" applyFont="1" applyFill="1" applyBorder="1" applyAlignment="1" applyProtection="1">
      <alignment horizontal="center" vertical="center" wrapText="1"/>
    </xf>
    <xf numFmtId="177" fontId="36" fillId="2" borderId="1" xfId="0" applyNumberFormat="1" applyFont="1" applyFill="1" applyBorder="1" applyAlignment="1" applyProtection="1">
      <alignment horizontal="center" vertical="center" wrapText="1"/>
    </xf>
    <xf numFmtId="177" fontId="36" fillId="2" borderId="3" xfId="0" applyNumberFormat="1" applyFont="1" applyFill="1" applyBorder="1" applyAlignment="1" applyProtection="1">
      <alignment horizontal="center" vertical="center" wrapText="1"/>
    </xf>
    <xf numFmtId="177" fontId="36" fillId="2" borderId="4" xfId="0" applyNumberFormat="1" applyFont="1" applyFill="1" applyBorder="1" applyAlignment="1" applyProtection="1">
      <alignment horizontal="center" vertical="center" wrapText="1"/>
    </xf>
    <xf numFmtId="177" fontId="36" fillId="2" borderId="15" xfId="0" applyNumberFormat="1" applyFont="1" applyFill="1" applyBorder="1" applyAlignment="1" applyProtection="1">
      <alignment horizontal="center" vertical="center" wrapText="1"/>
    </xf>
    <xf numFmtId="0" fontId="36" fillId="2" borderId="50" xfId="0" applyFont="1" applyFill="1" applyBorder="1" applyAlignment="1" applyProtection="1">
      <alignment horizontal="center" vertical="center" wrapText="1"/>
    </xf>
    <xf numFmtId="0" fontId="36" fillId="2" borderId="48" xfId="0" applyFont="1" applyFill="1" applyBorder="1" applyAlignment="1" applyProtection="1">
      <alignment horizontal="left" vertical="center"/>
    </xf>
    <xf numFmtId="0" fontId="36" fillId="2" borderId="97" xfId="0" applyFont="1" applyFill="1" applyBorder="1" applyAlignment="1" applyProtection="1">
      <alignment horizontal="center" vertical="center" wrapText="1"/>
    </xf>
    <xf numFmtId="0" fontId="36" fillId="2" borderId="50" xfId="0" applyFont="1" applyFill="1" applyBorder="1" applyAlignment="1" applyProtection="1">
      <alignment horizontal="center" vertical="center"/>
    </xf>
    <xf numFmtId="0" fontId="36" fillId="2" borderId="48" xfId="0" applyFont="1" applyFill="1" applyBorder="1" applyAlignment="1" applyProtection="1">
      <alignment horizontal="center" vertical="center"/>
    </xf>
    <xf numFmtId="185" fontId="36" fillId="2" borderId="2" xfId="0" applyNumberFormat="1" applyFont="1" applyFill="1" applyBorder="1" applyAlignment="1" applyProtection="1">
      <alignment horizontal="left" vertical="center"/>
    </xf>
    <xf numFmtId="185" fontId="36" fillId="2" borderId="0" xfId="0" applyNumberFormat="1" applyFont="1" applyFill="1" applyBorder="1" applyAlignment="1" applyProtection="1">
      <alignment horizontal="center" vertical="center"/>
    </xf>
    <xf numFmtId="185" fontId="36" fillId="2" borderId="119" xfId="0" applyNumberFormat="1" applyFont="1" applyFill="1" applyBorder="1" applyAlignment="1" applyProtection="1">
      <alignment horizontal="center" vertical="center"/>
    </xf>
    <xf numFmtId="0" fontId="36" fillId="2" borderId="34" xfId="0" applyFont="1" applyFill="1" applyBorder="1" applyAlignment="1" applyProtection="1">
      <alignment horizontal="center" vertical="center" wrapText="1"/>
    </xf>
    <xf numFmtId="185" fontId="36" fillId="2" borderId="108" xfId="0" applyNumberFormat="1" applyFont="1" applyFill="1" applyBorder="1" applyAlignment="1" applyProtection="1">
      <alignment horizontal="center" vertical="center" wrapText="1"/>
    </xf>
    <xf numFmtId="0" fontId="36" fillId="0" borderId="1" xfId="0" applyFont="1" applyBorder="1" applyAlignment="1" applyProtection="1">
      <alignment horizontal="center" vertical="center" wrapText="1"/>
      <protection locked="0"/>
    </xf>
    <xf numFmtId="0" fontId="36" fillId="7" borderId="16" xfId="0" applyFont="1" applyFill="1" applyBorder="1" applyAlignment="1" applyProtection="1">
      <alignment horizontal="center" vertical="center" wrapText="1"/>
      <protection locked="0"/>
    </xf>
    <xf numFmtId="177" fontId="36" fillId="0" borderId="16" xfId="0" applyNumberFormat="1" applyFont="1" applyFill="1" applyBorder="1" applyAlignment="1" applyProtection="1">
      <alignment horizontal="center" vertical="center" wrapText="1"/>
      <protection locked="0"/>
    </xf>
    <xf numFmtId="177" fontId="36" fillId="2" borderId="16" xfId="0" applyNumberFormat="1" applyFont="1" applyFill="1" applyBorder="1" applyAlignment="1" applyProtection="1">
      <alignment horizontal="center" vertical="center" wrapText="1"/>
    </xf>
    <xf numFmtId="0" fontId="36" fillId="0" borderId="1" xfId="0" applyFont="1" applyBorder="1" applyAlignment="1" applyProtection="1">
      <alignment vertical="center" wrapText="1"/>
      <protection locked="0"/>
    </xf>
    <xf numFmtId="0" fontId="61" fillId="0" borderId="1" xfId="0" applyFont="1" applyBorder="1" applyAlignment="1" applyProtection="1">
      <alignment horizontal="center" vertical="center" wrapText="1"/>
      <protection locked="0"/>
    </xf>
    <xf numFmtId="0" fontId="61" fillId="0" borderId="16" xfId="0" applyFont="1" applyBorder="1" applyAlignment="1" applyProtection="1">
      <alignment horizontal="center" vertical="center" wrapText="1"/>
      <protection locked="0"/>
    </xf>
    <xf numFmtId="177" fontId="61" fillId="2" borderId="1" xfId="0" applyNumberFormat="1" applyFont="1" applyFill="1" applyBorder="1" applyAlignment="1" applyProtection="1">
      <alignment horizontal="center" vertical="center" wrapText="1"/>
    </xf>
    <xf numFmtId="177" fontId="61" fillId="0" borderId="16" xfId="0" applyNumberFormat="1" applyFont="1" applyFill="1" applyBorder="1" applyAlignment="1" applyProtection="1">
      <alignment horizontal="center" vertical="center" wrapText="1"/>
      <protection locked="0"/>
    </xf>
    <xf numFmtId="177" fontId="61" fillId="2" borderId="16" xfId="0" applyNumberFormat="1" applyFont="1" applyFill="1" applyBorder="1" applyAlignment="1" applyProtection="1">
      <alignment horizontal="center" vertical="center" wrapText="1"/>
    </xf>
    <xf numFmtId="177" fontId="61" fillId="2" borderId="15" xfId="0" applyNumberFormat="1" applyFont="1" applyFill="1" applyBorder="1" applyAlignment="1" applyProtection="1">
      <alignment horizontal="center" vertical="center" wrapText="1"/>
    </xf>
    <xf numFmtId="0" fontId="37" fillId="2" borderId="3" xfId="0" applyFont="1" applyFill="1" applyBorder="1" applyAlignment="1" applyProtection="1">
      <alignment horizontal="center" vertical="center"/>
    </xf>
    <xf numFmtId="0" fontId="36" fillId="7" borderId="34" xfId="0" applyFont="1" applyFill="1" applyBorder="1" applyAlignment="1" applyProtection="1">
      <alignment horizontal="left" vertical="center"/>
      <protection locked="0"/>
    </xf>
    <xf numFmtId="0" fontId="36" fillId="7" borderId="2" xfId="0" applyFont="1" applyFill="1" applyBorder="1" applyAlignment="1" applyProtection="1">
      <alignment horizontal="left" vertical="center"/>
      <protection locked="0"/>
    </xf>
    <xf numFmtId="0" fontId="36" fillId="7" borderId="3" xfId="0" applyFont="1" applyFill="1" applyBorder="1" applyAlignment="1" applyProtection="1">
      <alignment horizontal="left" vertical="center"/>
      <protection locked="0"/>
    </xf>
    <xf numFmtId="0" fontId="37" fillId="2" borderId="4" xfId="0" applyFont="1" applyFill="1" applyBorder="1" applyAlignment="1" applyProtection="1">
      <alignment horizontal="left" vertical="center"/>
    </xf>
    <xf numFmtId="177" fontId="36" fillId="0" borderId="1" xfId="0" applyNumberFormat="1" applyFont="1" applyBorder="1" applyAlignment="1" applyProtection="1">
      <alignment vertical="center" wrapText="1"/>
      <protection locked="0"/>
    </xf>
    <xf numFmtId="177" fontId="61" fillId="0" borderId="1" xfId="0" applyNumberFormat="1" applyFont="1" applyBorder="1" applyAlignment="1" applyProtection="1">
      <alignment vertical="center" wrapText="1"/>
      <protection locked="0"/>
    </xf>
    <xf numFmtId="185" fontId="36" fillId="2" borderId="3" xfId="0" applyNumberFormat="1" applyFont="1" applyFill="1" applyBorder="1" applyAlignment="1" applyProtection="1">
      <alignment horizontal="center" vertical="center"/>
    </xf>
    <xf numFmtId="0" fontId="37" fillId="2" borderId="3" xfId="0" applyFont="1" applyFill="1" applyBorder="1" applyAlignment="1" applyProtection="1">
      <alignment horizontal="left" vertical="center"/>
    </xf>
    <xf numFmtId="185" fontId="36" fillId="2" borderId="4" xfId="0" applyNumberFormat="1" applyFont="1" applyFill="1" applyBorder="1" applyAlignment="1" applyProtection="1">
      <alignment horizontal="center" vertical="center"/>
    </xf>
    <xf numFmtId="0" fontId="37" fillId="2" borderId="97" xfId="0" applyFont="1" applyFill="1" applyBorder="1" applyAlignment="1" applyProtection="1">
      <alignment horizontal="center" vertical="center"/>
    </xf>
    <xf numFmtId="0" fontId="36" fillId="2" borderId="97" xfId="0" applyFont="1" applyFill="1" applyBorder="1" applyAlignment="1" applyProtection="1">
      <alignment horizontal="center" vertical="center"/>
    </xf>
    <xf numFmtId="0" fontId="36" fillId="2" borderId="4" xfId="0" applyFont="1" applyFill="1" applyBorder="1" applyAlignment="1" applyProtection="1">
      <alignment horizontal="right" vertical="center"/>
    </xf>
    <xf numFmtId="0" fontId="43" fillId="2" borderId="2" xfId="0" applyFont="1" applyFill="1" applyBorder="1" applyAlignment="1" applyProtection="1">
      <alignment horizontal="left" vertical="center"/>
    </xf>
    <xf numFmtId="185" fontId="36" fillId="2" borderId="16" xfId="0" applyNumberFormat="1" applyFont="1" applyFill="1" applyBorder="1" applyAlignment="1" applyProtection="1">
      <alignment horizontal="center" vertical="center" wrapText="1"/>
    </xf>
    <xf numFmtId="177" fontId="36" fillId="0" borderId="1" xfId="0" applyNumberFormat="1" applyFont="1" applyBorder="1" applyAlignment="1" applyProtection="1">
      <alignment horizontal="center" vertical="center" wrapText="1"/>
      <protection locked="0"/>
    </xf>
    <xf numFmtId="177" fontId="61" fillId="0" borderId="1" xfId="0" applyNumberFormat="1" applyFont="1" applyBorder="1" applyAlignment="1" applyProtection="1">
      <alignment horizontal="center" vertical="center" wrapText="1"/>
      <protection locked="0"/>
    </xf>
    <xf numFmtId="0" fontId="115" fillId="2" borderId="4" xfId="0" applyFont="1" applyFill="1" applyBorder="1" applyAlignment="1" applyProtection="1">
      <alignment horizontal="right" vertical="center"/>
    </xf>
    <xf numFmtId="0" fontId="31" fillId="2" borderId="0" xfId="0" applyFont="1" applyFill="1" applyAlignment="1" applyProtection="1">
      <alignment horizontal="left" vertical="center"/>
    </xf>
    <xf numFmtId="177" fontId="36" fillId="2" borderId="2" xfId="0" applyNumberFormat="1" applyFont="1" applyFill="1" applyBorder="1" applyAlignment="1" applyProtection="1">
      <alignment horizontal="center" vertical="center" wrapText="1"/>
    </xf>
    <xf numFmtId="0" fontId="36" fillId="2" borderId="108" xfId="0" applyFont="1" applyFill="1" applyBorder="1" applyAlignment="1" applyProtection="1">
      <alignment horizontal="left" vertical="center"/>
    </xf>
    <xf numFmtId="185" fontId="36" fillId="2" borderId="34" xfId="0" applyNumberFormat="1" applyFont="1" applyFill="1" applyBorder="1" applyAlignment="1" applyProtection="1">
      <alignment horizontal="center" vertical="center" wrapText="1"/>
    </xf>
    <xf numFmtId="177" fontId="36" fillId="0" borderId="16" xfId="0" applyNumberFormat="1" applyFont="1" applyBorder="1" applyAlignment="1" applyProtection="1">
      <alignment horizontal="center" vertical="center" wrapText="1"/>
      <protection locked="0"/>
    </xf>
    <xf numFmtId="0" fontId="36" fillId="0" borderId="34" xfId="0" applyFont="1" applyBorder="1" applyAlignment="1" applyProtection="1">
      <alignment horizontal="center" vertical="center" wrapText="1"/>
      <protection locked="0"/>
    </xf>
    <xf numFmtId="177" fontId="61" fillId="0" borderId="16" xfId="0" applyNumberFormat="1" applyFont="1" applyBorder="1" applyAlignment="1" applyProtection="1">
      <alignment horizontal="center" vertical="center" wrapText="1"/>
      <protection locked="0"/>
    </xf>
    <xf numFmtId="0" fontId="61" fillId="0" borderId="34" xfId="0" applyFont="1" applyBorder="1" applyAlignment="1" applyProtection="1">
      <alignment horizontal="center" vertical="center" wrapText="1"/>
      <protection locked="0"/>
    </xf>
    <xf numFmtId="0" fontId="36" fillId="2" borderId="48" xfId="0" applyFont="1" applyFill="1" applyBorder="1" applyAlignment="1" applyProtection="1">
      <alignment horizontal="center" vertical="center" wrapText="1"/>
    </xf>
    <xf numFmtId="0" fontId="7" fillId="2" borderId="1" xfId="0" applyFont="1" applyFill="1" applyBorder="1" applyAlignment="1" applyProtection="1">
      <alignment horizontal="left" vertical="center" wrapText="1"/>
      <protection locked="0"/>
    </xf>
    <xf numFmtId="0" fontId="36" fillId="4" borderId="2" xfId="0" applyFont="1" applyFill="1" applyBorder="1" applyAlignment="1" applyProtection="1">
      <alignment horizontal="center" vertical="center" wrapText="1"/>
      <protection locked="0"/>
    </xf>
    <xf numFmtId="177" fontId="36" fillId="0" borderId="1" xfId="0" applyNumberFormat="1" applyFont="1" applyFill="1" applyBorder="1" applyAlignment="1" applyProtection="1">
      <alignment horizontal="center" vertical="center" wrapText="1"/>
      <protection locked="0"/>
    </xf>
    <xf numFmtId="177" fontId="36" fillId="2" borderId="0" xfId="0" applyNumberFormat="1" applyFont="1" applyFill="1" applyAlignment="1" applyProtection="1">
      <alignment horizontal="center" vertical="center" wrapText="1"/>
    </xf>
    <xf numFmtId="0" fontId="36" fillId="2" borderId="7" xfId="0" applyFont="1" applyFill="1" applyBorder="1" applyAlignment="1" applyProtection="1">
      <alignment horizontal="center" vertical="center" wrapText="1"/>
    </xf>
    <xf numFmtId="177" fontId="36" fillId="2" borderId="8" xfId="0" applyNumberFormat="1" applyFont="1" applyFill="1" applyBorder="1" applyAlignment="1" applyProtection="1">
      <alignment horizontal="center" vertical="center" wrapText="1"/>
    </xf>
    <xf numFmtId="177" fontId="36" fillId="2" borderId="10" xfId="0" applyNumberFormat="1" applyFont="1" applyFill="1" applyBorder="1" applyAlignment="1" applyProtection="1">
      <alignment horizontal="center" vertical="center" wrapText="1"/>
    </xf>
    <xf numFmtId="185" fontId="36" fillId="2" borderId="34" xfId="0" applyNumberFormat="1" applyFont="1" applyFill="1" applyBorder="1" applyAlignment="1" applyProtection="1">
      <alignment horizontal="center" vertical="center"/>
    </xf>
    <xf numFmtId="0" fontId="37" fillId="2" borderId="98" xfId="0" applyFont="1" applyFill="1" applyBorder="1" applyAlignment="1" applyProtection="1">
      <alignment horizontal="center" vertical="center"/>
    </xf>
    <xf numFmtId="0" fontId="36" fillId="2" borderId="108" xfId="0" applyFont="1" applyFill="1" applyBorder="1" applyAlignment="1" applyProtection="1">
      <alignment horizontal="center" vertical="center"/>
    </xf>
    <xf numFmtId="0" fontId="36" fillId="2" borderId="119" xfId="0" applyFont="1" applyFill="1" applyBorder="1" applyAlignment="1" applyProtection="1">
      <alignment horizontal="center" vertical="center" wrapText="1"/>
    </xf>
    <xf numFmtId="185" fontId="36" fillId="2" borderId="1" xfId="0" applyNumberFormat="1" applyFont="1" applyFill="1" applyBorder="1" applyAlignment="1" applyProtection="1">
      <alignment horizontal="center" vertical="center"/>
    </xf>
    <xf numFmtId="185" fontId="36" fillId="2" borderId="108" xfId="0" applyNumberFormat="1" applyFont="1" applyFill="1" applyBorder="1" applyAlignment="1" applyProtection="1">
      <alignment horizontal="center" vertical="center"/>
    </xf>
    <xf numFmtId="177" fontId="36" fillId="2" borderId="9" xfId="0" applyNumberFormat="1" applyFont="1" applyFill="1" applyBorder="1" applyAlignment="1" applyProtection="1">
      <alignment horizontal="center" vertical="center" wrapText="1"/>
    </xf>
    <xf numFmtId="177" fontId="36" fillId="2" borderId="11" xfId="0" applyNumberFormat="1" applyFont="1" applyFill="1" applyBorder="1" applyAlignment="1" applyProtection="1">
      <alignment horizontal="center" vertical="center" wrapText="1"/>
    </xf>
    <xf numFmtId="0" fontId="36" fillId="2" borderId="69" xfId="0" applyFont="1" applyFill="1" applyBorder="1" applyAlignment="1" applyProtection="1">
      <alignment horizontal="center" vertical="center" wrapText="1"/>
    </xf>
    <xf numFmtId="177" fontId="61" fillId="2" borderId="11" xfId="0" applyNumberFormat="1" applyFont="1" applyFill="1" applyBorder="1" applyAlignment="1" applyProtection="1">
      <alignment horizontal="center" vertical="center" wrapText="1"/>
    </xf>
    <xf numFmtId="177" fontId="61" fillId="0" borderId="1" xfId="0" applyNumberFormat="1" applyFont="1" applyFill="1" applyBorder="1" applyAlignment="1" applyProtection="1">
      <alignment horizontal="center" vertical="center" wrapText="1"/>
      <protection locked="0"/>
    </xf>
    <xf numFmtId="0" fontId="61" fillId="0" borderId="1" xfId="0" applyFont="1" applyBorder="1" applyAlignment="1" applyProtection="1">
      <alignment vertical="center" wrapText="1"/>
      <protection locked="0"/>
    </xf>
    <xf numFmtId="0" fontId="61" fillId="0" borderId="2" xfId="0" applyFont="1" applyBorder="1" applyAlignment="1" applyProtection="1">
      <alignment horizontal="center" vertical="center" wrapText="1"/>
      <protection locked="0"/>
    </xf>
    <xf numFmtId="0" fontId="61" fillId="0" borderId="0" xfId="0" applyFont="1" applyFill="1" applyBorder="1" applyAlignment="1" applyProtection="1">
      <alignment horizontal="center" vertical="center" wrapText="1"/>
    </xf>
    <xf numFmtId="177" fontId="61" fillId="0" borderId="0" xfId="0" applyNumberFormat="1" applyFont="1" applyFill="1" applyBorder="1" applyAlignment="1" applyProtection="1">
      <alignment horizontal="center" vertical="center" wrapText="1"/>
    </xf>
    <xf numFmtId="0" fontId="65" fillId="0" borderId="0" xfId="0" applyFont="1" applyAlignment="1" applyProtection="1">
      <alignment horizontal="center" vertical="center"/>
    </xf>
    <xf numFmtId="0" fontId="71" fillId="0" borderId="151" xfId="0" applyFont="1" applyBorder="1" applyAlignment="1" applyProtection="1">
      <alignment vertical="center" wrapText="1"/>
    </xf>
    <xf numFmtId="49" fontId="61" fillId="0" borderId="50" xfId="0" applyNumberFormat="1" applyFont="1" applyBorder="1" applyAlignment="1" applyProtection="1">
      <alignment horizontal="center" vertical="center" wrapText="1"/>
    </xf>
    <xf numFmtId="49" fontId="61" fillId="0" borderId="0" xfId="0" applyNumberFormat="1" applyFont="1" applyAlignment="1" applyProtection="1">
      <alignment horizontal="center" vertical="center" wrapText="1"/>
    </xf>
    <xf numFmtId="0" fontId="76" fillId="2" borderId="19" xfId="0" applyFont="1" applyFill="1" applyBorder="1" applyAlignment="1" applyProtection="1">
      <alignment vertical="center" wrapText="1"/>
    </xf>
    <xf numFmtId="0" fontId="76" fillId="2" borderId="0" xfId="0" applyFont="1" applyFill="1" applyBorder="1" applyAlignment="1" applyProtection="1">
      <alignment vertical="center" wrapText="1"/>
    </xf>
    <xf numFmtId="0" fontId="76" fillId="0" borderId="0" xfId="0" applyFont="1" applyFill="1" applyBorder="1" applyAlignment="1" applyProtection="1">
      <alignment vertical="center"/>
      <protection locked="0"/>
    </xf>
    <xf numFmtId="0" fontId="76" fillId="0" borderId="0" xfId="0" applyFont="1" applyFill="1" applyBorder="1" applyAlignment="1" applyProtection="1">
      <alignment vertical="center" wrapText="1"/>
    </xf>
    <xf numFmtId="0" fontId="76" fillId="2" borderId="0" xfId="0" applyFont="1" applyFill="1" applyBorder="1" applyAlignment="1" applyProtection="1">
      <alignment horizontal="center" vertical="center" wrapText="1"/>
    </xf>
    <xf numFmtId="0" fontId="76" fillId="2" borderId="1" xfId="0" applyFont="1" applyFill="1" applyBorder="1" applyAlignment="1" applyProtection="1">
      <alignment horizontal="left" vertical="center"/>
    </xf>
    <xf numFmtId="14" fontId="76" fillId="0" borderId="15" xfId="0" applyNumberFormat="1" applyFont="1" applyFill="1" applyBorder="1" applyAlignment="1" applyProtection="1">
      <alignment horizontal="left" vertical="center"/>
      <protection locked="0"/>
    </xf>
    <xf numFmtId="0" fontId="76" fillId="2" borderId="1" xfId="0" applyFont="1" applyFill="1" applyBorder="1" applyAlignment="1" applyProtection="1">
      <alignment vertical="center" wrapText="1"/>
    </xf>
    <xf numFmtId="0" fontId="76" fillId="2" borderId="6" xfId="0" applyFont="1" applyFill="1" applyBorder="1" applyAlignment="1" applyProtection="1">
      <alignment horizontal="left" vertical="center"/>
    </xf>
    <xf numFmtId="14" fontId="76" fillId="3" borderId="6" xfId="0" applyNumberFormat="1" applyFont="1" applyFill="1" applyBorder="1" applyAlignment="1" applyProtection="1">
      <alignment horizontal="center" vertical="center"/>
      <protection locked="0"/>
    </xf>
    <xf numFmtId="0" fontId="76" fillId="2" borderId="6" xfId="0" applyFont="1" applyFill="1" applyBorder="1" applyAlignment="1" applyProtection="1">
      <alignment horizontal="right" vertical="center" shrinkToFit="1"/>
    </xf>
    <xf numFmtId="0" fontId="76" fillId="2" borderId="6" xfId="0" applyNumberFormat="1" applyFont="1" applyFill="1" applyBorder="1" applyAlignment="1" applyProtection="1">
      <alignment horizontal="right" vertical="center" shrinkToFit="1"/>
    </xf>
    <xf numFmtId="0" fontId="76" fillId="2" borderId="127" xfId="0" applyFont="1" applyFill="1" applyBorder="1" applyAlignment="1" applyProtection="1">
      <alignment vertical="center" wrapText="1"/>
    </xf>
    <xf numFmtId="0" fontId="76" fillId="2" borderId="34" xfId="0" applyFont="1" applyFill="1" applyBorder="1" applyAlignment="1" applyProtection="1">
      <alignment vertical="center" wrapText="1"/>
    </xf>
    <xf numFmtId="0" fontId="76" fillId="5" borderId="98" xfId="0" applyFont="1" applyFill="1" applyBorder="1" applyAlignment="1" applyProtection="1">
      <alignment vertical="center" wrapText="1"/>
    </xf>
    <xf numFmtId="0" fontId="76" fillId="5" borderId="108" xfId="0" applyFont="1" applyFill="1" applyBorder="1" applyAlignment="1" applyProtection="1">
      <alignment vertical="center" wrapText="1"/>
    </xf>
    <xf numFmtId="0" fontId="76" fillId="2" borderId="0" xfId="0" applyFont="1" applyFill="1" applyAlignment="1" applyProtection="1">
      <alignment vertical="center" wrapText="1"/>
    </xf>
    <xf numFmtId="0" fontId="76" fillId="2" borderId="48" xfId="0" applyFont="1" applyFill="1" applyBorder="1" applyAlignment="1" applyProtection="1">
      <alignment vertical="center" wrapText="1"/>
    </xf>
    <xf numFmtId="0" fontId="76" fillId="5" borderId="3" xfId="0" applyFont="1" applyFill="1" applyBorder="1" applyAlignment="1" applyProtection="1">
      <alignment vertical="center" wrapText="1"/>
    </xf>
    <xf numFmtId="0" fontId="76" fillId="5" borderId="111" xfId="0" applyFont="1" applyFill="1" applyBorder="1" applyAlignment="1" applyProtection="1">
      <alignment vertical="center" wrapText="1"/>
    </xf>
    <xf numFmtId="0" fontId="76" fillId="3" borderId="2" xfId="0" applyFont="1" applyFill="1" applyBorder="1" applyAlignment="1" applyProtection="1">
      <alignment horizontal="left" vertical="center" wrapText="1"/>
      <protection locked="0"/>
    </xf>
    <xf numFmtId="0" fontId="76" fillId="3" borderId="3" xfId="0" applyFont="1" applyFill="1" applyBorder="1" applyAlignment="1" applyProtection="1">
      <alignment vertical="center" wrapText="1"/>
    </xf>
    <xf numFmtId="0" fontId="76" fillId="3" borderId="15" xfId="0" applyFont="1" applyFill="1" applyBorder="1" applyAlignment="1" applyProtection="1">
      <alignment horizontal="left" vertical="center"/>
      <protection locked="0"/>
    </xf>
    <xf numFmtId="0" fontId="76" fillId="3" borderId="111" xfId="0" applyFont="1" applyFill="1" applyBorder="1" applyAlignment="1" applyProtection="1">
      <alignment vertical="center" wrapText="1"/>
    </xf>
    <xf numFmtId="0" fontId="76" fillId="3" borderId="127" xfId="0" applyFont="1" applyFill="1" applyBorder="1" applyAlignment="1" applyProtection="1">
      <alignment horizontal="left" vertical="center"/>
      <protection locked="0"/>
    </xf>
    <xf numFmtId="0" fontId="76" fillId="3" borderId="128" xfId="0" applyFont="1" applyFill="1" applyBorder="1" applyAlignment="1" applyProtection="1">
      <alignment vertical="center" wrapText="1"/>
    </xf>
    <xf numFmtId="0" fontId="76" fillId="3" borderId="135" xfId="0" applyFont="1" applyFill="1" applyBorder="1" applyAlignment="1" applyProtection="1">
      <alignment vertical="center" wrapText="1"/>
    </xf>
    <xf numFmtId="0" fontId="76" fillId="2" borderId="5" xfId="0" applyFont="1" applyFill="1" applyBorder="1" applyAlignment="1" applyProtection="1">
      <alignment vertical="center" wrapText="1"/>
    </xf>
    <xf numFmtId="0" fontId="76" fillId="2" borderId="16" xfId="0" applyFont="1" applyFill="1" applyBorder="1" applyAlignment="1" applyProtection="1">
      <alignment horizontal="left" vertical="center"/>
    </xf>
    <xf numFmtId="0" fontId="76" fillId="7" borderId="108" xfId="0" applyFont="1" applyFill="1" applyBorder="1" applyAlignment="1" applyProtection="1">
      <alignment horizontal="center" vertical="center" wrapText="1"/>
      <protection locked="0"/>
    </xf>
    <xf numFmtId="49" fontId="76" fillId="2" borderId="16" xfId="0" applyNumberFormat="1" applyFont="1" applyFill="1" applyBorder="1" applyAlignment="1" applyProtection="1">
      <alignment horizontal="left" vertical="center" wrapText="1"/>
    </xf>
    <xf numFmtId="0" fontId="76" fillId="0" borderId="98" xfId="0" applyFont="1" applyFill="1" applyBorder="1" applyAlignment="1" applyProtection="1">
      <alignment vertical="center" wrapText="1"/>
    </xf>
    <xf numFmtId="0" fontId="76" fillId="5" borderId="98" xfId="0" applyFont="1" applyFill="1" applyBorder="1" applyAlignment="1" applyProtection="1">
      <alignment horizontal="center" vertical="center" wrapText="1"/>
    </xf>
    <xf numFmtId="0" fontId="76" fillId="2" borderId="48" xfId="0" applyFont="1" applyFill="1" applyBorder="1" applyAlignment="1" applyProtection="1">
      <alignment horizontal="left" vertical="center"/>
    </xf>
    <xf numFmtId="0" fontId="76" fillId="5" borderId="4" xfId="0" applyFont="1" applyFill="1" applyBorder="1" applyAlignment="1" applyProtection="1">
      <alignment vertical="center" wrapText="1"/>
    </xf>
    <xf numFmtId="49" fontId="76" fillId="2" borderId="15" xfId="0" applyNumberFormat="1" applyFont="1" applyFill="1" applyBorder="1" applyAlignment="1" applyProtection="1">
      <alignment horizontal="left" vertical="center" wrapText="1"/>
    </xf>
    <xf numFmtId="49" fontId="61" fillId="2" borderId="1" xfId="0" applyNumberFormat="1" applyFont="1" applyFill="1" applyBorder="1" applyAlignment="1" applyProtection="1">
      <alignment horizontal="center" vertical="center" wrapText="1"/>
    </xf>
    <xf numFmtId="0" fontId="76" fillId="2" borderId="64" xfId="0" applyFont="1" applyFill="1" applyBorder="1" applyAlignment="1" applyProtection="1">
      <alignment horizontal="left" vertical="center"/>
    </xf>
    <xf numFmtId="0" fontId="76" fillId="7" borderId="64" xfId="0" applyFont="1" applyFill="1" applyBorder="1" applyAlignment="1" applyProtection="1">
      <alignment horizontal="left" vertical="center" wrapText="1"/>
    </xf>
    <xf numFmtId="0" fontId="76" fillId="2" borderId="98" xfId="0" applyFont="1" applyFill="1" applyBorder="1" applyAlignment="1" applyProtection="1">
      <alignment vertical="center" wrapText="1"/>
    </xf>
    <xf numFmtId="195" fontId="76" fillId="0" borderId="1" xfId="0" applyNumberFormat="1" applyFont="1" applyFill="1" applyBorder="1" applyAlignment="1" applyProtection="1">
      <alignment horizontal="center" vertical="center" shrinkToFit="1"/>
      <protection locked="0"/>
    </xf>
    <xf numFmtId="182" fontId="76" fillId="3" borderId="1" xfId="10" applyNumberFormat="1" applyFont="1" applyFill="1" applyBorder="1" applyAlignment="1" applyProtection="1">
      <alignment horizontal="center" vertical="center"/>
      <protection locked="0"/>
    </xf>
    <xf numFmtId="0" fontId="76" fillId="7" borderId="16" xfId="0" applyFont="1" applyFill="1" applyBorder="1" applyAlignment="1" applyProtection="1">
      <alignment horizontal="left" vertical="center" wrapText="1"/>
    </xf>
    <xf numFmtId="185" fontId="76" fillId="2" borderId="1" xfId="0" applyNumberFormat="1" applyFont="1" applyFill="1" applyBorder="1" applyAlignment="1" applyProtection="1">
      <alignment horizontal="center" vertical="center" wrapText="1"/>
    </xf>
    <xf numFmtId="49" fontId="76" fillId="2" borderId="64" xfId="0" applyNumberFormat="1" applyFont="1" applyFill="1" applyBorder="1" applyAlignment="1" applyProtection="1">
      <alignment horizontal="left" vertical="center" wrapText="1"/>
    </xf>
    <xf numFmtId="0" fontId="76" fillId="2" borderId="15" xfId="0" applyFont="1" applyFill="1" applyBorder="1" applyAlignment="1" applyProtection="1">
      <alignment horizontal="left" vertical="center"/>
    </xf>
    <xf numFmtId="0" fontId="76" fillId="2" borderId="1" xfId="0" applyFont="1" applyFill="1" applyBorder="1" applyAlignment="1" applyProtection="1">
      <alignment horizontal="center" vertical="center" wrapText="1"/>
    </xf>
    <xf numFmtId="0" fontId="76" fillId="2" borderId="1" xfId="0" applyFont="1" applyFill="1" applyBorder="1" applyAlignment="1" applyProtection="1">
      <alignment horizontal="left" vertical="center" wrapText="1"/>
    </xf>
    <xf numFmtId="0" fontId="76" fillId="3" borderId="121" xfId="0" applyFont="1" applyFill="1" applyBorder="1" applyAlignment="1" applyProtection="1">
      <alignment horizontal="left" vertical="center" wrapText="1"/>
      <protection locked="0"/>
    </xf>
    <xf numFmtId="0" fontId="76" fillId="2" borderId="6" xfId="0" applyFont="1" applyFill="1" applyBorder="1" applyAlignment="1" applyProtection="1">
      <alignment horizontal="center" vertical="center" wrapText="1"/>
    </xf>
    <xf numFmtId="0" fontId="76" fillId="2" borderId="6" xfId="0" applyFont="1" applyFill="1" applyBorder="1" applyAlignment="1" applyProtection="1">
      <alignment horizontal="left" vertical="center" wrapText="1"/>
    </xf>
    <xf numFmtId="0" fontId="36" fillId="3" borderId="64" xfId="0" applyFont="1" applyFill="1" applyBorder="1" applyAlignment="1" applyProtection="1">
      <alignment horizontal="center" vertical="center" wrapText="1"/>
      <protection locked="0"/>
    </xf>
    <xf numFmtId="0" fontId="36" fillId="2" borderId="20" xfId="0" applyFont="1" applyFill="1" applyBorder="1" applyAlignment="1" applyProtection="1">
      <alignment horizontal="center" vertical="center" wrapText="1"/>
    </xf>
    <xf numFmtId="0" fontId="36" fillId="3" borderId="20" xfId="0" applyFont="1" applyFill="1" applyBorder="1" applyAlignment="1" applyProtection="1">
      <alignment horizontal="center" vertical="center" wrapText="1"/>
      <protection locked="0"/>
    </xf>
    <xf numFmtId="0" fontId="43" fillId="2" borderId="20" xfId="0" applyFont="1" applyFill="1" applyBorder="1" applyAlignment="1" applyProtection="1">
      <alignment vertical="center" wrapText="1"/>
    </xf>
    <xf numFmtId="0" fontId="36" fillId="3" borderId="114" xfId="0" applyFont="1" applyFill="1" applyBorder="1" applyAlignment="1" applyProtection="1">
      <alignment horizontal="center" vertical="center" wrapText="1"/>
      <protection locked="0"/>
    </xf>
    <xf numFmtId="0" fontId="36" fillId="2" borderId="2" xfId="0" applyFont="1" applyFill="1" applyBorder="1" applyAlignment="1" applyProtection="1">
      <alignment horizontal="right" vertical="center" wrapText="1"/>
    </xf>
    <xf numFmtId="0" fontId="36" fillId="2" borderId="130" xfId="0" applyFont="1" applyFill="1" applyBorder="1" applyAlignment="1" applyProtection="1">
      <alignment vertical="center"/>
    </xf>
    <xf numFmtId="0" fontId="106" fillId="3" borderId="10" xfId="0" applyFont="1" applyFill="1" applyBorder="1" applyAlignment="1" applyProtection="1">
      <alignment horizontal="center" vertical="center" wrapText="1"/>
      <protection locked="0"/>
    </xf>
    <xf numFmtId="0" fontId="36" fillId="3" borderId="11" xfId="0" applyFont="1" applyFill="1" applyBorder="1" applyAlignment="1" applyProtection="1">
      <alignment horizontal="center" vertical="center" wrapText="1"/>
      <protection locked="0"/>
    </xf>
    <xf numFmtId="0" fontId="39" fillId="0" borderId="10" xfId="0" applyFont="1" applyBorder="1" applyAlignment="1" applyProtection="1">
      <alignment vertical="center" wrapText="1"/>
      <protection locked="0"/>
    </xf>
    <xf numFmtId="0" fontId="36" fillId="3" borderId="2" xfId="0" applyFont="1" applyFill="1" applyBorder="1" applyAlignment="1" applyProtection="1">
      <alignment horizontal="center" vertical="center" wrapText="1"/>
      <protection locked="0"/>
    </xf>
    <xf numFmtId="0" fontId="36" fillId="0" borderId="126" xfId="0" applyFont="1" applyBorder="1" applyAlignment="1" applyProtection="1">
      <alignment vertical="center" wrapText="1"/>
      <protection locked="0"/>
    </xf>
    <xf numFmtId="0" fontId="106" fillId="3" borderId="10" xfId="0" applyFont="1" applyFill="1" applyBorder="1" applyAlignment="1" applyProtection="1">
      <alignment horizontal="center" vertical="center" wrapText="1" shrinkToFit="1"/>
      <protection locked="0"/>
    </xf>
    <xf numFmtId="0" fontId="76" fillId="2" borderId="23" xfId="0" applyFont="1" applyFill="1" applyBorder="1" applyAlignment="1" applyProtection="1">
      <alignment vertical="center" wrapText="1"/>
    </xf>
    <xf numFmtId="0" fontId="36" fillId="2" borderId="30" xfId="0" applyFont="1" applyFill="1" applyBorder="1" applyAlignment="1" applyProtection="1">
      <alignment horizontal="right" vertical="center" wrapText="1"/>
    </xf>
    <xf numFmtId="195" fontId="39" fillId="0" borderId="11" xfId="0" applyNumberFormat="1" applyFont="1" applyFill="1" applyBorder="1" applyAlignment="1" applyProtection="1">
      <alignment horizontal="left" vertical="center" shrinkToFit="1"/>
      <protection locked="0"/>
    </xf>
    <xf numFmtId="0" fontId="36" fillId="2" borderId="49" xfId="0" applyFont="1" applyFill="1" applyBorder="1" applyAlignment="1" applyProtection="1">
      <alignment horizontal="right" vertical="center" wrapText="1"/>
    </xf>
    <xf numFmtId="195" fontId="39" fillId="0" borderId="39" xfId="0" applyNumberFormat="1" applyFont="1" applyFill="1" applyBorder="1" applyAlignment="1" applyProtection="1">
      <alignment horizontal="left" vertical="center" shrinkToFit="1"/>
      <protection locked="0"/>
    </xf>
    <xf numFmtId="0" fontId="36" fillId="2" borderId="30" xfId="0" applyFont="1" applyFill="1" applyBorder="1" applyAlignment="1" applyProtection="1">
      <alignment horizontal="left" vertical="center" wrapText="1"/>
    </xf>
    <xf numFmtId="0" fontId="39" fillId="0" borderId="11" xfId="0" applyFont="1" applyFill="1" applyBorder="1" applyAlignment="1" applyProtection="1">
      <alignment horizontal="left" vertical="center" wrapText="1"/>
      <protection locked="0"/>
    </xf>
    <xf numFmtId="0" fontId="39" fillId="0" borderId="42" xfId="0" applyFont="1" applyFill="1" applyBorder="1" applyAlignment="1" applyProtection="1">
      <alignment horizontal="left" vertical="center" wrapText="1"/>
      <protection locked="0"/>
    </xf>
    <xf numFmtId="0" fontId="36" fillId="2" borderId="136" xfId="0" applyFont="1" applyFill="1" applyBorder="1" applyAlignment="1" applyProtection="1">
      <alignment horizontal="left" vertical="center" wrapText="1"/>
    </xf>
    <xf numFmtId="0" fontId="36" fillId="2" borderId="142" xfId="0" applyFont="1" applyFill="1" applyBorder="1" applyAlignment="1" applyProtection="1">
      <alignment horizontal="right" vertical="center" wrapText="1"/>
    </xf>
    <xf numFmtId="0" fontId="39" fillId="0" borderId="124" xfId="0" applyFont="1" applyFill="1" applyBorder="1" applyAlignment="1" applyProtection="1">
      <alignment horizontal="left" vertical="center" wrapText="1"/>
      <protection locked="0"/>
    </xf>
    <xf numFmtId="0" fontId="36" fillId="2" borderId="136" xfId="0" applyFont="1" applyFill="1" applyBorder="1" applyAlignment="1" applyProtection="1">
      <alignment horizontal="right" vertical="center" wrapText="1"/>
    </xf>
    <xf numFmtId="0" fontId="39" fillId="0" borderId="143" xfId="0" applyFont="1" applyFill="1" applyBorder="1" applyAlignment="1" applyProtection="1">
      <alignment horizontal="left" vertical="center" wrapText="1"/>
      <protection locked="0"/>
    </xf>
    <xf numFmtId="0" fontId="76" fillId="2" borderId="153" xfId="0" applyFont="1" applyFill="1" applyBorder="1" applyAlignment="1" applyProtection="1">
      <alignment vertical="center" wrapText="1"/>
    </xf>
    <xf numFmtId="0" fontId="76" fillId="7" borderId="34" xfId="0" applyFont="1" applyFill="1" applyBorder="1" applyAlignment="1" applyProtection="1">
      <alignment vertical="center"/>
      <protection locked="0"/>
    </xf>
    <xf numFmtId="0" fontId="76" fillId="7" borderId="108" xfId="0" applyFont="1" applyFill="1" applyBorder="1" applyAlignment="1" applyProtection="1">
      <alignment vertical="center" wrapText="1"/>
    </xf>
    <xf numFmtId="0" fontId="76" fillId="7" borderId="108" xfId="0" applyFont="1" applyFill="1" applyBorder="1" applyAlignment="1" applyProtection="1">
      <alignment horizontal="left" vertical="center"/>
      <protection locked="0"/>
    </xf>
    <xf numFmtId="0" fontId="76" fillId="0" borderId="16" xfId="0" applyFont="1" applyBorder="1" applyAlignment="1" applyProtection="1">
      <alignment horizontal="left" vertical="center" wrapText="1"/>
      <protection locked="0"/>
    </xf>
    <xf numFmtId="0" fontId="76" fillId="7" borderId="2" xfId="0" applyFont="1" applyFill="1" applyBorder="1" applyAlignment="1" applyProtection="1">
      <alignment vertical="center"/>
      <protection locked="0"/>
    </xf>
    <xf numFmtId="0" fontId="76" fillId="7" borderId="4" xfId="0" applyFont="1" applyFill="1" applyBorder="1" applyAlignment="1" applyProtection="1">
      <alignment vertical="center"/>
    </xf>
    <xf numFmtId="0" fontId="76" fillId="3" borderId="4" xfId="0" applyFont="1" applyFill="1" applyBorder="1" applyAlignment="1" applyProtection="1">
      <alignment horizontal="center" vertical="center" wrapText="1"/>
      <protection locked="0"/>
    </xf>
    <xf numFmtId="0" fontId="76" fillId="2" borderId="2" xfId="0" applyFont="1" applyFill="1" applyBorder="1" applyAlignment="1" applyProtection="1">
      <alignment horizontal="left" vertical="center"/>
    </xf>
    <xf numFmtId="0" fontId="76" fillId="2" borderId="4" xfId="0" applyFont="1" applyFill="1" applyBorder="1" applyAlignment="1" applyProtection="1">
      <alignment vertical="center" wrapText="1"/>
    </xf>
    <xf numFmtId="0" fontId="76" fillId="0" borderId="1" xfId="0" applyFont="1" applyBorder="1" applyAlignment="1" applyProtection="1">
      <alignment horizontal="left" vertical="center"/>
      <protection locked="0"/>
    </xf>
    <xf numFmtId="0" fontId="76" fillId="3" borderId="111" xfId="0" applyFont="1" applyFill="1" applyBorder="1" applyAlignment="1" applyProtection="1">
      <alignment horizontal="center" vertical="center" wrapText="1"/>
      <protection locked="0"/>
    </xf>
    <xf numFmtId="0" fontId="76" fillId="2" borderId="111" xfId="0" applyFont="1" applyFill="1" applyBorder="1" applyAlignment="1" applyProtection="1">
      <alignment vertical="center" wrapText="1"/>
    </xf>
    <xf numFmtId="0" fontId="76" fillId="0" borderId="15" xfId="0" applyFont="1" applyBorder="1" applyAlignment="1" applyProtection="1">
      <alignment horizontal="left" vertical="center"/>
      <protection locked="0"/>
    </xf>
    <xf numFmtId="0" fontId="27" fillId="3" borderId="1" xfId="0" applyFont="1" applyFill="1" applyBorder="1" applyAlignment="1" applyProtection="1">
      <alignment horizontal="center" vertical="center" wrapText="1"/>
      <protection locked="0"/>
    </xf>
    <xf numFmtId="0" fontId="76" fillId="2" borderId="15" xfId="0" applyNumberFormat="1" applyFont="1" applyFill="1" applyBorder="1" applyAlignment="1" applyProtection="1">
      <alignment vertical="center" wrapText="1"/>
    </xf>
    <xf numFmtId="0" fontId="76" fillId="2" borderId="1" xfId="0" applyNumberFormat="1" applyFont="1" applyFill="1" applyBorder="1" applyAlignment="1" applyProtection="1">
      <alignment horizontal="center" vertical="center" wrapText="1"/>
    </xf>
    <xf numFmtId="0" fontId="76" fillId="2" borderId="50" xfId="0" applyNumberFormat="1" applyFont="1" applyFill="1" applyBorder="1" applyAlignment="1" applyProtection="1">
      <alignment vertical="center" wrapText="1"/>
    </xf>
    <xf numFmtId="0" fontId="76" fillId="0" borderId="1" xfId="0" applyNumberFormat="1" applyFont="1" applyFill="1" applyBorder="1" applyAlignment="1" applyProtection="1">
      <alignment horizontal="center" vertical="center" wrapText="1"/>
      <protection locked="0"/>
    </xf>
    <xf numFmtId="0" fontId="76" fillId="2" borderId="64" xfId="0" applyNumberFormat="1" applyFont="1" applyFill="1" applyBorder="1" applyAlignment="1" applyProtection="1">
      <alignment vertical="center" wrapText="1"/>
    </xf>
    <xf numFmtId="0" fontId="76" fillId="3" borderId="1" xfId="0" applyNumberFormat="1" applyFont="1" applyFill="1" applyBorder="1" applyAlignment="1" applyProtection="1">
      <alignment horizontal="center" vertical="center" wrapText="1"/>
      <protection locked="0"/>
    </xf>
    <xf numFmtId="0" fontId="76" fillId="2" borderId="6" xfId="0" applyNumberFormat="1" applyFont="1" applyFill="1" applyBorder="1" applyAlignment="1" applyProtection="1">
      <alignment vertical="center" wrapText="1"/>
    </xf>
    <xf numFmtId="0" fontId="76" fillId="3" borderId="6" xfId="0" applyNumberFormat="1" applyFont="1" applyFill="1" applyBorder="1" applyAlignment="1" applyProtection="1">
      <alignment horizontal="center" vertical="center" wrapText="1"/>
      <protection locked="0"/>
    </xf>
    <xf numFmtId="0" fontId="76" fillId="0" borderId="6" xfId="0" applyNumberFormat="1" applyFont="1" applyFill="1" applyBorder="1" applyAlignment="1" applyProtection="1">
      <alignment horizontal="center" vertical="center" wrapText="1"/>
      <protection locked="0"/>
    </xf>
    <xf numFmtId="0" fontId="31" fillId="2" borderId="151" xfId="0" applyFont="1" applyFill="1" applyBorder="1" applyAlignment="1" applyProtection="1">
      <alignment vertical="center"/>
    </xf>
    <xf numFmtId="0" fontId="71" fillId="2" borderId="151" xfId="0" applyFont="1" applyFill="1" applyBorder="1" applyAlignment="1" applyProtection="1">
      <alignment vertical="center" wrapText="1"/>
    </xf>
    <xf numFmtId="0" fontId="61" fillId="2" borderId="3" xfId="0" applyFont="1" applyFill="1" applyBorder="1" applyAlignment="1" applyProtection="1">
      <alignment vertical="center" wrapText="1"/>
    </xf>
    <xf numFmtId="0" fontId="61" fillId="2" borderId="4" xfId="0" applyFont="1" applyFill="1" applyBorder="1" applyAlignment="1" applyProtection="1">
      <alignment vertical="center" wrapText="1"/>
    </xf>
    <xf numFmtId="0" fontId="76" fillId="2" borderId="50" xfId="0" applyFont="1" applyFill="1" applyBorder="1" applyAlignment="1" applyProtection="1">
      <alignment vertical="center" wrapText="1"/>
    </xf>
    <xf numFmtId="49" fontId="61" fillId="2" borderId="0" xfId="0" applyNumberFormat="1" applyFont="1" applyFill="1" applyAlignment="1" applyProtection="1">
      <alignment horizontal="center" vertical="center" wrapText="1"/>
    </xf>
    <xf numFmtId="0" fontId="76" fillId="2" borderId="135" xfId="0" applyFont="1" applyFill="1" applyBorder="1" applyAlignment="1" applyProtection="1">
      <alignment vertical="center" wrapText="1"/>
    </xf>
    <xf numFmtId="0" fontId="76" fillId="2" borderId="50" xfId="0" applyNumberFormat="1" applyFont="1" applyFill="1" applyBorder="1" applyAlignment="1" applyProtection="1">
      <alignment horizontal="left" vertical="center"/>
    </xf>
    <xf numFmtId="0" fontId="76" fillId="2" borderId="50" xfId="0" applyNumberFormat="1" applyFont="1" applyFill="1" applyBorder="1" applyAlignment="1" applyProtection="1">
      <alignment horizontal="center" vertical="center" wrapText="1"/>
    </xf>
    <xf numFmtId="49" fontId="76" fillId="2" borderId="50" xfId="0" applyNumberFormat="1" applyFont="1" applyFill="1" applyBorder="1" applyAlignment="1" applyProtection="1">
      <alignment horizontal="center" vertical="center" wrapText="1"/>
    </xf>
    <xf numFmtId="195" fontId="36" fillId="0" borderId="1" xfId="0" applyNumberFormat="1" applyFont="1" applyFill="1" applyBorder="1" applyAlignment="1" applyProtection="1">
      <alignment horizontal="center" vertical="center" shrinkToFit="1"/>
      <protection locked="0"/>
    </xf>
    <xf numFmtId="182" fontId="76" fillId="2" borderId="50" xfId="0" applyNumberFormat="1" applyFont="1" applyFill="1" applyBorder="1" applyAlignment="1" applyProtection="1">
      <alignment horizontal="center" vertical="center" wrapText="1"/>
    </xf>
    <xf numFmtId="185" fontId="76" fillId="2" borderId="50" xfId="0" applyNumberFormat="1" applyFont="1" applyFill="1" applyBorder="1" applyAlignment="1" applyProtection="1">
      <alignment horizontal="center" vertical="center" wrapText="1"/>
    </xf>
    <xf numFmtId="0" fontId="61" fillId="2" borderId="0" xfId="0" applyNumberFormat="1" applyFont="1" applyFill="1" applyAlignment="1" applyProtection="1">
      <alignment horizontal="center" vertical="center" wrapText="1"/>
    </xf>
    <xf numFmtId="0" fontId="61" fillId="2" borderId="0" xfId="0" applyNumberFormat="1" applyFont="1" applyFill="1" applyAlignment="1" applyProtection="1">
      <alignment vertical="center" wrapText="1"/>
    </xf>
    <xf numFmtId="185" fontId="76" fillId="2" borderId="50" xfId="0" applyNumberFormat="1" applyFont="1" applyFill="1" applyBorder="1" applyAlignment="1" applyProtection="1">
      <alignment horizontal="left" vertical="center"/>
    </xf>
    <xf numFmtId="49" fontId="61" fillId="2" borderId="50" xfId="0" applyNumberFormat="1" applyFont="1" applyFill="1" applyBorder="1" applyAlignment="1" applyProtection="1">
      <alignment horizontal="center" vertical="center" wrapText="1"/>
    </xf>
    <xf numFmtId="0" fontId="71" fillId="2" borderId="154" xfId="0" applyFont="1" applyFill="1" applyBorder="1" applyAlignment="1" applyProtection="1">
      <alignment vertical="center" wrapText="1"/>
    </xf>
    <xf numFmtId="0" fontId="71" fillId="2" borderId="151" xfId="0" applyFont="1" applyFill="1" applyBorder="1" applyAlignment="1" applyProtection="1">
      <alignment horizontal="center" vertical="center" wrapText="1"/>
    </xf>
    <xf numFmtId="0" fontId="61" fillId="2" borderId="0" xfId="0" applyFont="1" applyFill="1" applyBorder="1" applyAlignment="1" applyProtection="1">
      <alignment horizontal="center" vertical="center" wrapText="1"/>
    </xf>
    <xf numFmtId="49" fontId="61" fillId="2" borderId="2" xfId="0" applyNumberFormat="1" applyFont="1" applyFill="1" applyBorder="1" applyAlignment="1" applyProtection="1">
      <alignment horizontal="center" vertical="center" wrapText="1"/>
    </xf>
    <xf numFmtId="49" fontId="61" fillId="0" borderId="1" xfId="0" applyNumberFormat="1" applyFont="1" applyBorder="1" applyAlignment="1" applyProtection="1">
      <alignment horizontal="center" vertical="center" wrapText="1"/>
      <protection locked="0"/>
    </xf>
    <xf numFmtId="49" fontId="61" fillId="0" borderId="2" xfId="0" applyNumberFormat="1" applyFont="1" applyBorder="1" applyAlignment="1" applyProtection="1">
      <alignment vertical="center" wrapText="1"/>
      <protection locked="0"/>
    </xf>
    <xf numFmtId="183" fontId="61" fillId="2" borderId="1" xfId="0" applyNumberFormat="1" applyFont="1" applyFill="1" applyBorder="1" applyAlignment="1" applyProtection="1">
      <alignment vertical="center" wrapText="1"/>
    </xf>
    <xf numFmtId="0" fontId="61" fillId="2" borderId="0" xfId="0" applyFont="1" applyFill="1" applyAlignment="1" applyProtection="1">
      <alignment vertical="center" wrapText="1"/>
      <protection locked="0"/>
    </xf>
    <xf numFmtId="0" fontId="111" fillId="0" borderId="0" xfId="0" applyFont="1" applyAlignment="1" applyProtection="1">
      <alignment horizontal="center" vertical="center" wrapText="1"/>
    </xf>
    <xf numFmtId="0" fontId="111" fillId="0" borderId="0" xfId="0" applyFont="1" applyBorder="1" applyAlignment="1" applyProtection="1">
      <alignment horizontal="center" vertical="center"/>
    </xf>
    <xf numFmtId="0" fontId="111" fillId="0" borderId="0" xfId="0" applyFont="1" applyProtection="1">
      <alignment vertical="center"/>
    </xf>
    <xf numFmtId="0" fontId="111" fillId="2" borderId="0" xfId="0" applyFont="1" applyFill="1" applyProtection="1">
      <alignment vertical="center"/>
    </xf>
    <xf numFmtId="0" fontId="111" fillId="2" borderId="0" xfId="0" applyFont="1" applyFill="1" applyAlignment="1" applyProtection="1">
      <alignment horizontal="center" vertical="center"/>
    </xf>
    <xf numFmtId="0" fontId="117" fillId="2" borderId="119" xfId="0" applyFont="1" applyFill="1" applyBorder="1" applyAlignment="1" applyProtection="1">
      <alignment horizontal="center" vertical="center" wrapText="1"/>
    </xf>
    <xf numFmtId="0" fontId="111" fillId="2" borderId="64" xfId="0" applyFont="1" applyFill="1" applyBorder="1" applyAlignment="1" applyProtection="1">
      <alignment horizontal="center" vertical="center" wrapText="1"/>
    </xf>
    <xf numFmtId="0" fontId="111" fillId="2" borderId="0" xfId="0" applyFont="1" applyFill="1" applyBorder="1" applyAlignment="1" applyProtection="1">
      <alignment horizontal="center" vertical="center" wrapText="1"/>
    </xf>
    <xf numFmtId="0" fontId="111" fillId="2" borderId="0" xfId="0" applyFont="1" applyFill="1" applyAlignment="1" applyProtection="1">
      <alignment horizontal="center" vertical="center" wrapText="1"/>
    </xf>
    <xf numFmtId="0" fontId="111" fillId="0" borderId="1" xfId="0" applyFont="1" applyBorder="1" applyAlignment="1" applyProtection="1">
      <alignment horizontal="left" vertical="center"/>
      <protection locked="0"/>
    </xf>
    <xf numFmtId="0" fontId="111" fillId="2" borderId="0" xfId="0" applyFont="1" applyFill="1" applyBorder="1" applyAlignment="1" applyProtection="1">
      <alignment horizontal="center" vertical="center"/>
      <protection locked="0"/>
    </xf>
    <xf numFmtId="0" fontId="117" fillId="0" borderId="1" xfId="0" applyFont="1" applyBorder="1" applyAlignment="1" applyProtection="1">
      <alignment horizontal="left" vertical="center"/>
      <protection locked="0"/>
    </xf>
    <xf numFmtId="0" fontId="111" fillId="2" borderId="0" xfId="0" applyFont="1" applyFill="1" applyAlignment="1" applyProtection="1">
      <alignment horizontal="center" vertical="center"/>
      <protection locked="0"/>
    </xf>
    <xf numFmtId="0" fontId="117" fillId="2" borderId="0" xfId="0" applyFont="1" applyFill="1" applyBorder="1" applyAlignment="1" applyProtection="1">
      <alignment horizontal="center" vertical="center"/>
      <protection locked="0"/>
    </xf>
    <xf numFmtId="0" fontId="111" fillId="2" borderId="0" xfId="0" applyFont="1" applyFill="1" applyBorder="1" applyAlignment="1" applyProtection="1">
      <alignment horizontal="left" vertical="center"/>
    </xf>
    <xf numFmtId="0" fontId="111" fillId="2" borderId="0" xfId="0" applyFont="1" applyFill="1" applyAlignment="1" applyProtection="1">
      <alignment horizontal="left" vertical="center"/>
    </xf>
    <xf numFmtId="0" fontId="111" fillId="2" borderId="0" xfId="0" applyFont="1" applyFill="1" applyBorder="1" applyAlignment="1" applyProtection="1">
      <alignment horizontal="center" vertical="center"/>
    </xf>
    <xf numFmtId="0" fontId="117" fillId="2" borderId="0" xfId="0" applyFont="1" applyFill="1" applyAlignment="1" applyProtection="1">
      <alignment horizontal="center" vertical="center" wrapText="1"/>
    </xf>
    <xf numFmtId="0" fontId="117" fillId="2" borderId="0" xfId="0" applyNumberFormat="1" applyFont="1" applyFill="1" applyBorder="1" applyAlignment="1" applyProtection="1">
      <alignment horizontal="center" vertical="center" wrapText="1"/>
    </xf>
    <xf numFmtId="0" fontId="111" fillId="0" borderId="0" xfId="13" applyFill="1">
      <alignment vertical="center"/>
    </xf>
    <xf numFmtId="0" fontId="118" fillId="0" borderId="0" xfId="13" applyFont="1">
      <alignment vertical="center"/>
    </xf>
    <xf numFmtId="0" fontId="119" fillId="0" borderId="0" xfId="13" applyFont="1">
      <alignment vertical="center"/>
    </xf>
    <xf numFmtId="0" fontId="111" fillId="0" borderId="0" xfId="13">
      <alignment vertical="center"/>
    </xf>
    <xf numFmtId="0" fontId="12" fillId="0" borderId="0" xfId="13" applyFont="1" applyAlignment="1">
      <alignment horizontal="right" vertical="center"/>
    </xf>
    <xf numFmtId="14" fontId="120" fillId="0" borderId="0" xfId="13" applyNumberFormat="1" applyFont="1" applyAlignment="1">
      <alignment horizontal="left" vertical="center"/>
    </xf>
    <xf numFmtId="0" fontId="121" fillId="0" borderId="0" xfId="13" applyFont="1">
      <alignment vertical="center"/>
    </xf>
    <xf numFmtId="0" fontId="122" fillId="3" borderId="15" xfId="13" applyFont="1" applyFill="1" applyBorder="1" applyAlignment="1">
      <alignment vertical="center"/>
    </xf>
    <xf numFmtId="0" fontId="123" fillId="0" borderId="1" xfId="13" applyFont="1" applyBorder="1" applyAlignment="1">
      <alignment horizontal="right" vertical="center"/>
    </xf>
    <xf numFmtId="0" fontId="123" fillId="0" borderId="2" xfId="13" applyFont="1" applyBorder="1" applyAlignment="1">
      <alignment horizontal="right" vertical="center"/>
    </xf>
    <xf numFmtId="0" fontId="123" fillId="0" borderId="155" xfId="13" applyFont="1" applyBorder="1" applyAlignment="1">
      <alignment vertical="center"/>
    </xf>
    <xf numFmtId="0" fontId="123" fillId="0" borderId="1" xfId="13" applyFont="1" applyFill="1" applyBorder="1" applyAlignment="1">
      <alignment horizontal="right" vertical="center"/>
    </xf>
    <xf numFmtId="0" fontId="123" fillId="0" borderId="1" xfId="13" applyFont="1" applyFill="1" applyBorder="1">
      <alignment vertical="center"/>
    </xf>
    <xf numFmtId="194" fontId="123" fillId="0" borderId="2" xfId="13" applyNumberFormat="1" applyFont="1" applyFill="1" applyBorder="1" applyAlignment="1">
      <alignment horizontal="right" vertical="center"/>
    </xf>
    <xf numFmtId="0" fontId="123" fillId="0" borderId="155" xfId="13" applyFont="1" applyFill="1" applyBorder="1">
      <alignment vertical="center"/>
    </xf>
    <xf numFmtId="195" fontId="123" fillId="0" borderId="1" xfId="13" applyNumberFormat="1" applyFont="1" applyFill="1" applyBorder="1" applyAlignment="1">
      <alignment horizontal="right" vertical="center"/>
    </xf>
    <xf numFmtId="194" fontId="123" fillId="0" borderId="1" xfId="13" applyNumberFormat="1" applyFont="1" applyFill="1" applyBorder="1" applyAlignment="1">
      <alignment horizontal="right" vertical="center"/>
    </xf>
    <xf numFmtId="0" fontId="123" fillId="0" borderId="1" xfId="13" applyFont="1" applyFill="1" applyBorder="1" applyAlignment="1">
      <alignment horizontal="left" vertical="center"/>
    </xf>
    <xf numFmtId="0" fontId="123" fillId="0" borderId="155" xfId="13" applyFont="1" applyFill="1" applyBorder="1" applyAlignment="1">
      <alignment horizontal="left" vertical="center"/>
    </xf>
    <xf numFmtId="195" fontId="123" fillId="0" borderId="15" xfId="13" applyNumberFormat="1" applyFont="1" applyFill="1" applyBorder="1" applyAlignment="1">
      <alignment horizontal="right" vertical="center"/>
    </xf>
    <xf numFmtId="0" fontId="123" fillId="0" borderId="2" xfId="13" applyFont="1" applyFill="1" applyBorder="1" applyAlignment="1">
      <alignment horizontal="left" vertical="center"/>
    </xf>
    <xf numFmtId="0" fontId="122" fillId="0" borderId="1" xfId="13" applyFont="1" applyFill="1" applyBorder="1" applyAlignment="1">
      <alignment vertical="center"/>
    </xf>
    <xf numFmtId="0" fontId="123" fillId="0" borderId="155" xfId="13" applyFont="1" applyFill="1" applyBorder="1" applyAlignment="1">
      <alignment horizontal="right" vertical="center"/>
    </xf>
    <xf numFmtId="0" fontId="119" fillId="0" borderId="1" xfId="13" applyFont="1" applyBorder="1">
      <alignment vertical="center"/>
    </xf>
    <xf numFmtId="0" fontId="12" fillId="0" borderId="1" xfId="13" applyFont="1" applyBorder="1">
      <alignment vertical="center"/>
    </xf>
    <xf numFmtId="195" fontId="123" fillId="0" borderId="2" xfId="13" applyNumberFormat="1" applyFont="1" applyFill="1" applyBorder="1" applyAlignment="1">
      <alignment horizontal="right" vertical="center"/>
    </xf>
    <xf numFmtId="0" fontId="119" fillId="0" borderId="155" xfId="13" applyFont="1" applyBorder="1">
      <alignment vertical="center"/>
    </xf>
    <xf numFmtId="195" fontId="123" fillId="0" borderId="1" xfId="0" applyNumberFormat="1" applyFont="1" applyFill="1" applyBorder="1" applyAlignment="1">
      <alignment horizontal="right" vertical="center"/>
    </xf>
    <xf numFmtId="14" fontId="119" fillId="0" borderId="2" xfId="13" applyNumberFormat="1" applyFont="1" applyBorder="1">
      <alignment vertical="center"/>
    </xf>
    <xf numFmtId="0" fontId="124" fillId="0" borderId="1" xfId="13" applyFont="1" applyBorder="1">
      <alignment vertical="center"/>
    </xf>
    <xf numFmtId="195" fontId="124" fillId="0" borderId="1" xfId="0" applyNumberFormat="1" applyFont="1" applyFill="1" applyBorder="1" applyAlignment="1">
      <alignment horizontal="right" vertical="center"/>
    </xf>
    <xf numFmtId="14" fontId="111" fillId="0" borderId="0" xfId="13" applyNumberFormat="1">
      <alignment vertical="center"/>
    </xf>
    <xf numFmtId="0" fontId="125" fillId="0" borderId="0" xfId="0" applyFont="1" applyProtection="1">
      <alignment vertical="center"/>
    </xf>
    <xf numFmtId="0" fontId="126" fillId="0" borderId="0" xfId="0" applyFont="1" applyProtection="1">
      <alignment vertical="center"/>
    </xf>
    <xf numFmtId="0" fontId="127" fillId="0" borderId="0" xfId="0" applyFont="1" applyProtection="1">
      <alignment vertical="center"/>
    </xf>
    <xf numFmtId="0" fontId="126" fillId="0" borderId="1" xfId="0" applyFont="1" applyBorder="1" applyAlignment="1" applyProtection="1">
      <alignment horizontal="center" vertical="center" wrapText="1"/>
    </xf>
    <xf numFmtId="0" fontId="111" fillId="0" borderId="0" xfId="0" applyFont="1" applyAlignment="1" applyProtection="1">
      <alignment horizontal="left" vertical="center"/>
    </xf>
    <xf numFmtId="0" fontId="126" fillId="7" borderId="1" xfId="0" applyFont="1" applyFill="1" applyBorder="1" applyAlignment="1" applyProtection="1">
      <alignment horizontal="center" vertical="center" wrapText="1"/>
    </xf>
    <xf numFmtId="0" fontId="126" fillId="2" borderId="1" xfId="0" applyFont="1" applyFill="1" applyBorder="1" applyAlignment="1" applyProtection="1">
      <alignment horizontal="center" vertical="center" wrapText="1"/>
    </xf>
    <xf numFmtId="0" fontId="128" fillId="18" borderId="1" xfId="0" applyFont="1" applyFill="1" applyBorder="1" applyAlignment="1" applyProtection="1">
      <alignment horizontal="center" vertical="center"/>
    </xf>
    <xf numFmtId="0" fontId="129" fillId="0" borderId="1" xfId="0" applyFont="1" applyFill="1" applyBorder="1" applyAlignment="1" applyProtection="1">
      <alignment horizontal="center" vertical="center"/>
    </xf>
    <xf numFmtId="0" fontId="117" fillId="0" borderId="0" xfId="0" applyFont="1" applyProtection="1">
      <alignment vertical="center"/>
    </xf>
    <xf numFmtId="0" fontId="120" fillId="0" borderId="1" xfId="0" applyFont="1" applyBorder="1" applyAlignment="1" applyProtection="1">
      <alignment horizontal="center" vertical="center"/>
    </xf>
    <xf numFmtId="0" fontId="111" fillId="0" borderId="1" xfId="0" applyFont="1" applyBorder="1" applyAlignment="1" applyProtection="1">
      <alignment horizontal="left" vertical="center"/>
    </xf>
    <xf numFmtId="0" fontId="111" fillId="19" borderId="2" xfId="0" applyFont="1" applyFill="1" applyBorder="1" applyAlignment="1" applyProtection="1">
      <alignment vertical="center"/>
    </xf>
    <xf numFmtId="0" fontId="111" fillId="5" borderId="3" xfId="0" applyFont="1" applyFill="1" applyBorder="1" applyAlignment="1" applyProtection="1">
      <alignment vertical="center"/>
    </xf>
    <xf numFmtId="0" fontId="111" fillId="5" borderId="4" xfId="0" applyFont="1" applyFill="1" applyBorder="1" applyAlignment="1" applyProtection="1">
      <alignment vertical="center"/>
    </xf>
    <xf numFmtId="0" fontId="130" fillId="0" borderId="0" xfId="0" applyFont="1" applyProtection="1">
      <alignment vertical="center"/>
    </xf>
    <xf numFmtId="0" fontId="117" fillId="0" borderId="0" xfId="0" applyFont="1" applyAlignment="1" applyProtection="1">
      <alignment horizontal="left" vertical="center"/>
    </xf>
    <xf numFmtId="177" fontId="117" fillId="0" borderId="0" xfId="0" applyNumberFormat="1" applyFont="1" applyAlignment="1" applyProtection="1">
      <alignment horizontal="left" vertical="center"/>
    </xf>
    <xf numFmtId="0" fontId="111" fillId="0" borderId="0" xfId="0" applyFont="1" applyProtection="1">
      <alignment vertical="center"/>
      <protection locked="0"/>
    </xf>
    <xf numFmtId="0" fontId="131" fillId="0" borderId="0" xfId="0" applyFont="1" applyBorder="1" applyAlignment="1" applyProtection="1">
      <alignment horizontal="left" vertical="center"/>
    </xf>
    <xf numFmtId="0" fontId="111" fillId="0" borderId="0" xfId="0" applyFont="1" applyBorder="1" applyProtection="1">
      <alignment vertical="center"/>
      <protection locked="0"/>
    </xf>
    <xf numFmtId="0" fontId="125" fillId="0" borderId="0" xfId="0" applyFont="1" applyBorder="1" applyProtection="1">
      <alignment vertical="center"/>
      <protection locked="0"/>
    </xf>
    <xf numFmtId="0" fontId="132" fillId="0" borderId="0" xfId="0" applyFont="1" applyBorder="1" applyAlignment="1" applyProtection="1">
      <alignment horizontal="left" vertical="center"/>
    </xf>
    <xf numFmtId="0" fontId="133" fillId="0" borderId="0" xfId="0" applyFont="1" applyBorder="1" applyAlignment="1" applyProtection="1">
      <alignment horizontal="center" vertical="center" wrapText="1"/>
    </xf>
    <xf numFmtId="14" fontId="134" fillId="0" borderId="0" xfId="0" applyNumberFormat="1" applyFont="1" applyFill="1" applyBorder="1" applyAlignment="1" applyProtection="1">
      <alignment horizontal="center" vertical="center" wrapText="1"/>
    </xf>
    <xf numFmtId="0" fontId="134" fillId="0" borderId="0" xfId="0" applyFont="1" applyBorder="1" applyAlignment="1" applyProtection="1">
      <alignment horizontal="center" vertical="center" wrapText="1"/>
    </xf>
    <xf numFmtId="0" fontId="133" fillId="0" borderId="98" xfId="0" applyFont="1" applyBorder="1" applyAlignment="1" applyProtection="1">
      <alignment horizontal="justify" vertical="center" wrapText="1"/>
    </xf>
    <xf numFmtId="0" fontId="133" fillId="0" borderId="0" xfId="0" applyFont="1" applyBorder="1" applyAlignment="1" applyProtection="1">
      <alignment horizontal="right" vertical="center" wrapText="1"/>
    </xf>
    <xf numFmtId="0" fontId="133" fillId="0" borderId="3" xfId="0" applyFont="1" applyBorder="1" applyAlignment="1" applyProtection="1">
      <alignment horizontal="justify" vertical="center" wrapText="1"/>
    </xf>
    <xf numFmtId="0" fontId="135" fillId="0" borderId="0" xfId="0" applyFont="1" applyBorder="1" applyAlignment="1" applyProtection="1">
      <alignment horizontal="center" vertical="center" wrapText="1"/>
      <protection locked="0"/>
    </xf>
    <xf numFmtId="0" fontId="47" fillId="0" borderId="0" xfId="0" applyFont="1" applyProtection="1">
      <alignment vertical="center"/>
    </xf>
    <xf numFmtId="0" fontId="47" fillId="0" borderId="0" xfId="0" applyFont="1" applyAlignment="1" applyProtection="1">
      <alignment vertical="center" wrapText="1"/>
      <protection locked="0"/>
    </xf>
    <xf numFmtId="0" fontId="47" fillId="0" borderId="0" xfId="0" applyFont="1" applyProtection="1">
      <alignment vertical="center"/>
      <protection locked="0"/>
    </xf>
    <xf numFmtId="0" fontId="134" fillId="0" borderId="0" xfId="0" applyFont="1" applyAlignment="1">
      <alignment horizontal="right" vertical="center"/>
    </xf>
    <xf numFmtId="0" fontId="134" fillId="0" borderId="0" xfId="0" applyFont="1">
      <alignment vertical="center"/>
    </xf>
    <xf numFmtId="0" fontId="76" fillId="0" borderId="1" xfId="0" applyFont="1" applyFill="1" applyBorder="1" applyAlignment="1" applyProtection="1">
      <alignment horizontal="center" vertical="center" wrapText="1"/>
    </xf>
    <xf numFmtId="0" fontId="76" fillId="0" borderId="1" xfId="0" applyFont="1" applyFill="1" applyBorder="1" applyAlignment="1" applyProtection="1">
      <alignment horizontal="left" vertical="center" wrapText="1"/>
    </xf>
    <xf numFmtId="0" fontId="134" fillId="0" borderId="0" xfId="0" applyFont="1" applyProtection="1">
      <alignment vertical="center"/>
      <protection locked="0"/>
    </xf>
    <xf numFmtId="0" fontId="47" fillId="0" borderId="0" xfId="14" applyFont="1">
      <alignment vertical="center"/>
    </xf>
    <xf numFmtId="0" fontId="132" fillId="0" borderId="0" xfId="14" applyFont="1" applyProtection="1">
      <alignment vertical="center"/>
    </xf>
    <xf numFmtId="0" fontId="47" fillId="0" borderId="0" xfId="14" applyFont="1" applyProtection="1">
      <alignment vertical="center"/>
    </xf>
    <xf numFmtId="0" fontId="132" fillId="0" borderId="0" xfId="14" applyFont="1" applyAlignment="1" applyProtection="1">
      <alignment horizontal="center" vertical="center"/>
    </xf>
    <xf numFmtId="0" fontId="49" fillId="0" borderId="16" xfId="14" applyFont="1" applyFill="1" applyBorder="1" applyAlignment="1" applyProtection="1">
      <alignment horizontal="left" vertical="center" wrapText="1"/>
    </xf>
    <xf numFmtId="0" fontId="40" fillId="0" borderId="16" xfId="14" applyFont="1" applyFill="1" applyBorder="1" applyAlignment="1" applyProtection="1">
      <alignment horizontal="center" vertical="center" wrapText="1"/>
    </xf>
    <xf numFmtId="0" fontId="108" fillId="0" borderId="1" xfId="14" applyFont="1" applyFill="1" applyBorder="1" applyAlignment="1" applyProtection="1">
      <alignment horizontal="left" vertical="center" wrapText="1"/>
    </xf>
    <xf numFmtId="0" fontId="40" fillId="0" borderId="1" xfId="14" applyFont="1" applyFill="1" applyBorder="1" applyAlignment="1" applyProtection="1">
      <alignment horizontal="center" vertical="center" wrapText="1"/>
    </xf>
    <xf numFmtId="0" fontId="137" fillId="0" borderId="1" xfId="14" applyFont="1" applyFill="1" applyBorder="1" applyAlignment="1" applyProtection="1">
      <alignment horizontal="left" vertical="center" wrapText="1"/>
    </xf>
    <xf numFmtId="0" fontId="76" fillId="0" borderId="2" xfId="14" applyFont="1" applyFill="1" applyBorder="1" applyAlignment="1" applyProtection="1">
      <alignment vertical="center" wrapText="1"/>
    </xf>
    <xf numFmtId="0" fontId="107" fillId="0" borderId="1" xfId="14" applyFont="1" applyFill="1" applyBorder="1" applyAlignment="1" applyProtection="1">
      <alignment horizontal="left" vertical="center" wrapText="1"/>
    </xf>
    <xf numFmtId="0" fontId="76" fillId="0" borderId="1" xfId="14" applyFont="1" applyFill="1" applyBorder="1" applyAlignment="1" applyProtection="1">
      <alignment horizontal="center" vertical="center" wrapText="1"/>
    </xf>
    <xf numFmtId="0" fontId="49" fillId="0" borderId="1" xfId="14" applyFont="1" applyFill="1" applyBorder="1" applyAlignment="1" applyProtection="1">
      <alignment horizontal="left" vertical="center" wrapText="1"/>
    </xf>
    <xf numFmtId="0" fontId="40" fillId="0" borderId="4" xfId="14" applyFont="1" applyFill="1" applyBorder="1" applyAlignment="1" applyProtection="1">
      <alignment horizontal="center" vertical="center" wrapText="1"/>
    </xf>
    <xf numFmtId="0" fontId="76" fillId="0" borderId="4" xfId="14" applyFont="1" applyFill="1" applyBorder="1" applyAlignment="1" applyProtection="1">
      <alignment horizontal="center" vertical="center" wrapText="1"/>
    </xf>
    <xf numFmtId="0" fontId="60" fillId="0" borderId="1" xfId="14" applyFont="1" applyBorder="1" applyAlignment="1">
      <alignment horizontal="center" vertical="center"/>
    </xf>
    <xf numFmtId="0" fontId="108" fillId="0" borderId="6" xfId="14" applyFont="1" applyFill="1" applyBorder="1" applyAlignment="1" applyProtection="1">
      <alignment horizontal="left" vertical="center" wrapText="1"/>
    </xf>
    <xf numFmtId="0" fontId="76" fillId="0" borderId="6" xfId="14" applyFont="1" applyFill="1" applyBorder="1" applyAlignment="1" applyProtection="1">
      <alignment horizontal="center" vertical="center" wrapText="1"/>
    </xf>
    <xf numFmtId="0" fontId="7" fillId="0" borderId="0" xfId="14" applyFont="1" applyProtection="1">
      <alignment vertical="center"/>
    </xf>
    <xf numFmtId="0" fontId="47" fillId="0" borderId="0" xfId="14" applyFont="1" applyProtection="1">
      <alignment vertical="center"/>
      <protection locked="0"/>
    </xf>
    <xf numFmtId="0" fontId="134" fillId="0" borderId="0" xfId="14" applyFont="1" applyProtection="1">
      <alignment vertical="center"/>
      <protection locked="0"/>
    </xf>
    <xf numFmtId="0" fontId="138" fillId="0" borderId="0" xfId="0" applyFont="1" applyBorder="1" applyAlignment="1">
      <alignment horizontal="center" vertical="center"/>
    </xf>
    <xf numFmtId="0" fontId="47" fillId="0" borderId="0" xfId="0" applyFont="1" applyBorder="1">
      <alignment vertical="center"/>
    </xf>
    <xf numFmtId="0" fontId="132" fillId="0" borderId="0" xfId="0" applyFont="1" applyAlignment="1">
      <alignment vertical="center"/>
    </xf>
    <xf numFmtId="0" fontId="134" fillId="0" borderId="0" xfId="0" applyFont="1" applyAlignment="1">
      <alignment vertical="center" wrapText="1"/>
    </xf>
    <xf numFmtId="0" fontId="139" fillId="0" borderId="0" xfId="0" applyFont="1">
      <alignment vertical="center"/>
    </xf>
    <xf numFmtId="0" fontId="140" fillId="0" borderId="0" xfId="0" applyFont="1">
      <alignment vertical="center"/>
    </xf>
    <xf numFmtId="0" fontId="141" fillId="0" borderId="0" xfId="0" applyFont="1" applyAlignment="1" applyProtection="1">
      <alignment vertical="center" wrapText="1"/>
      <protection locked="0"/>
    </xf>
    <xf numFmtId="0" fontId="134" fillId="0" borderId="0" xfId="0" applyFont="1" applyFill="1" applyAlignment="1">
      <alignment vertical="center" wrapText="1"/>
    </xf>
    <xf numFmtId="0" fontId="132" fillId="0" borderId="0" xfId="0" applyFont="1">
      <alignment vertical="center"/>
    </xf>
    <xf numFmtId="195" fontId="134" fillId="0" borderId="0" xfId="0" applyNumberFormat="1" applyFont="1" applyAlignment="1">
      <alignment horizontal="left" vertical="center"/>
    </xf>
    <xf numFmtId="0" fontId="136" fillId="3" borderId="0" xfId="0" applyFont="1" applyFill="1" applyProtection="1">
      <alignment vertical="center"/>
      <protection locked="0"/>
    </xf>
    <xf numFmtId="0" fontId="142" fillId="0" borderId="0" xfId="13" applyFont="1">
      <alignment vertical="center"/>
    </xf>
    <xf numFmtId="0" fontId="142" fillId="0" borderId="0" xfId="13" applyFont="1" applyAlignment="1">
      <alignment vertical="top" wrapText="1"/>
    </xf>
    <xf numFmtId="0" fontId="143" fillId="0" borderId="0" xfId="13" applyFont="1">
      <alignment vertical="center"/>
    </xf>
    <xf numFmtId="0" fontId="144" fillId="0" borderId="5" xfId="0" applyFont="1" applyBorder="1" applyProtection="1">
      <alignment vertical="center"/>
    </xf>
    <xf numFmtId="0" fontId="144" fillId="0" borderId="134" xfId="0" applyFont="1" applyBorder="1" applyProtection="1">
      <alignment vertical="center"/>
    </xf>
    <xf numFmtId="0" fontId="144" fillId="0" borderId="0" xfId="0" applyFont="1" applyBorder="1" applyProtection="1">
      <alignment vertical="center"/>
    </xf>
    <xf numFmtId="0" fontId="144" fillId="0" borderId="0" xfId="3" applyFont="1" applyBorder="1" applyAlignment="1" applyProtection="1">
      <alignment vertical="center" wrapText="1"/>
    </xf>
    <xf numFmtId="0" fontId="144" fillId="0" borderId="0" xfId="0" applyFont="1" applyAlignment="1" applyProtection="1">
      <alignment horizontal="left" vertical="center"/>
    </xf>
    <xf numFmtId="0" fontId="144" fillId="0" borderId="0" xfId="0" applyFont="1" applyProtection="1">
      <alignment vertical="center"/>
    </xf>
    <xf numFmtId="0" fontId="144" fillId="0" borderId="6" xfId="3" applyFont="1" applyBorder="1" applyAlignment="1" applyProtection="1">
      <alignment horizontal="left" vertical="center" wrapText="1"/>
    </xf>
    <xf numFmtId="0" fontId="49" fillId="0" borderId="6" xfId="0" applyFont="1" applyBorder="1" applyAlignment="1" applyProtection="1">
      <alignment horizontal="left" vertical="center"/>
    </xf>
    <xf numFmtId="0" fontId="144" fillId="0" borderId="123" xfId="3" applyFont="1" applyBorder="1" applyAlignment="1" applyProtection="1">
      <alignment vertical="center" wrapText="1"/>
    </xf>
    <xf numFmtId="0" fontId="144" fillId="0" borderId="123" xfId="0" applyFont="1" applyBorder="1" applyAlignment="1" applyProtection="1">
      <alignment horizontal="left" vertical="center"/>
    </xf>
    <xf numFmtId="0" fontId="144" fillId="0" borderId="1" xfId="3" applyFont="1" applyBorder="1" applyAlignment="1" applyProtection="1">
      <alignment vertical="center" wrapText="1"/>
    </xf>
    <xf numFmtId="0" fontId="144" fillId="0" borderId="1" xfId="0" applyFont="1" applyBorder="1" applyAlignment="1" applyProtection="1">
      <alignment horizontal="left" vertical="center"/>
    </xf>
    <xf numFmtId="0" fontId="144" fillId="0" borderId="6" xfId="3" applyFont="1" applyBorder="1" applyAlignment="1" applyProtection="1">
      <alignment vertical="center" wrapText="1"/>
    </xf>
    <xf numFmtId="0" fontId="144" fillId="0" borderId="6" xfId="0" applyFont="1" applyBorder="1" applyAlignment="1" applyProtection="1">
      <alignment horizontal="left" vertical="center"/>
    </xf>
    <xf numFmtId="191" fontId="144" fillId="0" borderId="6" xfId="0" applyNumberFormat="1" applyFont="1" applyBorder="1" applyAlignment="1" applyProtection="1">
      <alignment horizontal="left" vertical="center"/>
    </xf>
    <xf numFmtId="0" fontId="144" fillId="0" borderId="16" xfId="3" applyFont="1" applyBorder="1" applyAlignment="1" applyProtection="1">
      <alignment vertical="center" wrapText="1"/>
    </xf>
    <xf numFmtId="14" fontId="144" fillId="0" borderId="16" xfId="0" applyNumberFormat="1" applyFont="1" applyBorder="1" applyAlignment="1" applyProtection="1">
      <alignment horizontal="left" vertical="center"/>
    </xf>
    <xf numFmtId="14" fontId="144" fillId="0" borderId="1" xfId="0" applyNumberFormat="1" applyFont="1" applyBorder="1" applyAlignment="1" applyProtection="1">
      <alignment horizontal="left" vertical="center"/>
    </xf>
    <xf numFmtId="0" fontId="79" fillId="0" borderId="1" xfId="0" applyFont="1" applyBorder="1" applyAlignment="1">
      <alignment vertical="center" wrapText="1"/>
    </xf>
    <xf numFmtId="0" fontId="79" fillId="0" borderId="1" xfId="0" applyFont="1" applyFill="1" applyBorder="1" applyAlignment="1">
      <alignment vertical="center" wrapText="1"/>
    </xf>
    <xf numFmtId="0" fontId="79" fillId="0" borderId="1" xfId="0" applyFont="1" applyBorder="1" applyAlignment="1">
      <alignment horizontal="left" vertical="center" wrapText="1"/>
    </xf>
    <xf numFmtId="0" fontId="79" fillId="0" borderId="1" xfId="0" applyFont="1" applyFill="1" applyBorder="1" applyAlignment="1">
      <alignment horizontal="left" vertical="center" wrapText="1"/>
    </xf>
    <xf numFmtId="0" fontId="79" fillId="0" borderId="1" xfId="0" applyFont="1" applyBorder="1" applyAlignment="1">
      <alignment horizontal="left" vertical="center"/>
    </xf>
    <xf numFmtId="0" fontId="79" fillId="2" borderId="1" xfId="0" applyFont="1" applyFill="1" applyBorder="1" applyAlignment="1">
      <alignment horizontal="left" vertical="center" wrapText="1"/>
    </xf>
    <xf numFmtId="0" fontId="79" fillId="13" borderId="1" xfId="0" applyFont="1" applyFill="1" applyBorder="1" applyAlignment="1">
      <alignment horizontal="left" vertical="center"/>
    </xf>
    <xf numFmtId="0" fontId="79" fillId="21" borderId="1" xfId="0" applyFont="1" applyFill="1" applyBorder="1" applyAlignment="1">
      <alignment horizontal="left" vertical="center" wrapText="1"/>
    </xf>
    <xf numFmtId="0" fontId="228" fillId="13" borderId="1" xfId="0" applyFont="1" applyFill="1" applyBorder="1" applyAlignment="1">
      <alignment horizontal="left" vertical="center"/>
    </xf>
    <xf numFmtId="0" fontId="228" fillId="13" borderId="1" xfId="0" applyFont="1" applyFill="1" applyBorder="1" applyAlignment="1">
      <alignment horizontal="left" vertical="center" wrapText="1"/>
    </xf>
    <xf numFmtId="0" fontId="79" fillId="21" borderId="1" xfId="0" applyFont="1" applyFill="1" applyBorder="1" applyAlignment="1">
      <alignment horizontal="center" vertical="center" wrapText="1"/>
    </xf>
    <xf numFmtId="0" fontId="79" fillId="21" borderId="1" xfId="0" applyFont="1" applyFill="1" applyBorder="1" applyAlignment="1">
      <alignment vertical="center" wrapText="1"/>
    </xf>
    <xf numFmtId="2" fontId="228" fillId="13" borderId="1" xfId="0" applyNumberFormat="1" applyFont="1" applyFill="1" applyBorder="1" applyAlignment="1">
      <alignment horizontal="left" vertical="center" wrapText="1"/>
    </xf>
    <xf numFmtId="2" fontId="79" fillId="13" borderId="1" xfId="0" applyNumberFormat="1" applyFont="1" applyFill="1" applyBorder="1" applyAlignment="1">
      <alignment horizontal="left" vertical="center" wrapText="1"/>
    </xf>
    <xf numFmtId="0" fontId="79" fillId="13" borderId="1" xfId="0" applyFont="1" applyFill="1" applyBorder="1" applyAlignment="1">
      <alignment horizontal="left" vertical="center" wrapText="1"/>
    </xf>
    <xf numFmtId="31" fontId="79" fillId="0" borderId="1" xfId="0" applyNumberFormat="1" applyFont="1" applyBorder="1" applyAlignment="1">
      <alignment vertical="center" wrapText="1"/>
    </xf>
    <xf numFmtId="2" fontId="228" fillId="0" borderId="1" xfId="0" applyNumberFormat="1" applyFont="1" applyBorder="1" applyAlignment="1">
      <alignment vertical="center" wrapText="1"/>
    </xf>
    <xf numFmtId="0" fontId="79" fillId="13" borderId="1" xfId="0" applyFont="1" applyFill="1" applyBorder="1" applyAlignment="1">
      <alignment vertical="center" wrapText="1"/>
    </xf>
    <xf numFmtId="2" fontId="79" fillId="13" borderId="1" xfId="0" applyNumberFormat="1" applyFont="1" applyFill="1" applyBorder="1" applyAlignment="1">
      <alignment vertical="center" wrapText="1"/>
    </xf>
    <xf numFmtId="196" fontId="79" fillId="21" borderId="19" xfId="0" applyNumberFormat="1" applyFont="1" applyFill="1" applyBorder="1" applyAlignment="1">
      <alignment vertical="center" wrapText="1"/>
    </xf>
    <xf numFmtId="0" fontId="79" fillId="21" borderId="24" xfId="0" applyNumberFormat="1" applyFont="1" applyFill="1" applyBorder="1" applyAlignment="1">
      <alignment vertical="center" wrapText="1"/>
    </xf>
    <xf numFmtId="196" fontId="79" fillId="21" borderId="24" xfId="0" applyNumberFormat="1" applyFont="1" applyFill="1" applyBorder="1" applyAlignment="1">
      <alignment vertical="center" wrapText="1"/>
    </xf>
    <xf numFmtId="181" fontId="79" fillId="21" borderId="24" xfId="0" applyNumberFormat="1" applyFont="1" applyFill="1" applyBorder="1" applyAlignment="1">
      <alignment vertical="center" wrapText="1"/>
    </xf>
    <xf numFmtId="196" fontId="79" fillId="21" borderId="26" xfId="0" applyNumberFormat="1" applyFont="1" applyFill="1" applyBorder="1" applyAlignment="1">
      <alignment vertical="center" wrapText="1"/>
    </xf>
    <xf numFmtId="0" fontId="228" fillId="0" borderId="1" xfId="0" applyNumberFormat="1" applyFont="1" applyBorder="1" applyAlignment="1">
      <alignment vertical="center" wrapText="1"/>
    </xf>
    <xf numFmtId="196" fontId="228" fillId="0" borderId="1" xfId="0" applyNumberFormat="1" applyFont="1" applyBorder="1" applyAlignment="1">
      <alignment vertical="center" wrapText="1"/>
    </xf>
    <xf numFmtId="0" fontId="36" fillId="2" borderId="97" xfId="0" applyFont="1" applyFill="1" applyBorder="1" applyAlignment="1" applyProtection="1">
      <alignment horizontal="left" vertical="center"/>
    </xf>
    <xf numFmtId="0" fontId="36" fillId="2" borderId="2" xfId="0" applyFont="1" applyFill="1" applyBorder="1" applyAlignment="1" applyProtection="1">
      <alignment horizontal="left" vertical="center" wrapText="1"/>
    </xf>
    <xf numFmtId="0" fontId="36" fillId="2" borderId="3" xfId="0" applyFont="1" applyFill="1" applyBorder="1" applyAlignment="1" applyProtection="1">
      <alignment horizontal="left" vertical="center" wrapText="1"/>
    </xf>
    <xf numFmtId="0" fontId="36" fillId="2" borderId="2" xfId="0" applyFont="1" applyFill="1" applyBorder="1" applyAlignment="1" applyProtection="1">
      <alignment horizontal="left" vertical="center"/>
    </xf>
    <xf numFmtId="0" fontId="36" fillId="2" borderId="4" xfId="0" applyFont="1" applyFill="1" applyBorder="1" applyAlignment="1" applyProtection="1">
      <alignment horizontal="left" vertical="center"/>
    </xf>
    <xf numFmtId="0" fontId="36" fillId="2" borderId="1" xfId="0" applyFont="1" applyFill="1" applyBorder="1" applyAlignment="1" applyProtection="1">
      <alignment horizontal="left" vertical="center" wrapText="1"/>
    </xf>
    <xf numFmtId="0" fontId="36" fillId="2" borderId="2" xfId="0" applyFont="1" applyFill="1" applyBorder="1" applyAlignment="1" applyProtection="1">
      <alignment horizontal="center" vertical="center"/>
    </xf>
    <xf numFmtId="0" fontId="36" fillId="2" borderId="3" xfId="0" applyFont="1" applyFill="1" applyBorder="1" applyAlignment="1" applyProtection="1">
      <alignment horizontal="center" vertical="center"/>
    </xf>
    <xf numFmtId="0" fontId="36" fillId="2" borderId="98" xfId="0" applyFont="1" applyFill="1" applyBorder="1" applyAlignment="1" applyProtection="1">
      <alignment horizontal="center" vertical="center"/>
    </xf>
    <xf numFmtId="0" fontId="214" fillId="0" borderId="1" xfId="0" applyFont="1" applyFill="1" applyBorder="1" applyAlignment="1">
      <alignment horizontal="center" vertical="center" wrapText="1"/>
    </xf>
    <xf numFmtId="0" fontId="232" fillId="0" borderId="1" xfId="0" applyFont="1" applyFill="1" applyBorder="1" applyAlignment="1">
      <alignment horizontal="center" vertical="center" wrapText="1"/>
    </xf>
    <xf numFmtId="0" fontId="98" fillId="0" borderId="1" xfId="0" applyFont="1" applyFill="1" applyBorder="1" applyAlignment="1">
      <alignment horizontal="center" vertical="center"/>
    </xf>
    <xf numFmtId="0" fontId="98" fillId="0" borderId="1" xfId="0" applyFont="1" applyFill="1" applyBorder="1" applyAlignment="1">
      <alignment horizontal="center" vertical="center" wrapText="1"/>
    </xf>
    <xf numFmtId="177" fontId="98" fillId="0" borderId="1" xfId="0" applyNumberFormat="1" applyFont="1" applyFill="1" applyBorder="1" applyAlignment="1">
      <alignment horizontal="center" vertical="center" wrapText="1"/>
    </xf>
    <xf numFmtId="0" fontId="87" fillId="0" borderId="1" xfId="0" applyFont="1" applyFill="1" applyBorder="1" applyAlignment="1">
      <alignment horizontal="center" vertical="center"/>
    </xf>
    <xf numFmtId="0" fontId="82" fillId="0" borderId="0" xfId="0" applyFont="1">
      <alignment vertical="center"/>
    </xf>
    <xf numFmtId="0" fontId="98" fillId="14" borderId="1" xfId="0" applyFont="1" applyFill="1" applyBorder="1" applyAlignment="1">
      <alignment horizontal="center" vertical="center"/>
    </xf>
    <xf numFmtId="0" fontId="98" fillId="14" borderId="1" xfId="0" applyFont="1" applyFill="1" applyBorder="1" applyAlignment="1">
      <alignment horizontal="center" vertical="center" wrapText="1"/>
    </xf>
    <xf numFmtId="177" fontId="163" fillId="14" borderId="1" xfId="0" applyNumberFormat="1" applyFont="1" applyFill="1" applyBorder="1" applyAlignment="1">
      <alignment horizontal="center" vertical="center" wrapText="1"/>
    </xf>
    <xf numFmtId="0" fontId="98" fillId="0" borderId="1" xfId="0" applyFont="1" applyFill="1" applyBorder="1" applyAlignment="1">
      <alignment horizontal="center" wrapText="1"/>
    </xf>
    <xf numFmtId="0" fontId="98" fillId="3" borderId="1" xfId="0" applyFont="1" applyFill="1" applyBorder="1" applyAlignment="1">
      <alignment horizontal="center" vertical="center"/>
    </xf>
    <xf numFmtId="0" fontId="82" fillId="0" borderId="0" xfId="0" applyFont="1" applyFill="1">
      <alignment vertical="center"/>
    </xf>
    <xf numFmtId="0" fontId="82" fillId="0" borderId="1" xfId="0" applyFont="1" applyFill="1" applyBorder="1" applyAlignment="1">
      <alignment horizontal="center" vertical="center"/>
    </xf>
    <xf numFmtId="0" fontId="233" fillId="0" borderId="4" xfId="0" applyFont="1" applyFill="1" applyBorder="1" applyAlignment="1">
      <alignment vertical="center" wrapText="1"/>
    </xf>
    <xf numFmtId="0" fontId="87" fillId="14" borderId="15" xfId="0" applyFont="1" applyFill="1" applyBorder="1" applyAlignment="1">
      <alignment horizontal="center" vertical="center"/>
    </xf>
    <xf numFmtId="0" fontId="98" fillId="14" borderId="15" xfId="0" applyFont="1" applyFill="1" applyBorder="1" applyAlignment="1">
      <alignment horizontal="center" vertical="center"/>
    </xf>
    <xf numFmtId="177" fontId="163" fillId="14" borderId="15" xfId="0" applyNumberFormat="1" applyFont="1" applyFill="1" applyBorder="1" applyAlignment="1">
      <alignment horizontal="center" vertical="center" wrapText="1"/>
    </xf>
    <xf numFmtId="0" fontId="233" fillId="0" borderId="0" xfId="0" applyFont="1" applyFill="1" applyAlignment="1">
      <alignment vertical="center" wrapText="1"/>
    </xf>
    <xf numFmtId="0" fontId="82" fillId="3" borderId="1" xfId="0" applyFont="1" applyFill="1" applyBorder="1" applyAlignment="1">
      <alignment horizontal="center" vertical="center"/>
    </xf>
    <xf numFmtId="0" fontId="82" fillId="0" borderId="0" xfId="0" applyFont="1" applyAlignment="1">
      <alignment horizontal="center" vertical="center"/>
    </xf>
    <xf numFmtId="0" fontId="82" fillId="0" borderId="1" xfId="0" applyFont="1" applyBorder="1" applyAlignment="1">
      <alignment horizontal="center" vertical="center"/>
    </xf>
    <xf numFmtId="0" fontId="82" fillId="0" borderId="1" xfId="0" applyFont="1" applyFill="1" applyBorder="1" applyAlignment="1">
      <alignment horizontal="center" vertical="center"/>
    </xf>
    <xf numFmtId="0" fontId="82" fillId="3" borderId="1" xfId="0" applyFont="1" applyFill="1" applyBorder="1">
      <alignment vertical="center"/>
    </xf>
    <xf numFmtId="0" fontId="82" fillId="0" borderId="1" xfId="0" applyFont="1" applyBorder="1">
      <alignment vertical="center"/>
    </xf>
    <xf numFmtId="0" fontId="214" fillId="0" borderId="16" xfId="0" applyFont="1" applyFill="1" applyBorder="1" applyAlignment="1">
      <alignment horizontal="center" vertical="center" wrapText="1"/>
    </xf>
    <xf numFmtId="0" fontId="98" fillId="0" borderId="4" xfId="0" applyFont="1" applyFill="1" applyBorder="1" applyAlignment="1">
      <alignment horizontal="center" vertical="center"/>
    </xf>
    <xf numFmtId="0" fontId="216" fillId="0" borderId="1" xfId="0" applyFont="1" applyFill="1" applyBorder="1" applyAlignment="1">
      <alignment horizontal="center" vertical="center" wrapText="1"/>
    </xf>
    <xf numFmtId="0" fontId="79" fillId="0" borderId="1" xfId="0" applyFont="1" applyBorder="1">
      <alignment vertical="center"/>
    </xf>
    <xf numFmtId="0" fontId="79" fillId="0" borderId="1" xfId="0" applyFont="1" applyFill="1" applyBorder="1">
      <alignment vertical="center"/>
    </xf>
    <xf numFmtId="31" fontId="79" fillId="0" borderId="1" xfId="0" applyNumberFormat="1" applyFont="1" applyBorder="1">
      <alignment vertical="center"/>
    </xf>
    <xf numFmtId="0" fontId="79" fillId="21" borderId="1" xfId="0" applyFont="1" applyFill="1" applyBorder="1">
      <alignment vertical="center"/>
    </xf>
    <xf numFmtId="0" fontId="79" fillId="0" borderId="0" xfId="0" applyFont="1" applyAlignment="1">
      <alignment vertical="center" wrapText="1"/>
    </xf>
    <xf numFmtId="2" fontId="79" fillId="0" borderId="1" xfId="0" applyNumberFormat="1" applyFont="1" applyFill="1" applyBorder="1" applyAlignment="1">
      <alignment vertical="center" wrapText="1"/>
    </xf>
    <xf numFmtId="2" fontId="79" fillId="0" borderId="1" xfId="0" applyNumberFormat="1" applyFont="1" applyBorder="1" applyAlignment="1">
      <alignment vertical="center" wrapText="1"/>
    </xf>
    <xf numFmtId="0" fontId="79" fillId="2" borderId="1" xfId="0" applyFont="1" applyFill="1" applyBorder="1" applyAlignment="1">
      <alignment vertical="center" wrapText="1"/>
    </xf>
    <xf numFmtId="2" fontId="79" fillId="2" borderId="1" xfId="0" applyNumberFormat="1" applyFont="1" applyFill="1" applyBorder="1" applyAlignment="1">
      <alignment vertical="center" wrapText="1"/>
    </xf>
    <xf numFmtId="2" fontId="79" fillId="0" borderId="1" xfId="0" applyNumberFormat="1" applyFont="1" applyBorder="1" applyAlignment="1">
      <alignment horizontal="left" vertical="center" wrapText="1"/>
    </xf>
    <xf numFmtId="2" fontId="228" fillId="2" borderId="1" xfId="0" applyNumberFormat="1" applyFont="1" applyFill="1" applyBorder="1" applyAlignment="1">
      <alignment vertical="center" wrapText="1"/>
    </xf>
    <xf numFmtId="2" fontId="228" fillId="2" borderId="1" xfId="0" applyNumberFormat="1" applyFont="1" applyFill="1" applyBorder="1" applyAlignment="1">
      <alignment horizontal="left" vertical="center" wrapText="1"/>
    </xf>
    <xf numFmtId="0" fontId="79" fillId="21" borderId="4" xfId="0" applyFont="1" applyFill="1" applyBorder="1">
      <alignment vertical="center"/>
    </xf>
    <xf numFmtId="0" fontId="79" fillId="0" borderId="4" xfId="0" applyFont="1" applyBorder="1">
      <alignment vertical="center"/>
    </xf>
    <xf numFmtId="0" fontId="79" fillId="13" borderId="4" xfId="0" applyFont="1" applyFill="1" applyBorder="1" applyAlignment="1">
      <alignment horizontal="left" vertical="center" wrapText="1"/>
    </xf>
    <xf numFmtId="0" fontId="236" fillId="0" borderId="0" xfId="0" applyFont="1" applyFill="1">
      <alignment vertical="center"/>
    </xf>
    <xf numFmtId="0" fontId="237" fillId="0" borderId="1" xfId="0" applyFont="1" applyFill="1" applyBorder="1" applyAlignment="1">
      <alignment horizontal="center" vertical="center" wrapText="1"/>
    </xf>
    <xf numFmtId="0" fontId="0" fillId="0" borderId="0" xfId="0" applyFont="1" applyFill="1">
      <alignment vertical="center"/>
    </xf>
    <xf numFmtId="0" fontId="82" fillId="3" borderId="1" xfId="0" applyFont="1" applyFill="1" applyBorder="1" applyAlignment="1">
      <alignment horizontal="center" vertical="center" wrapText="1"/>
    </xf>
    <xf numFmtId="177" fontId="163" fillId="3" borderId="1" xfId="0" applyNumberFormat="1" applyFont="1" applyFill="1" applyBorder="1" applyAlignment="1">
      <alignment horizontal="center" vertical="center"/>
    </xf>
    <xf numFmtId="0" fontId="0" fillId="3" borderId="1" xfId="0" applyFont="1" applyFill="1" applyBorder="1" applyAlignment="1">
      <alignment horizontal="center" vertical="center"/>
    </xf>
    <xf numFmtId="0" fontId="0" fillId="3" borderId="1" xfId="0" applyFont="1" applyFill="1" applyBorder="1">
      <alignment vertical="center"/>
    </xf>
    <xf numFmtId="0" fontId="82" fillId="0" borderId="1" xfId="0" applyFont="1" applyFill="1" applyBorder="1" applyAlignment="1">
      <alignment horizontal="center" vertical="center" wrapText="1"/>
    </xf>
    <xf numFmtId="177" fontId="82" fillId="0" borderId="1" xfId="0" applyNumberFormat="1" applyFont="1" applyFill="1" applyBorder="1" applyAlignment="1">
      <alignment horizontal="center" vertical="center" wrapText="1"/>
    </xf>
    <xf numFmtId="177" fontId="163" fillId="3" borderId="1" xfId="0" applyNumberFormat="1" applyFont="1" applyFill="1" applyBorder="1" applyAlignment="1">
      <alignment vertical="center"/>
    </xf>
    <xf numFmtId="0" fontId="0" fillId="0" borderId="0" xfId="0" applyFont="1">
      <alignment vertical="center"/>
    </xf>
    <xf numFmtId="2" fontId="82" fillId="0" borderId="1" xfId="0" applyNumberFormat="1" applyFont="1" applyFill="1" applyBorder="1" applyAlignment="1">
      <alignment horizontal="center" vertical="center"/>
    </xf>
    <xf numFmtId="2" fontId="82" fillId="3" borderId="1" xfId="0" applyNumberFormat="1" applyFont="1" applyFill="1" applyBorder="1" applyAlignment="1">
      <alignment horizontal="center" vertical="center"/>
    </xf>
    <xf numFmtId="0" fontId="82" fillId="0" borderId="16" xfId="0" applyFont="1" applyBorder="1" applyAlignment="1">
      <alignment horizontal="center" vertical="center"/>
    </xf>
    <xf numFmtId="0" fontId="164" fillId="0" borderId="1" xfId="0" applyFont="1" applyFill="1" applyBorder="1" applyAlignment="1">
      <alignment horizontal="center" vertical="center" wrapText="1"/>
    </xf>
    <xf numFmtId="0" fontId="233" fillId="0" borderId="1" xfId="0" applyFont="1" applyFill="1" applyBorder="1" applyAlignment="1">
      <alignment horizontal="center" vertical="center"/>
    </xf>
    <xf numFmtId="0" fontId="82" fillId="0" borderId="2" xfId="0" applyFont="1" applyFill="1" applyBorder="1" applyAlignment="1">
      <alignment horizontal="center" vertical="center"/>
    </xf>
    <xf numFmtId="0" fontId="82" fillId="0" borderId="4" xfId="0" applyFont="1" applyBorder="1" applyAlignment="1">
      <alignment horizontal="center" vertical="center"/>
    </xf>
    <xf numFmtId="0" fontId="82" fillId="14" borderId="1" xfId="0" applyFont="1" applyFill="1" applyBorder="1" applyAlignment="1">
      <alignment horizontal="center" vertical="center"/>
    </xf>
    <xf numFmtId="0" fontId="233" fillId="14" borderId="1" xfId="0" applyFont="1" applyFill="1" applyBorder="1" applyAlignment="1">
      <alignment horizontal="center" vertical="center"/>
    </xf>
    <xf numFmtId="0" fontId="82" fillId="14" borderId="1" xfId="0" applyFont="1" applyFill="1" applyBorder="1" applyAlignment="1">
      <alignment horizontal="center" vertical="center" wrapText="1"/>
    </xf>
    <xf numFmtId="0" fontId="233" fillId="14" borderId="16" xfId="0" applyFont="1" applyFill="1" applyBorder="1" applyAlignment="1">
      <alignment horizontal="center" vertical="center" wrapText="1"/>
    </xf>
    <xf numFmtId="0" fontId="86" fillId="0" borderId="1" xfId="0" applyNumberFormat="1" applyFont="1" applyFill="1" applyBorder="1" applyAlignment="1">
      <alignment horizontal="center" vertical="center"/>
    </xf>
    <xf numFmtId="0" fontId="82" fillId="14" borderId="15" xfId="0" applyFont="1" applyFill="1" applyBorder="1" applyAlignment="1">
      <alignment horizontal="center" vertical="center"/>
    </xf>
    <xf numFmtId="0" fontId="233" fillId="14" borderId="15" xfId="0" applyFont="1" applyFill="1" applyBorder="1" applyAlignment="1">
      <alignment horizontal="center" vertical="center"/>
    </xf>
    <xf numFmtId="0" fontId="233" fillId="3" borderId="1" xfId="0" applyFont="1" applyFill="1" applyBorder="1" applyAlignment="1">
      <alignment horizontal="center" vertical="center"/>
    </xf>
    <xf numFmtId="0" fontId="82" fillId="3" borderId="0" xfId="0" applyFont="1" applyFill="1" applyAlignment="1">
      <alignment horizontal="center" vertical="center"/>
    </xf>
    <xf numFmtId="0" fontId="164" fillId="0" borderId="16" xfId="0" applyFont="1" applyFill="1" applyBorder="1" applyAlignment="1">
      <alignment horizontal="center" vertical="center" wrapText="1"/>
    </xf>
    <xf numFmtId="2" fontId="82" fillId="14" borderId="15" xfId="0" applyNumberFormat="1" applyFont="1" applyFill="1" applyBorder="1" applyAlignment="1">
      <alignment horizontal="center" vertical="center"/>
    </xf>
    <xf numFmtId="2" fontId="82" fillId="14" borderId="1" xfId="0" applyNumberFormat="1" applyFont="1" applyFill="1" applyBorder="1" applyAlignment="1">
      <alignment horizontal="center" vertical="center"/>
    </xf>
    <xf numFmtId="185" fontId="82" fillId="3" borderId="1" xfId="0" applyNumberFormat="1" applyFont="1" applyFill="1" applyBorder="1" applyAlignment="1">
      <alignment horizontal="center" vertical="center"/>
    </xf>
    <xf numFmtId="0" fontId="166" fillId="0" borderId="1" xfId="0" applyFont="1" applyFill="1" applyBorder="1" applyAlignment="1">
      <alignment horizontal="center" vertical="center" wrapText="1"/>
    </xf>
    <xf numFmtId="0" fontId="109" fillId="0" borderId="0" xfId="0" applyFont="1">
      <alignment vertical="center"/>
    </xf>
    <xf numFmtId="31" fontId="79" fillId="0" borderId="1" xfId="0" applyNumberFormat="1" applyFont="1" applyFill="1" applyBorder="1" applyAlignment="1">
      <alignment vertical="center" wrapText="1"/>
    </xf>
    <xf numFmtId="0" fontId="109" fillId="0" borderId="1" xfId="0" applyFont="1" applyBorder="1">
      <alignment vertical="center"/>
    </xf>
    <xf numFmtId="0" fontId="0" fillId="0" borderId="1" xfId="0" applyBorder="1">
      <alignment vertical="center"/>
    </xf>
    <xf numFmtId="0" fontId="109" fillId="0" borderId="1" xfId="0" applyFont="1" applyFill="1" applyBorder="1">
      <alignment vertical="center"/>
    </xf>
    <xf numFmtId="0" fontId="0" fillId="2" borderId="1" xfId="0" applyFill="1" applyBorder="1">
      <alignment vertical="center"/>
    </xf>
    <xf numFmtId="0" fontId="239" fillId="22" borderId="1" xfId="0" applyFont="1" applyFill="1" applyBorder="1" applyAlignment="1">
      <alignment horizontal="center" vertical="center"/>
    </xf>
    <xf numFmtId="0" fontId="239" fillId="0" borderId="1" xfId="0" applyFont="1" applyFill="1" applyBorder="1" applyAlignment="1">
      <alignment horizontal="center" vertical="center"/>
    </xf>
    <xf numFmtId="0" fontId="239" fillId="23" borderId="1" xfId="0" applyFont="1" applyFill="1" applyBorder="1" applyAlignment="1">
      <alignment horizontal="center" vertical="center"/>
    </xf>
    <xf numFmtId="0" fontId="240" fillId="24" borderId="1" xfId="0" applyFont="1" applyFill="1" applyBorder="1" applyAlignment="1">
      <alignment horizontal="center" vertical="center"/>
    </xf>
    <xf numFmtId="0" fontId="239" fillId="3" borderId="1" xfId="0" applyFont="1" applyFill="1" applyBorder="1" applyAlignment="1">
      <alignment horizontal="center"/>
    </xf>
    <xf numFmtId="0" fontId="61" fillId="12" borderId="16" xfId="0" applyFont="1" applyFill="1" applyBorder="1" applyAlignment="1" applyProtection="1">
      <alignment horizontal="center" vertical="center" wrapText="1"/>
      <protection locked="0"/>
    </xf>
    <xf numFmtId="0" fontId="82" fillId="0" borderId="16" xfId="0" applyFont="1" applyBorder="1" applyAlignment="1" applyProtection="1">
      <alignment horizontal="center" vertical="center" wrapText="1"/>
      <protection locked="0"/>
    </xf>
    <xf numFmtId="0" fontId="36" fillId="12" borderId="16" xfId="0" applyFont="1" applyFill="1" applyBorder="1" applyAlignment="1" applyProtection="1">
      <alignment horizontal="left" vertical="center" wrapText="1"/>
      <protection locked="0"/>
    </xf>
    <xf numFmtId="0" fontId="98" fillId="25" borderId="16" xfId="0" applyFont="1" applyFill="1" applyBorder="1" applyAlignment="1" applyProtection="1">
      <alignment horizontal="left" vertical="center" wrapText="1"/>
      <protection locked="0"/>
    </xf>
    <xf numFmtId="0" fontId="36" fillId="25" borderId="16" xfId="0" applyFont="1" applyFill="1" applyBorder="1" applyAlignment="1" applyProtection="1">
      <alignment horizontal="left" vertical="center" wrapText="1"/>
      <protection locked="0"/>
    </xf>
    <xf numFmtId="0" fontId="61" fillId="26" borderId="16" xfId="0" applyFont="1" applyFill="1" applyBorder="1" applyAlignment="1" applyProtection="1">
      <alignment horizontal="center" vertical="center" wrapText="1"/>
      <protection locked="0"/>
    </xf>
    <xf numFmtId="0" fontId="98" fillId="25" borderId="1" xfId="0" applyFont="1" applyFill="1" applyBorder="1" applyAlignment="1" applyProtection="1">
      <alignment horizontal="left" vertical="center" wrapText="1"/>
      <protection locked="0"/>
    </xf>
    <xf numFmtId="0" fontId="98" fillId="6" borderId="1" xfId="0" applyFont="1" applyFill="1" applyBorder="1" applyAlignment="1" applyProtection="1">
      <alignment horizontal="left" vertical="center" wrapText="1"/>
      <protection locked="0"/>
    </xf>
    <xf numFmtId="0" fontId="36" fillId="6" borderId="1" xfId="0" applyFont="1" applyFill="1" applyBorder="1" applyAlignment="1" applyProtection="1">
      <alignment horizontal="left" vertical="center" wrapText="1"/>
      <protection locked="0"/>
    </xf>
    <xf numFmtId="0" fontId="36" fillId="6" borderId="16" xfId="0" applyFont="1" applyFill="1" applyBorder="1" applyAlignment="1" applyProtection="1">
      <alignment horizontal="left" vertical="center" wrapText="1"/>
      <protection locked="0"/>
    </xf>
    <xf numFmtId="0" fontId="98" fillId="6" borderId="16" xfId="0" applyFont="1" applyFill="1" applyBorder="1" applyAlignment="1" applyProtection="1">
      <alignment horizontal="left" vertical="center" wrapText="1"/>
      <protection locked="0"/>
    </xf>
    <xf numFmtId="177" fontId="36" fillId="25" borderId="1" xfId="0" applyNumberFormat="1" applyFont="1" applyFill="1" applyBorder="1" applyAlignment="1" applyProtection="1">
      <alignment horizontal="left" vertical="center" wrapText="1"/>
      <protection locked="0"/>
    </xf>
    <xf numFmtId="177" fontId="36" fillId="6" borderId="1" xfId="0" applyNumberFormat="1" applyFont="1" applyFill="1" applyBorder="1" applyAlignment="1" applyProtection="1">
      <alignment horizontal="left" vertical="center" wrapText="1"/>
      <protection locked="0"/>
    </xf>
    <xf numFmtId="0" fontId="239" fillId="0" borderId="1" xfId="0" applyNumberFormat="1" applyFont="1" applyFill="1" applyBorder="1" applyAlignment="1">
      <alignment horizontal="center" vertical="center" wrapText="1"/>
    </xf>
    <xf numFmtId="199" fontId="241" fillId="0" borderId="1" xfId="0" applyNumberFormat="1" applyFont="1" applyFill="1" applyBorder="1" applyAlignment="1">
      <alignment horizontal="center" vertical="center" wrapText="1"/>
    </xf>
    <xf numFmtId="0" fontId="242" fillId="0" borderId="1" xfId="0" applyNumberFormat="1" applyFont="1" applyFill="1" applyBorder="1" applyAlignment="1">
      <alignment horizontal="center" vertical="center" wrapText="1"/>
    </xf>
    <xf numFmtId="199" fontId="242" fillId="0" borderId="1" xfId="0" applyNumberFormat="1" applyFont="1" applyFill="1" applyBorder="1" applyAlignment="1">
      <alignment horizontal="center" vertical="center" wrapText="1"/>
    </xf>
    <xf numFmtId="0" fontId="234" fillId="0" borderId="0" xfId="0" applyFont="1">
      <alignment vertical="center"/>
    </xf>
    <xf numFmtId="0" fontId="36" fillId="26" borderId="16" xfId="0" applyFont="1" applyFill="1" applyBorder="1" applyAlignment="1" applyProtection="1">
      <alignment horizontal="left" vertical="center" wrapText="1"/>
      <protection locked="0"/>
    </xf>
    <xf numFmtId="177" fontId="36" fillId="26" borderId="1" xfId="0" applyNumberFormat="1" applyFont="1" applyFill="1" applyBorder="1" applyAlignment="1" applyProtection="1">
      <alignment horizontal="left" vertical="center" wrapText="1"/>
      <protection locked="0"/>
    </xf>
    <xf numFmtId="0" fontId="109" fillId="0" borderId="1" xfId="0" applyFont="1" applyBorder="1" applyAlignment="1" applyProtection="1">
      <alignment horizontal="left" vertical="center"/>
      <protection locked="0"/>
    </xf>
    <xf numFmtId="0" fontId="240" fillId="0" borderId="1" xfId="0" applyNumberFormat="1" applyFont="1" applyFill="1" applyBorder="1" applyAlignment="1">
      <alignment horizontal="center" vertical="center" wrapText="1"/>
    </xf>
    <xf numFmtId="177" fontId="36" fillId="12" borderId="1" xfId="0" applyNumberFormat="1" applyFont="1" applyFill="1" applyBorder="1" applyAlignment="1" applyProtection="1">
      <alignment horizontal="left" vertical="center" wrapText="1"/>
      <protection locked="0"/>
    </xf>
    <xf numFmtId="0" fontId="184" fillId="5" borderId="152" xfId="0" applyFont="1" applyFill="1" applyBorder="1" applyAlignment="1" applyProtection="1">
      <alignment vertical="center" wrapText="1"/>
      <protection locked="0"/>
    </xf>
    <xf numFmtId="0" fontId="184" fillId="5" borderId="2" xfId="0" applyFont="1" applyFill="1" applyBorder="1" applyAlignment="1" applyProtection="1">
      <alignment vertical="center"/>
      <protection locked="0"/>
    </xf>
    <xf numFmtId="0" fontId="184" fillId="5" borderId="2" xfId="0" applyFont="1" applyFill="1" applyBorder="1" applyAlignment="1" applyProtection="1">
      <alignment vertical="center" wrapText="1"/>
      <protection locked="0"/>
    </xf>
    <xf numFmtId="49" fontId="195" fillId="0" borderId="34" xfId="0" applyNumberFormat="1" applyFont="1" applyFill="1" applyBorder="1" applyAlignment="1" applyProtection="1">
      <alignment horizontal="left" vertical="center"/>
      <protection locked="0"/>
    </xf>
    <xf numFmtId="0" fontId="184" fillId="5" borderId="98" xfId="0" applyFont="1" applyFill="1" applyBorder="1" applyAlignment="1" applyProtection="1">
      <alignment vertical="center" wrapText="1"/>
      <protection locked="0"/>
    </xf>
    <xf numFmtId="0" fontId="184" fillId="5" borderId="3" xfId="0" applyFont="1" applyFill="1" applyBorder="1" applyAlignment="1" applyProtection="1">
      <alignment vertical="center" wrapText="1"/>
      <protection locked="0"/>
    </xf>
    <xf numFmtId="182" fontId="98" fillId="0" borderId="1" xfId="10" applyNumberFormat="1" applyFont="1" applyFill="1" applyBorder="1" applyAlignment="1" applyProtection="1">
      <alignment vertical="center"/>
      <protection locked="0" hidden="1"/>
    </xf>
    <xf numFmtId="182" fontId="82" fillId="0" borderId="1" xfId="10" applyNumberFormat="1" applyFont="1" applyFill="1" applyBorder="1" applyAlignment="1" applyProtection="1">
      <alignment vertical="center"/>
      <protection locked="0"/>
    </xf>
    <xf numFmtId="0" fontId="98" fillId="0" borderId="156" xfId="15" applyFont="1" applyFill="1" applyBorder="1" applyAlignment="1">
      <alignment vertical="top" wrapText="1"/>
    </xf>
    <xf numFmtId="0" fontId="61" fillId="0" borderId="157" xfId="0" applyFont="1" applyBorder="1" applyAlignment="1" applyProtection="1">
      <alignment horizontal="center" vertical="center"/>
      <protection locked="0"/>
    </xf>
    <xf numFmtId="0" fontId="157" fillId="0" borderId="156" xfId="15" applyFont="1" applyFill="1" applyBorder="1" applyAlignment="1">
      <alignment horizontal="center" vertical="top" wrapText="1"/>
    </xf>
    <xf numFmtId="0" fontId="86" fillId="0" borderId="8" xfId="0" applyNumberFormat="1" applyFont="1" applyFill="1" applyBorder="1" applyAlignment="1" applyProtection="1">
      <alignment horizontal="center" vertical="center" wrapText="1"/>
      <protection locked="0"/>
    </xf>
    <xf numFmtId="0" fontId="86" fillId="0" borderId="123" xfId="0" applyNumberFormat="1" applyFont="1" applyFill="1" applyBorder="1" applyAlignment="1" applyProtection="1">
      <alignment horizontal="center" vertical="center" wrapText="1"/>
      <protection locked="0"/>
    </xf>
    <xf numFmtId="0" fontId="82" fillId="0" borderId="123" xfId="0" applyNumberFormat="1" applyFont="1" applyFill="1" applyBorder="1" applyAlignment="1" applyProtection="1">
      <alignment horizontal="center" vertical="center" wrapText="1"/>
      <protection locked="0"/>
    </xf>
    <xf numFmtId="0" fontId="61" fillId="27" borderId="50" xfId="0" applyFont="1" applyFill="1" applyBorder="1" applyAlignment="1" applyProtection="1">
      <alignment horizontal="center" vertical="center" wrapText="1"/>
    </xf>
    <xf numFmtId="0" fontId="98" fillId="19" borderId="1" xfId="0" applyFont="1" applyFill="1" applyBorder="1" applyAlignment="1" applyProtection="1">
      <alignment horizontal="center" vertical="center" wrapText="1"/>
      <protection locked="0"/>
    </xf>
    <xf numFmtId="185" fontId="36" fillId="19" borderId="1" xfId="0" applyNumberFormat="1" applyFont="1" applyFill="1" applyBorder="1" applyAlignment="1" applyProtection="1">
      <alignment horizontal="center" vertical="center" wrapText="1"/>
      <protection locked="0"/>
    </xf>
    <xf numFmtId="0" fontId="61" fillId="19" borderId="1" xfId="0" applyFont="1" applyFill="1" applyBorder="1" applyAlignment="1" applyProtection="1">
      <alignment horizontal="center" vertical="center"/>
      <protection locked="0"/>
    </xf>
    <xf numFmtId="0" fontId="82" fillId="19" borderId="0" xfId="0" applyFont="1" applyFill="1" applyProtection="1">
      <alignment vertical="center"/>
      <protection locked="0"/>
    </xf>
    <xf numFmtId="0" fontId="98" fillId="6" borderId="7" xfId="0" applyNumberFormat="1" applyFont="1" applyFill="1" applyBorder="1" applyAlignment="1" applyProtection="1">
      <alignment horizontal="center" vertical="center" wrapText="1"/>
      <protection locked="0"/>
    </xf>
    <xf numFmtId="0" fontId="98" fillId="6" borderId="8" xfId="0" applyNumberFormat="1" applyFont="1" applyFill="1" applyBorder="1" applyAlignment="1" applyProtection="1">
      <alignment horizontal="center" vertical="center" wrapText="1"/>
      <protection locked="0"/>
    </xf>
    <xf numFmtId="0" fontId="98" fillId="2" borderId="0" xfId="0" applyFont="1" applyFill="1" applyAlignment="1" applyProtection="1">
      <alignment vertical="center"/>
      <protection locked="0"/>
    </xf>
    <xf numFmtId="0" fontId="109" fillId="2" borderId="1" xfId="5" applyFont="1" applyFill="1" applyBorder="1"/>
    <xf numFmtId="2" fontId="109" fillId="0" borderId="0" xfId="5" applyNumberFormat="1"/>
    <xf numFmtId="0" fontId="110" fillId="2" borderId="15" xfId="5" applyFont="1" applyFill="1" applyBorder="1" applyAlignment="1">
      <alignment horizontal="right" vertical="center" wrapText="1"/>
    </xf>
    <xf numFmtId="2" fontId="110" fillId="2" borderId="1" xfId="5" applyNumberFormat="1" applyFont="1" applyFill="1" applyBorder="1" applyAlignment="1">
      <alignment horizontal="right" vertical="center" wrapText="1"/>
    </xf>
    <xf numFmtId="9" fontId="110" fillId="2" borderId="1" xfId="16" applyFont="1" applyFill="1" applyBorder="1" applyAlignment="1">
      <alignment horizontal="right" vertical="center" wrapText="1"/>
    </xf>
    <xf numFmtId="188" fontId="110" fillId="2" borderId="1" xfId="16" applyNumberFormat="1" applyFont="1" applyFill="1" applyBorder="1" applyAlignment="1">
      <alignment horizontal="right" vertical="center" wrapText="1"/>
    </xf>
    <xf numFmtId="188" fontId="109" fillId="0" borderId="0" xfId="5" applyNumberFormat="1"/>
    <xf numFmtId="188" fontId="109" fillId="0" borderId="0" xfId="16" applyNumberFormat="1" applyFont="1" applyAlignment="1"/>
    <xf numFmtId="0" fontId="36" fillId="27" borderId="10" xfId="0" applyNumberFormat="1" applyFont="1" applyFill="1" applyBorder="1" applyAlignment="1" applyProtection="1">
      <alignment horizontal="center" vertical="center" wrapText="1"/>
      <protection locked="0"/>
    </xf>
    <xf numFmtId="0" fontId="36" fillId="27" borderId="1" xfId="0" applyNumberFormat="1" applyFont="1" applyFill="1" applyBorder="1" applyAlignment="1" applyProtection="1">
      <alignment horizontal="center" vertical="center" wrapText="1"/>
      <protection locked="0"/>
    </xf>
    <xf numFmtId="0" fontId="36" fillId="27" borderId="51" xfId="0" applyNumberFormat="1" applyFont="1" applyFill="1" applyBorder="1" applyAlignment="1" applyProtection="1">
      <alignment horizontal="center" vertical="center" wrapText="1"/>
      <protection locked="0"/>
    </xf>
    <xf numFmtId="0" fontId="30" fillId="27" borderId="15" xfId="0" applyNumberFormat="1" applyFont="1" applyFill="1" applyBorder="1" applyAlignment="1" applyProtection="1">
      <alignment horizontal="center" vertical="center" wrapText="1"/>
      <protection locked="0"/>
    </xf>
    <xf numFmtId="0" fontId="30" fillId="27" borderId="13" xfId="0" applyNumberFormat="1" applyFont="1" applyFill="1" applyBorder="1" applyAlignment="1" applyProtection="1">
      <alignment horizontal="center" vertical="center" wrapText="1"/>
      <protection locked="0"/>
    </xf>
    <xf numFmtId="0" fontId="143" fillId="0" borderId="0" xfId="13" applyFont="1" applyAlignment="1" applyProtection="1">
      <alignment horizontal="left" vertical="top" wrapText="1"/>
    </xf>
    <xf numFmtId="0" fontId="40" fillId="0" borderId="15" xfId="14" applyFont="1" applyFill="1" applyBorder="1" applyAlignment="1" applyProtection="1">
      <alignment horizontal="left" vertical="center" wrapText="1"/>
    </xf>
    <xf numFmtId="0" fontId="40" fillId="0" borderId="64" xfId="14" applyFont="1" applyFill="1" applyBorder="1" applyAlignment="1" applyProtection="1">
      <alignment horizontal="left" vertical="center" wrapText="1"/>
    </xf>
    <xf numFmtId="0" fontId="40" fillId="0" borderId="16" xfId="14" applyFont="1" applyFill="1" applyBorder="1" applyAlignment="1" applyProtection="1">
      <alignment horizontal="left" vertical="center" wrapText="1"/>
    </xf>
    <xf numFmtId="0" fontId="40" fillId="0" borderId="15" xfId="14" applyFont="1" applyFill="1" applyBorder="1" applyAlignment="1" applyProtection="1">
      <alignment vertical="center" wrapText="1"/>
    </xf>
    <xf numFmtId="0" fontId="40" fillId="0" borderId="64" xfId="14" applyFont="1" applyFill="1" applyBorder="1" applyAlignment="1" applyProtection="1">
      <alignment vertical="center" wrapText="1"/>
    </xf>
    <xf numFmtId="0" fontId="40" fillId="0" borderId="16" xfId="14" applyFont="1" applyFill="1" applyBorder="1" applyAlignment="1" applyProtection="1">
      <alignment vertical="center" wrapText="1"/>
    </xf>
    <xf numFmtId="0" fontId="40" fillId="0" borderId="121" xfId="14" applyFont="1" applyFill="1" applyBorder="1" applyAlignment="1" applyProtection="1">
      <alignment horizontal="left" vertical="center" wrapText="1"/>
    </xf>
    <xf numFmtId="0" fontId="134" fillId="0" borderId="0" xfId="14" applyFont="1" applyAlignment="1" applyProtection="1">
      <alignment horizontal="left" vertical="center" wrapText="1"/>
    </xf>
    <xf numFmtId="0" fontId="132" fillId="0" borderId="0" xfId="14" applyFont="1" applyAlignment="1" applyProtection="1">
      <alignment horizontal="center" vertical="center"/>
    </xf>
    <xf numFmtId="0" fontId="132" fillId="0" borderId="5" xfId="14" applyFont="1" applyBorder="1" applyAlignment="1" applyProtection="1">
      <alignment horizontal="center" vertical="center"/>
    </xf>
    <xf numFmtId="0" fontId="102" fillId="0" borderId="0" xfId="0" applyFont="1" applyFill="1" applyBorder="1" applyAlignment="1" applyProtection="1">
      <alignment horizontal="center" vertical="center"/>
    </xf>
    <xf numFmtId="0" fontId="76" fillId="0" borderId="123" xfId="0" applyFont="1" applyFill="1" applyBorder="1" applyAlignment="1" applyProtection="1">
      <alignment horizontal="center" vertical="center" wrapText="1"/>
    </xf>
    <xf numFmtId="0" fontId="76" fillId="0" borderId="1" xfId="0" applyFont="1" applyFill="1" applyBorder="1" applyAlignment="1" applyProtection="1">
      <alignment horizontal="center" vertical="center" wrapText="1"/>
    </xf>
    <xf numFmtId="179" fontId="7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179" fontId="76" fillId="0" borderId="2" xfId="0" applyNumberFormat="1" applyFont="1" applyFill="1" applyBorder="1" applyAlignment="1" applyProtection="1">
      <alignment horizontal="center" vertical="center" wrapText="1"/>
    </xf>
    <xf numFmtId="179" fontId="76" fillId="0" borderId="3" xfId="0" applyNumberFormat="1" applyFont="1" applyFill="1" applyBorder="1" applyAlignment="1" applyProtection="1">
      <alignment horizontal="center" vertical="center" wrapText="1"/>
    </xf>
    <xf numFmtId="179" fontId="76" fillId="0" borderId="4" xfId="0" applyNumberFormat="1" applyFont="1" applyFill="1" applyBorder="1" applyAlignment="1" applyProtection="1">
      <alignment horizontal="center" vertical="center" wrapText="1"/>
    </xf>
    <xf numFmtId="0" fontId="76" fillId="0" borderId="6" xfId="0" applyFont="1" applyFill="1" applyBorder="1" applyAlignment="1" applyProtection="1">
      <alignment horizontal="center" vertical="center" wrapText="1"/>
    </xf>
    <xf numFmtId="179" fontId="76" fillId="0" borderId="6" xfId="0" applyNumberFormat="1" applyFont="1" applyFill="1" applyBorder="1" applyAlignment="1" applyProtection="1">
      <alignment horizontal="center" vertical="center" wrapText="1"/>
    </xf>
    <xf numFmtId="0" fontId="36" fillId="0" borderId="0" xfId="0" applyFont="1" applyFill="1" applyBorder="1" applyAlignment="1" applyProtection="1">
      <alignment horizontal="left" vertical="center"/>
    </xf>
    <xf numFmtId="0" fontId="132" fillId="0" borderId="0" xfId="0" applyFont="1" applyBorder="1" applyAlignment="1" applyProtection="1">
      <alignment horizontal="left" vertical="center"/>
    </xf>
    <xf numFmtId="0" fontId="132" fillId="0" borderId="0" xfId="0" applyFont="1" applyBorder="1" applyAlignment="1" applyProtection="1">
      <alignment horizontal="justify" vertical="center" wrapText="1"/>
    </xf>
    <xf numFmtId="0" fontId="76" fillId="0" borderId="0" xfId="0" applyFont="1" applyBorder="1" applyAlignment="1" applyProtection="1">
      <alignment horizontal="left" vertical="center" wrapText="1"/>
    </xf>
    <xf numFmtId="0" fontId="108" fillId="0" borderId="0" xfId="0" applyFont="1" applyBorder="1" applyAlignment="1" applyProtection="1">
      <alignment horizontal="left" vertical="center" wrapText="1"/>
    </xf>
    <xf numFmtId="0" fontId="49" fillId="0" borderId="0" xfId="0" applyFont="1" applyBorder="1" applyAlignment="1" applyProtection="1">
      <alignment horizontal="left" vertical="center" wrapText="1"/>
    </xf>
    <xf numFmtId="0" fontId="116" fillId="0" borderId="0" xfId="0" applyFont="1" applyBorder="1" applyAlignment="1" applyProtection="1">
      <alignment horizontal="left" vertical="center" wrapText="1"/>
      <protection locked="0"/>
    </xf>
    <xf numFmtId="191" fontId="136" fillId="0" borderId="0" xfId="0" applyNumberFormat="1" applyFont="1" applyAlignment="1" applyProtection="1">
      <alignment horizontal="right" vertical="center"/>
      <protection locked="0"/>
    </xf>
    <xf numFmtId="0" fontId="47" fillId="0" borderId="0" xfId="0" applyFont="1" applyAlignment="1" applyProtection="1">
      <alignment vertical="center" wrapText="1"/>
    </xf>
    <xf numFmtId="0" fontId="70" fillId="0" borderId="0" xfId="0" applyFont="1" applyAlignment="1" applyProtection="1">
      <alignment vertical="center" wrapText="1"/>
      <protection locked="0"/>
    </xf>
    <xf numFmtId="0" fontId="111" fillId="0" borderId="2" xfId="0" applyFont="1" applyBorder="1" applyAlignment="1" applyProtection="1">
      <alignment horizontal="left" vertical="center"/>
    </xf>
    <xf numFmtId="0" fontId="111" fillId="0" borderId="4" xfId="0" applyFont="1" applyBorder="1" applyAlignment="1" applyProtection="1">
      <alignment horizontal="left" vertical="center"/>
    </xf>
    <xf numFmtId="0" fontId="111" fillId="3" borderId="15" xfId="0" applyFont="1" applyFill="1" applyBorder="1" applyAlignment="1" applyProtection="1">
      <alignment horizontal="left" vertical="center"/>
    </xf>
    <xf numFmtId="0" fontId="111" fillId="3" borderId="64" xfId="0" applyFont="1" applyFill="1" applyBorder="1" applyAlignment="1" applyProtection="1">
      <alignment horizontal="left" vertical="center"/>
    </xf>
    <xf numFmtId="0" fontId="111" fillId="3" borderId="16" xfId="0" applyFont="1" applyFill="1" applyBorder="1" applyAlignment="1" applyProtection="1">
      <alignment horizontal="left" vertical="center"/>
    </xf>
    <xf numFmtId="0" fontId="111" fillId="20" borderId="1" xfId="0" applyFont="1" applyFill="1" applyBorder="1" applyAlignment="1" applyProtection="1">
      <alignment horizontal="left" vertical="center"/>
    </xf>
    <xf numFmtId="0" fontId="111" fillId="0" borderId="1" xfId="0" applyFont="1" applyBorder="1" applyAlignment="1" applyProtection="1">
      <alignment horizontal="left" vertical="center"/>
    </xf>
    <xf numFmtId="0" fontId="117" fillId="0" borderId="2" xfId="0" applyFont="1" applyBorder="1" applyAlignment="1" applyProtection="1">
      <alignment horizontal="left" vertical="center"/>
    </xf>
    <xf numFmtId="0" fontId="122" fillId="3" borderId="1" xfId="13" applyFont="1" applyFill="1" applyBorder="1" applyAlignment="1">
      <alignment horizontal="center" vertical="center"/>
    </xf>
    <xf numFmtId="0" fontId="123" fillId="0" borderId="1" xfId="13" applyFont="1" applyBorder="1" applyAlignment="1">
      <alignment horizontal="center" vertical="center"/>
    </xf>
    <xf numFmtId="0" fontId="123" fillId="0" borderId="2" xfId="13" applyFont="1" applyBorder="1" applyAlignment="1">
      <alignment horizontal="center" vertical="center"/>
    </xf>
    <xf numFmtId="0" fontId="123" fillId="0" borderId="155" xfId="13" applyFont="1" applyBorder="1" applyAlignment="1">
      <alignment horizontal="center" vertical="center"/>
    </xf>
    <xf numFmtId="0" fontId="111" fillId="2" borderId="0" xfId="0" applyFont="1" applyFill="1" applyBorder="1" applyAlignment="1" applyProtection="1">
      <alignment horizontal="center" vertical="center" wrapText="1"/>
    </xf>
    <xf numFmtId="0" fontId="76" fillId="2" borderId="64" xfId="0" applyFont="1" applyFill="1" applyBorder="1" applyAlignment="1" applyProtection="1">
      <alignment horizontal="left" vertical="center"/>
    </xf>
    <xf numFmtId="0" fontId="76" fillId="2" borderId="16" xfId="0" applyFont="1" applyFill="1" applyBorder="1" applyAlignment="1" applyProtection="1">
      <alignment horizontal="left" vertical="center"/>
    </xf>
    <xf numFmtId="0" fontId="76" fillId="2" borderId="111" xfId="0" applyFont="1" applyFill="1" applyBorder="1" applyAlignment="1" applyProtection="1">
      <alignment horizontal="left" vertical="center"/>
    </xf>
    <xf numFmtId="0" fontId="76" fillId="2" borderId="119" xfId="0" applyFont="1" applyFill="1" applyBorder="1" applyAlignment="1" applyProtection="1">
      <alignment horizontal="left" vertical="center"/>
    </xf>
    <xf numFmtId="0" fontId="76" fillId="2" borderId="109" xfId="0" applyFont="1" applyFill="1" applyBorder="1" applyAlignment="1" applyProtection="1">
      <alignment horizontal="left" vertical="center" wrapText="1"/>
    </xf>
    <xf numFmtId="0" fontId="76" fillId="2" borderId="25" xfId="0" applyFont="1" applyFill="1" applyBorder="1" applyAlignment="1" applyProtection="1">
      <alignment horizontal="left" vertical="center" wrapText="1"/>
    </xf>
    <xf numFmtId="0" fontId="76" fillId="2" borderId="115" xfId="0" applyFont="1" applyFill="1" applyBorder="1" applyAlignment="1" applyProtection="1">
      <alignment horizontal="left" vertical="center" wrapText="1"/>
    </xf>
    <xf numFmtId="49" fontId="116" fillId="0" borderId="34" xfId="0" applyNumberFormat="1" applyFont="1" applyFill="1" applyBorder="1" applyAlignment="1" applyProtection="1">
      <alignment horizontal="left" vertical="center"/>
      <protection locked="0"/>
    </xf>
    <xf numFmtId="49" fontId="116" fillId="0" borderId="3" xfId="0" applyNumberFormat="1" applyFont="1" applyFill="1" applyBorder="1" applyAlignment="1" applyProtection="1">
      <alignment horizontal="left" vertical="center"/>
      <protection locked="0"/>
    </xf>
    <xf numFmtId="49" fontId="116" fillId="0" borderId="4" xfId="0" applyNumberFormat="1" applyFont="1" applyFill="1" applyBorder="1" applyAlignment="1" applyProtection="1">
      <alignment horizontal="left" vertical="center"/>
      <protection locked="0"/>
    </xf>
    <xf numFmtId="0" fontId="116" fillId="0" borderId="2" xfId="0" applyNumberFormat="1" applyFont="1" applyBorder="1" applyAlignment="1" applyProtection="1">
      <alignment horizontal="left" vertical="center"/>
      <protection locked="0"/>
    </xf>
    <xf numFmtId="0" fontId="116" fillId="0" borderId="3" xfId="0" applyNumberFormat="1" applyFont="1" applyBorder="1" applyAlignment="1" applyProtection="1">
      <alignment horizontal="left" vertical="center"/>
      <protection locked="0"/>
    </xf>
    <xf numFmtId="0" fontId="116" fillId="0" borderId="4" xfId="0" applyNumberFormat="1" applyFont="1" applyBorder="1" applyAlignment="1" applyProtection="1">
      <alignment horizontal="left" vertical="center"/>
      <protection locked="0"/>
    </xf>
    <xf numFmtId="49" fontId="116" fillId="5" borderId="2" xfId="0" applyNumberFormat="1" applyFont="1" applyFill="1" applyBorder="1" applyAlignment="1" applyProtection="1">
      <alignment horizontal="left" vertical="center"/>
      <protection locked="0"/>
    </xf>
    <xf numFmtId="49" fontId="116" fillId="5" borderId="3" xfId="0" applyNumberFormat="1" applyFont="1" applyFill="1" applyBorder="1" applyAlignment="1" applyProtection="1">
      <alignment horizontal="left" vertical="center"/>
      <protection locked="0"/>
    </xf>
    <xf numFmtId="49" fontId="116" fillId="5" borderId="4" xfId="0" applyNumberFormat="1" applyFont="1" applyFill="1" applyBorder="1" applyAlignment="1" applyProtection="1">
      <alignment horizontal="left" vertical="center"/>
      <protection locked="0"/>
    </xf>
    <xf numFmtId="49" fontId="116" fillId="5" borderId="127" xfId="0" applyNumberFormat="1" applyFont="1" applyFill="1" applyBorder="1" applyAlignment="1" applyProtection="1">
      <alignment horizontal="left" vertical="center"/>
      <protection locked="0"/>
    </xf>
    <xf numFmtId="49" fontId="116" fillId="5" borderId="128" xfId="0" applyNumberFormat="1" applyFont="1" applyFill="1" applyBorder="1" applyAlignment="1" applyProtection="1">
      <alignment horizontal="left" vertical="center"/>
      <protection locked="0"/>
    </xf>
    <xf numFmtId="49" fontId="116" fillId="5" borderId="135" xfId="0" applyNumberFormat="1" applyFont="1" applyFill="1" applyBorder="1" applyAlignment="1" applyProtection="1">
      <alignment horizontal="left" vertical="center"/>
      <protection locked="0"/>
    </xf>
    <xf numFmtId="0" fontId="76" fillId="2" borderId="15" xfId="0" applyFont="1" applyFill="1" applyBorder="1" applyAlignment="1" applyProtection="1">
      <alignment horizontal="center" vertical="center" wrapText="1"/>
    </xf>
    <xf numFmtId="0" fontId="76" fillId="2" borderId="133" xfId="0" applyFont="1" applyFill="1" applyBorder="1" applyAlignment="1" applyProtection="1">
      <alignment horizontal="center" vertical="center" wrapText="1"/>
    </xf>
    <xf numFmtId="0" fontId="36" fillId="2" borderId="50" xfId="0" applyFont="1" applyFill="1" applyBorder="1" applyAlignment="1" applyProtection="1">
      <alignment horizontal="center" vertical="center" wrapText="1"/>
    </xf>
    <xf numFmtId="0" fontId="61" fillId="2" borderId="1" xfId="0" applyFont="1" applyFill="1" applyBorder="1" applyAlignment="1" applyProtection="1">
      <alignment horizontal="center" vertical="center" wrapText="1"/>
    </xf>
    <xf numFmtId="0" fontId="36" fillId="2" borderId="7" xfId="0" applyFont="1" applyFill="1" applyBorder="1" applyAlignment="1" applyProtection="1">
      <alignment horizontal="center" vertical="center"/>
    </xf>
    <xf numFmtId="0" fontId="36" fillId="2" borderId="9" xfId="0" applyFont="1" applyFill="1" applyBorder="1" applyAlignment="1" applyProtection="1">
      <alignment horizontal="center" vertical="center"/>
    </xf>
    <xf numFmtId="0" fontId="36" fillId="2" borderId="37" xfId="0" applyFont="1" applyFill="1" applyBorder="1" applyAlignment="1" applyProtection="1">
      <alignment horizontal="center" vertical="center"/>
    </xf>
    <xf numFmtId="0" fontId="36" fillId="2" borderId="38" xfId="0" applyFont="1" applyFill="1" applyBorder="1" applyAlignment="1" applyProtection="1">
      <alignment horizontal="center" vertical="center"/>
    </xf>
    <xf numFmtId="0" fontId="76" fillId="0" borderId="2" xfId="0" applyFont="1" applyBorder="1" applyAlignment="1" applyProtection="1">
      <alignment horizontal="left" vertical="center" wrapText="1"/>
      <protection locked="0"/>
    </xf>
    <xf numFmtId="0" fontId="76" fillId="0" borderId="4" xfId="0" applyFont="1" applyBorder="1" applyAlignment="1" applyProtection="1">
      <alignment horizontal="left" vertical="center" wrapText="1"/>
      <protection locked="0"/>
    </xf>
    <xf numFmtId="0" fontId="76" fillId="2" borderId="1" xfId="0" applyNumberFormat="1" applyFont="1" applyFill="1" applyBorder="1" applyAlignment="1" applyProtection="1">
      <alignment horizontal="center" vertical="center" wrapText="1"/>
    </xf>
    <xf numFmtId="0" fontId="114" fillId="0" borderId="1" xfId="0" applyFont="1" applyBorder="1" applyAlignment="1">
      <alignment horizontal="center" vertical="center" wrapText="1"/>
    </xf>
    <xf numFmtId="0" fontId="113" fillId="0" borderId="1" xfId="0" applyFont="1" applyFill="1" applyBorder="1" applyAlignment="1" applyProtection="1">
      <alignment horizontal="center" vertical="center" wrapText="1"/>
    </xf>
    <xf numFmtId="0" fontId="235" fillId="0" borderId="50" xfId="0" applyFont="1" applyFill="1" applyBorder="1" applyAlignment="1">
      <alignment horizontal="center" vertical="center"/>
    </xf>
    <xf numFmtId="0" fontId="235" fillId="0" borderId="0" xfId="0" applyFont="1" applyFill="1" applyAlignment="1">
      <alignment horizontal="center" vertical="center"/>
    </xf>
    <xf numFmtId="0" fontId="82" fillId="0" borderId="16" xfId="0" applyFont="1" applyFill="1" applyBorder="1" applyAlignment="1">
      <alignment horizontal="center" vertical="center"/>
    </xf>
    <xf numFmtId="0" fontId="82" fillId="0" borderId="1" xfId="0" applyFont="1" applyFill="1" applyBorder="1" applyAlignment="1">
      <alignment horizontal="center" vertical="center"/>
    </xf>
    <xf numFmtId="0" fontId="164" fillId="0" borderId="16" xfId="0" applyFont="1" applyFill="1" applyBorder="1" applyAlignment="1">
      <alignment horizontal="center" vertical="center" wrapText="1"/>
    </xf>
    <xf numFmtId="0" fontId="164" fillId="0" borderId="1" xfId="0" applyFont="1" applyFill="1" applyBorder="1" applyAlignment="1">
      <alignment horizontal="center" vertical="center" wrapText="1"/>
    </xf>
    <xf numFmtId="0" fontId="83" fillId="0" borderId="16" xfId="0" applyFont="1" applyFill="1" applyBorder="1" applyAlignment="1">
      <alignment horizontal="center" vertical="center" wrapText="1"/>
    </xf>
    <xf numFmtId="0" fontId="83" fillId="0" borderId="1" xfId="0" applyFont="1" applyFill="1" applyBorder="1" applyAlignment="1">
      <alignment horizontal="center" vertical="center" wrapText="1"/>
    </xf>
    <xf numFmtId="0" fontId="82" fillId="0" borderId="0" xfId="0" applyFont="1" applyAlignment="1">
      <alignment horizontal="center" vertical="center"/>
    </xf>
    <xf numFmtId="0" fontId="233" fillId="0" borderId="15" xfId="0" applyFont="1" applyFill="1" applyBorder="1" applyAlignment="1">
      <alignment horizontal="center" vertical="center"/>
    </xf>
    <xf numFmtId="0" fontId="233" fillId="0" borderId="64" xfId="0" applyFont="1" applyFill="1" applyBorder="1" applyAlignment="1">
      <alignment horizontal="center" vertical="center"/>
    </xf>
    <xf numFmtId="0" fontId="233" fillId="14" borderId="16" xfId="0" applyFont="1" applyFill="1" applyBorder="1" applyAlignment="1">
      <alignment horizontal="center" vertical="center"/>
    </xf>
    <xf numFmtId="0" fontId="82" fillId="0" borderId="15" xfId="0" applyFont="1" applyBorder="1" applyAlignment="1">
      <alignment horizontal="center" vertical="center"/>
    </xf>
    <xf numFmtId="0" fontId="82" fillId="0" borderId="64" xfId="0" applyFont="1" applyBorder="1" applyAlignment="1">
      <alignment horizontal="center" vertical="center"/>
    </xf>
    <xf numFmtId="0" fontId="82" fillId="0" borderId="16" xfId="0" applyFont="1" applyBorder="1" applyAlignment="1">
      <alignment horizontal="center" vertical="center"/>
    </xf>
    <xf numFmtId="0" fontId="82" fillId="0" borderId="15" xfId="0" applyFont="1" applyFill="1" applyBorder="1" applyAlignment="1">
      <alignment horizontal="center" vertical="center"/>
    </xf>
    <xf numFmtId="0" fontId="82" fillId="0" borderId="64" xfId="0" applyFont="1" applyFill="1" applyBorder="1" applyAlignment="1">
      <alignment horizontal="center" vertical="center"/>
    </xf>
    <xf numFmtId="0" fontId="233" fillId="14" borderId="1" xfId="0" applyFont="1" applyFill="1" applyBorder="1" applyAlignment="1">
      <alignment horizontal="center" vertical="center"/>
    </xf>
    <xf numFmtId="0" fontId="82" fillId="14" borderId="1" xfId="0" applyFont="1" applyFill="1" applyBorder="1" applyAlignment="1">
      <alignment horizontal="center" vertical="center"/>
    </xf>
    <xf numFmtId="0" fontId="86" fillId="0" borderId="16" xfId="0" applyFont="1" applyFill="1" applyBorder="1" applyAlignment="1">
      <alignment horizontal="center" vertical="center"/>
    </xf>
    <xf numFmtId="0" fontId="86" fillId="0" borderId="15" xfId="0" applyFont="1" applyFill="1" applyBorder="1" applyAlignment="1">
      <alignment horizontal="center" vertical="center"/>
    </xf>
    <xf numFmtId="0" fontId="82" fillId="0" borderId="0" xfId="0" applyFont="1" applyAlignment="1">
      <alignment horizontal="center" vertical="center" wrapText="1"/>
    </xf>
    <xf numFmtId="0" fontId="82" fillId="0" borderId="0" xfId="0" applyFont="1" applyFill="1" applyAlignment="1">
      <alignment horizontal="center" vertical="center"/>
    </xf>
    <xf numFmtId="0" fontId="233" fillId="14" borderId="15" xfId="0" applyFont="1" applyFill="1" applyBorder="1" applyAlignment="1">
      <alignment horizontal="center" vertical="center"/>
    </xf>
    <xf numFmtId="0" fontId="82" fillId="14" borderId="15" xfId="0" applyFont="1" applyFill="1" applyBorder="1" applyAlignment="1">
      <alignment horizontal="center" vertical="center"/>
    </xf>
    <xf numFmtId="0" fontId="233" fillId="3" borderId="1" xfId="0" applyFont="1" applyFill="1" applyBorder="1" applyAlignment="1">
      <alignment horizontal="center" vertical="center"/>
    </xf>
    <xf numFmtId="0" fontId="82" fillId="3" borderId="1" xfId="0" applyFont="1" applyFill="1" applyBorder="1" applyAlignment="1">
      <alignment horizontal="center" vertical="center"/>
    </xf>
    <xf numFmtId="2" fontId="82" fillId="0" borderId="15" xfId="0" applyNumberFormat="1" applyFont="1" applyFill="1" applyBorder="1" applyAlignment="1">
      <alignment horizontal="center" vertical="center"/>
    </xf>
    <xf numFmtId="2" fontId="82" fillId="0" borderId="15" xfId="0" applyNumberFormat="1" applyFont="1" applyBorder="1" applyAlignment="1">
      <alignment horizontal="center" vertical="center"/>
    </xf>
    <xf numFmtId="0" fontId="233" fillId="14" borderId="64" xfId="0" applyFont="1" applyFill="1" applyBorder="1" applyAlignment="1">
      <alignment horizontal="center" vertical="center"/>
    </xf>
    <xf numFmtId="0" fontId="82" fillId="0" borderId="15" xfId="0" applyFont="1" applyFill="1" applyBorder="1" applyAlignment="1">
      <alignment horizontal="center" vertical="center" wrapText="1"/>
    </xf>
    <xf numFmtId="0" fontId="82" fillId="0" borderId="64" xfId="0" applyFont="1" applyFill="1" applyBorder="1" applyAlignment="1">
      <alignment horizontal="center" vertical="center" wrapText="1"/>
    </xf>
    <xf numFmtId="0" fontId="82" fillId="0" borderId="16" xfId="0" applyFont="1" applyFill="1" applyBorder="1" applyAlignment="1">
      <alignment horizontal="center" vertical="center" wrapText="1"/>
    </xf>
    <xf numFmtId="0" fontId="233" fillId="0" borderId="1" xfId="0" applyFont="1" applyFill="1" applyBorder="1" applyAlignment="1">
      <alignment horizontal="center" vertical="top" wrapText="1"/>
    </xf>
    <xf numFmtId="0" fontId="233" fillId="0" borderId="0" xfId="0" applyFont="1" applyAlignment="1">
      <alignment horizontal="center" vertical="center"/>
    </xf>
    <xf numFmtId="0" fontId="0" fillId="0" borderId="0" xfId="0" applyFont="1" applyAlignment="1">
      <alignment horizontal="center" vertical="center"/>
    </xf>
    <xf numFmtId="0" fontId="0" fillId="0" borderId="0" xfId="0" applyFont="1" applyFill="1" applyAlignment="1">
      <alignment horizontal="center" vertical="center"/>
    </xf>
    <xf numFmtId="0" fontId="233" fillId="0" borderId="0" xfId="0" applyFont="1" applyAlignment="1">
      <alignment horizontal="center" vertical="center" wrapText="1"/>
    </xf>
    <xf numFmtId="0" fontId="0" fillId="0" borderId="1" xfId="0" applyFont="1" applyBorder="1" applyAlignment="1">
      <alignment horizontal="center" vertical="center"/>
    </xf>
    <xf numFmtId="0" fontId="168" fillId="0" borderId="16" xfId="0" applyFont="1" applyFill="1" applyBorder="1" applyAlignment="1">
      <alignment horizontal="center" vertical="center"/>
    </xf>
    <xf numFmtId="0" fontId="236" fillId="0" borderId="1" xfId="0" applyFont="1" applyFill="1" applyBorder="1" applyAlignment="1">
      <alignment horizontal="center" vertical="center"/>
    </xf>
    <xf numFmtId="0" fontId="237" fillId="0" borderId="16" xfId="0" applyFont="1" applyFill="1" applyBorder="1" applyAlignment="1">
      <alignment horizontal="center" vertical="center" wrapText="1"/>
    </xf>
    <xf numFmtId="0" fontId="237" fillId="0" borderId="1" xfId="0" applyFont="1" applyFill="1" applyBorder="1" applyAlignment="1">
      <alignment horizontal="center" vertical="center" wrapText="1"/>
    </xf>
    <xf numFmtId="0" fontId="235" fillId="0" borderId="0" xfId="0" applyFont="1" applyAlignment="1">
      <alignment horizontal="center" vertical="center"/>
    </xf>
    <xf numFmtId="0" fontId="236" fillId="0" borderId="0" xfId="0" applyFont="1" applyAlignment="1">
      <alignment horizontal="center" vertical="center"/>
    </xf>
    <xf numFmtId="0" fontId="237" fillId="0" borderId="16" xfId="0" applyFont="1" applyFill="1" applyBorder="1" applyAlignment="1">
      <alignment horizontal="center" vertical="center"/>
    </xf>
    <xf numFmtId="0" fontId="237" fillId="0" borderId="1" xfId="0" applyFont="1" applyFill="1" applyBorder="1" applyAlignment="1">
      <alignment horizontal="center" vertical="center"/>
    </xf>
    <xf numFmtId="0" fontId="82" fillId="0" borderId="1" xfId="0" applyFont="1" applyBorder="1" applyAlignment="1">
      <alignment horizontal="center" vertical="center"/>
    </xf>
    <xf numFmtId="0" fontId="233" fillId="0" borderId="1" xfId="0" applyFont="1" applyFill="1" applyBorder="1" applyAlignment="1">
      <alignment horizontal="left" vertical="center" wrapText="1"/>
    </xf>
    <xf numFmtId="0" fontId="233" fillId="0" borderId="1" xfId="0" applyFont="1" applyFill="1" applyBorder="1" applyAlignment="1">
      <alignment horizontal="left" vertical="center"/>
    </xf>
    <xf numFmtId="0" fontId="233" fillId="0" borderId="1" xfId="0" applyFont="1" applyFill="1" applyBorder="1" applyAlignment="1">
      <alignment horizontal="center" vertical="center"/>
    </xf>
    <xf numFmtId="0" fontId="234" fillId="0" borderId="64" xfId="0" applyFont="1" applyFill="1" applyBorder="1" applyAlignment="1">
      <alignment horizontal="center" vertical="center" wrapText="1"/>
    </xf>
    <xf numFmtId="0" fontId="234" fillId="0" borderId="16" xfId="0" applyFont="1" applyFill="1" applyBorder="1" applyAlignment="1">
      <alignment horizontal="center" vertical="center" wrapText="1"/>
    </xf>
    <xf numFmtId="0" fontId="98" fillId="0" borderId="15" xfId="0" applyFont="1" applyFill="1" applyBorder="1" applyAlignment="1">
      <alignment horizontal="center" vertical="center"/>
    </xf>
    <xf numFmtId="0" fontId="98" fillId="0" borderId="64" xfId="0" applyFont="1" applyFill="1" applyBorder="1" applyAlignment="1">
      <alignment horizontal="center" vertical="center"/>
    </xf>
    <xf numFmtId="0" fontId="98" fillId="0" borderId="16" xfId="0" applyFont="1" applyFill="1" applyBorder="1" applyAlignment="1">
      <alignment horizontal="center" vertical="center"/>
    </xf>
    <xf numFmtId="0" fontId="82" fillId="0" borderId="0" xfId="0" applyFont="1" applyFill="1" applyAlignment="1">
      <alignment horizontal="center" vertical="center" wrapText="1"/>
    </xf>
    <xf numFmtId="0" fontId="239" fillId="0" borderId="15" xfId="0" applyNumberFormat="1" applyFont="1" applyFill="1" applyBorder="1" applyAlignment="1">
      <alignment horizontal="center" vertical="center" wrapText="1"/>
    </xf>
    <xf numFmtId="0" fontId="239" fillId="0" borderId="64" xfId="0" applyNumberFormat="1" applyFont="1" applyFill="1" applyBorder="1" applyAlignment="1">
      <alignment horizontal="center" vertical="center" wrapText="1"/>
    </xf>
    <xf numFmtId="0" fontId="239" fillId="0" borderId="16" xfId="0" applyNumberFormat="1" applyFont="1" applyFill="1" applyBorder="1" applyAlignment="1">
      <alignment horizontal="center" vertical="center" wrapText="1"/>
    </xf>
    <xf numFmtId="0" fontId="231" fillId="0" borderId="0" xfId="0" applyFont="1" applyFill="1" applyAlignment="1">
      <alignment horizontal="center" vertical="center"/>
    </xf>
    <xf numFmtId="0" fontId="98" fillId="0" borderId="1" xfId="0" applyFont="1" applyFill="1" applyBorder="1" applyAlignment="1">
      <alignment horizontal="center" vertical="center"/>
    </xf>
    <xf numFmtId="0" fontId="214" fillId="0" borderId="16" xfId="0" applyFont="1" applyFill="1" applyBorder="1" applyAlignment="1">
      <alignment horizontal="center" vertical="center" wrapText="1"/>
    </xf>
    <xf numFmtId="0" fontId="214" fillId="0" borderId="1" xfId="0" applyFont="1" applyFill="1" applyBorder="1" applyAlignment="1">
      <alignment horizontal="center" vertical="center" wrapText="1"/>
    </xf>
    <xf numFmtId="0" fontId="215" fillId="0" borderId="16" xfId="0" applyFont="1" applyFill="1" applyBorder="1" applyAlignment="1">
      <alignment horizontal="center" vertical="center"/>
    </xf>
    <xf numFmtId="0" fontId="215" fillId="0" borderId="1" xfId="0" applyFont="1" applyFill="1" applyBorder="1" applyAlignment="1">
      <alignment horizontal="center" vertical="center"/>
    </xf>
    <xf numFmtId="0" fontId="81" fillId="0" borderId="50" xfId="0" applyFont="1" applyFill="1" applyBorder="1" applyAlignment="1">
      <alignment horizontal="center" vertical="center"/>
    </xf>
    <xf numFmtId="0" fontId="81" fillId="0" borderId="0" xfId="0" applyFont="1" applyFill="1" applyAlignment="1">
      <alignment horizontal="center" vertical="center"/>
    </xf>
    <xf numFmtId="0" fontId="234" fillId="0" borderId="34" xfId="0" applyFont="1" applyFill="1" applyBorder="1" applyAlignment="1">
      <alignment horizontal="center" vertical="center" wrapText="1"/>
    </xf>
    <xf numFmtId="0" fontId="234" fillId="0" borderId="108" xfId="0" applyFont="1" applyFill="1" applyBorder="1" applyAlignment="1">
      <alignment horizontal="center" vertical="center" wrapText="1"/>
    </xf>
    <xf numFmtId="0" fontId="86" fillId="14" borderId="1" xfId="0" applyFont="1" applyFill="1" applyBorder="1" applyAlignment="1">
      <alignment horizontal="center" vertical="center" wrapText="1"/>
    </xf>
    <xf numFmtId="0" fontId="83" fillId="14" borderId="1" xfId="0" applyFont="1" applyFill="1" applyBorder="1" applyAlignment="1">
      <alignment horizontal="center" vertical="center" wrapText="1"/>
    </xf>
    <xf numFmtId="0" fontId="83" fillId="0" borderId="1" xfId="0" applyNumberFormat="1" applyFont="1" applyFill="1" applyBorder="1" applyAlignment="1">
      <alignment horizontal="center" vertical="center"/>
    </xf>
    <xf numFmtId="0" fontId="83" fillId="0" borderId="1" xfId="0" applyFont="1" applyFill="1" applyBorder="1" applyAlignment="1">
      <alignment horizontal="center" vertical="center"/>
    </xf>
    <xf numFmtId="0" fontId="83" fillId="0" borderId="16" xfId="0" applyFont="1" applyFill="1" applyBorder="1" applyAlignment="1">
      <alignment horizontal="center" vertical="center"/>
    </xf>
    <xf numFmtId="0" fontId="85" fillId="3" borderId="1" xfId="0" applyFont="1" applyFill="1" applyBorder="1" applyAlignment="1">
      <alignment horizontal="center" vertical="center"/>
    </xf>
    <xf numFmtId="0" fontId="83" fillId="3" borderId="1" xfId="0" applyFont="1" applyFill="1" applyBorder="1" applyAlignment="1">
      <alignment horizontal="center" vertical="center"/>
    </xf>
    <xf numFmtId="0" fontId="85" fillId="0" borderId="1" xfId="0" applyFont="1" applyFill="1" applyBorder="1" applyAlignment="1">
      <alignment horizontal="center" vertical="center" wrapText="1"/>
    </xf>
    <xf numFmtId="0" fontId="85" fillId="14" borderId="1" xfId="0" applyFont="1" applyFill="1" applyBorder="1" applyAlignment="1">
      <alignment horizontal="center" vertical="center" wrapText="1"/>
    </xf>
    <xf numFmtId="0" fontId="84" fillId="16" borderId="2" xfId="0" applyFont="1" applyFill="1" applyBorder="1" applyAlignment="1">
      <alignment horizontal="center" vertical="center" wrapText="1"/>
    </xf>
    <xf numFmtId="0" fontId="84" fillId="16" borderId="4" xfId="0" applyFont="1" applyFill="1" applyBorder="1" applyAlignment="1">
      <alignment horizontal="center" vertical="center" wrapText="1"/>
    </xf>
    <xf numFmtId="0" fontId="84" fillId="0" borderId="1" xfId="0" applyFont="1" applyFill="1" applyBorder="1" applyAlignment="1">
      <alignment horizontal="center" vertical="center"/>
    </xf>
    <xf numFmtId="0" fontId="88" fillId="15" borderId="1" xfId="0" applyFont="1" applyFill="1" applyBorder="1" applyAlignment="1">
      <alignment horizontal="center" vertical="center" wrapText="1"/>
    </xf>
    <xf numFmtId="0" fontId="88" fillId="14" borderId="1" xfId="0" applyFont="1" applyFill="1" applyBorder="1" applyAlignment="1">
      <alignment horizontal="center" vertical="center" wrapText="1"/>
    </xf>
    <xf numFmtId="0" fontId="239" fillId="0" borderId="1" xfId="0" applyFont="1" applyFill="1" applyBorder="1" applyAlignment="1">
      <alignment horizontal="center" vertical="center"/>
    </xf>
    <xf numFmtId="0" fontId="239" fillId="3" borderId="1" xfId="0" applyFont="1" applyFill="1" applyBorder="1" applyAlignment="1">
      <alignment horizontal="center"/>
    </xf>
    <xf numFmtId="0" fontId="85" fillId="16" borderId="1" xfId="0" applyFont="1" applyFill="1" applyBorder="1" applyAlignment="1">
      <alignment horizontal="center" vertical="center"/>
    </xf>
    <xf numFmtId="0" fontId="83" fillId="16" borderId="1" xfId="0" applyFont="1" applyFill="1" applyBorder="1" applyAlignment="1">
      <alignment horizontal="center" vertical="center"/>
    </xf>
    <xf numFmtId="0" fontId="83" fillId="0" borderId="1" xfId="6" applyFont="1" applyFill="1" applyBorder="1" applyAlignment="1">
      <alignment horizontal="center" vertical="center" wrapText="1"/>
    </xf>
    <xf numFmtId="0" fontId="61" fillId="2" borderId="37" xfId="0" applyFont="1" applyFill="1" applyBorder="1" applyAlignment="1" applyProtection="1">
      <alignment horizontal="center" vertical="center"/>
    </xf>
    <xf numFmtId="0" fontId="61" fillId="2" borderId="38" xfId="0" applyFont="1" applyFill="1" applyBorder="1" applyAlignment="1" applyProtection="1">
      <alignment horizontal="center" vertical="center"/>
    </xf>
    <xf numFmtId="0" fontId="61" fillId="2" borderId="112" xfId="0" applyFont="1" applyFill="1" applyBorder="1" applyAlignment="1" applyProtection="1">
      <alignment horizontal="center" vertical="center"/>
    </xf>
    <xf numFmtId="0" fontId="71" fillId="2" borderId="18" xfId="0" applyFont="1" applyFill="1" applyBorder="1" applyAlignment="1" applyProtection="1">
      <alignment horizontal="center" vertical="center"/>
    </xf>
    <xf numFmtId="0" fontId="71" fillId="2" borderId="35" xfId="0" applyFont="1" applyFill="1" applyBorder="1" applyAlignment="1" applyProtection="1">
      <alignment horizontal="center" vertical="center"/>
    </xf>
    <xf numFmtId="0" fontId="71" fillId="2" borderId="36" xfId="0" applyFont="1" applyFill="1" applyBorder="1" applyAlignment="1" applyProtection="1">
      <alignment horizontal="center" vertical="center"/>
    </xf>
    <xf numFmtId="0" fontId="61" fillId="2" borderId="7" xfId="0" applyFont="1" applyFill="1" applyBorder="1" applyAlignment="1" applyProtection="1">
      <alignment horizontal="center" vertical="center"/>
    </xf>
    <xf numFmtId="0" fontId="61" fillId="2" borderId="8" xfId="0" applyFont="1" applyFill="1" applyBorder="1" applyAlignment="1" applyProtection="1">
      <alignment horizontal="center" vertical="center"/>
    </xf>
    <xf numFmtId="0" fontId="61" fillId="2" borderId="9" xfId="0" applyFont="1" applyFill="1" applyBorder="1" applyAlignment="1" applyProtection="1">
      <alignment horizontal="center" vertical="center"/>
    </xf>
    <xf numFmtId="0" fontId="71" fillId="2" borderId="1"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0" fontId="71" fillId="2" borderId="37" xfId="0" applyFont="1" applyFill="1" applyBorder="1" applyAlignment="1" applyProtection="1">
      <alignment horizontal="center" vertical="center"/>
    </xf>
    <xf numFmtId="0" fontId="71" fillId="2" borderId="38" xfId="0" applyFont="1" applyFill="1" applyBorder="1" applyAlignment="1" applyProtection="1">
      <alignment horizontal="center" vertical="center"/>
    </xf>
    <xf numFmtId="0" fontId="71" fillId="2" borderId="112" xfId="0" applyFont="1" applyFill="1" applyBorder="1" applyAlignment="1" applyProtection="1">
      <alignment horizontal="center" vertical="center"/>
    </xf>
    <xf numFmtId="0" fontId="61" fillId="2" borderId="1" xfId="0" applyFont="1" applyFill="1" applyBorder="1" applyAlignment="1" applyProtection="1">
      <alignment horizontal="center" vertical="center"/>
    </xf>
    <xf numFmtId="0" fontId="112" fillId="2" borderId="147" xfId="0" applyFont="1" applyFill="1" applyBorder="1" applyAlignment="1" applyProtection="1">
      <alignment horizontal="center" vertical="center"/>
    </xf>
    <xf numFmtId="0" fontId="112" fillId="2" borderId="148" xfId="0" applyFont="1" applyFill="1" applyBorder="1" applyAlignment="1" applyProtection="1">
      <alignment horizontal="center" vertical="center"/>
    </xf>
    <xf numFmtId="0" fontId="78" fillId="2" borderId="117" xfId="0" applyFont="1" applyFill="1" applyBorder="1" applyAlignment="1" applyProtection="1">
      <alignment horizontal="center" vertical="center"/>
    </xf>
    <xf numFmtId="0" fontId="78" fillId="2" borderId="25" xfId="0" applyFont="1" applyFill="1" applyBorder="1" applyAlignment="1" applyProtection="1">
      <alignment horizontal="center" vertical="center"/>
    </xf>
    <xf numFmtId="0" fontId="78" fillId="2" borderId="115" xfId="0" applyFont="1" applyFill="1" applyBorder="1" applyAlignment="1" applyProtection="1">
      <alignment horizontal="center" vertical="center"/>
    </xf>
    <xf numFmtId="0" fontId="36" fillId="2" borderId="120" xfId="0" applyFont="1" applyFill="1" applyBorder="1" applyAlignment="1" applyProtection="1">
      <alignment horizontal="center" vertical="center"/>
    </xf>
    <xf numFmtId="0" fontId="36" fillId="2" borderId="98" xfId="0" applyFont="1" applyFill="1" applyBorder="1" applyAlignment="1" applyProtection="1">
      <alignment horizontal="center" vertical="center"/>
    </xf>
    <xf numFmtId="0" fontId="36" fillId="2" borderId="2" xfId="0" applyFont="1" applyFill="1" applyBorder="1" applyAlignment="1" applyProtection="1">
      <alignment horizontal="center" vertical="center" wrapText="1"/>
    </xf>
    <xf numFmtId="0" fontId="36" fillId="2" borderId="3" xfId="0" applyFont="1" applyFill="1" applyBorder="1" applyAlignment="1" applyProtection="1">
      <alignment horizontal="center" vertical="center" wrapText="1"/>
    </xf>
    <xf numFmtId="0" fontId="36" fillId="2" borderId="4" xfId="0" applyFont="1" applyFill="1" applyBorder="1" applyAlignment="1" applyProtection="1">
      <alignment horizontal="center" vertical="center" wrapText="1"/>
    </xf>
    <xf numFmtId="0" fontId="38" fillId="2" borderId="48" xfId="0" applyFont="1" applyFill="1" applyBorder="1" applyAlignment="1" applyProtection="1">
      <alignment horizontal="left" vertical="center" wrapText="1"/>
    </xf>
    <xf numFmtId="0" fontId="38" fillId="2" borderId="97" xfId="0" applyFont="1" applyFill="1" applyBorder="1" applyAlignment="1" applyProtection="1">
      <alignment horizontal="left" vertical="center" wrapText="1"/>
    </xf>
    <xf numFmtId="0" fontId="38" fillId="2" borderId="111" xfId="0" applyFont="1" applyFill="1" applyBorder="1" applyAlignment="1" applyProtection="1">
      <alignment horizontal="left" vertical="center" wrapText="1"/>
    </xf>
    <xf numFmtId="0" fontId="41" fillId="2" borderId="1" xfId="0" applyFont="1" applyFill="1" applyBorder="1" applyAlignment="1" applyProtection="1">
      <alignment horizontal="center" vertical="center" wrapText="1"/>
    </xf>
    <xf numFmtId="0" fontId="38" fillId="2" borderId="37" xfId="0" applyFont="1" applyFill="1" applyBorder="1" applyAlignment="1" applyProtection="1">
      <alignment horizontal="center" vertical="center" wrapText="1"/>
    </xf>
    <xf numFmtId="0" fontId="38" fillId="2" borderId="38" xfId="0" applyFont="1" applyFill="1" applyBorder="1" applyAlignment="1" applyProtection="1">
      <alignment horizontal="center" vertical="center" wrapText="1"/>
    </xf>
    <xf numFmtId="0" fontId="38" fillId="2" borderId="39" xfId="0" applyFont="1" applyFill="1" applyBorder="1" applyAlignment="1" applyProtection="1">
      <alignment horizontal="center" vertical="center" wrapText="1"/>
    </xf>
    <xf numFmtId="0" fontId="104" fillId="2" borderId="1" xfId="0" applyFont="1" applyFill="1" applyBorder="1" applyAlignment="1" applyProtection="1">
      <alignment horizontal="center" vertical="center" wrapText="1"/>
      <protection locked="0"/>
    </xf>
    <xf numFmtId="194" fontId="104" fillId="2" borderId="1" xfId="0" applyNumberFormat="1" applyFont="1" applyFill="1" applyBorder="1" applyAlignment="1" applyProtection="1">
      <alignment horizontal="center" vertical="center" wrapText="1"/>
    </xf>
    <xf numFmtId="0" fontId="61" fillId="0" borderId="15" xfId="0" applyFont="1" applyBorder="1" applyAlignment="1" applyProtection="1">
      <alignment horizontal="center" vertical="center"/>
      <protection locked="0"/>
    </xf>
    <xf numFmtId="0" fontId="61" fillId="0" borderId="16" xfId="0" applyFont="1" applyBorder="1" applyAlignment="1" applyProtection="1">
      <alignment horizontal="center" vertical="center"/>
      <protection locked="0"/>
    </xf>
    <xf numFmtId="0" fontId="61" fillId="0" borderId="64" xfId="0" applyFont="1" applyBorder="1" applyAlignment="1" applyProtection="1">
      <alignment horizontal="center" vertical="center"/>
      <protection locked="0"/>
    </xf>
    <xf numFmtId="0" fontId="61" fillId="0" borderId="1" xfId="0" applyFont="1" applyBorder="1" applyAlignment="1" applyProtection="1">
      <alignment horizontal="center" vertical="center"/>
      <protection locked="0"/>
    </xf>
    <xf numFmtId="0" fontId="36" fillId="2" borderId="51" xfId="0" applyFont="1" applyFill="1" applyBorder="1" applyAlignment="1" applyProtection="1">
      <alignment horizontal="left" vertical="center" wrapText="1"/>
    </xf>
    <xf numFmtId="0" fontId="36" fillId="2" borderId="1" xfId="0" applyFont="1" applyFill="1" applyBorder="1" applyAlignment="1" applyProtection="1">
      <alignment horizontal="left" vertical="center" wrapText="1"/>
    </xf>
    <xf numFmtId="0" fontId="104" fillId="2" borderId="1" xfId="0" applyFont="1" applyFill="1" applyBorder="1" applyAlignment="1" applyProtection="1">
      <alignment horizontal="center" vertical="center" wrapText="1"/>
    </xf>
    <xf numFmtId="0" fontId="36" fillId="2" borderId="3" xfId="0" applyFont="1" applyFill="1" applyBorder="1" applyAlignment="1" applyProtection="1">
      <alignment horizontal="left" vertical="center" wrapText="1"/>
    </xf>
    <xf numFmtId="0" fontId="36" fillId="2" borderId="40" xfId="0" applyFont="1" applyFill="1" applyBorder="1" applyAlignment="1" applyProtection="1">
      <alignment horizontal="center" vertical="center"/>
    </xf>
    <xf numFmtId="0" fontId="36" fillId="2" borderId="43" xfId="0" applyFont="1" applyFill="1" applyBorder="1" applyAlignment="1" applyProtection="1">
      <alignment horizontal="center" vertical="center"/>
    </xf>
    <xf numFmtId="0" fontId="36" fillId="2" borderId="28" xfId="0" applyFont="1" applyFill="1" applyBorder="1" applyAlignment="1" applyProtection="1">
      <alignment horizontal="center" vertical="center"/>
    </xf>
    <xf numFmtId="0" fontId="7" fillId="2" borderId="1" xfId="0" applyFont="1" applyFill="1" applyBorder="1" applyAlignment="1" applyProtection="1">
      <alignment horizontal="center" vertical="center" wrapText="1"/>
    </xf>
    <xf numFmtId="0" fontId="36" fillId="2" borderId="2" xfId="0" applyFont="1" applyFill="1" applyBorder="1" applyAlignment="1" applyProtection="1">
      <alignment horizontal="left" vertical="center" wrapText="1"/>
    </xf>
    <xf numFmtId="0" fontId="36" fillId="2" borderId="4" xfId="0" applyFont="1" applyFill="1" applyBorder="1" applyAlignment="1" applyProtection="1">
      <alignment horizontal="left" vertical="center" wrapText="1"/>
    </xf>
    <xf numFmtId="0" fontId="36" fillId="2" borderId="10" xfId="0" applyFont="1" applyFill="1" applyBorder="1" applyAlignment="1" applyProtection="1">
      <alignment horizontal="left" vertical="center" wrapText="1"/>
    </xf>
    <xf numFmtId="0" fontId="36" fillId="2" borderId="2" xfId="0" applyFont="1" applyFill="1" applyBorder="1" applyAlignment="1" applyProtection="1">
      <alignment horizontal="center" vertical="center"/>
    </xf>
    <xf numFmtId="0" fontId="36" fillId="2" borderId="3" xfId="0" applyFont="1" applyFill="1" applyBorder="1" applyAlignment="1" applyProtection="1">
      <alignment horizontal="center" vertical="center"/>
    </xf>
    <xf numFmtId="0" fontId="36" fillId="2" borderId="2" xfId="0" applyFont="1" applyFill="1" applyBorder="1" applyAlignment="1" applyProtection="1">
      <alignment horizontal="left" vertical="center"/>
    </xf>
    <xf numFmtId="0" fontId="36" fillId="2" borderId="4" xfId="0" applyFont="1" applyFill="1" applyBorder="1" applyAlignment="1" applyProtection="1">
      <alignment horizontal="left" vertical="center"/>
    </xf>
    <xf numFmtId="0" fontId="36" fillId="2" borderId="12" xfId="0" applyFont="1" applyFill="1" applyBorder="1" applyAlignment="1" applyProtection="1">
      <alignment horizontal="left" vertical="center" wrapText="1"/>
    </xf>
    <xf numFmtId="0" fontId="36" fillId="2" borderId="13" xfId="0" applyFont="1" applyFill="1" applyBorder="1" applyAlignment="1" applyProtection="1">
      <alignment horizontal="left" vertical="center" wrapText="1"/>
    </xf>
    <xf numFmtId="0" fontId="38" fillId="2" borderId="21" xfId="0" applyFont="1" applyFill="1" applyBorder="1" applyAlignment="1" applyProtection="1">
      <alignment horizontal="center" vertical="center"/>
    </xf>
    <xf numFmtId="0" fontId="29"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9" fillId="2" borderId="3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7" fillId="2" borderId="15" xfId="0" applyFont="1" applyFill="1" applyBorder="1" applyAlignment="1" applyProtection="1">
      <alignment horizontal="center" vertical="center" wrapText="1"/>
    </xf>
    <xf numFmtId="0" fontId="7" fillId="2" borderId="16" xfId="0" applyFont="1" applyFill="1" applyBorder="1" applyAlignment="1" applyProtection="1">
      <alignment horizontal="center" vertical="center" wrapText="1"/>
    </xf>
    <xf numFmtId="0" fontId="6" fillId="2" borderId="1" xfId="0" applyFont="1" applyFill="1" applyBorder="1" applyAlignment="1">
      <alignment horizontal="center" vertical="center" wrapText="1"/>
    </xf>
    <xf numFmtId="0" fontId="36" fillId="2" borderId="42" xfId="0" applyFont="1" applyFill="1" applyBorder="1" applyAlignment="1" applyProtection="1">
      <alignment horizontal="left" vertical="center" wrapText="1"/>
    </xf>
    <xf numFmtId="10" fontId="36" fillId="2" borderId="2" xfId="0" applyNumberFormat="1" applyFont="1" applyFill="1" applyBorder="1" applyAlignment="1" applyProtection="1">
      <alignment horizontal="left" vertical="center" wrapText="1"/>
    </xf>
    <xf numFmtId="10" fontId="36" fillId="2" borderId="3" xfId="0" applyNumberFormat="1" applyFont="1" applyFill="1" applyBorder="1" applyAlignment="1" applyProtection="1">
      <alignment horizontal="left" vertical="center" wrapText="1"/>
    </xf>
    <xf numFmtId="10" fontId="36" fillId="2" borderId="42" xfId="0" applyNumberFormat="1" applyFont="1" applyFill="1" applyBorder="1" applyAlignment="1" applyProtection="1">
      <alignment horizontal="left" vertical="center" wrapText="1"/>
    </xf>
    <xf numFmtId="10" fontId="43" fillId="2" borderId="2" xfId="0" applyNumberFormat="1" applyFont="1" applyFill="1" applyBorder="1" applyAlignment="1" applyProtection="1">
      <alignment horizontal="left" vertical="center" wrapText="1"/>
    </xf>
    <xf numFmtId="10" fontId="43" fillId="2" borderId="3" xfId="0" applyNumberFormat="1" applyFont="1" applyFill="1" applyBorder="1" applyAlignment="1" applyProtection="1">
      <alignment horizontal="left" vertical="center" wrapText="1"/>
    </xf>
    <xf numFmtId="10" fontId="43" fillId="2" borderId="42" xfId="0" applyNumberFormat="1" applyFont="1" applyFill="1" applyBorder="1" applyAlignment="1" applyProtection="1">
      <alignment horizontal="left" vertical="center" wrapText="1"/>
    </xf>
    <xf numFmtId="0" fontId="71" fillId="2" borderId="39" xfId="0" applyFont="1" applyFill="1" applyBorder="1" applyAlignment="1" applyProtection="1">
      <alignment horizontal="center" vertical="center"/>
    </xf>
    <xf numFmtId="0" fontId="107" fillId="2" borderId="145" xfId="0" applyFont="1" applyFill="1" applyBorder="1" applyProtection="1">
      <alignment vertical="center"/>
    </xf>
    <xf numFmtId="0" fontId="107" fillId="2" borderId="146" xfId="0" applyFont="1" applyFill="1" applyBorder="1" applyProtection="1">
      <alignment vertical="center"/>
    </xf>
    <xf numFmtId="0" fontId="71" fillId="3" borderId="41" xfId="0" applyFont="1" applyFill="1" applyBorder="1" applyAlignment="1" applyProtection="1">
      <alignment horizontal="left" vertical="center" wrapText="1"/>
      <protection locked="0"/>
    </xf>
    <xf numFmtId="0" fontId="71" fillId="3" borderId="4" xfId="0" applyFont="1" applyFill="1" applyBorder="1" applyAlignment="1" applyProtection="1">
      <alignment horizontal="left" vertical="center" wrapText="1"/>
      <protection locked="0"/>
    </xf>
    <xf numFmtId="0" fontId="36" fillId="2" borderId="31" xfId="0" applyFont="1" applyFill="1" applyBorder="1" applyAlignment="1" applyProtection="1">
      <alignment horizontal="left" vertical="center" wrapText="1"/>
    </xf>
    <xf numFmtId="0" fontId="71" fillId="2" borderId="2" xfId="0" applyFont="1" applyFill="1" applyBorder="1" applyAlignment="1" applyProtection="1">
      <alignment horizontal="center" vertical="center"/>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61" fillId="3" borderId="2" xfId="0" applyFont="1" applyFill="1" applyBorder="1" applyAlignment="1" applyProtection="1">
      <alignment horizontal="center" vertical="center" wrapText="1"/>
      <protection locked="0"/>
    </xf>
    <xf numFmtId="0" fontId="61" fillId="3" borderId="4" xfId="0" applyFont="1" applyFill="1" applyBorder="1" applyAlignment="1" applyProtection="1">
      <alignment horizontal="center" vertical="center" wrapText="1"/>
      <protection locked="0"/>
    </xf>
    <xf numFmtId="0" fontId="61" fillId="3" borderId="1" xfId="0" applyFont="1" applyFill="1" applyBorder="1" applyAlignment="1" applyProtection="1">
      <alignment horizontal="center" vertical="center" wrapText="1"/>
      <protection locked="0"/>
    </xf>
    <xf numFmtId="179" fontId="61" fillId="2" borderId="2" xfId="0" applyNumberFormat="1" applyFont="1" applyFill="1" applyBorder="1" applyAlignment="1" applyProtection="1">
      <alignment horizontal="center" vertical="center" wrapText="1"/>
    </xf>
    <xf numFmtId="179" fontId="61" fillId="2" borderId="4" xfId="0" applyNumberFormat="1" applyFont="1" applyFill="1" applyBorder="1" applyAlignment="1" applyProtection="1">
      <alignment horizontal="center" vertical="center" wrapText="1"/>
    </xf>
    <xf numFmtId="0" fontId="61" fillId="3" borderId="15" xfId="0" applyFont="1" applyFill="1" applyBorder="1" applyAlignment="1" applyProtection="1">
      <alignment horizontal="center" vertical="center" wrapText="1"/>
      <protection locked="0"/>
    </xf>
    <xf numFmtId="0" fontId="61" fillId="3" borderId="16" xfId="0" applyFont="1" applyFill="1" applyBorder="1" applyAlignment="1" applyProtection="1">
      <alignment horizontal="center" vertical="center" wrapText="1"/>
      <protection locked="0"/>
    </xf>
    <xf numFmtId="0" fontId="71" fillId="2" borderId="10" xfId="0" applyFont="1" applyFill="1" applyBorder="1" applyAlignment="1" applyProtection="1">
      <alignment horizontal="left" vertical="center"/>
    </xf>
    <xf numFmtId="0" fontId="71" fillId="2" borderId="1" xfId="0" applyFont="1" applyFill="1" applyBorder="1" applyAlignment="1" applyProtection="1">
      <alignment horizontal="left" vertical="center"/>
    </xf>
    <xf numFmtId="0" fontId="71" fillId="2" borderId="10" xfId="0" applyFont="1" applyFill="1" applyBorder="1" applyAlignment="1" applyProtection="1">
      <alignment horizontal="left" vertical="center" wrapText="1"/>
    </xf>
    <xf numFmtId="0" fontId="71" fillId="2" borderId="1" xfId="0" applyFont="1" applyFill="1" applyBorder="1" applyAlignment="1" applyProtection="1">
      <alignment horizontal="left" vertical="center" wrapText="1"/>
    </xf>
    <xf numFmtId="0" fontId="71" fillId="2" borderId="12" xfId="0" applyFont="1" applyFill="1" applyBorder="1" applyAlignment="1" applyProtection="1">
      <alignment horizontal="left" vertical="center" wrapText="1"/>
    </xf>
    <xf numFmtId="0" fontId="71" fillId="2" borderId="13" xfId="0" applyFont="1" applyFill="1" applyBorder="1" applyAlignment="1" applyProtection="1">
      <alignment horizontal="left" vertical="center" wrapText="1"/>
    </xf>
    <xf numFmtId="0" fontId="71" fillId="2" borderId="4" xfId="0" applyFont="1" applyFill="1" applyBorder="1" applyAlignment="1" applyProtection="1">
      <alignment horizontal="left" vertical="center"/>
    </xf>
    <xf numFmtId="0" fontId="71" fillId="2" borderId="2" xfId="0"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0" fontId="61" fillId="2" borderId="2" xfId="0" applyFont="1" applyFill="1" applyBorder="1" applyAlignment="1" applyProtection="1">
      <alignment horizontal="center" vertical="center" wrapText="1"/>
    </xf>
    <xf numFmtId="0" fontId="61" fillId="2" borderId="3" xfId="0" applyFont="1" applyFill="1" applyBorder="1" applyAlignment="1" applyProtection="1">
      <alignment horizontal="center" vertical="center" wrapText="1"/>
    </xf>
    <xf numFmtId="0" fontId="61" fillId="2" borderId="4" xfId="0" applyFont="1" applyFill="1" applyBorder="1" applyAlignment="1" applyProtection="1">
      <alignment horizontal="center" vertical="center" wrapText="1"/>
    </xf>
    <xf numFmtId="179" fontId="61" fillId="2" borderId="3" xfId="0" applyNumberFormat="1" applyFont="1" applyFill="1" applyBorder="1" applyAlignment="1" applyProtection="1">
      <alignment horizontal="center" vertical="center" wrapText="1"/>
    </xf>
    <xf numFmtId="0" fontId="71" fillId="2" borderId="1" xfId="0" applyFont="1" applyFill="1" applyBorder="1" applyAlignment="1" applyProtection="1">
      <alignment horizontal="center" vertical="center" wrapText="1"/>
    </xf>
    <xf numFmtId="0" fontId="36" fillId="2" borderId="97" xfId="0" applyFont="1" applyFill="1" applyBorder="1" applyAlignment="1" applyProtection="1">
      <alignment horizontal="left" vertical="center"/>
    </xf>
    <xf numFmtId="0" fontId="61" fillId="2" borderId="1" xfId="0" applyFont="1" applyFill="1" applyBorder="1" applyAlignment="1" applyProtection="1">
      <alignment horizontal="left" vertical="center" wrapText="1"/>
    </xf>
    <xf numFmtId="0" fontId="71" fillId="2" borderId="18" xfId="0" applyFont="1" applyFill="1" applyBorder="1" applyAlignment="1" applyProtection="1">
      <alignment horizontal="left" vertical="center" wrapText="1"/>
    </xf>
    <xf numFmtId="0" fontId="71" fillId="2" borderId="58" xfId="0" applyFont="1" applyFill="1" applyBorder="1" applyAlignment="1" applyProtection="1">
      <alignment horizontal="left" vertical="center" wrapText="1"/>
    </xf>
    <xf numFmtId="0" fontId="71" fillId="2" borderId="18" xfId="0" applyFont="1" applyFill="1" applyBorder="1" applyAlignment="1" applyProtection="1">
      <alignment horizontal="center" vertical="center" wrapText="1"/>
    </xf>
    <xf numFmtId="0" fontId="71" fillId="2" borderId="27" xfId="0" applyFont="1" applyFill="1" applyBorder="1" applyAlignment="1" applyProtection="1">
      <alignment horizontal="center" vertical="center" wrapText="1"/>
    </xf>
    <xf numFmtId="0" fontId="71" fillId="2" borderId="110" xfId="0" applyFont="1" applyFill="1" applyBorder="1" applyAlignment="1" applyProtection="1">
      <alignment horizontal="center" vertical="center" wrapText="1"/>
    </xf>
    <xf numFmtId="0" fontId="108" fillId="2" borderId="10" xfId="0" applyFont="1" applyFill="1" applyBorder="1" applyProtection="1">
      <alignment vertical="center"/>
    </xf>
    <xf numFmtId="0" fontId="108" fillId="2" borderId="12" xfId="0" applyFont="1" applyFill="1" applyBorder="1" applyProtection="1">
      <alignment vertical="center"/>
    </xf>
    <xf numFmtId="0" fontId="30" fillId="2" borderId="40" xfId="0" applyFont="1" applyFill="1" applyBorder="1" applyAlignment="1" applyProtection="1">
      <alignment horizontal="left" vertical="center"/>
    </xf>
    <xf numFmtId="0" fontId="30" fillId="2" borderId="43" xfId="0" applyFont="1" applyFill="1" applyBorder="1" applyAlignment="1" applyProtection="1">
      <alignment horizontal="left" vertical="center"/>
    </xf>
    <xf numFmtId="0" fontId="30" fillId="2" borderId="28" xfId="0" applyFont="1" applyFill="1" applyBorder="1" applyAlignment="1" applyProtection="1">
      <alignment horizontal="left" vertical="center"/>
    </xf>
    <xf numFmtId="0" fontId="55" fillId="2" borderId="7" xfId="0" applyFont="1" applyFill="1" applyBorder="1" applyAlignment="1" applyProtection="1">
      <alignment horizontal="center" vertical="center" wrapText="1"/>
    </xf>
    <xf numFmtId="0" fontId="55" fillId="2" borderId="9" xfId="0" applyFont="1" applyFill="1" applyBorder="1" applyAlignment="1" applyProtection="1">
      <alignment horizontal="center" vertical="center" wrapText="1"/>
    </xf>
    <xf numFmtId="0" fontId="55" fillId="2" borderId="112" xfId="0" applyFont="1" applyFill="1" applyBorder="1" applyAlignment="1" applyProtection="1">
      <alignment horizontal="center" vertical="center" wrapText="1"/>
    </xf>
    <xf numFmtId="0" fontId="55" fillId="2" borderId="32" xfId="0" applyFont="1" applyFill="1" applyBorder="1" applyAlignment="1" applyProtection="1">
      <alignment horizontal="center" vertical="center" wrapText="1"/>
    </xf>
    <xf numFmtId="0" fontId="70" fillId="0" borderId="10" xfId="0" applyFont="1" applyFill="1" applyBorder="1" applyAlignment="1" applyProtection="1">
      <alignment horizontal="center" vertical="center" wrapText="1"/>
      <protection locked="0"/>
    </xf>
    <xf numFmtId="0" fontId="70" fillId="0" borderId="11" xfId="0" applyFont="1" applyFill="1" applyBorder="1" applyAlignment="1" applyProtection="1">
      <alignment horizontal="center" vertical="center" wrapText="1"/>
      <protection locked="0"/>
    </xf>
    <xf numFmtId="0" fontId="243" fillId="0" borderId="10" xfId="0" applyFont="1" applyFill="1" applyBorder="1" applyAlignment="1" applyProtection="1">
      <alignment horizontal="center" vertical="center" wrapText="1"/>
      <protection locked="0"/>
    </xf>
    <xf numFmtId="0" fontId="70" fillId="0" borderId="51" xfId="0" applyFont="1" applyFill="1" applyBorder="1" applyAlignment="1" applyProtection="1">
      <alignment horizontal="center" vertical="center" wrapText="1"/>
      <protection locked="0"/>
    </xf>
    <xf numFmtId="0" fontId="70" fillId="0" borderId="40" xfId="0" applyFont="1" applyFill="1" applyBorder="1" applyAlignment="1" applyProtection="1">
      <alignment horizontal="center" vertical="center" wrapText="1"/>
      <protection locked="0"/>
    </xf>
    <xf numFmtId="0" fontId="243" fillId="0" borderId="12" xfId="0" applyFont="1" applyFill="1" applyBorder="1" applyAlignment="1" applyProtection="1">
      <alignment horizontal="center" vertical="center" wrapText="1"/>
      <protection locked="0"/>
    </xf>
    <xf numFmtId="0" fontId="70" fillId="0" borderId="14" xfId="0" applyFont="1" applyFill="1" applyBorder="1" applyAlignment="1" applyProtection="1">
      <alignment horizontal="center" vertical="center" wrapText="1"/>
      <protection locked="0"/>
    </xf>
    <xf numFmtId="0" fontId="243" fillId="0" borderId="51" xfId="0" applyFont="1" applyFill="1" applyBorder="1" applyAlignment="1" applyProtection="1">
      <alignment horizontal="center" vertical="center" wrapText="1"/>
      <protection locked="0"/>
    </xf>
    <xf numFmtId="0" fontId="61" fillId="2" borderId="2" xfId="0" applyFont="1" applyFill="1" applyBorder="1" applyAlignment="1" applyProtection="1">
      <alignment horizontal="center" vertical="center"/>
    </xf>
    <xf numFmtId="0" fontId="61" fillId="2" borderId="3" xfId="0" applyFont="1" applyFill="1" applyBorder="1" applyAlignment="1" applyProtection="1">
      <alignment horizontal="center" vertical="center"/>
    </xf>
    <xf numFmtId="0" fontId="7" fillId="2" borderId="10" xfId="0" applyFont="1" applyFill="1" applyBorder="1" applyAlignment="1" applyProtection="1">
      <alignment horizontal="center" vertical="center"/>
    </xf>
    <xf numFmtId="0" fontId="55" fillId="2" borderId="1"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55" fillId="2" borderId="64"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textRotation="255" wrapText="1"/>
    </xf>
    <xf numFmtId="0" fontId="55" fillId="2" borderId="64" xfId="0" applyFont="1" applyFill="1" applyBorder="1" applyAlignment="1" applyProtection="1">
      <alignment horizontal="center" vertical="center" textRotation="255" wrapText="1"/>
    </xf>
    <xf numFmtId="190" fontId="55" fillId="2" borderId="1" xfId="0" applyNumberFormat="1" applyFont="1" applyFill="1" applyBorder="1" applyAlignment="1" applyProtection="1">
      <alignment horizontal="center" vertical="center"/>
    </xf>
    <xf numFmtId="0" fontId="55" fillId="2" borderId="2" xfId="0" applyFont="1" applyFill="1" applyBorder="1" applyAlignment="1" applyProtection="1">
      <alignment horizontal="center" vertical="center" wrapText="1"/>
    </xf>
    <xf numFmtId="0" fontId="55" fillId="2" borderId="4" xfId="0" applyFont="1" applyFill="1" applyBorder="1" applyAlignment="1" applyProtection="1">
      <alignment horizontal="center" vertical="center" wrapText="1"/>
    </xf>
    <xf numFmtId="190" fontId="56" fillId="2" borderId="1" xfId="0" applyNumberFormat="1" applyFont="1" applyFill="1" applyBorder="1" applyAlignment="1" applyProtection="1">
      <alignment horizontal="center" vertical="center"/>
    </xf>
    <xf numFmtId="0" fontId="55" fillId="2" borderId="1"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64" xfId="0" applyFont="1" applyFill="1" applyBorder="1" applyAlignment="1" applyProtection="1">
      <alignment horizontal="center" vertical="center"/>
    </xf>
    <xf numFmtId="0" fontId="55" fillId="2" borderId="16" xfId="0" applyFont="1" applyFill="1" applyBorder="1" applyAlignment="1" applyProtection="1">
      <alignment horizontal="center" vertical="center"/>
    </xf>
    <xf numFmtId="0" fontId="55" fillId="2" borderId="8" xfId="0" applyFont="1" applyFill="1" applyBorder="1" applyAlignment="1" applyProtection="1">
      <alignment horizontal="center" vertical="center" wrapText="1"/>
    </xf>
    <xf numFmtId="0" fontId="55" fillId="2" borderId="10" xfId="0" applyFont="1" applyFill="1" applyBorder="1" applyAlignment="1" applyProtection="1">
      <alignment horizontal="center" vertical="center" wrapText="1"/>
    </xf>
    <xf numFmtId="0" fontId="55" fillId="2" borderId="48" xfId="0" applyFont="1" applyFill="1" applyBorder="1" applyAlignment="1" applyProtection="1">
      <alignment horizontal="center" vertical="center" wrapText="1"/>
    </xf>
    <xf numFmtId="0" fontId="55" fillId="2" borderId="111" xfId="0" applyFont="1" applyFill="1" applyBorder="1" applyAlignment="1" applyProtection="1">
      <alignment horizontal="center" vertical="center" wrapText="1"/>
    </xf>
    <xf numFmtId="0" fontId="55" fillId="2" borderId="50" xfId="0" applyFont="1" applyFill="1" applyBorder="1" applyAlignment="1" applyProtection="1">
      <alignment horizontal="center" vertical="center" wrapText="1"/>
    </xf>
    <xf numFmtId="0" fontId="55" fillId="2" borderId="119" xfId="0" applyFont="1" applyFill="1" applyBorder="1" applyAlignment="1" applyProtection="1">
      <alignment horizontal="center" vertical="center" wrapText="1"/>
    </xf>
    <xf numFmtId="0" fontId="55" fillId="2" borderId="34" xfId="0" applyFont="1" applyFill="1" applyBorder="1" applyAlignment="1" applyProtection="1">
      <alignment horizontal="center" vertical="center" wrapText="1"/>
    </xf>
    <xf numFmtId="0" fontId="55" fillId="2" borderId="108" xfId="0" applyFont="1" applyFill="1" applyBorder="1" applyAlignment="1" applyProtection="1">
      <alignment horizontal="center" vertical="center" wrapText="1"/>
    </xf>
    <xf numFmtId="0" fontId="55" fillId="2" borderId="48" xfId="0" applyFont="1" applyFill="1" applyBorder="1" applyAlignment="1" applyProtection="1">
      <alignment horizontal="center" vertical="center"/>
    </xf>
    <xf numFmtId="0" fontId="55" fillId="2" borderId="111" xfId="0" applyFont="1" applyFill="1" applyBorder="1" applyAlignment="1" applyProtection="1">
      <alignment horizontal="center" vertical="center"/>
    </xf>
    <xf numFmtId="0" fontId="55" fillId="2" borderId="50" xfId="0" applyFont="1" applyFill="1" applyBorder="1" applyAlignment="1" applyProtection="1">
      <alignment horizontal="center" vertical="center"/>
    </xf>
    <xf numFmtId="0" fontId="55" fillId="2" borderId="119" xfId="0" applyFont="1" applyFill="1" applyBorder="1" applyAlignment="1" applyProtection="1">
      <alignment horizontal="center" vertical="center"/>
    </xf>
    <xf numFmtId="0" fontId="55" fillId="2" borderId="34" xfId="0" applyFont="1" applyFill="1" applyBorder="1" applyAlignment="1" applyProtection="1">
      <alignment horizontal="center" vertical="center"/>
    </xf>
    <xf numFmtId="0" fontId="55" fillId="2" borderId="108" xfId="0" applyFont="1" applyFill="1" applyBorder="1" applyAlignment="1" applyProtection="1">
      <alignment horizontal="center" vertical="center"/>
    </xf>
    <xf numFmtId="0" fontId="61" fillId="2" borderId="4" xfId="0" applyFont="1" applyFill="1" applyBorder="1" applyAlignment="1" applyProtection="1">
      <alignment horizontal="center" vertical="center"/>
    </xf>
    <xf numFmtId="0" fontId="36" fillId="2" borderId="15" xfId="0" applyFont="1" applyFill="1" applyBorder="1" applyAlignment="1" applyProtection="1">
      <alignment vertical="top" wrapText="1"/>
    </xf>
    <xf numFmtId="0" fontId="36" fillId="2" borderId="64" xfId="0" applyFont="1" applyFill="1" applyBorder="1" applyAlignment="1" applyProtection="1">
      <alignment vertical="top" wrapText="1"/>
    </xf>
    <xf numFmtId="0" fontId="36" fillId="2" borderId="16" xfId="0" applyFont="1" applyFill="1" applyBorder="1" applyAlignment="1" applyProtection="1">
      <alignment vertical="top" wrapText="1"/>
    </xf>
    <xf numFmtId="0" fontId="43" fillId="2" borderId="109" xfId="0" applyFont="1" applyFill="1" applyBorder="1" applyAlignment="1" applyProtection="1">
      <alignment horizontal="left" vertical="center" wrapText="1"/>
    </xf>
    <xf numFmtId="0" fontId="43" fillId="2" borderId="115" xfId="0" applyFont="1" applyFill="1" applyBorder="1" applyAlignment="1" applyProtection="1">
      <alignment horizontal="left" vertical="center" wrapText="1"/>
    </xf>
    <xf numFmtId="0" fontId="36" fillId="2" borderId="47" xfId="0" applyFont="1" applyFill="1" applyBorder="1" applyAlignment="1" applyProtection="1">
      <alignment horizontal="center" vertical="center"/>
      <protection locked="0"/>
    </xf>
    <xf numFmtId="0" fontId="36" fillId="2" borderId="21" xfId="0" applyFont="1" applyFill="1" applyBorder="1" applyAlignment="1" applyProtection="1">
      <alignment horizontal="center" vertical="center"/>
      <protection locked="0"/>
    </xf>
    <xf numFmtId="0" fontId="36" fillId="2" borderId="68" xfId="0" applyFont="1" applyFill="1" applyBorder="1" applyAlignment="1" applyProtection="1">
      <alignment horizontal="center" vertical="center"/>
      <protection locked="0"/>
    </xf>
    <xf numFmtId="0" fontId="36" fillId="2" borderId="4" xfId="0" applyFont="1" applyFill="1" applyBorder="1" applyAlignment="1" applyProtection="1">
      <alignment horizontal="center" vertical="center"/>
    </xf>
    <xf numFmtId="0" fontId="60" fillId="2" borderId="1" xfId="0" applyFont="1" applyFill="1" applyBorder="1" applyAlignment="1">
      <alignment horizontal="center" vertical="center"/>
    </xf>
    <xf numFmtId="0" fontId="91" fillId="2" borderId="41" xfId="0" applyFont="1" applyFill="1" applyBorder="1" applyAlignment="1">
      <alignment horizontal="left" vertical="center"/>
    </xf>
    <xf numFmtId="0" fontId="91" fillId="2" borderId="3" xfId="0" applyFont="1" applyFill="1" applyBorder="1" applyAlignment="1">
      <alignment horizontal="left" vertical="center"/>
    </xf>
    <xf numFmtId="0" fontId="91" fillId="2" borderId="4" xfId="0" applyFont="1" applyFill="1" applyBorder="1" applyAlignment="1">
      <alignment horizontal="left" vertical="center"/>
    </xf>
    <xf numFmtId="0" fontId="92" fillId="2" borderId="1" xfId="0" applyFont="1" applyFill="1" applyBorder="1" applyAlignment="1">
      <alignment horizontal="center" vertical="center"/>
    </xf>
    <xf numFmtId="0" fontId="92" fillId="2" borderId="11" xfId="0" applyFont="1" applyFill="1" applyBorder="1" applyAlignment="1">
      <alignment horizontal="center" vertical="center"/>
    </xf>
    <xf numFmtId="0" fontId="9" fillId="0" borderId="1" xfId="0" applyFont="1" applyFill="1" applyBorder="1" applyAlignment="1">
      <alignment horizontal="center" vertical="center"/>
    </xf>
    <xf numFmtId="0" fontId="13" fillId="0" borderId="1" xfId="0" applyFont="1" applyFill="1" applyBorder="1" applyAlignment="1">
      <alignment horizontal="center" vertical="center"/>
    </xf>
    <xf numFmtId="0" fontId="9" fillId="0" borderId="1" xfId="0" applyFont="1" applyBorder="1" applyAlignment="1">
      <alignment horizontal="center"/>
    </xf>
    <xf numFmtId="0" fontId="11" fillId="17" borderId="2" xfId="0" applyFont="1" applyFill="1" applyBorder="1" applyAlignment="1">
      <alignment horizontal="left" vertical="center"/>
    </xf>
    <xf numFmtId="0" fontId="11" fillId="17" borderId="3" xfId="0" applyFont="1" applyFill="1" applyBorder="1" applyAlignment="1">
      <alignment horizontal="left" vertical="center"/>
    </xf>
    <xf numFmtId="0" fontId="11" fillId="17" borderId="4" xfId="0" applyFont="1" applyFill="1" applyBorder="1" applyAlignment="1">
      <alignment horizontal="left" vertical="center"/>
    </xf>
    <xf numFmtId="0" fontId="13" fillId="17" borderId="1" xfId="0" applyFont="1" applyFill="1" applyBorder="1" applyAlignment="1">
      <alignment horizontal="center" vertical="center"/>
    </xf>
    <xf numFmtId="0" fontId="13" fillId="2" borderId="10" xfId="0" applyFont="1" applyFill="1" applyBorder="1" applyAlignment="1">
      <alignment horizontal="left" vertical="center" wrapText="1"/>
    </xf>
    <xf numFmtId="0" fontId="11" fillId="2" borderId="129" xfId="0" applyFont="1" applyFill="1" applyBorder="1" applyAlignment="1">
      <alignment vertical="center"/>
    </xf>
    <xf numFmtId="0" fontId="11" fillId="2" borderId="97" xfId="0" applyFont="1" applyFill="1" applyBorder="1" applyAlignment="1">
      <alignment vertical="center"/>
    </xf>
    <xf numFmtId="0" fontId="11" fillId="2" borderId="111" xfId="0" applyFont="1" applyFill="1" applyBorder="1" applyAlignment="1">
      <alignment vertical="center"/>
    </xf>
    <xf numFmtId="0" fontId="11" fillId="2" borderId="61" xfId="0" applyFont="1" applyFill="1" applyBorder="1" applyAlignment="1">
      <alignment vertical="center"/>
    </xf>
    <xf numFmtId="0" fontId="11" fillId="2" borderId="21" xfId="0" applyFont="1" applyFill="1" applyBorder="1" applyAlignment="1">
      <alignment vertical="center"/>
    </xf>
    <xf numFmtId="0" fontId="11" fillId="2" borderId="68" xfId="0" applyFont="1" applyFill="1" applyBorder="1" applyAlignment="1">
      <alignment vertical="center"/>
    </xf>
    <xf numFmtId="0" fontId="9" fillId="0" borderId="1" xfId="0" applyFont="1" applyBorder="1" applyAlignment="1"/>
    <xf numFmtId="0" fontId="13" fillId="2" borderId="1" xfId="0" applyFont="1" applyFill="1" applyBorder="1" applyAlignment="1">
      <alignment horizontal="left" vertical="center" wrapText="1"/>
    </xf>
    <xf numFmtId="0" fontId="70" fillId="0" borderId="4" xfId="0" applyFont="1" applyFill="1" applyBorder="1" applyAlignment="1" applyProtection="1">
      <alignment horizontal="center" vertical="center" wrapText="1"/>
      <protection locked="0"/>
    </xf>
    <xf numFmtId="0" fontId="70" fillId="0" borderId="2" xfId="0" applyFont="1" applyFill="1" applyBorder="1" applyAlignment="1" applyProtection="1">
      <alignment horizontal="center" vertical="center" wrapText="1"/>
      <protection locked="0"/>
    </xf>
    <xf numFmtId="0" fontId="70" fillId="0" borderId="111" xfId="0" applyFont="1" applyFill="1" applyBorder="1" applyAlignment="1" applyProtection="1">
      <alignment horizontal="center" vertical="center" wrapText="1"/>
      <protection locked="0"/>
    </xf>
    <xf numFmtId="0" fontId="70" fillId="0" borderId="48" xfId="0" applyFont="1" applyFill="1" applyBorder="1" applyAlignment="1" applyProtection="1">
      <alignment horizontal="center" vertical="center" wrapText="1"/>
      <protection locked="0"/>
    </xf>
    <xf numFmtId="0" fontId="55" fillId="2" borderId="1" xfId="0" applyNumberFormat="1" applyFont="1" applyFill="1" applyBorder="1" applyAlignment="1" applyProtection="1">
      <alignment horizontal="center" vertical="center"/>
    </xf>
    <xf numFmtId="0" fontId="55" fillId="2" borderId="51" xfId="0" applyFont="1" applyFill="1" applyBorder="1" applyAlignment="1" applyProtection="1">
      <alignment horizontal="center" vertical="center" wrapText="1"/>
    </xf>
    <xf numFmtId="0" fontId="55" fillId="2" borderId="27" xfId="0" applyFont="1" applyFill="1" applyBorder="1" applyAlignment="1" applyProtection="1">
      <alignment horizontal="center" vertical="center" wrapText="1"/>
    </xf>
    <xf numFmtId="0" fontId="55" fillId="2" borderId="51" xfId="0" applyFont="1" applyFill="1" applyBorder="1" applyAlignment="1" applyProtection="1">
      <alignment horizontal="center" vertical="center" textRotation="255" wrapText="1"/>
    </xf>
    <xf numFmtId="0" fontId="55" fillId="2" borderId="27" xfId="0" applyFont="1" applyFill="1" applyBorder="1" applyAlignment="1" applyProtection="1">
      <alignment horizontal="center" vertical="center" textRotation="255" wrapText="1"/>
    </xf>
    <xf numFmtId="0" fontId="55" fillId="2" borderId="58" xfId="0" applyFont="1" applyFill="1" applyBorder="1" applyAlignment="1" applyProtection="1">
      <alignment horizontal="center" vertical="center" textRotation="255" wrapText="1"/>
    </xf>
    <xf numFmtId="0" fontId="55" fillId="2" borderId="16" xfId="0" applyFont="1" applyFill="1" applyBorder="1" applyAlignment="1" applyProtection="1">
      <alignment horizontal="center" vertical="center" textRotation="255" wrapText="1"/>
    </xf>
    <xf numFmtId="0" fontId="56" fillId="2" borderId="1" xfId="0" applyNumberFormat="1" applyFont="1" applyFill="1" applyBorder="1" applyAlignment="1" applyProtection="1">
      <alignment horizontal="center" vertical="center"/>
    </xf>
    <xf numFmtId="0" fontId="61" fillId="2" borderId="41" xfId="0" applyFont="1" applyFill="1" applyBorder="1" applyAlignment="1" applyProtection="1">
      <alignment horizontal="center" vertical="center"/>
    </xf>
    <xf numFmtId="0" fontId="55" fillId="2" borderId="44" xfId="0" applyFont="1" applyFill="1" applyBorder="1" applyAlignment="1" applyProtection="1">
      <alignment horizontal="center" vertical="center" wrapText="1"/>
    </xf>
    <xf numFmtId="0" fontId="55" fillId="2" borderId="62" xfId="0" applyFont="1" applyFill="1" applyBorder="1" applyAlignment="1" applyProtection="1">
      <alignment horizontal="center" vertical="center" wrapText="1"/>
    </xf>
    <xf numFmtId="0" fontId="56" fillId="2" borderId="13" xfId="0" applyNumberFormat="1" applyFont="1" applyFill="1" applyBorder="1" applyAlignment="1" applyProtection="1">
      <alignment horizontal="center" vertical="center"/>
    </xf>
    <xf numFmtId="0" fontId="55" fillId="2" borderId="35" xfId="0" applyFont="1" applyFill="1" applyBorder="1" applyAlignment="1" applyProtection="1">
      <alignment horizontal="center" vertical="center"/>
    </xf>
    <xf numFmtId="0" fontId="55" fillId="2" borderId="36" xfId="0" applyFont="1" applyFill="1" applyBorder="1" applyAlignment="1" applyProtection="1">
      <alignment horizontal="center" vertical="center"/>
    </xf>
    <xf numFmtId="0" fontId="55" fillId="2" borderId="43" xfId="0" applyFont="1" applyFill="1" applyBorder="1" applyAlignment="1" applyProtection="1">
      <alignment horizontal="center" vertical="center"/>
    </xf>
    <xf numFmtId="0" fontId="55" fillId="2" borderId="28" xfId="0" applyFont="1" applyFill="1" applyBorder="1" applyAlignment="1" applyProtection="1">
      <alignment horizontal="center" vertical="center"/>
    </xf>
    <xf numFmtId="0" fontId="55" fillId="2" borderId="49" xfId="0" applyFont="1" applyFill="1" applyBorder="1" applyAlignment="1" applyProtection="1">
      <alignment horizontal="center" vertical="center" wrapText="1"/>
    </xf>
    <xf numFmtId="0" fontId="55" fillId="2" borderId="113" xfId="0" applyFont="1" applyFill="1" applyBorder="1" applyAlignment="1" applyProtection="1">
      <alignment horizontal="center" vertical="center" wrapText="1"/>
    </xf>
    <xf numFmtId="0" fontId="55" fillId="2" borderId="30" xfId="0" applyFont="1" applyFill="1" applyBorder="1" applyAlignment="1" applyProtection="1">
      <alignment horizontal="center" vertical="center" wrapText="1"/>
    </xf>
    <xf numFmtId="0" fontId="55" fillId="2" borderId="120" xfId="0" applyFont="1" applyFill="1" applyBorder="1" applyAlignment="1" applyProtection="1">
      <alignment horizontal="center" vertical="center" wrapText="1"/>
    </xf>
    <xf numFmtId="0" fontId="55" fillId="2" borderId="17" xfId="0" applyFont="1" applyFill="1" applyBorder="1" applyAlignment="1" applyProtection="1">
      <alignment horizontal="center" vertical="center"/>
    </xf>
    <xf numFmtId="0" fontId="55" fillId="2" borderId="113" xfId="0" applyFont="1" applyFill="1" applyBorder="1" applyAlignment="1" applyProtection="1">
      <alignment horizontal="center" vertical="center"/>
    </xf>
    <xf numFmtId="0" fontId="55" fillId="2" borderId="8" xfId="0" applyFont="1" applyFill="1" applyBorder="1" applyAlignment="1" applyProtection="1">
      <alignment horizontal="center" vertical="center"/>
    </xf>
    <xf numFmtId="196" fontId="226" fillId="0" borderId="1" xfId="0" applyNumberFormat="1" applyFont="1" applyBorder="1" applyAlignment="1">
      <alignment horizontal="left" vertical="center" wrapText="1"/>
    </xf>
    <xf numFmtId="0" fontId="55" fillId="0" borderId="51" xfId="0" applyFont="1" applyFill="1" applyBorder="1" applyAlignment="1" applyProtection="1">
      <alignment horizontal="center" vertical="center" wrapText="1"/>
      <protection locked="0"/>
    </xf>
    <xf numFmtId="0" fontId="55" fillId="0" borderId="40" xfId="0" applyFont="1" applyFill="1" applyBorder="1" applyAlignment="1" applyProtection="1">
      <alignment horizontal="center" vertical="center" wrapText="1"/>
      <protection locked="0"/>
    </xf>
    <xf numFmtId="0" fontId="55" fillId="0" borderId="111" xfId="0" applyFont="1" applyFill="1" applyBorder="1" applyAlignment="1" applyProtection="1">
      <alignment horizontal="center" vertical="center" wrapText="1"/>
      <protection locked="0"/>
    </xf>
    <xf numFmtId="0" fontId="55" fillId="0" borderId="48" xfId="0" applyFont="1" applyFill="1" applyBorder="1" applyAlignment="1" applyProtection="1">
      <alignment horizontal="center" vertical="center" wrapText="1"/>
      <protection locked="0"/>
    </xf>
    <xf numFmtId="0" fontId="28" fillId="2" borderId="2" xfId="0" applyFont="1" applyFill="1" applyBorder="1" applyAlignment="1" applyProtection="1">
      <alignment horizontal="center" vertical="center" wrapText="1"/>
    </xf>
    <xf numFmtId="0" fontId="28" fillId="2" borderId="3" xfId="0"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wrapText="1"/>
    </xf>
    <xf numFmtId="0" fontId="28" fillId="2" borderId="111" xfId="0" applyFont="1" applyFill="1" applyBorder="1" applyAlignment="1" applyProtection="1">
      <alignment horizontal="center" vertical="center" wrapText="1"/>
    </xf>
    <xf numFmtId="0" fontId="30" fillId="2" borderId="3" xfId="9" applyFont="1" applyFill="1" applyBorder="1" applyAlignment="1" applyProtection="1">
      <alignment horizontal="right" vertical="center" wrapText="1"/>
      <protection locked="0"/>
    </xf>
    <xf numFmtId="0" fontId="30" fillId="2" borderId="4" xfId="9" applyFont="1" applyFill="1" applyBorder="1" applyAlignment="1" applyProtection="1">
      <alignment horizontal="right" vertical="center" wrapText="1"/>
      <protection locked="0"/>
    </xf>
    <xf numFmtId="0" fontId="41" fillId="2" borderId="0" xfId="0" applyFont="1" applyFill="1" applyAlignment="1" applyProtection="1">
      <alignment horizontal="center" vertical="center"/>
    </xf>
    <xf numFmtId="0" fontId="7" fillId="0" borderId="0" xfId="0" applyFont="1" applyAlignment="1" applyProtection="1">
      <alignment horizontal="left" vertical="center"/>
    </xf>
    <xf numFmtId="49" fontId="30" fillId="2" borderId="18" xfId="0" applyNumberFormat="1" applyFont="1" applyFill="1" applyBorder="1" applyAlignment="1" applyProtection="1">
      <alignment horizontal="center" vertical="center" wrapText="1"/>
    </xf>
    <xf numFmtId="49" fontId="30" fillId="2" borderId="27" xfId="0" applyNumberFormat="1" applyFont="1" applyFill="1" applyBorder="1" applyAlignment="1" applyProtection="1">
      <alignment horizontal="center" vertical="center" wrapText="1"/>
    </xf>
    <xf numFmtId="49" fontId="47" fillId="2" borderId="30" xfId="0" applyNumberFormat="1" applyFont="1" applyFill="1" applyBorder="1" applyAlignment="1" applyProtection="1">
      <alignment horizontal="center" vertical="center" wrapText="1"/>
    </xf>
    <xf numFmtId="49" fontId="47" fillId="2" borderId="110" xfId="0" applyNumberFormat="1" applyFont="1" applyFill="1" applyBorder="1" applyAlignment="1" applyProtection="1">
      <alignment horizontal="center" vertical="center" wrapText="1"/>
    </xf>
    <xf numFmtId="0" fontId="58" fillId="2" borderId="15" xfId="0" applyFont="1" applyFill="1" applyBorder="1" applyAlignment="1" applyProtection="1">
      <alignment vertical="center" wrapText="1"/>
    </xf>
    <xf numFmtId="0" fontId="58" fillId="2" borderId="64" xfId="0" applyFont="1" applyFill="1" applyBorder="1" applyAlignment="1" applyProtection="1">
      <alignment vertical="center" wrapText="1"/>
    </xf>
    <xf numFmtId="0" fontId="58" fillId="2" borderId="16" xfId="0" applyFont="1" applyFill="1" applyBorder="1" applyAlignment="1" applyProtection="1">
      <alignment vertical="center" wrapText="1"/>
    </xf>
    <xf numFmtId="0" fontId="7" fillId="2" borderId="1" xfId="0" applyFont="1" applyFill="1" applyBorder="1" applyAlignment="1" applyProtection="1">
      <alignment horizontal="center" vertical="center"/>
    </xf>
    <xf numFmtId="0" fontId="7" fillId="2" borderId="15" xfId="0" applyFont="1" applyFill="1" applyBorder="1" applyAlignment="1" applyProtection="1">
      <alignment horizontal="center" vertical="center"/>
    </xf>
    <xf numFmtId="0" fontId="7" fillId="2" borderId="64" xfId="0" applyFont="1" applyFill="1" applyBorder="1" applyAlignment="1" applyProtection="1">
      <alignment horizontal="center" vertical="center"/>
    </xf>
    <xf numFmtId="0" fontId="7" fillId="2" borderId="16" xfId="0" applyFont="1" applyFill="1" applyBorder="1" applyAlignment="1" applyProtection="1">
      <alignment horizontal="center" vertical="center"/>
    </xf>
    <xf numFmtId="0" fontId="30" fillId="2" borderId="4" xfId="9" applyFont="1" applyFill="1" applyBorder="1" applyAlignment="1" applyProtection="1">
      <alignment horizontal="center" vertical="center" wrapText="1"/>
      <protection locked="0"/>
    </xf>
    <xf numFmtId="0" fontId="53" fillId="2" borderId="1" xfId="0" applyFont="1" applyFill="1" applyBorder="1" applyAlignment="1" applyProtection="1">
      <alignment horizontal="center" vertical="center"/>
    </xf>
    <xf numFmtId="0" fontId="44" fillId="0" borderId="0" xfId="4" applyFont="1" applyAlignment="1">
      <alignment horizontal="center" vertical="center"/>
    </xf>
    <xf numFmtId="0" fontId="41" fillId="0" borderId="0" xfId="4" applyFont="1" applyAlignment="1">
      <alignment horizontal="center" vertical="center"/>
    </xf>
    <xf numFmtId="0" fontId="11" fillId="0" borderId="0" xfId="4" applyFont="1" applyAlignment="1">
      <alignment horizontal="center" vertical="center"/>
    </xf>
    <xf numFmtId="0" fontId="48" fillId="10" borderId="82" xfId="4" applyFont="1" applyFill="1" applyBorder="1" applyAlignment="1" applyProtection="1">
      <alignment horizontal="center" vertical="center" wrapText="1"/>
    </xf>
    <xf numFmtId="0" fontId="48" fillId="10" borderId="77" xfId="4" applyFont="1" applyFill="1" applyBorder="1" applyAlignment="1" applyProtection="1">
      <alignment horizontal="center" vertical="center" wrapText="1"/>
    </xf>
    <xf numFmtId="0" fontId="48" fillId="10" borderId="83" xfId="4" applyFont="1" applyFill="1" applyBorder="1" applyAlignment="1" applyProtection="1">
      <alignment horizontal="center" vertical="center" wrapText="1"/>
    </xf>
    <xf numFmtId="0" fontId="48" fillId="10" borderId="84" xfId="4" applyFont="1" applyFill="1" applyBorder="1" applyAlignment="1" applyProtection="1">
      <alignment horizontal="center" vertical="center" wrapText="1"/>
    </xf>
    <xf numFmtId="0" fontId="7" fillId="10" borderId="84" xfId="4" applyFont="1" applyFill="1" applyBorder="1" applyAlignment="1" applyProtection="1">
      <alignment horizontal="center" vertical="center" wrapText="1"/>
    </xf>
    <xf numFmtId="0" fontId="7" fillId="10" borderId="77" xfId="4" applyFont="1" applyFill="1" applyBorder="1" applyAlignment="1" applyProtection="1">
      <alignment horizontal="center" vertical="center" wrapText="1"/>
    </xf>
    <xf numFmtId="0" fontId="7" fillId="10" borderId="83" xfId="4" applyFont="1" applyFill="1" applyBorder="1" applyAlignment="1" applyProtection="1">
      <alignment horizontal="center" vertical="center" wrapText="1"/>
    </xf>
    <xf numFmtId="0" fontId="23" fillId="2" borderId="0" xfId="0" applyFont="1" applyFill="1" applyAlignment="1" applyProtection="1">
      <alignment horizontal="center" vertical="center"/>
    </xf>
    <xf numFmtId="0" fontId="26" fillId="2" borderId="0" xfId="0" applyFont="1" applyFill="1" applyBorder="1" applyAlignment="1" applyProtection="1">
      <alignment horizontal="left" vertical="center"/>
    </xf>
    <xf numFmtId="0" fontId="24" fillId="2" borderId="7" xfId="0" applyFont="1" applyFill="1" applyBorder="1" applyAlignment="1" applyProtection="1">
      <alignment horizontal="center" vertical="center" wrapText="1"/>
    </xf>
    <xf numFmtId="0" fontId="24" fillId="2" borderId="12" xfId="0" applyFont="1" applyFill="1" applyBorder="1" applyAlignment="1" applyProtection="1">
      <alignment horizontal="center" vertical="center" wrapText="1"/>
    </xf>
    <xf numFmtId="0" fontId="228" fillId="0" borderId="1" xfId="0" applyFont="1" applyBorder="1" applyAlignment="1">
      <alignment horizontal="center" vertical="center" wrapText="1"/>
    </xf>
    <xf numFmtId="0" fontId="227" fillId="21" borderId="1" xfId="0" applyFont="1" applyFill="1" applyBorder="1" applyAlignment="1">
      <alignment horizontal="center" vertical="center" wrapText="1"/>
    </xf>
    <xf numFmtId="0" fontId="79" fillId="0" borderId="1" xfId="0" applyFont="1" applyFill="1" applyBorder="1" applyAlignment="1">
      <alignment horizontal="center" vertical="center" wrapText="1"/>
    </xf>
    <xf numFmtId="0" fontId="234" fillId="0" borderId="1" xfId="0" applyFont="1" applyBorder="1" applyAlignment="1">
      <alignment horizontal="left" vertical="center"/>
    </xf>
    <xf numFmtId="0" fontId="80" fillId="0" borderId="1" xfId="0" applyFont="1" applyBorder="1" applyAlignment="1">
      <alignment horizontal="center" vertical="center" wrapText="1"/>
    </xf>
    <xf numFmtId="0" fontId="79" fillId="21" borderId="1" xfId="0" applyFont="1" applyFill="1" applyBorder="1" applyAlignment="1">
      <alignment horizontal="left" vertical="center" wrapText="1"/>
    </xf>
    <xf numFmtId="0" fontId="227" fillId="21" borderId="3" xfId="0" applyFont="1" applyFill="1" applyBorder="1" applyAlignment="1">
      <alignment horizontal="center" vertical="center"/>
    </xf>
    <xf numFmtId="0" fontId="227" fillId="21" borderId="4" xfId="0" applyFont="1" applyFill="1" applyBorder="1" applyAlignment="1">
      <alignment horizontal="center" vertical="center"/>
    </xf>
    <xf numFmtId="0" fontId="234" fillId="0" borderId="4" xfId="0" applyFont="1" applyBorder="1" applyAlignment="1">
      <alignment horizontal="left" vertical="center"/>
    </xf>
    <xf numFmtId="0" fontId="228" fillId="0" borderId="1" xfId="0" applyFont="1" applyFill="1" applyBorder="1" applyAlignment="1">
      <alignment horizontal="left" vertical="center" wrapText="1"/>
    </xf>
    <xf numFmtId="0" fontId="79" fillId="0" borderId="1" xfId="0" applyFont="1" applyBorder="1" applyAlignment="1">
      <alignment horizontal="left" vertical="center" wrapText="1"/>
    </xf>
    <xf numFmtId="0" fontId="79" fillId="13" borderId="1" xfId="0" applyFont="1" applyFill="1" applyBorder="1" applyAlignment="1">
      <alignment horizontal="left" vertical="center" wrapText="1"/>
    </xf>
    <xf numFmtId="0" fontId="227" fillId="21" borderId="1" xfId="0" applyFont="1" applyFill="1" applyBorder="1" applyAlignment="1">
      <alignment horizontal="left" vertical="center" wrapText="1"/>
    </xf>
    <xf numFmtId="0" fontId="79" fillId="21" borderId="1" xfId="0" applyFont="1" applyFill="1" applyBorder="1" applyAlignment="1">
      <alignment horizontal="center" vertical="center" wrapText="1"/>
    </xf>
    <xf numFmtId="0" fontId="226" fillId="0" borderId="1" xfId="0" applyFont="1" applyBorder="1" applyAlignment="1">
      <alignment horizontal="center" vertical="center" wrapText="1"/>
    </xf>
    <xf numFmtId="0" fontId="121" fillId="0" borderId="1" xfId="0" applyFont="1" applyBorder="1" applyAlignment="1">
      <alignment horizontal="center" vertical="center"/>
    </xf>
    <xf numFmtId="0" fontId="79" fillId="0" borderId="1" xfId="0" applyFont="1" applyBorder="1" applyAlignment="1">
      <alignment horizontal="center" vertical="center" wrapText="1"/>
    </xf>
    <xf numFmtId="0" fontId="228" fillId="0" borderId="2" xfId="0" applyFont="1" applyBorder="1" applyAlignment="1">
      <alignment horizontal="left" vertical="center" wrapText="1"/>
    </xf>
    <xf numFmtId="0" fontId="228" fillId="0" borderId="3" xfId="0" applyFont="1" applyBorder="1" applyAlignment="1">
      <alignment horizontal="left" vertical="center" wrapText="1"/>
    </xf>
    <xf numFmtId="0" fontId="228" fillId="0" borderId="4" xfId="0" applyFont="1" applyBorder="1" applyAlignment="1">
      <alignment horizontal="left" vertical="center" wrapText="1"/>
    </xf>
    <xf numFmtId="0" fontId="79" fillId="2" borderId="1" xfId="0" applyFont="1" applyFill="1" applyBorder="1" applyAlignment="1">
      <alignment horizontal="left" vertical="center" wrapText="1"/>
    </xf>
    <xf numFmtId="0" fontId="227" fillId="0" borderId="1" xfId="0" applyFont="1" applyBorder="1" applyAlignment="1">
      <alignment horizontal="center" vertical="center" wrapText="1"/>
    </xf>
    <xf numFmtId="0" fontId="80" fillId="0" borderId="1" xfId="0" applyFont="1" applyBorder="1" applyAlignment="1">
      <alignment horizontal="left" vertical="center" wrapText="1"/>
    </xf>
    <xf numFmtId="31" fontId="79" fillId="0" borderId="15" xfId="0" applyNumberFormat="1" applyFont="1" applyBorder="1" applyAlignment="1">
      <alignment horizontal="center" vertical="center" wrapText="1"/>
    </xf>
    <xf numFmtId="31" fontId="79" fillId="0" borderId="16" xfId="0" applyNumberFormat="1" applyFont="1" applyBorder="1" applyAlignment="1">
      <alignment horizontal="center" vertical="center" wrapText="1"/>
    </xf>
    <xf numFmtId="0" fontId="79" fillId="0" borderId="15" xfId="0" applyFont="1" applyBorder="1" applyAlignment="1">
      <alignment horizontal="center" vertical="center" wrapText="1"/>
    </xf>
    <xf numFmtId="0" fontId="79" fillId="0" borderId="16" xfId="0" applyFont="1" applyBorder="1" applyAlignment="1">
      <alignment horizontal="center" vertical="center" wrapText="1"/>
    </xf>
    <xf numFmtId="0" fontId="79" fillId="21" borderId="1" xfId="0" applyFont="1" applyFill="1" applyBorder="1" applyAlignment="1">
      <alignment horizontal="center" vertical="center"/>
    </xf>
    <xf numFmtId="31" fontId="79" fillId="0" borderId="1" xfId="0" applyNumberFormat="1" applyFont="1" applyBorder="1" applyAlignment="1">
      <alignment horizontal="center" vertical="center" wrapText="1"/>
    </xf>
    <xf numFmtId="0" fontId="109" fillId="21" borderId="1" xfId="0" applyFont="1" applyFill="1" applyBorder="1" applyAlignment="1">
      <alignment horizontal="center" vertical="center"/>
    </xf>
    <xf numFmtId="0" fontId="109" fillId="0" borderId="1" xfId="0" applyFont="1" applyBorder="1" applyAlignment="1">
      <alignment horizontal="center" vertical="center"/>
    </xf>
    <xf numFmtId="0" fontId="0" fillId="0" borderId="1" xfId="0" applyBorder="1" applyAlignment="1">
      <alignment horizontal="center" vertical="center"/>
    </xf>
    <xf numFmtId="0" fontId="109" fillId="2" borderId="1" xfId="0" applyFont="1" applyFill="1" applyBorder="1" applyAlignment="1">
      <alignment horizontal="center" vertical="center"/>
    </xf>
    <xf numFmtId="0" fontId="0" fillId="2" borderId="1" xfId="0" applyFill="1" applyBorder="1" applyAlignment="1">
      <alignment horizontal="center" vertical="center"/>
    </xf>
  </cellXfs>
  <cellStyles count="17">
    <cellStyle name="百分比" xfId="16" builtinId="5"/>
    <cellStyle name="常规" xfId="0" builtinId="0"/>
    <cellStyle name="常规 10" xfId="15"/>
    <cellStyle name="常规 16" xfId="7"/>
    <cellStyle name="常规 2" xfId="10"/>
    <cellStyle name="常规 2 2" xfId="9"/>
    <cellStyle name="常规 3" xfId="11"/>
    <cellStyle name="常规 3 2" xfId="8"/>
    <cellStyle name="常规 4" xfId="12"/>
    <cellStyle name="常规 5" xfId="13"/>
    <cellStyle name="常规 6" xfId="2"/>
    <cellStyle name="常规 6 2" xfId="4"/>
    <cellStyle name="常规 7" xfId="14"/>
    <cellStyle name="常规 8" xfId="3"/>
    <cellStyle name="常规 9" xfId="5"/>
    <cellStyle name="常规_Sheet2" xfId="6"/>
    <cellStyle name="千位分隔" xfId="1" builtinId="3"/>
  </cellStyles>
  <dxfs count="214">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b val="0"/>
        <u/>
        <color indexed="10"/>
      </font>
    </dxf>
    <dxf>
      <font>
        <b/>
        <i val="0"/>
        <color indexed="10"/>
      </font>
      <fill>
        <patternFill patternType="solid">
          <bgColor indexed="13"/>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b/>
        <i val="0"/>
        <color rgb="FFFF0000"/>
      </font>
      <fill>
        <patternFill patternType="solid">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externalLink" Target="externalLinks/externalLink7.xml"/><Relationship Id="rId68"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2.xml"/><Relationship Id="rId66"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1.xml"/><Relationship Id="rId61" Type="http://schemas.openxmlformats.org/officeDocument/2006/relationships/externalLink" Target="externalLinks/externalLink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externalLink" Target="externalLinks/externalLink4.xml"/><Relationship Id="rId65"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externalLink" Target="externalLinks/externalLink8.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3.xml"/><Relationship Id="rId67"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externalLink" Target="externalLinks/externalLink6.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7979;&#31639;&#34920;-2%23&#24191;&#22330;-&#29616;&#2515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7979;&#31639;&#34920;-3%23&#24191;&#22330;-&#29616;&#2515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7979;&#31639;&#34920;-4%23&#24191;&#22330;-&#29616;&#2515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7979;&#31639;&#34920;-5%23&#24191;&#22330;-&#29616;&#25151;.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7979;&#31639;&#34920;-6%23&#24191;&#22330;-&#29616;&#25151;.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27979;&#31639;&#34920;-&#36830;&#24266;-&#29616;&#25151;.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27979;&#31639;&#34920;-&#20889;&#23383;&#27004;-&#29616;&#25151;.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Documents%20and%20Settings/Administrator/&#26700;&#38754;/2018-1-0683%20&#36149;&#38451;&#35199;&#21335;&#22269;&#38469;&#21830;&#36152;&#22478;/&#27979;&#31639;&#34920;-&#29616;&#25151;&#65288;&#20179;&#20648;&#21450;&#20135;&#19994;&#22253;&#65289;/&#27979;&#31639;&#34920;-&#20179;&#20648;A-&#29616;&#2515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面积表4（1、2号连廊企业提供）"/>
      <sheetName val="面积表3（产业园企业提供）"/>
      <sheetName val="面积表2（仓储A、B、C区企业提供）"/>
      <sheetName val="面积表1（1-6#企业提供）"/>
      <sheetName val="数据-汇总表"/>
      <sheetName val="数据-取费表"/>
      <sheetName val="估价对象房地状况"/>
      <sheetName val="系统读取表"/>
      <sheetName val="结果表"/>
      <sheetName val="成本法"/>
      <sheetName val="成本法 (元)"/>
      <sheetName val="土地比较法-商业"/>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典型户型修正"/>
      <sheetName val="1-6#不动产权证"/>
      <sheetName val="土地比较法-工业"/>
      <sheetName val="基准地价修正"/>
      <sheetName val="修正"/>
      <sheetName val="容积率修正"/>
      <sheetName val="基准地价（汇总）"/>
      <sheetName val="地价"/>
      <sheetName val="成本法（废）"/>
      <sheetName val="区片价"/>
      <sheetName val="因素修正幅度"/>
      <sheetName val="存贷款利率"/>
      <sheetName val="区片价（范围）"/>
      <sheetName val="仓储A、B、C区"/>
      <sheetName val="电商产业园"/>
      <sheetName val="浙商产业园"/>
      <sheetName val="1、2号连廊"/>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3">
          <cell r="D3">
            <v>103584.97</v>
          </cell>
          <cell r="E3">
            <v>216866.24000000005</v>
          </cell>
        </row>
        <row r="7">
          <cell r="I7">
            <v>2.09</v>
          </cell>
        </row>
        <row r="19">
          <cell r="F19">
            <v>35264.9</v>
          </cell>
        </row>
        <row r="20">
          <cell r="F20">
            <v>71582.89</v>
          </cell>
        </row>
        <row r="21">
          <cell r="F21">
            <v>32841.54</v>
          </cell>
        </row>
        <row r="22">
          <cell r="F22">
            <v>33292.83</v>
          </cell>
        </row>
        <row r="23">
          <cell r="F23">
            <v>43884.08</v>
          </cell>
        </row>
      </sheetData>
      <sheetData sheetId="18"/>
      <sheetData sheetId="19"/>
      <sheetData sheetId="20"/>
      <sheetData sheetId="21">
        <row r="19">
          <cell r="G19">
            <v>238837</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面积表4（1、2号连廊企业提供）"/>
      <sheetName val="面积表3（产业园企业提供）"/>
      <sheetName val="面积表2（仓储A、B、C区企业提供）"/>
      <sheetName val="面积表1（1-6#企业提供）"/>
      <sheetName val="数据-汇总表"/>
      <sheetName val="数据-取费表"/>
      <sheetName val="估价对象房地状况"/>
      <sheetName val="系统读取表"/>
      <sheetName val="结果表"/>
      <sheetName val="成本法"/>
      <sheetName val="成本法 (元)"/>
      <sheetName val="土地比较法-商业"/>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典型户型修正"/>
      <sheetName val="1-6#不动产权证"/>
      <sheetName val="土地比较法-工业"/>
      <sheetName val="基准地价修正"/>
      <sheetName val="修正"/>
      <sheetName val="容积率修正"/>
      <sheetName val="基准地价（汇总）"/>
      <sheetName val="地价"/>
      <sheetName val="成本法（废）"/>
      <sheetName val="区片价"/>
      <sheetName val="因素修正幅度"/>
      <sheetName val="存贷款利率"/>
      <sheetName val="区片价（范围）"/>
      <sheetName val="仓储A、B、C区"/>
      <sheetName val="电商产业园"/>
      <sheetName val="浙商产业园"/>
      <sheetName val="1、2号连廊"/>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3">
          <cell r="D3">
            <v>36932.03</v>
          </cell>
          <cell r="E3">
            <v>77022.58</v>
          </cell>
        </row>
        <row r="7">
          <cell r="I7">
            <v>2.09</v>
          </cell>
        </row>
        <row r="19">
          <cell r="F19">
            <v>8791.68</v>
          </cell>
        </row>
        <row r="20">
          <cell r="F20">
            <v>16554.439999999999</v>
          </cell>
        </row>
        <row r="21">
          <cell r="F21">
            <v>11269.57</v>
          </cell>
        </row>
        <row r="22">
          <cell r="F22">
            <v>40406.89</v>
          </cell>
        </row>
      </sheetData>
      <sheetData sheetId="18"/>
      <sheetData sheetId="19"/>
      <sheetData sheetId="20"/>
      <sheetData sheetId="21">
        <row r="19">
          <cell r="G19">
            <v>76321</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面积表4（1、2号连廊企业提供）"/>
      <sheetName val="面积表3（产业园企业提供）"/>
      <sheetName val="面积表2（仓储A、B、C区企业提供）"/>
      <sheetName val="面积表1（1-6#企业提供）"/>
      <sheetName val="数据-汇总表"/>
      <sheetName val="数据-取费表"/>
      <sheetName val="估价对象房地状况"/>
      <sheetName val="系统读取表"/>
      <sheetName val="结果表"/>
      <sheetName val="成本法"/>
      <sheetName val="成本法 (元)"/>
      <sheetName val="土地比较法-商业"/>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典型户型修正"/>
      <sheetName val="1-6#不动产权证"/>
      <sheetName val="土地比较法-工业"/>
      <sheetName val="基准地价修正"/>
      <sheetName val="修正"/>
      <sheetName val="容积率修正"/>
      <sheetName val="基准地价（汇总）"/>
      <sheetName val="地价"/>
      <sheetName val="成本法（废）"/>
      <sheetName val="区片价"/>
      <sheetName val="因素修正幅度"/>
      <sheetName val="存贷款利率"/>
      <sheetName val="区片价（范围）"/>
      <sheetName val="仓储A、B、C区"/>
      <sheetName val="电商产业园"/>
      <sheetName val="浙商产业园"/>
      <sheetName val="1、2号连廊"/>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3">
          <cell r="D3">
            <v>55894.91</v>
          </cell>
          <cell r="E3">
            <v>107998.27</v>
          </cell>
        </row>
        <row r="7">
          <cell r="I7">
            <v>2</v>
          </cell>
        </row>
        <row r="19">
          <cell r="F19">
            <v>22824.91</v>
          </cell>
        </row>
        <row r="20">
          <cell r="F20">
            <v>43921.59</v>
          </cell>
        </row>
        <row r="21">
          <cell r="F21">
            <v>23889.02</v>
          </cell>
        </row>
        <row r="22">
          <cell r="F22">
            <v>17362.75</v>
          </cell>
        </row>
      </sheetData>
      <sheetData sheetId="18"/>
      <sheetData sheetId="19"/>
      <sheetData sheetId="20"/>
      <sheetData sheetId="21">
        <row r="19">
          <cell r="G19">
            <v>88276</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面积表4（1、2号连廊企业提供）"/>
      <sheetName val="面积表3（产业园企业提供）"/>
      <sheetName val="面积表2（仓储A、B、C区企业提供）"/>
      <sheetName val="面积表1（1-6#企业提供）"/>
      <sheetName val="数据-汇总表"/>
      <sheetName val="数据-取费表"/>
      <sheetName val="估价对象房地状况"/>
      <sheetName val="系统读取表"/>
      <sheetName val="结果表"/>
      <sheetName val="成本法"/>
      <sheetName val="成本法 (元)"/>
      <sheetName val="土地比较法-商业"/>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典型户型修正"/>
      <sheetName val="1-6#不动产权证"/>
      <sheetName val="土地比较法-工业"/>
      <sheetName val="基准地价修正"/>
      <sheetName val="修正"/>
      <sheetName val="容积率修正"/>
      <sheetName val="基准地价（汇总）"/>
      <sheetName val="地价"/>
      <sheetName val="成本法（废）"/>
      <sheetName val="区片价"/>
      <sheetName val="因素修正幅度"/>
      <sheetName val="存贷款利率"/>
      <sheetName val="区片价（范围）"/>
      <sheetName val="仓储A、B、C区"/>
      <sheetName val="电商产业园"/>
      <sheetName val="浙商产业园"/>
      <sheetName val="1、2号连廊"/>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3">
          <cell r="D3">
            <v>5925.32</v>
          </cell>
          <cell r="E3">
            <v>11057.09</v>
          </cell>
        </row>
        <row r="7">
          <cell r="I7">
            <v>2</v>
          </cell>
        </row>
        <row r="19">
          <cell r="F19">
            <v>11057.09</v>
          </cell>
        </row>
      </sheetData>
      <sheetData sheetId="18"/>
      <sheetData sheetId="19"/>
      <sheetData sheetId="20"/>
      <sheetData sheetId="21">
        <row r="19">
          <cell r="G19">
            <v>8758</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面积表4（1、2号连廊企业提供）"/>
      <sheetName val="面积表3（产业园企业提供）"/>
      <sheetName val="面积表2（仓储A、B、C区企业提供）"/>
      <sheetName val="面积表1（1-6#企业提供）"/>
      <sheetName val="数据-汇总表"/>
      <sheetName val="数据-取费表"/>
      <sheetName val="估价对象房地状况"/>
      <sheetName val="系统读取表"/>
      <sheetName val="结果表"/>
      <sheetName val="成本法"/>
      <sheetName val="成本法 (元)"/>
      <sheetName val="土地比较法-商业"/>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典型户型修正"/>
      <sheetName val="1-6#不动产权证"/>
      <sheetName val="土地比较法-工业"/>
      <sheetName val="基准地价修正"/>
      <sheetName val="修正"/>
      <sheetName val="容积率修正"/>
      <sheetName val="基准地价（汇总）"/>
      <sheetName val="地价"/>
      <sheetName val="成本法（废）"/>
      <sheetName val="区片价"/>
      <sheetName val="因素修正幅度"/>
      <sheetName val="存贷款利率"/>
      <sheetName val="区片价（范围）"/>
      <sheetName val="仓储A、B、C区"/>
      <sheetName val="电商产业园"/>
      <sheetName val="浙商产业园"/>
      <sheetName val="1、2号连廊"/>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3">
          <cell r="D3">
            <v>31747.74</v>
          </cell>
          <cell r="E3">
            <v>66343.850000000006</v>
          </cell>
        </row>
        <row r="7">
          <cell r="I7">
            <v>2.09</v>
          </cell>
        </row>
        <row r="19">
          <cell r="F19">
            <v>18204.71</v>
          </cell>
        </row>
        <row r="20">
          <cell r="F20">
            <v>48139.14</v>
          </cell>
        </row>
      </sheetData>
      <sheetData sheetId="18"/>
      <sheetData sheetId="19"/>
      <sheetData sheetId="20"/>
      <sheetData sheetId="21">
        <row r="19">
          <cell r="G19">
            <v>44030</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面积表4（1、2号连廊企业提供）"/>
      <sheetName val="面积表3（产业园企业提供）"/>
      <sheetName val="面积表2（仓储A、B、C区企业提供）"/>
      <sheetName val="面积表1（1-6#企业提供）"/>
      <sheetName val="数据-汇总表"/>
      <sheetName val="数据-取费表"/>
      <sheetName val="估价对象房地状况"/>
      <sheetName val="系统读取表"/>
      <sheetName val="结果表"/>
      <sheetName val="成本法"/>
      <sheetName val="成本法 (元)"/>
      <sheetName val="土地比较法-商业"/>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典型户型修正"/>
      <sheetName val="1-6#不动产权证"/>
      <sheetName val="土地比较法-工业"/>
      <sheetName val="基准地价修正"/>
      <sheetName val="修正"/>
      <sheetName val="容积率修正"/>
      <sheetName val="基准地价（汇总）"/>
      <sheetName val="地价"/>
      <sheetName val="成本法（废）"/>
      <sheetName val="区片价"/>
      <sheetName val="因素修正幅度"/>
      <sheetName val="存贷款利率"/>
      <sheetName val="区片价（范围）"/>
      <sheetName val="仓储A、B、C区"/>
      <sheetName val="电商产业园"/>
      <sheetName val="浙商产业园"/>
      <sheetName val="1、2号连廊"/>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3">
          <cell r="D3">
            <v>13256.36</v>
          </cell>
          <cell r="E3">
            <v>27351</v>
          </cell>
        </row>
        <row r="7">
          <cell r="I7">
            <v>2</v>
          </cell>
        </row>
      </sheetData>
      <sheetData sheetId="18"/>
      <sheetData sheetId="19"/>
      <sheetData sheetId="20"/>
      <sheetData sheetId="21">
        <row r="19">
          <cell r="G19">
            <v>21459</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面积表4（1、2号连廊企业提供）"/>
      <sheetName val="面积表3（产业园企业提供）"/>
      <sheetName val="面积表2（仓储A、B、C区企业提供）"/>
      <sheetName val="面积表1（1-6#企业提供）"/>
      <sheetName val="数据-汇总表"/>
      <sheetName val="数据-取费表"/>
      <sheetName val="估价对象房地状况"/>
      <sheetName val="系统读取表"/>
      <sheetName val="结果表"/>
      <sheetName val="成本法"/>
      <sheetName val="成本法 (元)"/>
      <sheetName val="土地比较法-商业"/>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典型户型修正"/>
      <sheetName val="1-6#不动产权证"/>
      <sheetName val="土地比较法-工业"/>
      <sheetName val="基准地价修正"/>
      <sheetName val="修正"/>
      <sheetName val="容积率修正"/>
      <sheetName val="基准地价（汇总）"/>
      <sheetName val="地价"/>
      <sheetName val="成本法（废）"/>
      <sheetName val="区片价"/>
      <sheetName val="因素修正幅度"/>
      <sheetName val="存贷款利率"/>
      <sheetName val="区片价（范围）"/>
      <sheetName val="仓储A、B、C区"/>
      <sheetName val="电商产业园"/>
      <sheetName val="浙商产业园"/>
      <sheetName val="1、2号连廊"/>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ow r="14">
          <cell r="B14">
            <v>20802</v>
          </cell>
          <cell r="C14">
            <v>10401</v>
          </cell>
          <cell r="D14">
            <v>17083</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面积表4（1、2号连廊企业提供）"/>
      <sheetName val="面积表3（产业园企业提供）"/>
      <sheetName val="面积表2（仓储A、B、C区企业提供）"/>
      <sheetName val="面积表1（1-6#企业提供）"/>
      <sheetName val="仓储A、B、C区"/>
      <sheetName val="数据-汇总表"/>
      <sheetName val="数据-取费表"/>
      <sheetName val="估价对象房地状况"/>
      <sheetName val="系统读取表"/>
      <sheetName val="结果表"/>
      <sheetName val="成本法"/>
      <sheetName val="成本法 (元)"/>
      <sheetName val="土地比较法-商业"/>
      <sheetName val="假设开发法"/>
      <sheetName val="土地比较法-工业"/>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典型户型修正"/>
      <sheetName val="1-6#不动产权证"/>
      <sheetName val="基准地价修正"/>
      <sheetName val="修正"/>
      <sheetName val="容积率修正"/>
      <sheetName val="基准地价（汇总）"/>
      <sheetName val="地价"/>
      <sheetName val="成本法（废）"/>
      <sheetName val="区片价"/>
      <sheetName val="因素修正幅度"/>
      <sheetName val="存贷款利率"/>
      <sheetName val="区片价（范围）"/>
      <sheetName val="电商产业园"/>
      <sheetName val="浙商产业园"/>
      <sheetName val="1、2号连廊"/>
      <sheetName val="土地案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ow r="1">
          <cell r="B1">
            <v>548632.39</v>
          </cell>
        </row>
        <row r="2">
          <cell r="B2">
            <v>284152.5</v>
          </cell>
        </row>
        <row r="5">
          <cell r="B5">
            <v>148107</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5.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hyperlink" Target="javascript:top.main.DataEdit('52',20);" TargetMode="External"/></Relationships>
</file>

<file path=xl/worksheets/_rels/sheet20.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11.vml"/></Relationships>
</file>

<file path=xl/worksheets/_rels/sheet22.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6.bin"/></Relationships>
</file>

<file path=xl/worksheets/_rels/sheet23.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13.vml"/></Relationships>
</file>

<file path=xl/worksheets/_rels/sheet25.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6.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5.vml"/></Relationships>
</file>

<file path=xl/worksheets/_rels/sheet27.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28.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29.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31.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20.vml"/></Relationships>
</file>

<file path=xl/worksheets/_rels/sheet32.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1.vml"/></Relationships>
</file>

<file path=xl/worksheets/_rels/sheet35.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2.vml"/></Relationships>
</file>

<file path=xl/worksheets/_rels/sheet36.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3.vml"/></Relationships>
</file>

<file path=xl/worksheets/_rels/sheet37.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8.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2.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3.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53.xml.rels><?xml version="1.0" encoding="UTF-8" standalone="yes"?>
<Relationships xmlns="http://schemas.openxmlformats.org/package/2006/relationships"><Relationship Id="rId2" Type="http://schemas.openxmlformats.org/officeDocument/2006/relationships/comments" Target="../comments25.xml"/><Relationship Id="rId1" Type="http://schemas.openxmlformats.org/officeDocument/2006/relationships/vmlDrawing" Target="../drawings/vmlDrawing30.vml"/></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2985" customWidth="1"/>
    <col min="2" max="2" width="81" style="2986" customWidth="1"/>
    <col min="3" max="16384" width="9" style="2987"/>
  </cols>
  <sheetData>
    <row r="1" spans="1:2" s="2982" customFormat="1" ht="15.75">
      <c r="A1" s="2988" t="s">
        <v>0</v>
      </c>
      <c r="B1" s="2989" t="s">
        <v>1</v>
      </c>
    </row>
    <row r="2" spans="1:2" s="2983" customFormat="1">
      <c r="A2" s="2990" t="s">
        <v>2</v>
      </c>
      <c r="B2" s="2991" t="str">
        <f>'预评函-封皮'!B37:I37</f>
        <v>贵州省贵阳市观山湖区环城高速以东（西南商贸城）房地产抵押价值预评估</v>
      </c>
    </row>
    <row r="3" spans="1:2" s="2984" customFormat="1">
      <c r="A3" s="2992" t="s">
        <v>3</v>
      </c>
      <c r="B3" s="2993" t="str">
        <f>'预评函-封皮'!B40</f>
        <v>中信信托有限责任公司</v>
      </c>
    </row>
    <row r="4" spans="1:2" s="2984" customFormat="1">
      <c r="A4" s="2992" t="s">
        <v>4</v>
      </c>
      <c r="B4" s="2993" t="str">
        <f>'预评函-封皮'!B46</f>
        <v>（注册号：0)、（注册号：0)</v>
      </c>
    </row>
    <row r="5" spans="1:2" s="2982" customFormat="1">
      <c r="A5" s="2994" t="s">
        <v>5</v>
      </c>
      <c r="B5" s="2995" t="str">
        <f>'预评函-封皮'!B49</f>
        <v>康正预评字号</v>
      </c>
    </row>
    <row r="6" spans="1:2" s="2983" customFormat="1">
      <c r="A6" s="2990" t="s">
        <v>6</v>
      </c>
      <c r="B6" s="2991" t="str">
        <f>'预评函-1'!A4</f>
        <v>受贵公司委托，我公司对贵州省贵阳市观山湖区环城高速以东（西南商贸城）房地产抵押价值进行了预评估。</v>
      </c>
    </row>
    <row r="7" spans="1:2" s="2984" customFormat="1">
      <c r="A7" s="2992" t="s">
        <v>7</v>
      </c>
      <c r="B7" s="2993" t="str">
        <f>'预评函-1'!A7</f>
        <v>估价对象为贵州省贵阳市观山湖区环城高速以东（西南商贸城）房地产，为贵阳西南国际商贸城有限公司所有。根据，估价对象（分摊）出让国有建设用地使用权面积为45839.15平方米，建筑面积为98873.18平方米。</v>
      </c>
    </row>
    <row r="8" spans="1:2" s="2984" customFormat="1">
      <c r="A8" s="2992" t="s">
        <v>8</v>
      </c>
      <c r="B8" s="2993" t="str">
        <f>'预评函-1'!A8</f>
        <v>估价对象简述。项目推广名，项目类型（用途），估价对象分布，各用途面积明细情况：XX用途建筑面积XX平方米，XX用途建筑面积XX平方米，……。复杂面积清单需设‘附表’列示：抵押物清单详见附表</v>
      </c>
    </row>
    <row r="9" spans="1:2" s="2984" customFormat="1">
      <c r="A9" s="2992" t="s">
        <v>9</v>
      </c>
      <c r="B9" s="2993" t="str">
        <f>'预评函-1'!A10</f>
        <v>估价对象为贵州省贵阳市观山湖区环城高速以东（西南商贸城）房地产,属贵阳西南国际商贸城有限公司开发建设的，该项目尚在开发建设中。根据，估价对象（分摊）出让国有建设用地使用权面积为45839.15平方米，规划建筑面积为98873.18平方米。</v>
      </c>
    </row>
    <row r="10" spans="1:2" s="2984" customFormat="1">
      <c r="A10" s="2992" t="s">
        <v>10</v>
      </c>
      <c r="B10" s="299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2984" customFormat="1">
      <c r="A11" s="2992" t="s">
        <v>11</v>
      </c>
      <c r="B11" s="2993" t="str">
        <f>'预评函-1'!A13</f>
        <v>贵阳西南国际商贸城有限公司拟使用贵州省贵阳市观山湖区环城高速以东（西南商贸城）房地产作为抵押担保物，向中信信托有限责任公司办理贷款手续。中信信托有限责任公司特委托北京康正宏基房地产评估有限公司对上述抵押物进行评估。本次评估为确定房地产抵押贷款额度提供参考依据而评估房地产抵押价值。</v>
      </c>
    </row>
    <row r="12" spans="1:2" s="2984" customFormat="1">
      <c r="A12" s="2992" t="s">
        <v>12</v>
      </c>
      <c r="B12" s="2993" t="str">
        <f>'预评函-1'!A15</f>
        <v>2018年9月18日（评估专业人员实地查勘之日）</v>
      </c>
    </row>
    <row r="13" spans="1:2" s="2984" customFormat="1">
      <c r="A13" s="2992" t="s">
        <v>13</v>
      </c>
      <c r="B13" s="2993" t="str">
        <f>'预评函-1'!A18</f>
        <v>本次估价的“房地产价值”是指在正常市场情况下，在价值时点2018年9月18日，估价对象规划用途为，土地取得方式为出让，出让国有建设用地使用权剩余土地使用年限为，假定未设立法定优先受偿款下的房地产市场价值。</v>
      </c>
    </row>
    <row r="14" spans="1:2" s="2984" customFormat="1">
      <c r="A14" s="2992" t="s">
        <v>14</v>
      </c>
      <c r="B14" s="299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2984" customFormat="1">
      <c r="A15" s="2992" t="s">
        <v>15</v>
      </c>
      <c r="B15" s="2993"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2984" customFormat="1">
      <c r="A16" s="2992" t="s">
        <v>16</v>
      </c>
      <c r="B16" s="299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2984" customFormat="1">
      <c r="A17" s="2992" t="s">
        <v>17</v>
      </c>
      <c r="B17" s="2993" t="str">
        <f>'预评函-1'!A22</f>
        <v/>
      </c>
    </row>
    <row r="18" spans="1:2" s="2982" customFormat="1">
      <c r="A18" s="2994" t="s">
        <v>18</v>
      </c>
      <c r="B18" s="2995" t="str">
        <f>'预评函-1'!A24</f>
        <v>本次评估采用的主估价方法为成本法和基准地价系数修正法。</v>
      </c>
    </row>
    <row r="19" spans="1:2" s="2983" customFormat="1">
      <c r="A19" s="2990" t="s">
        <v>19</v>
      </c>
      <c r="B19" s="299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2984" customFormat="1">
      <c r="A20" s="2992" t="s">
        <v>20</v>
      </c>
      <c r="B20" s="2993">
        <f ca="1">'预评函-2'!D5</f>
        <v>93418</v>
      </c>
    </row>
    <row r="21" spans="1:2" s="2984" customFormat="1">
      <c r="A21" s="2992" t="s">
        <v>21</v>
      </c>
      <c r="B21" s="2993">
        <f ca="1">'预评函-2'!D7</f>
        <v>9448</v>
      </c>
    </row>
    <row r="22" spans="1:2" s="2984" customFormat="1">
      <c r="A22" s="2992" t="s">
        <v>22</v>
      </c>
      <c r="B22" s="2993" t="str">
        <f ca="1">'预评函-2'!D6</f>
        <v>玖亿叁仟肆佰壹拾捌万元整</v>
      </c>
    </row>
    <row r="23" spans="1:2" s="2984" customFormat="1">
      <c r="A23" s="2992" t="s">
        <v>23</v>
      </c>
      <c r="B23" s="2993" t="str">
        <f>'预评函-2'!B8</f>
        <v>2.估价师知悉的法定优先受偿款</v>
      </c>
    </row>
    <row r="24" spans="1:2" s="2984" customFormat="1">
      <c r="A24" s="2992" t="s">
        <v>24</v>
      </c>
      <c r="B24" s="2993">
        <f>'预评函-2'!D8</f>
        <v>0</v>
      </c>
    </row>
    <row r="25" spans="1:2" s="2984" customFormat="1">
      <c r="A25" s="2992" t="s">
        <v>25</v>
      </c>
      <c r="B25" s="2993" t="str">
        <f>'预评函-2'!D9</f>
        <v>零元整</v>
      </c>
    </row>
    <row r="26" spans="1:2" s="2984" customFormat="1">
      <c r="A26" s="2992" t="s">
        <v>26</v>
      </c>
      <c r="B26" s="2993">
        <f>'预评函-2'!D10</f>
        <v>0</v>
      </c>
    </row>
    <row r="27" spans="1:2" s="2984" customFormat="1">
      <c r="A27" s="2992" t="s">
        <v>27</v>
      </c>
      <c r="B27" s="2993">
        <f>'预评函-2'!D11</f>
        <v>0</v>
      </c>
    </row>
    <row r="28" spans="1:2" s="2984" customFormat="1">
      <c r="A28" s="2992" t="s">
        <v>28</v>
      </c>
      <c r="B28" s="2993">
        <f>'预评函-2'!D12</f>
        <v>0</v>
      </c>
    </row>
    <row r="29" spans="1:2" s="2984" customFormat="1">
      <c r="A29" s="2992" t="s">
        <v>29</v>
      </c>
      <c r="B29" s="2993" t="str">
        <f>'预评函-2'!B13</f>
        <v>3.房地产抵押价值</v>
      </c>
    </row>
    <row r="30" spans="1:2" s="2984" customFormat="1">
      <c r="A30" s="2992" t="s">
        <v>30</v>
      </c>
      <c r="B30" s="2993">
        <f ca="1">'预评函-2'!D13</f>
        <v>93418</v>
      </c>
    </row>
    <row r="31" spans="1:2" s="2984" customFormat="1">
      <c r="A31" s="2992" t="s">
        <v>31</v>
      </c>
      <c r="B31" s="2993">
        <f ca="1">'预评函-2'!D15</f>
        <v>9448</v>
      </c>
    </row>
    <row r="32" spans="1:2" s="2984" customFormat="1">
      <c r="A32" s="2992" t="s">
        <v>32</v>
      </c>
      <c r="B32" s="2993" t="str">
        <f ca="1">'预评函-2'!D14</f>
        <v>玖亿叁仟肆佰壹拾捌万元整</v>
      </c>
    </row>
    <row r="33" spans="1:2" s="2984" customFormat="1">
      <c r="A33" s="2992" t="s">
        <v>33</v>
      </c>
      <c r="B33" s="2993" t="str">
        <f>'预评函-2'!B16</f>
        <v>4.抵押担保权已注销时的房地产抵押价值</v>
      </c>
    </row>
    <row r="34" spans="1:2" s="2984" customFormat="1">
      <c r="A34" s="2992" t="s">
        <v>34</v>
      </c>
      <c r="B34" s="2993">
        <f ca="1">'预评函-2'!D16</f>
        <v>93418</v>
      </c>
    </row>
    <row r="35" spans="1:2" s="2984" customFormat="1">
      <c r="A35" s="2992" t="s">
        <v>35</v>
      </c>
      <c r="B35" s="2993">
        <f ca="1">'预评函-2'!D18</f>
        <v>9448</v>
      </c>
    </row>
    <row r="36" spans="1:2" s="2984" customFormat="1">
      <c r="A36" s="2992" t="s">
        <v>36</v>
      </c>
      <c r="B36" s="2993" t="str">
        <f ca="1">'预评函-2'!D17</f>
        <v>玖亿叁仟肆佰壹拾捌万元整</v>
      </c>
    </row>
    <row r="37" spans="1:2" s="2984" customFormat="1">
      <c r="A37" s="2992" t="s">
        <v>37</v>
      </c>
      <c r="B37" s="2993" t="str">
        <f>'预评函-2'!B19</f>
        <v>——</v>
      </c>
    </row>
    <row r="38" spans="1:2" s="2984" customFormat="1">
      <c r="A38" s="2992" t="s">
        <v>38</v>
      </c>
      <c r="B38" s="2993" t="str">
        <f>'预评函-2'!D19</f>
        <v>——</v>
      </c>
    </row>
    <row r="39" spans="1:2" s="2984" customFormat="1">
      <c r="A39" s="2992" t="s">
        <v>39</v>
      </c>
      <c r="B39" s="2993" t="str">
        <f>'预评函-2'!D21</f>
        <v>——</v>
      </c>
    </row>
    <row r="40" spans="1:2" s="2984" customFormat="1">
      <c r="A40" s="2992" t="s">
        <v>40</v>
      </c>
      <c r="B40" s="2993" t="e">
        <f>'预评函-2'!D20</f>
        <v>#VALUE!</v>
      </c>
    </row>
    <row r="41" spans="1:2" s="2984" customFormat="1">
      <c r="A41" s="2992" t="s">
        <v>41</v>
      </c>
      <c r="B41" s="2993" t="str">
        <f>'预评函-3'!A4</f>
        <v>贵州省贵阳市观山湖区环城高速以东（西南商贸城）房地产</v>
      </c>
    </row>
    <row r="42" spans="1:2" s="2984" customFormat="1">
      <c r="A42" s="2992" t="s">
        <v>42</v>
      </c>
      <c r="B42" s="2993" t="str">
        <f>'预评函-3'!B2</f>
        <v>建筑面积</v>
      </c>
    </row>
    <row r="43" spans="1:2" s="2984" customFormat="1">
      <c r="A43" s="2992" t="s">
        <v>43</v>
      </c>
      <c r="B43" s="2993">
        <f>'预评函-3'!B4</f>
        <v>98873.18</v>
      </c>
    </row>
    <row r="44" spans="1:2" s="2984" customFormat="1">
      <c r="A44" s="2992" t="s">
        <v>44</v>
      </c>
      <c r="B44" s="2993" t="str">
        <f>'预评函-3'!C2</f>
        <v>(分摊)土地面积</v>
      </c>
    </row>
    <row r="45" spans="1:2" s="2984" customFormat="1">
      <c r="A45" s="2992" t="s">
        <v>45</v>
      </c>
      <c r="B45" s="2993">
        <f>'预评函-3'!C4</f>
        <v>45839.15</v>
      </c>
    </row>
    <row r="46" spans="1:2" s="2984" customFormat="1">
      <c r="A46" s="2992" t="s">
        <v>46</v>
      </c>
      <c r="B46" s="2993" t="str">
        <f>'预评函-3'!D2</f>
        <v>出让国有建设用地使用权价值</v>
      </c>
    </row>
    <row r="47" spans="1:2" s="2984" customFormat="1">
      <c r="A47" s="2992" t="s">
        <v>47</v>
      </c>
      <c r="B47" s="2993" t="e">
        <f ca="1">'预评函-3'!D4</f>
        <v>#REF!</v>
      </c>
    </row>
    <row r="48" spans="1:2" s="2984" customFormat="1">
      <c r="A48" s="2992" t="s">
        <v>48</v>
      </c>
      <c r="B48" s="2993" t="e">
        <f ca="1">'预评函-3'!E4</f>
        <v>#REF!</v>
      </c>
    </row>
    <row r="49" spans="1:2" s="2984" customFormat="1">
      <c r="A49" s="2992" t="s">
        <v>49</v>
      </c>
      <c r="B49" s="2993" t="e">
        <f ca="1">'预评函-3'!D5</f>
        <v>#REF!</v>
      </c>
    </row>
    <row r="50" spans="1:2" s="2984" customFormat="1">
      <c r="A50" s="2992" t="s">
        <v>50</v>
      </c>
      <c r="B50" s="2993" t="str">
        <f>'预评函-3'!F2</f>
        <v>在建建筑物价值</v>
      </c>
    </row>
    <row r="51" spans="1:2" s="2984" customFormat="1">
      <c r="A51" s="2992" t="s">
        <v>51</v>
      </c>
      <c r="B51" s="2993" t="e">
        <f ca="1">'预评函-3'!F4</f>
        <v>#REF!</v>
      </c>
    </row>
    <row r="52" spans="1:2" s="2984" customFormat="1">
      <c r="A52" s="2992" t="s">
        <v>52</v>
      </c>
      <c r="B52" s="2993" t="e">
        <f ca="1">'预评函-3'!G4</f>
        <v>#REF!</v>
      </c>
    </row>
    <row r="53" spans="1:2" s="2984" customFormat="1">
      <c r="A53" s="2992" t="s">
        <v>53</v>
      </c>
      <c r="B53" s="2993" t="e">
        <f ca="1">'预评函-3'!F5</f>
        <v>#REF!</v>
      </c>
    </row>
    <row r="54" spans="1:2" s="2984" customFormat="1">
      <c r="A54" s="2992" t="s">
        <v>54</v>
      </c>
      <c r="B54" s="2993" t="str">
        <f>'预评函-3'!A8</f>
        <v>房地产抵押价值</v>
      </c>
    </row>
    <row r="55" spans="1:2" s="2984" customFormat="1">
      <c r="A55" s="2992" t="s">
        <v>55</v>
      </c>
      <c r="B55" s="2993" t="str">
        <f>'预评函-3'!A10</f>
        <v>抵押担保权已注销时的房地产抵押价值</v>
      </c>
    </row>
    <row r="56" spans="1:2" s="2984" customFormat="1">
      <c r="A56" s="2992" t="s">
        <v>56</v>
      </c>
      <c r="B56" s="2993" t="str">
        <f>'预评函-3'!A12</f>
        <v/>
      </c>
    </row>
    <row r="57" spans="1:2" s="2982" customFormat="1">
      <c r="A57" s="2994" t="s">
        <v>57</v>
      </c>
      <c r="B57" s="2995" t="str">
        <f>'预评函-3'!A6</f>
        <v>估价师知悉的法定优先受偿款</v>
      </c>
    </row>
    <row r="58" spans="1:2" s="2983" customFormat="1">
      <c r="A58" s="2990" t="s">
        <v>58</v>
      </c>
      <c r="B58" s="2991" t="str">
        <f>'预评函-4'!A12</f>
        <v>2.本《评估意见函》仅供金融机构进行内部审核使用，不做其他目的之用。</v>
      </c>
    </row>
    <row r="59" spans="1:2" s="2984" customFormat="1">
      <c r="A59" s="2992" t="s">
        <v>59</v>
      </c>
      <c r="B59" s="2993" t="str">
        <f>'预评函-4'!A13</f>
        <v>3.抵押双方在办理抵押登记手续时，应使用本公司出具的正式《房地产评估报告》，特提醒报告使用者注意。</v>
      </c>
    </row>
    <row r="60" spans="1:2" s="2984" customFormat="1">
      <c r="A60" s="2992" t="s">
        <v>60</v>
      </c>
      <c r="B60" s="2993" t="str">
        <f>'预评函-4'!A14</f>
        <v>4.本次评估估价师所知悉的法定优先受偿款情况说明如下：</v>
      </c>
    </row>
    <row r="61" spans="1:2" s="2984" customFormat="1">
      <c r="A61" s="2992" t="s">
        <v>61</v>
      </c>
      <c r="B61" s="299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2984" customFormat="1">
      <c r="A62" s="2992" t="s">
        <v>62</v>
      </c>
      <c r="B62" s="2993" t="str">
        <f>'预评函-4'!A16</f>
        <v>（2）根据《工程款支付情况说明》，截至价值时点，估价对象不存在应付未付工程款项。（只要没有施工方盖章的，均“设定”进行表述）</v>
      </c>
    </row>
    <row r="63" spans="1:2" s="2984" customFormat="1">
      <c r="A63" s="2992" t="s">
        <v>63</v>
      </c>
      <c r="B63" s="299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2984" customFormat="1">
      <c r="A64" s="2992" t="s">
        <v>64</v>
      </c>
      <c r="B64" s="2993" t="str">
        <f>'预评函-4'!A18</f>
        <v>故，本次评估不存在估价师知悉的法定优先受偿款</v>
      </c>
    </row>
    <row r="65" spans="1:2" s="2984" customFormat="1">
      <c r="A65" s="2992" t="s">
        <v>65</v>
      </c>
      <c r="B65" s="299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2984" customFormat="1">
      <c r="A66" s="2992" t="s">
        <v>66</v>
      </c>
      <c r="B66" s="2993" t="str">
        <f>'预评函-4'!A20</f>
        <v>——</v>
      </c>
    </row>
    <row r="67" spans="1:2" s="2984" customFormat="1">
      <c r="A67" s="2992" t="s">
        <v>67</v>
      </c>
      <c r="B67" s="2993" t="str">
        <f>'预评函-4'!A21</f>
        <v>——</v>
      </c>
    </row>
    <row r="68" spans="1:2" s="2984" customFormat="1">
      <c r="A68" s="2992" t="s">
        <v>68</v>
      </c>
      <c r="B68" s="2993" t="str">
        <f>'预评函-4'!A22</f>
        <v>8.其他需特殊说明事项：无（注意调整序号）</v>
      </c>
    </row>
    <row r="69" spans="1:2" s="2982" customFormat="1">
      <c r="A69" s="2994" t="s">
        <v>69</v>
      </c>
      <c r="B69" s="2996">
        <f>'预评函-4'!C31</f>
        <v>42551</v>
      </c>
    </row>
    <row r="70" spans="1:2">
      <c r="A70" s="2997" t="s">
        <v>70</v>
      </c>
      <c r="B70" s="2998">
        <f>'预评函-4'!A4</f>
        <v>0</v>
      </c>
    </row>
    <row r="71" spans="1:2">
      <c r="A71" s="2992" t="s">
        <v>71</v>
      </c>
      <c r="B71" s="2993">
        <f>'预评函-4'!B4</f>
        <v>0</v>
      </c>
    </row>
    <row r="72" spans="1:2">
      <c r="A72" s="2992" t="s">
        <v>72</v>
      </c>
      <c r="B72" s="2999">
        <f>'预评函-4'!A5</f>
        <v>0</v>
      </c>
    </row>
    <row r="73" spans="1:2" s="2982" customFormat="1">
      <c r="A73" s="2994" t="s">
        <v>73</v>
      </c>
      <c r="B73" s="2995">
        <f>'预评函-4'!B5</f>
        <v>0</v>
      </c>
    </row>
    <row r="74" spans="1:2">
      <c r="A74" s="2985" t="s">
        <v>74</v>
      </c>
      <c r="B74" s="2986" t="str">
        <f>'预评函-4'!A8</f>
        <v>XX</v>
      </c>
    </row>
  </sheetData>
  <sheetProtection sheet="1" objects="1" scenarios="1"/>
  <phoneticPr fontId="225" type="noConversion"/>
  <pageMargins left="0.69930555555555596" right="0.69930555555555596"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127"/>
  <sheetViews>
    <sheetView workbookViewId="0">
      <selection activeCell="Y29" sqref="Y29"/>
    </sheetView>
  </sheetViews>
  <sheetFormatPr defaultColWidth="9" defaultRowHeight="13.5"/>
  <cols>
    <col min="1" max="1" width="13.5" style="2859" customWidth="1"/>
    <col min="2" max="2" width="23.25" style="2860" customWidth="1"/>
    <col min="3" max="3" width="13" style="2861" hidden="1" customWidth="1"/>
    <col min="4" max="4" width="5.75" style="2862" hidden="1" customWidth="1"/>
    <col min="5" max="5" width="7.125" style="2862" hidden="1" customWidth="1"/>
    <col min="6" max="6" width="10.625" style="2862" hidden="1" customWidth="1"/>
    <col min="7" max="7" width="7.5" style="2862" hidden="1" customWidth="1"/>
    <col min="8" max="8" width="9" style="2861" hidden="1" customWidth="1"/>
    <col min="9" max="9" width="11.625" style="2861" hidden="1" customWidth="1"/>
    <col min="10" max="10" width="9" style="2861" hidden="1" customWidth="1"/>
    <col min="11" max="19" width="9" style="2862" hidden="1" customWidth="1"/>
    <col min="20" max="22" width="9" style="2861" hidden="1" customWidth="1"/>
    <col min="23" max="23" width="9" style="2861" customWidth="1"/>
    <col min="24" max="24" width="21.125" style="2860" customWidth="1"/>
    <col min="25" max="16384" width="9" style="2860"/>
  </cols>
  <sheetData>
    <row r="1" spans="1:23" s="2858" customFormat="1" ht="27">
      <c r="A1" s="2863" t="s">
        <v>209</v>
      </c>
      <c r="B1" s="2864" t="s">
        <v>210</v>
      </c>
      <c r="C1" s="2865" t="s">
        <v>211</v>
      </c>
      <c r="D1" s="2866" t="s">
        <v>212</v>
      </c>
      <c r="E1" s="2866" t="s">
        <v>213</v>
      </c>
      <c r="F1" s="2866" t="s">
        <v>214</v>
      </c>
      <c r="G1" s="2866" t="s">
        <v>215</v>
      </c>
      <c r="H1" s="2866" t="s">
        <v>216</v>
      </c>
      <c r="I1" s="2866" t="s">
        <v>217</v>
      </c>
      <c r="J1" s="2866" t="s">
        <v>218</v>
      </c>
      <c r="K1" s="2866" t="s">
        <v>219</v>
      </c>
      <c r="L1" s="2866" t="s">
        <v>220</v>
      </c>
      <c r="M1" s="2866" t="s">
        <v>221</v>
      </c>
      <c r="N1" s="2866" t="s">
        <v>222</v>
      </c>
      <c r="O1" s="2866" t="s">
        <v>223</v>
      </c>
      <c r="P1" s="2875" t="s">
        <v>224</v>
      </c>
      <c r="Q1" s="2875" t="s">
        <v>225</v>
      </c>
      <c r="R1" s="2866" t="s">
        <v>226</v>
      </c>
      <c r="S1" s="2866" t="s">
        <v>227</v>
      </c>
      <c r="T1" s="2876" t="s">
        <v>228</v>
      </c>
      <c r="U1" s="2866" t="s">
        <v>229</v>
      </c>
      <c r="V1" s="2866" t="s">
        <v>230</v>
      </c>
      <c r="W1" s="2866" t="s">
        <v>231</v>
      </c>
    </row>
    <row r="2" spans="1:23">
      <c r="A2" s="2867" t="s">
        <v>124</v>
      </c>
      <c r="B2" s="2867" t="s">
        <v>232</v>
      </c>
      <c r="C2" s="2868" t="s">
        <v>233</v>
      </c>
      <c r="D2" s="2862" t="s">
        <v>234</v>
      </c>
      <c r="E2" s="2862" t="s">
        <v>235</v>
      </c>
      <c r="F2" s="2862" t="s">
        <v>159</v>
      </c>
      <c r="G2" s="2862">
        <v>40</v>
      </c>
      <c r="H2" s="2862" t="s">
        <v>159</v>
      </c>
      <c r="I2" s="2862" t="s">
        <v>236</v>
      </c>
      <c r="J2" s="2862" t="s">
        <v>237</v>
      </c>
      <c r="K2" s="2862" t="s">
        <v>238</v>
      </c>
      <c r="L2" s="2862" t="s">
        <v>238</v>
      </c>
      <c r="M2" s="2862" t="s">
        <v>238</v>
      </c>
      <c r="N2" s="2862" t="s">
        <v>238</v>
      </c>
      <c r="O2" s="2862" t="s">
        <v>238</v>
      </c>
      <c r="P2" s="2862" t="s">
        <v>238</v>
      </c>
      <c r="Q2" s="2862" t="s">
        <v>238</v>
      </c>
      <c r="R2" s="2862" t="s">
        <v>239</v>
      </c>
      <c r="S2" s="2862" t="s">
        <v>238</v>
      </c>
      <c r="T2" s="2862" t="s">
        <v>240</v>
      </c>
      <c r="U2" s="2862" t="s">
        <v>238</v>
      </c>
      <c r="V2" s="2862" t="s">
        <v>241</v>
      </c>
      <c r="W2" s="2862" t="s">
        <v>238</v>
      </c>
    </row>
    <row r="3" spans="1:23">
      <c r="A3" s="2867" t="s">
        <v>242</v>
      </c>
      <c r="B3" s="2869" t="s">
        <v>243</v>
      </c>
      <c r="C3" s="2870" t="s">
        <v>244</v>
      </c>
      <c r="D3" s="2862" t="s">
        <v>245</v>
      </c>
      <c r="E3" s="2862" t="s">
        <v>124</v>
      </c>
      <c r="F3" s="2862" t="s">
        <v>160</v>
      </c>
      <c r="G3" s="2862">
        <v>50</v>
      </c>
      <c r="H3" s="2862" t="s">
        <v>160</v>
      </c>
      <c r="I3" s="2862" t="s">
        <v>246</v>
      </c>
      <c r="J3" s="2862" t="s">
        <v>247</v>
      </c>
      <c r="K3" s="2862" t="s">
        <v>248</v>
      </c>
      <c r="L3" s="2862" t="s">
        <v>248</v>
      </c>
      <c r="M3" s="2862" t="s">
        <v>248</v>
      </c>
      <c r="N3" s="2862" t="s">
        <v>248</v>
      </c>
      <c r="O3" s="2862" t="s">
        <v>248</v>
      </c>
      <c r="P3" s="2862" t="s">
        <v>248</v>
      </c>
      <c r="Q3" s="2862" t="s">
        <v>248</v>
      </c>
      <c r="R3" s="2862" t="s">
        <v>249</v>
      </c>
      <c r="S3" s="2862" t="s">
        <v>248</v>
      </c>
      <c r="T3" s="2862" t="s">
        <v>250</v>
      </c>
      <c r="U3" s="2862" t="s">
        <v>248</v>
      </c>
      <c r="V3" s="2862" t="s">
        <v>251</v>
      </c>
      <c r="W3" s="2862" t="s">
        <v>248</v>
      </c>
    </row>
    <row r="4" spans="1:23">
      <c r="A4" s="2867" t="s">
        <v>252</v>
      </c>
      <c r="B4" s="2867" t="s">
        <v>253</v>
      </c>
      <c r="C4" s="2868" t="s">
        <v>254</v>
      </c>
      <c r="D4" s="2862" t="s">
        <v>124</v>
      </c>
      <c r="E4" s="2862" t="s">
        <v>255</v>
      </c>
      <c r="F4" s="2862" t="s">
        <v>161</v>
      </c>
      <c r="G4" s="2862">
        <v>70</v>
      </c>
      <c r="H4" s="2862" t="s">
        <v>161</v>
      </c>
      <c r="I4" s="2862" t="s">
        <v>256</v>
      </c>
      <c r="K4" s="2862" t="s">
        <v>257</v>
      </c>
      <c r="L4" s="2862" t="s">
        <v>257</v>
      </c>
      <c r="M4" s="2862" t="s">
        <v>257</v>
      </c>
      <c r="N4" s="2862" t="s">
        <v>257</v>
      </c>
      <c r="O4" s="2862" t="s">
        <v>257</v>
      </c>
      <c r="P4" s="2862" t="s">
        <v>257</v>
      </c>
      <c r="Q4" s="2862" t="s">
        <v>257</v>
      </c>
      <c r="R4" s="2862" t="s">
        <v>258</v>
      </c>
      <c r="S4" s="2862" t="s">
        <v>257</v>
      </c>
      <c r="T4" s="2862" t="s">
        <v>259</v>
      </c>
      <c r="U4" s="2862" t="s">
        <v>257</v>
      </c>
      <c r="W4" s="2862" t="s">
        <v>257</v>
      </c>
    </row>
    <row r="5" spans="1:23">
      <c r="A5" s="2867" t="s">
        <v>260</v>
      </c>
      <c r="B5" s="2867" t="s">
        <v>261</v>
      </c>
      <c r="C5" s="2868" t="s">
        <v>262</v>
      </c>
      <c r="F5" s="2862" t="s">
        <v>162</v>
      </c>
      <c r="H5" s="2862" t="s">
        <v>263</v>
      </c>
      <c r="I5" s="2862" t="s">
        <v>264</v>
      </c>
      <c r="K5" s="2862" t="s">
        <v>265</v>
      </c>
      <c r="L5" s="2862" t="s">
        <v>265</v>
      </c>
      <c r="M5" s="2862" t="s">
        <v>265</v>
      </c>
      <c r="N5" s="2862" t="s">
        <v>265</v>
      </c>
      <c r="O5" s="2862" t="s">
        <v>265</v>
      </c>
      <c r="P5" s="2862" t="s">
        <v>265</v>
      </c>
      <c r="Q5" s="2862" t="s">
        <v>265</v>
      </c>
      <c r="R5" s="2862" t="s">
        <v>266</v>
      </c>
      <c r="S5" s="2862" t="s">
        <v>265</v>
      </c>
      <c r="T5" s="2862" t="s">
        <v>267</v>
      </c>
      <c r="U5" s="2862" t="s">
        <v>265</v>
      </c>
      <c r="W5" s="2862" t="s">
        <v>265</v>
      </c>
    </row>
    <row r="6" spans="1:23">
      <c r="A6" s="2867" t="s">
        <v>268</v>
      </c>
      <c r="B6" s="2869" t="s">
        <v>269</v>
      </c>
      <c r="C6" s="2871" t="s">
        <v>270</v>
      </c>
      <c r="F6" s="2862" t="s">
        <v>263</v>
      </c>
      <c r="H6" s="2862" t="s">
        <v>164</v>
      </c>
      <c r="I6" s="2862" t="s">
        <v>271</v>
      </c>
      <c r="K6" s="2862" t="s">
        <v>272</v>
      </c>
      <c r="L6" s="2862" t="s">
        <v>272</v>
      </c>
      <c r="M6" s="2862" t="s">
        <v>272</v>
      </c>
      <c r="N6" s="2862" t="s">
        <v>272</v>
      </c>
      <c r="O6" s="2862" t="s">
        <v>272</v>
      </c>
      <c r="P6" s="2862" t="s">
        <v>272</v>
      </c>
      <c r="Q6" s="2862" t="s">
        <v>272</v>
      </c>
      <c r="R6" s="2862" t="s">
        <v>273</v>
      </c>
      <c r="S6" s="2862" t="s">
        <v>272</v>
      </c>
      <c r="T6" s="2862"/>
      <c r="U6" s="2862" t="s">
        <v>272</v>
      </c>
      <c r="W6" s="2862" t="s">
        <v>272</v>
      </c>
    </row>
    <row r="7" spans="1:23">
      <c r="A7" s="2867" t="s">
        <v>274</v>
      </c>
      <c r="B7" s="2869" t="s">
        <v>275</v>
      </c>
      <c r="C7" s="2868" t="s">
        <v>276</v>
      </c>
      <c r="F7" s="2862" t="s">
        <v>277</v>
      </c>
      <c r="H7" s="2862" t="s">
        <v>162</v>
      </c>
      <c r="I7" s="2862" t="s">
        <v>278</v>
      </c>
    </row>
    <row r="8" spans="1:23">
      <c r="A8" s="2867" t="s">
        <v>279</v>
      </c>
      <c r="B8" s="2867" t="s">
        <v>280</v>
      </c>
      <c r="C8" s="2868" t="s">
        <v>281</v>
      </c>
      <c r="F8" s="2862" t="s">
        <v>282</v>
      </c>
      <c r="H8" s="2862"/>
      <c r="I8" s="2862" t="s">
        <v>283</v>
      </c>
    </row>
    <row r="9" spans="1:23">
      <c r="A9" s="2867" t="s">
        <v>284</v>
      </c>
      <c r="B9" s="2867" t="s">
        <v>285</v>
      </c>
      <c r="C9" s="2868" t="s">
        <v>286</v>
      </c>
      <c r="F9" s="2862" t="s">
        <v>164</v>
      </c>
      <c r="H9" s="2862"/>
    </row>
    <row r="10" spans="1:23">
      <c r="A10" s="2867" t="s">
        <v>287</v>
      </c>
      <c r="B10" s="2867" t="s">
        <v>288</v>
      </c>
      <c r="C10" s="2868" t="s">
        <v>289</v>
      </c>
      <c r="F10" s="2862" t="s">
        <v>124</v>
      </c>
    </row>
    <row r="11" spans="1:23">
      <c r="A11" s="2867" t="s">
        <v>290</v>
      </c>
      <c r="B11" s="2867" t="s">
        <v>291</v>
      </c>
      <c r="C11" s="2868" t="s">
        <v>292</v>
      </c>
    </row>
    <row r="12" spans="1:23">
      <c r="A12" s="2867" t="s">
        <v>293</v>
      </c>
      <c r="B12" s="2867" t="s">
        <v>294</v>
      </c>
      <c r="C12" s="2868" t="s">
        <v>295</v>
      </c>
    </row>
    <row r="13" spans="1:23">
      <c r="A13" s="2867" t="s">
        <v>296</v>
      </c>
      <c r="B13" s="2867" t="s">
        <v>297</v>
      </c>
      <c r="C13" s="2868" t="s">
        <v>298</v>
      </c>
    </row>
    <row r="14" spans="1:23">
      <c r="A14" s="2867" t="s">
        <v>299</v>
      </c>
      <c r="B14" s="2867" t="s">
        <v>300</v>
      </c>
      <c r="C14" s="2862" t="s">
        <v>124</v>
      </c>
    </row>
    <row r="15" spans="1:23">
      <c r="A15" s="2867" t="s">
        <v>301</v>
      </c>
      <c r="B15" s="2867" t="s">
        <v>302</v>
      </c>
      <c r="C15" s="2868"/>
    </row>
    <row r="16" spans="1:23">
      <c r="A16" s="2867" t="s">
        <v>303</v>
      </c>
      <c r="B16" s="2867" t="s">
        <v>304</v>
      </c>
      <c r="C16" s="2868"/>
    </row>
    <row r="17" spans="1:3">
      <c r="A17" s="2867" t="s">
        <v>305</v>
      </c>
      <c r="B17" s="2867" t="s">
        <v>306</v>
      </c>
      <c r="C17" s="2868"/>
    </row>
    <row r="18" spans="1:3">
      <c r="A18" s="2867" t="s">
        <v>307</v>
      </c>
      <c r="B18" s="2867" t="s">
        <v>306</v>
      </c>
      <c r="C18" s="2868"/>
    </row>
    <row r="19" spans="1:3">
      <c r="A19" s="2867" t="s">
        <v>308</v>
      </c>
      <c r="B19" s="2867" t="s">
        <v>306</v>
      </c>
      <c r="C19" s="2868"/>
    </row>
    <row r="20" spans="1:3">
      <c r="A20" s="2867" t="s">
        <v>309</v>
      </c>
      <c r="B20" s="3141" t="s">
        <v>3377</v>
      </c>
      <c r="C20" s="2868"/>
    </row>
    <row r="21" spans="1:3">
      <c r="A21" s="2867" t="s">
        <v>263</v>
      </c>
      <c r="B21" s="3141" t="s">
        <v>3378</v>
      </c>
      <c r="C21" s="2868"/>
    </row>
    <row r="22" spans="1:3">
      <c r="A22" s="2867" t="s">
        <v>310</v>
      </c>
      <c r="B22" s="3141" t="s">
        <v>3379</v>
      </c>
      <c r="C22" s="2868"/>
    </row>
    <row r="23" spans="1:3">
      <c r="A23" s="2867" t="s">
        <v>311</v>
      </c>
      <c r="B23" s="3141" t="s">
        <v>3380</v>
      </c>
      <c r="C23" s="2868"/>
    </row>
    <row r="24" spans="1:3">
      <c r="A24" s="2867" t="s">
        <v>312</v>
      </c>
      <c r="B24" s="2867" t="s">
        <v>306</v>
      </c>
      <c r="C24" s="2868"/>
    </row>
    <row r="25" spans="1:3">
      <c r="A25" s="2867" t="s">
        <v>313</v>
      </c>
      <c r="B25" s="2867" t="s">
        <v>306</v>
      </c>
      <c r="C25" s="2868"/>
    </row>
    <row r="26" spans="1:3">
      <c r="A26" s="2867" t="s">
        <v>314</v>
      </c>
      <c r="B26" s="3141" t="s">
        <v>3398</v>
      </c>
      <c r="C26" s="2868"/>
    </row>
    <row r="27" spans="1:3">
      <c r="A27" s="2867" t="s">
        <v>306</v>
      </c>
      <c r="B27" s="2867" t="s">
        <v>306</v>
      </c>
      <c r="C27" s="2868"/>
    </row>
    <row r="28" spans="1:3">
      <c r="A28" s="3141" t="s">
        <v>3321</v>
      </c>
      <c r="B28" s="2867" t="s">
        <v>306</v>
      </c>
      <c r="C28" s="2868"/>
    </row>
    <row r="29" spans="1:3">
      <c r="A29" s="2867" t="s">
        <v>306</v>
      </c>
      <c r="B29" s="2867" t="s">
        <v>306</v>
      </c>
      <c r="C29" s="2868"/>
    </row>
    <row r="30" spans="1:3">
      <c r="A30" s="2867" t="s">
        <v>306</v>
      </c>
      <c r="B30" s="2867" t="s">
        <v>306</v>
      </c>
      <c r="C30" s="2868"/>
    </row>
    <row r="31" spans="1:3">
      <c r="A31" s="2867" t="s">
        <v>306</v>
      </c>
      <c r="B31" s="2867" t="s">
        <v>306</v>
      </c>
      <c r="C31" s="2868"/>
    </row>
    <row r="32" spans="1:3">
      <c r="A32" s="2867" t="s">
        <v>306</v>
      </c>
      <c r="B32" s="2867" t="s">
        <v>306</v>
      </c>
      <c r="C32" s="2868"/>
    </row>
    <row r="33" spans="1:3">
      <c r="A33" s="2867" t="s">
        <v>306</v>
      </c>
      <c r="B33" s="2867" t="s">
        <v>306</v>
      </c>
      <c r="C33" s="2868"/>
    </row>
    <row r="34" spans="1:3">
      <c r="A34" s="2867" t="s">
        <v>306</v>
      </c>
      <c r="B34" s="2867" t="s">
        <v>306</v>
      </c>
      <c r="C34" s="2868"/>
    </row>
    <row r="35" spans="1:3">
      <c r="A35" s="2867" t="s">
        <v>306</v>
      </c>
      <c r="B35" s="2867" t="s">
        <v>306</v>
      </c>
      <c r="C35" s="2868"/>
    </row>
    <row r="36" spans="1:3">
      <c r="A36" s="2867" t="s">
        <v>306</v>
      </c>
      <c r="B36" s="2867" t="s">
        <v>306</v>
      </c>
      <c r="C36" s="2868"/>
    </row>
    <row r="37" spans="1:3">
      <c r="A37" s="2867" t="s">
        <v>306</v>
      </c>
      <c r="B37" s="2867" t="s">
        <v>306</v>
      </c>
      <c r="C37" s="2868"/>
    </row>
    <row r="38" spans="1:3">
      <c r="A38" s="2867" t="s">
        <v>306</v>
      </c>
      <c r="B38" s="2867" t="s">
        <v>306</v>
      </c>
      <c r="C38" s="2868"/>
    </row>
    <row r="39" spans="1:3">
      <c r="A39" s="2867" t="s">
        <v>306</v>
      </c>
      <c r="B39" s="2867" t="s">
        <v>306</v>
      </c>
      <c r="C39" s="2868"/>
    </row>
    <row r="40" spans="1:3">
      <c r="A40" s="2867" t="s">
        <v>306</v>
      </c>
      <c r="B40" s="2867" t="s">
        <v>306</v>
      </c>
      <c r="C40" s="2868"/>
    </row>
    <row r="41" spans="1:3">
      <c r="A41" s="2867" t="s">
        <v>306</v>
      </c>
      <c r="B41" s="2867" t="s">
        <v>306</v>
      </c>
      <c r="C41" s="2868"/>
    </row>
    <row r="42" spans="1:3">
      <c r="A42" s="2867" t="s">
        <v>306</v>
      </c>
      <c r="B42" s="2867" t="s">
        <v>306</v>
      </c>
      <c r="C42" s="2868"/>
    </row>
    <row r="43" spans="1:3">
      <c r="A43" s="2867" t="s">
        <v>306</v>
      </c>
      <c r="B43" s="2867" t="s">
        <v>306</v>
      </c>
      <c r="C43" s="2868"/>
    </row>
    <row r="44" spans="1:3">
      <c r="A44" s="2867" t="s">
        <v>306</v>
      </c>
      <c r="B44" s="2867" t="s">
        <v>306</v>
      </c>
      <c r="C44" s="2868"/>
    </row>
    <row r="45" spans="1:3">
      <c r="A45" s="2867" t="s">
        <v>306</v>
      </c>
      <c r="B45" s="2867" t="s">
        <v>306</v>
      </c>
      <c r="C45" s="2868"/>
    </row>
    <row r="46" spans="1:3">
      <c r="A46" s="2867" t="s">
        <v>306</v>
      </c>
      <c r="B46" s="2867" t="s">
        <v>306</v>
      </c>
      <c r="C46" s="2868"/>
    </row>
    <row r="47" spans="1:3">
      <c r="A47" s="2867" t="s">
        <v>306</v>
      </c>
      <c r="B47" s="2867" t="s">
        <v>306</v>
      </c>
      <c r="C47" s="2868"/>
    </row>
    <row r="48" spans="1:3">
      <c r="A48" s="2867" t="s">
        <v>306</v>
      </c>
      <c r="B48" s="2867" t="s">
        <v>306</v>
      </c>
      <c r="C48" s="2868"/>
    </row>
    <row r="49" spans="1:4">
      <c r="A49" s="2867" t="s">
        <v>306</v>
      </c>
      <c r="B49" s="2867" t="s">
        <v>306</v>
      </c>
      <c r="C49" s="2868"/>
    </row>
    <row r="50" spans="1:4">
      <c r="A50" s="2867" t="s">
        <v>306</v>
      </c>
      <c r="B50" s="2867" t="s">
        <v>306</v>
      </c>
      <c r="C50" s="2868"/>
    </row>
    <row r="51" spans="1:4">
      <c r="A51" s="2872" t="s">
        <v>315</v>
      </c>
      <c r="B51" s="2873" t="str">
        <f>"为估价委托人在向"&amp;项目基本情况!B6&amp;"办理贷款手续过程中，确定房地产抵押贷款额度提供参考依据而评估房地产抵押价值。"</f>
        <v>为估价委托人在向中信信托有限责任公司办理贷款手续过程中，确定房地产抵押贷款额度提供参考依据而评估房地产抵押价值。</v>
      </c>
      <c r="C51" s="286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贵阳西南国际商贸城有限公司拟使用贵州省贵阳市观山湖区环城高速以东（西南商贸城）房地产作为抵押担保物，向中信信托有限责任公司办理贷款手续。中信信托有限责任公司特委托北京康正宏基房地产评估有限公司对上述抵押物进行评估。本次评估为确定房地产抵押贷款额度提供参考依据而评估房地产抵押价值。</v>
      </c>
      <c r="D51" s="2873" t="s">
        <v>316</v>
      </c>
    </row>
    <row r="52" spans="1:4">
      <c r="A52" s="2872" t="s">
        <v>317</v>
      </c>
      <c r="B52" s="2872" t="s">
        <v>318</v>
      </c>
      <c r="C52" s="2861" t="s">
        <v>319</v>
      </c>
      <c r="D52" s="2861" t="s">
        <v>320</v>
      </c>
    </row>
    <row r="53" spans="1:4">
      <c r="A53" s="3222" t="s">
        <v>321</v>
      </c>
      <c r="B53" s="2873" t="s">
        <v>322</v>
      </c>
      <c r="C53" s="286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9月18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22"/>
      <c r="B54" s="2873" t="s">
        <v>323</v>
      </c>
      <c r="C54" s="2861" t="s">
        <v>324</v>
      </c>
    </row>
    <row r="55" spans="1:4">
      <c r="A55" s="3222"/>
      <c r="B55" s="2873" t="s">
        <v>325</v>
      </c>
      <c r="C55" s="2861" t="s">
        <v>326</v>
      </c>
    </row>
    <row r="56" spans="1:4">
      <c r="A56" s="3222"/>
      <c r="B56" s="2873" t="s">
        <v>327</v>
      </c>
      <c r="C56" s="2861" t="s">
        <v>328</v>
      </c>
    </row>
    <row r="57" spans="1:4">
      <c r="A57" s="3222"/>
      <c r="B57" s="2873" t="s">
        <v>329</v>
      </c>
      <c r="C57" s="2861" t="s">
        <v>330</v>
      </c>
    </row>
    <row r="58" spans="1:4">
      <c r="A58" s="2874"/>
      <c r="B58" s="2861"/>
    </row>
    <row r="59" spans="1:4">
      <c r="A59" s="2874"/>
      <c r="B59" s="2861"/>
    </row>
    <row r="60" spans="1:4">
      <c r="A60" s="2874"/>
      <c r="B60" s="2861"/>
    </row>
    <row r="61" spans="1:4">
      <c r="A61" s="2874"/>
      <c r="B61" s="2861"/>
    </row>
    <row r="62" spans="1:4">
      <c r="A62" s="2874"/>
      <c r="B62" s="2861"/>
    </row>
    <row r="63" spans="1:4">
      <c r="A63" s="2874"/>
      <c r="B63" s="2861"/>
    </row>
    <row r="64" spans="1:4">
      <c r="A64" s="2874"/>
      <c r="B64" s="2861"/>
    </row>
    <row r="65" spans="1:2">
      <c r="A65" s="2874"/>
      <c r="B65" s="2861"/>
    </row>
    <row r="66" spans="1:2">
      <c r="A66" s="2874"/>
      <c r="B66" s="2861"/>
    </row>
    <row r="67" spans="1:2">
      <c r="A67" s="2874"/>
      <c r="B67" s="2861"/>
    </row>
    <row r="68" spans="1:2">
      <c r="A68" s="2874"/>
      <c r="B68" s="2861"/>
    </row>
    <row r="69" spans="1:2">
      <c r="A69" s="2874"/>
      <c r="B69" s="2861"/>
    </row>
    <row r="70" spans="1:2">
      <c r="A70" s="2874"/>
      <c r="B70" s="2861"/>
    </row>
    <row r="71" spans="1:2">
      <c r="A71" s="2874"/>
      <c r="B71" s="2861"/>
    </row>
    <row r="72" spans="1:2">
      <c r="A72" s="2874"/>
      <c r="B72" s="2861"/>
    </row>
    <row r="73" spans="1:2">
      <c r="A73" s="2874"/>
      <c r="B73" s="2861"/>
    </row>
    <row r="74" spans="1:2">
      <c r="A74" s="2874"/>
      <c r="B74" s="2861"/>
    </row>
    <row r="75" spans="1:2">
      <c r="A75" s="2874"/>
      <c r="B75" s="2861"/>
    </row>
    <row r="76" spans="1:2">
      <c r="A76" s="2874"/>
      <c r="B76" s="2861"/>
    </row>
    <row r="77" spans="1:2">
      <c r="A77" s="2874"/>
      <c r="B77" s="2861"/>
    </row>
    <row r="78" spans="1:2">
      <c r="A78" s="2874"/>
      <c r="B78" s="2861"/>
    </row>
    <row r="79" spans="1:2">
      <c r="A79" s="2874"/>
      <c r="B79" s="2861"/>
    </row>
    <row r="80" spans="1:2">
      <c r="A80" s="2874"/>
      <c r="B80" s="2861"/>
    </row>
    <row r="81" spans="1:2">
      <c r="A81" s="2874"/>
      <c r="B81" s="2861"/>
    </row>
    <row r="82" spans="1:2">
      <c r="A82" s="2874"/>
      <c r="B82" s="2861"/>
    </row>
    <row r="83" spans="1:2">
      <c r="A83" s="2874"/>
      <c r="B83" s="2861"/>
    </row>
    <row r="84" spans="1:2">
      <c r="A84" s="2874"/>
      <c r="B84" s="2861"/>
    </row>
    <row r="85" spans="1:2">
      <c r="A85" s="2874"/>
      <c r="B85" s="2861"/>
    </row>
    <row r="86" spans="1:2">
      <c r="A86" s="2874"/>
      <c r="B86" s="2861"/>
    </row>
    <row r="87" spans="1:2">
      <c r="A87" s="2874"/>
      <c r="B87" s="2861"/>
    </row>
    <row r="88" spans="1:2">
      <c r="A88" s="2874"/>
      <c r="B88" s="2861"/>
    </row>
    <row r="89" spans="1:2">
      <c r="A89" s="2874"/>
      <c r="B89" s="2861"/>
    </row>
    <row r="90" spans="1:2">
      <c r="A90" s="2874"/>
      <c r="B90" s="2861"/>
    </row>
    <row r="91" spans="1:2">
      <c r="A91" s="2874"/>
      <c r="B91" s="2861"/>
    </row>
    <row r="92" spans="1:2">
      <c r="A92" s="2874"/>
      <c r="B92" s="2861"/>
    </row>
    <row r="93" spans="1:2">
      <c r="A93" s="2874"/>
      <c r="B93" s="2861"/>
    </row>
    <row r="94" spans="1:2">
      <c r="A94" s="2874"/>
      <c r="B94" s="2861"/>
    </row>
    <row r="95" spans="1:2">
      <c r="A95" s="2874"/>
      <c r="B95" s="2861"/>
    </row>
    <row r="96" spans="1:2">
      <c r="A96" s="2874"/>
      <c r="B96" s="2861"/>
    </row>
    <row r="97" spans="1:2">
      <c r="A97" s="2874"/>
      <c r="B97" s="2861"/>
    </row>
    <row r="98" spans="1:2">
      <c r="A98" s="2874"/>
      <c r="B98" s="2861"/>
    </row>
    <row r="99" spans="1:2">
      <c r="A99" s="2874"/>
      <c r="B99" s="2861"/>
    </row>
    <row r="100" spans="1:2">
      <c r="A100" s="2874"/>
      <c r="B100" s="2861"/>
    </row>
    <row r="101" spans="1:2">
      <c r="A101" s="2874"/>
      <c r="B101" s="2861"/>
    </row>
    <row r="102" spans="1:2">
      <c r="A102" s="2874"/>
      <c r="B102" s="2861"/>
    </row>
    <row r="103" spans="1:2">
      <c r="A103" s="2874"/>
      <c r="B103" s="2861"/>
    </row>
    <row r="104" spans="1:2">
      <c r="A104" s="2874"/>
      <c r="B104" s="2861"/>
    </row>
    <row r="105" spans="1:2">
      <c r="A105" s="2874"/>
      <c r="B105" s="2861"/>
    </row>
    <row r="106" spans="1:2">
      <c r="A106" s="2874"/>
      <c r="B106" s="2861"/>
    </row>
    <row r="107" spans="1:2">
      <c r="A107" s="2874"/>
      <c r="B107" s="2861"/>
    </row>
    <row r="108" spans="1:2">
      <c r="A108" s="2874"/>
      <c r="B108" s="2861"/>
    </row>
    <row r="109" spans="1:2">
      <c r="A109" s="2874"/>
      <c r="B109" s="2861"/>
    </row>
    <row r="110" spans="1:2">
      <c r="A110" s="2874"/>
      <c r="B110" s="2861"/>
    </row>
    <row r="111" spans="1:2">
      <c r="A111" s="2874"/>
      <c r="B111" s="2861"/>
    </row>
    <row r="112" spans="1:2">
      <c r="A112" s="2874"/>
      <c r="B112" s="2861"/>
    </row>
    <row r="113" spans="1:2">
      <c r="A113" s="2874"/>
      <c r="B113" s="2861"/>
    </row>
    <row r="114" spans="1:2">
      <c r="A114" s="2874"/>
      <c r="B114" s="2861"/>
    </row>
    <row r="115" spans="1:2">
      <c r="A115" s="2874"/>
      <c r="B115" s="2861"/>
    </row>
    <row r="116" spans="1:2">
      <c r="A116" s="2874"/>
      <c r="B116" s="2861"/>
    </row>
    <row r="117" spans="1:2">
      <c r="A117" s="2874"/>
      <c r="B117" s="2861"/>
    </row>
    <row r="118" spans="1:2">
      <c r="A118" s="2874"/>
      <c r="B118" s="2861"/>
    </row>
    <row r="119" spans="1:2">
      <c r="A119" s="2874"/>
      <c r="B119" s="2861"/>
    </row>
    <row r="120" spans="1:2">
      <c r="A120" s="2874"/>
      <c r="B120" s="2861"/>
    </row>
    <row r="121" spans="1:2">
      <c r="A121" s="2874"/>
      <c r="B121" s="2861"/>
    </row>
    <row r="122" spans="1:2">
      <c r="A122" s="2874"/>
      <c r="B122" s="2861"/>
    </row>
    <row r="123" spans="1:2">
      <c r="A123" s="2874"/>
      <c r="B123" s="2861"/>
    </row>
    <row r="124" spans="1:2">
      <c r="A124" s="2874"/>
      <c r="B124" s="2861"/>
    </row>
    <row r="125" spans="1:2">
      <c r="A125" s="2874"/>
      <c r="B125" s="2861"/>
    </row>
    <row r="126" spans="1:2">
      <c r="A126" s="2874"/>
      <c r="B126" s="2861"/>
    </row>
    <row r="127" spans="1:2">
      <c r="A127" s="2874"/>
      <c r="B127" s="2861"/>
    </row>
  </sheetData>
  <sheetProtection password="C66D" sheet="1" objects="1" scenarios="1" formatCells="0" formatColumns="0" formatRows="0"/>
  <mergeCells count="1">
    <mergeCell ref="A53:A57"/>
  </mergeCells>
  <phoneticPr fontId="225" type="noConversion"/>
  <pageMargins left="0.69930555555555596" right="0.69930555555555596"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V56"/>
  <sheetViews>
    <sheetView view="pageBreakPreview" zoomScale="90" zoomScaleNormal="100" zoomScaleSheetLayoutView="90" workbookViewId="0">
      <selection activeCell="H7" sqref="H7"/>
    </sheetView>
  </sheetViews>
  <sheetFormatPr defaultColWidth="10" defaultRowHeight="18" customHeight="1"/>
  <cols>
    <col min="1" max="1" width="14.875" style="2388" customWidth="1"/>
    <col min="2" max="2" width="10" style="2388" customWidth="1"/>
    <col min="3" max="3" width="11.5" style="2388" customWidth="1"/>
    <col min="4" max="6" width="10" style="2388" customWidth="1"/>
    <col min="7" max="7" width="10.75" style="2388" customWidth="1"/>
    <col min="8" max="8" width="10" style="2388" customWidth="1"/>
    <col min="9" max="9" width="11.125" style="2645" customWidth="1"/>
    <col min="10" max="10" width="10" style="2388" customWidth="1"/>
    <col min="11" max="11" width="10" style="2730" customWidth="1"/>
    <col min="12" max="13" width="10" style="2731" customWidth="1"/>
    <col min="14" max="14" width="10" style="2388" customWidth="1"/>
    <col min="15" max="15" width="10" style="2645" customWidth="1"/>
    <col min="16" max="17" width="10" style="2388"/>
    <col min="18" max="18" width="10" style="2388" customWidth="1"/>
    <col min="19" max="16384" width="10" style="2388"/>
  </cols>
  <sheetData>
    <row r="1" spans="1:19" ht="38.25" customHeight="1">
      <c r="A1" s="2732" t="s">
        <v>331</v>
      </c>
      <c r="B1" s="3227" t="str">
        <f>IF(B10="北京市","北京市",C10)&amp;F10&amp;IF(结果表!G1="在建","出让国有建设用地使用权及在建建筑物",IF(结果表!G1="土地","出让国有建设用地使用权",))&amp;B9&amp;"预评估"</f>
        <v>贵州省贵阳市观山湖区环城高速以东（西南商贸城）房地产抵押价值预评估</v>
      </c>
      <c r="C1" s="3228"/>
      <c r="D1" s="3228"/>
      <c r="E1" s="3228"/>
      <c r="F1" s="3228"/>
      <c r="G1" s="3228"/>
      <c r="H1" s="3228"/>
      <c r="I1" s="3229"/>
      <c r="J1" s="2733"/>
      <c r="K1" s="2837"/>
      <c r="L1" s="2838"/>
      <c r="M1" s="2838"/>
      <c r="N1" s="2401"/>
      <c r="O1" s="2647"/>
      <c r="P1" s="2401"/>
      <c r="Q1" s="2401"/>
      <c r="R1" s="2401"/>
      <c r="S1" s="2387" t="str">
        <f>IF(B10="北京市","北京市",C10)&amp;F10&amp;IF(结果表!G1="在建","出让国有建设用地使用权及在建建筑物房地产抵押价值",IF(结果表!G1="土地","出让国有建设用地使用权抵押价值",B9))</f>
        <v>贵州省贵阳市观山湖区环城高速以东（西南商贸城）房地产抵押价值</v>
      </c>
    </row>
    <row r="2" spans="1:19" ht="18" customHeight="1">
      <c r="A2" s="2733" t="s">
        <v>332</v>
      </c>
      <c r="B2" s="2734"/>
      <c r="C2" s="2735"/>
      <c r="D2" s="2733"/>
      <c r="E2" s="2736"/>
      <c r="F2" s="2736"/>
      <c r="G2" s="2733"/>
      <c r="H2" s="2733"/>
      <c r="I2" s="2733"/>
      <c r="J2" s="2733"/>
      <c r="K2" s="2837"/>
      <c r="L2" s="2838"/>
      <c r="M2" s="2838"/>
      <c r="N2" s="2401"/>
      <c r="O2" s="2647"/>
      <c r="P2" s="2401"/>
      <c r="Q2" s="2401"/>
      <c r="R2" s="2401"/>
      <c r="S2" s="2387" t="str">
        <f>IF(B10="北京市","北京市",C10)&amp;F10&amp;IF(结果表!G1="在建","出让国有建设用地使用权及在建建筑物房地产",IF(结果表!G1="土地","出让国有建设用地使用权","房地产"))</f>
        <v>贵州省贵阳市观山湖区环城高速以东（西南商贸城）房地产</v>
      </c>
    </row>
    <row r="3" spans="1:19" ht="18" customHeight="1">
      <c r="A3" s="2737" t="s">
        <v>333</v>
      </c>
      <c r="B3" s="2738">
        <v>43361</v>
      </c>
      <c r="C3" s="2739" t="s">
        <v>334</v>
      </c>
      <c r="D3" s="2738">
        <f>B3</f>
        <v>43361</v>
      </c>
      <c r="E3" s="2733"/>
      <c r="F3" s="2733"/>
      <c r="G3" s="2733"/>
      <c r="H3" s="2733"/>
      <c r="I3" s="2733"/>
      <c r="J3" s="2733"/>
      <c r="K3" s="2837"/>
      <c r="L3" s="2838"/>
      <c r="M3" s="2838"/>
      <c r="N3" s="2401"/>
      <c r="O3" s="2647"/>
      <c r="P3" s="2401"/>
      <c r="Q3" s="2401"/>
      <c r="R3" s="2401"/>
      <c r="S3" s="2387"/>
    </row>
    <row r="4" spans="1:19" ht="18" customHeight="1">
      <c r="A4" s="2740" t="s">
        <v>335</v>
      </c>
      <c r="B4" s="2741"/>
      <c r="C4" s="2742">
        <f>SUMIF(注册房地产估价师,B4,估价师及机构信息!B3:B24)</f>
        <v>0</v>
      </c>
      <c r="D4" s="2741"/>
      <c r="E4" s="2743">
        <f>SUMIF(注册房地产估价师,D4,估价师及机构信息!B3:B24)</f>
        <v>0</v>
      </c>
      <c r="F4" s="2741" t="s">
        <v>124</v>
      </c>
      <c r="G4" s="2744">
        <f>SUMIF(注册房地产估价师,F4,估价师及机构信息!B3:B24)</f>
        <v>0</v>
      </c>
      <c r="H4" s="2741" t="s">
        <v>124</v>
      </c>
      <c r="I4" s="2839">
        <f>SUMIF(注册房地产估价师,H4,估价师及机构信息!B3:B24)</f>
        <v>0</v>
      </c>
      <c r="J4" s="2748"/>
      <c r="K4" s="2840" t="str">
        <f>CONCATENATE(B4,"（注册号：",C4,")、",D4,"（注册号：",E4,")")</f>
        <v>（注册号：0)、（注册号：0)</v>
      </c>
      <c r="L4" s="2838"/>
      <c r="M4" s="2838"/>
      <c r="N4" s="2401"/>
      <c r="O4" s="2647"/>
      <c r="P4" s="2401"/>
      <c r="Q4" s="2401"/>
      <c r="R4" s="2401"/>
      <c r="S4" s="2387"/>
    </row>
    <row r="5" spans="1:19" ht="18" customHeight="1">
      <c r="A5" s="2745" t="s">
        <v>336</v>
      </c>
      <c r="B5" s="3144" t="s">
        <v>3331</v>
      </c>
      <c r="C5" s="2746"/>
      <c r="D5" s="2747"/>
      <c r="E5" s="2748"/>
      <c r="F5" s="2748"/>
      <c r="G5" s="2748"/>
      <c r="H5" s="2748"/>
      <c r="I5" s="2748"/>
      <c r="J5" s="2748"/>
      <c r="K5" s="2840" t="str">
        <f>IF(F4="——","",IF(H4="——",F4&amp;"（注册号："&amp;G4&amp;")",CONCATENATE(F4,"（注册号：",G4,")、",H4,"（注册号：",I4,")")))</f>
        <v/>
      </c>
      <c r="L5" s="2838"/>
      <c r="M5" s="2838"/>
      <c r="N5" s="2401"/>
      <c r="O5" s="2647"/>
      <c r="P5" s="2401"/>
      <c r="Q5" s="2401"/>
      <c r="R5" s="2401"/>
    </row>
    <row r="6" spans="1:19" ht="18" customHeight="1">
      <c r="A6" s="2749" t="s">
        <v>337</v>
      </c>
      <c r="B6" s="3145" t="s">
        <v>3331</v>
      </c>
      <c r="C6" s="2750"/>
      <c r="D6" s="2751"/>
      <c r="E6" s="2736"/>
      <c r="F6" s="2748"/>
      <c r="G6" s="2748"/>
      <c r="H6" s="2748"/>
      <c r="I6" s="2748"/>
      <c r="J6" s="2748"/>
      <c r="K6" s="2841" t="str">
        <f>IF(COUNTIF(B6,"*上海银行*"),"上海银行","")</f>
        <v/>
      </c>
      <c r="L6" s="2838"/>
      <c r="M6" s="2838"/>
      <c r="N6" s="2401"/>
      <c r="O6" s="2647"/>
      <c r="P6" s="2401"/>
      <c r="Q6" s="2401"/>
      <c r="R6" s="2401"/>
    </row>
    <row r="7" spans="1:19" ht="18" customHeight="1">
      <c r="A7" s="2749" t="s">
        <v>338</v>
      </c>
      <c r="B7" s="3146" t="s">
        <v>3333</v>
      </c>
      <c r="C7" s="2750"/>
      <c r="D7" s="2751"/>
      <c r="E7" s="2736"/>
      <c r="F7" s="2748"/>
      <c r="G7" s="2748"/>
      <c r="H7" s="2748"/>
      <c r="I7" s="2748"/>
      <c r="J7" s="2748"/>
      <c r="K7" s="2842"/>
      <c r="L7" s="2838"/>
      <c r="M7" s="2838"/>
      <c r="N7" s="2401"/>
      <c r="O7" s="2647"/>
      <c r="P7" s="2401"/>
      <c r="Q7" s="2401"/>
      <c r="R7" s="2401"/>
    </row>
    <row r="8" spans="1:19" ht="18" customHeight="1">
      <c r="A8" s="2749" t="s">
        <v>339</v>
      </c>
      <c r="B8" s="2752" t="s">
        <v>318</v>
      </c>
      <c r="C8" s="2753"/>
      <c r="D8" s="3242" t="s">
        <v>340</v>
      </c>
      <c r="E8" s="2754" t="s">
        <v>327</v>
      </c>
      <c r="F8" s="2755"/>
      <c r="G8" s="2733"/>
      <c r="H8" s="2733"/>
      <c r="I8" s="2733"/>
      <c r="J8" s="2748"/>
      <c r="K8" s="2840"/>
      <c r="L8" s="2838"/>
      <c r="M8" s="2838"/>
      <c r="N8" s="2401"/>
      <c r="O8" s="2647"/>
      <c r="P8" s="2401"/>
      <c r="Q8" s="2401"/>
      <c r="R8" s="2401"/>
    </row>
    <row r="9" spans="1:19" ht="18" customHeight="1">
      <c r="A9" s="2744" t="s">
        <v>341</v>
      </c>
      <c r="B9" s="2756" t="s">
        <v>323</v>
      </c>
      <c r="C9" s="2757"/>
      <c r="D9" s="3243"/>
      <c r="E9" s="2756" t="s">
        <v>124</v>
      </c>
      <c r="F9" s="2758"/>
      <c r="G9" s="2759"/>
      <c r="H9" s="2759"/>
      <c r="I9" s="2759"/>
      <c r="J9" s="2748"/>
      <c r="K9" s="2842"/>
      <c r="L9" s="2838"/>
      <c r="M9" s="2838"/>
      <c r="N9" s="2401"/>
      <c r="O9" s="2647"/>
      <c r="P9" s="2401"/>
      <c r="Q9" s="2401"/>
      <c r="R9" s="2401"/>
    </row>
    <row r="10" spans="1:19" ht="18" customHeight="1">
      <c r="A10" s="2760" t="s">
        <v>342</v>
      </c>
      <c r="B10" s="2761" t="s">
        <v>3335</v>
      </c>
      <c r="C10" s="3148" t="s">
        <v>3336</v>
      </c>
      <c r="D10" s="2747"/>
      <c r="E10" s="2762" t="s">
        <v>343</v>
      </c>
      <c r="F10" s="3147" t="s">
        <v>3339</v>
      </c>
      <c r="G10" s="2763"/>
      <c r="H10" s="2764"/>
      <c r="I10" s="2747"/>
      <c r="J10" s="2748"/>
      <c r="K10" s="2842"/>
      <c r="L10" s="2838"/>
      <c r="M10" s="2838"/>
      <c r="N10" s="2401"/>
      <c r="O10" s="2647"/>
      <c r="P10" s="2401"/>
      <c r="Q10" s="2401"/>
      <c r="R10" s="2401"/>
    </row>
    <row r="11" spans="1:19" ht="18" customHeight="1">
      <c r="A11" s="2765" t="s">
        <v>344</v>
      </c>
      <c r="B11" s="2039" t="s">
        <v>3338</v>
      </c>
      <c r="C11" s="3149" t="s">
        <v>3333</v>
      </c>
      <c r="D11" s="2766"/>
      <c r="E11" s="2748"/>
      <c r="F11" s="2748"/>
      <c r="G11" s="2748"/>
      <c r="H11" s="2748"/>
      <c r="I11" s="2748"/>
      <c r="J11" s="2748"/>
      <c r="K11" s="2842"/>
      <c r="L11" s="2838"/>
      <c r="M11" s="2838"/>
      <c r="N11" s="2401"/>
      <c r="O11" s="2647"/>
      <c r="P11" s="2401"/>
      <c r="Q11" s="2401"/>
      <c r="R11" s="2401"/>
    </row>
    <row r="12" spans="1:19" ht="18" customHeight="1">
      <c r="A12" s="2767" t="s">
        <v>345</v>
      </c>
      <c r="B12" s="2039" t="s">
        <v>3337</v>
      </c>
      <c r="C12" s="2555" t="s">
        <v>346</v>
      </c>
      <c r="D12" s="2768" t="s">
        <v>347</v>
      </c>
      <c r="E12" s="2768" t="s">
        <v>348</v>
      </c>
      <c r="F12" s="2768" t="s">
        <v>349</v>
      </c>
      <c r="G12" s="2768" t="s">
        <v>350</v>
      </c>
      <c r="H12" s="2768" t="s">
        <v>351</v>
      </c>
      <c r="I12" s="2768" t="s">
        <v>352</v>
      </c>
      <c r="J12" s="2748"/>
      <c r="K12" s="2842"/>
      <c r="L12" s="2838"/>
      <c r="M12" s="2838"/>
      <c r="N12" s="2401"/>
      <c r="O12" s="2647"/>
      <c r="P12" s="2401"/>
      <c r="Q12" s="2401"/>
      <c r="R12" s="2401"/>
    </row>
    <row r="13" spans="1:19" ht="18" customHeight="1">
      <c r="A13" s="2769"/>
      <c r="B13" s="2770"/>
      <c r="C13" s="2771" t="s">
        <v>353</v>
      </c>
      <c r="D13" s="2772"/>
      <c r="E13" s="2772">
        <v>55784</v>
      </c>
      <c r="F13" s="2772"/>
      <c r="G13" s="2772"/>
      <c r="H13" s="2772"/>
      <c r="I13" s="2843"/>
      <c r="J13" s="2748"/>
      <c r="K13" s="2842"/>
      <c r="L13" s="2838"/>
      <c r="M13" s="2838"/>
      <c r="N13" s="2401"/>
      <c r="O13" s="2647"/>
      <c r="P13" s="2401"/>
      <c r="Q13" s="2401"/>
      <c r="R13" s="2401"/>
    </row>
    <row r="14" spans="1:19" ht="18" customHeight="1">
      <c r="A14" s="2769"/>
      <c r="B14" s="2770"/>
      <c r="C14" s="2771" t="s">
        <v>354</v>
      </c>
      <c r="D14" s="2773"/>
      <c r="E14" s="2773">
        <v>40</v>
      </c>
      <c r="F14" s="2773"/>
      <c r="G14" s="2773"/>
      <c r="H14" s="2773"/>
      <c r="I14" s="2773"/>
      <c r="J14" s="2748"/>
      <c r="K14" s="2844"/>
      <c r="L14" s="2838"/>
      <c r="M14" s="2838"/>
      <c r="N14" s="2401"/>
      <c r="O14" s="2647"/>
      <c r="P14" s="2401"/>
      <c r="Q14" s="2401"/>
      <c r="R14" s="2401"/>
    </row>
    <row r="15" spans="1:19" ht="18" customHeight="1">
      <c r="A15" s="2760"/>
      <c r="B15" s="2774"/>
      <c r="C15" s="2771" t="s">
        <v>355</v>
      </c>
      <c r="D15" s="2775" t="str">
        <f>IF(B12="出让",IF(D13="","",ROUNDDOWN(MIN((D13-$D$3)/365,D14),2)),D14)</f>
        <v/>
      </c>
      <c r="E15" s="2775">
        <f>IF(B12="出让",IF(E13="","",ROUNDDOWN(MIN((E13-$D$3)/365,E14),2)),E14)</f>
        <v>34.03</v>
      </c>
      <c r="F15" s="2775" t="str">
        <f>IF(B12="出让",IF(F13="","",ROUNDDOWN(MIN((F13-$D$3)/365,F14),2)),F14)</f>
        <v/>
      </c>
      <c r="G15" s="2775" t="str">
        <f>IF(B12="出让",IF(G13="","",ROUNDDOWN(MIN((G13-$D$3)/365,G14),2)),G14)</f>
        <v/>
      </c>
      <c r="H15" s="2775" t="str">
        <f>IF(B12="出让",IF(H13="","",ROUNDDOWN(MIN((H13-$D$3)/365,H14),2)),H14)</f>
        <v/>
      </c>
      <c r="I15" s="2775" t="str">
        <f>IF(B12="出让",IF(I13="","",ROUNDDOWN(MIN((I13-$D$3)/365,I14),2)),I14)</f>
        <v/>
      </c>
      <c r="J15" s="2748"/>
      <c r="K15" s="2845"/>
      <c r="L15" s="2846"/>
      <c r="M15" s="2846"/>
      <c r="N15" s="2847"/>
      <c r="O15" s="2846"/>
      <c r="P15" s="2847"/>
      <c r="Q15" s="2401"/>
      <c r="R15" s="2401"/>
    </row>
    <row r="16" spans="1:19" ht="30.75" customHeight="1">
      <c r="A16" s="2762" t="s">
        <v>356</v>
      </c>
      <c r="B16" s="3230"/>
      <c r="C16" s="3231"/>
      <c r="D16" s="3232"/>
      <c r="E16" s="2776" t="s">
        <v>357</v>
      </c>
      <c r="F16" s="3233"/>
      <c r="G16" s="3234"/>
      <c r="H16" s="3234"/>
      <c r="I16" s="3235"/>
      <c r="J16" s="2401"/>
      <c r="K16" s="2845"/>
      <c r="L16" s="2846"/>
      <c r="M16" s="2846"/>
      <c r="N16" s="2847"/>
      <c r="O16" s="2846"/>
      <c r="P16" s="2847"/>
      <c r="Q16" s="2401"/>
      <c r="R16" s="2401"/>
    </row>
    <row r="17" spans="1:22" ht="18" customHeight="1">
      <c r="A17" s="2777" t="s">
        <v>358</v>
      </c>
      <c r="B17" s="2737" t="s">
        <v>108</v>
      </c>
      <c r="C17" s="2778">
        <f>'数据-汇总表'!E3</f>
        <v>98873.18</v>
      </c>
      <c r="D17" s="2779" t="s">
        <v>359</v>
      </c>
      <c r="E17" s="3236"/>
      <c r="F17" s="3237"/>
      <c r="G17" s="3237"/>
      <c r="H17" s="3237"/>
      <c r="I17" s="3238"/>
      <c r="J17" s="2401"/>
      <c r="K17" s="2848"/>
      <c r="L17" s="2846"/>
      <c r="M17" s="2846"/>
      <c r="N17" s="2847"/>
      <c r="O17" s="2846"/>
      <c r="P17" s="2847"/>
      <c r="Q17" s="2401"/>
      <c r="R17" s="2401"/>
      <c r="S17" s="2401"/>
      <c r="T17" s="2401"/>
      <c r="U17" s="2401"/>
      <c r="V17" s="2401"/>
    </row>
    <row r="18" spans="1:22" ht="36" customHeight="1">
      <c r="A18" s="2780" t="s">
        <v>360</v>
      </c>
      <c r="B18" s="2740" t="s">
        <v>361</v>
      </c>
      <c r="C18" s="2781">
        <f>'数据-汇总表'!D3</f>
        <v>45839.15</v>
      </c>
      <c r="D18" s="2782" t="s">
        <v>359</v>
      </c>
      <c r="E18" s="3239"/>
      <c r="F18" s="3240"/>
      <c r="G18" s="3240"/>
      <c r="H18" s="3240"/>
      <c r="I18" s="3241"/>
      <c r="J18" s="2401"/>
      <c r="K18" s="2848"/>
      <c r="L18" s="2846"/>
      <c r="M18" s="2846"/>
      <c r="N18" s="2847"/>
      <c r="O18" s="2846"/>
      <c r="P18" s="2847"/>
      <c r="Q18" s="2401"/>
      <c r="R18" s="2401"/>
      <c r="S18" s="2401"/>
      <c r="T18" s="2401"/>
      <c r="U18" s="2401"/>
      <c r="V18" s="2401"/>
    </row>
    <row r="19" spans="1:22" ht="37.5" customHeight="1">
      <c r="A19" s="1734" t="s">
        <v>362</v>
      </c>
      <c r="B19" s="1676" t="s">
        <v>363</v>
      </c>
      <c r="C19" s="2783"/>
      <c r="D19" s="2784" t="s">
        <v>364</v>
      </c>
      <c r="E19" s="2785"/>
      <c r="F19" s="2786" t="str">
        <f>IF(AND(C19="是",E19="否"),"是否提供他项权证或相关说明","")</f>
        <v/>
      </c>
      <c r="G19" s="2787"/>
      <c r="H19" s="2748"/>
      <c r="I19" s="2748"/>
      <c r="J19" s="2748"/>
      <c r="K19" s="2842"/>
      <c r="L19" s="2838"/>
      <c r="M19" s="2838"/>
      <c r="N19" s="2847"/>
      <c r="O19" s="2846"/>
      <c r="P19" s="2847"/>
      <c r="Q19" s="2401"/>
      <c r="R19" s="2401"/>
      <c r="S19" s="2401"/>
      <c r="T19" s="2401"/>
      <c r="U19" s="2401"/>
      <c r="V19" s="2401"/>
    </row>
    <row r="20" spans="1:22" ht="18" customHeight="1">
      <c r="A20" s="2788" t="s">
        <v>365</v>
      </c>
      <c r="B20" s="3246" t="s">
        <v>366</v>
      </c>
      <c r="C20" s="3247"/>
      <c r="D20" s="3248" t="s">
        <v>367</v>
      </c>
      <c r="E20" s="3249"/>
      <c r="F20" s="2789" t="s">
        <v>368</v>
      </c>
      <c r="G20" s="2748"/>
      <c r="H20" s="2748"/>
      <c r="I20" s="2748"/>
      <c r="J20" s="2748"/>
      <c r="K20" s="3244" t="s">
        <v>369</v>
      </c>
      <c r="L20" s="181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838"/>
      <c r="N20" s="2847"/>
      <c r="O20" s="2846"/>
      <c r="P20" s="2847"/>
      <c r="Q20" s="2401"/>
      <c r="R20" s="2401"/>
      <c r="S20" s="2401"/>
      <c r="T20" s="2401"/>
      <c r="U20" s="2401"/>
      <c r="V20" s="2401"/>
    </row>
    <row r="21" spans="1:22" ht="24.75" customHeight="1">
      <c r="A21" s="2788"/>
      <c r="B21" s="2790" t="s">
        <v>370</v>
      </c>
      <c r="C21" s="2791" t="s">
        <v>371</v>
      </c>
      <c r="D21" s="2792" t="s">
        <v>372</v>
      </c>
      <c r="E21" s="2793" t="s">
        <v>371</v>
      </c>
      <c r="F21" s="2794"/>
      <c r="G21" s="2748"/>
      <c r="H21" s="2748"/>
      <c r="I21" s="2748"/>
      <c r="J21" s="2748"/>
      <c r="K21" s="3244"/>
      <c r="L21" s="181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838"/>
      <c r="N21" s="2847"/>
      <c r="O21" s="2846"/>
      <c r="P21" s="2847"/>
      <c r="Q21" s="2401"/>
      <c r="R21" s="2401"/>
      <c r="S21" s="2401"/>
      <c r="T21" s="2401"/>
      <c r="U21" s="2401"/>
      <c r="V21" s="2401"/>
    </row>
    <row r="22" spans="1:22" ht="24.75" customHeight="1">
      <c r="A22" s="2788"/>
      <c r="B22" s="2795" t="s">
        <v>373</v>
      </c>
      <c r="C22" s="2791" t="s">
        <v>374</v>
      </c>
      <c r="D22" s="2733"/>
      <c r="E22" s="2733"/>
      <c r="F22" s="2796"/>
      <c r="G22" s="2748"/>
      <c r="H22" s="2748"/>
      <c r="I22" s="2748"/>
      <c r="J22" s="2748"/>
      <c r="K22" s="3244"/>
      <c r="L22" s="181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838"/>
      <c r="N22" s="2847"/>
      <c r="O22" s="2846"/>
      <c r="P22" s="2847"/>
      <c r="Q22" s="2401"/>
      <c r="R22" s="2401"/>
      <c r="S22" s="2401"/>
      <c r="T22" s="2401"/>
      <c r="U22" s="2401"/>
      <c r="V22" s="2401"/>
    </row>
    <row r="23" spans="1:22" ht="18" customHeight="1">
      <c r="A23" s="2797" t="s">
        <v>375</v>
      </c>
      <c r="B23" s="2150" t="s">
        <v>376</v>
      </c>
      <c r="C23" s="2798"/>
      <c r="D23" s="2799" t="s">
        <v>376</v>
      </c>
      <c r="E23" s="2800"/>
      <c r="F23" s="2796"/>
      <c r="G23" s="2748"/>
      <c r="H23" s="2748"/>
      <c r="I23" s="2748"/>
      <c r="J23" s="2748"/>
      <c r="K23" s="2658"/>
      <c r="L23" s="1814"/>
      <c r="M23" s="2838"/>
      <c r="N23" s="2847"/>
      <c r="O23" s="2846"/>
      <c r="P23" s="2847"/>
      <c r="Q23" s="2401"/>
      <c r="R23" s="2401"/>
      <c r="S23" s="2401"/>
      <c r="T23" s="2401"/>
      <c r="U23" s="2401"/>
      <c r="V23" s="2401"/>
    </row>
    <row r="24" spans="1:22" ht="18" customHeight="1">
      <c r="A24" s="2801"/>
      <c r="B24" s="2150" t="s">
        <v>377</v>
      </c>
      <c r="C24" s="2802"/>
      <c r="D24" s="2797" t="s">
        <v>377</v>
      </c>
      <c r="E24" s="2803"/>
      <c r="F24" s="2796"/>
      <c r="G24" s="2748"/>
      <c r="H24" s="2748"/>
      <c r="I24" s="2748"/>
      <c r="J24" s="2748"/>
      <c r="K24" s="2658"/>
      <c r="L24" s="1814"/>
      <c r="M24" s="2838"/>
      <c r="N24" s="2847"/>
      <c r="O24" s="2846"/>
      <c r="P24" s="2847"/>
      <c r="Q24" s="2401"/>
      <c r="R24" s="2401"/>
      <c r="S24" s="2401"/>
      <c r="T24" s="2401"/>
      <c r="U24" s="2401"/>
      <c r="V24" s="2401"/>
    </row>
    <row r="25" spans="1:22" ht="18" customHeight="1">
      <c r="A25" s="2801"/>
      <c r="B25" s="2150" t="s">
        <v>378</v>
      </c>
      <c r="C25" s="2802"/>
      <c r="D25" s="2797" t="s">
        <v>378</v>
      </c>
      <c r="E25" s="2803"/>
      <c r="F25" s="2796"/>
      <c r="G25" s="2748"/>
      <c r="H25" s="2748"/>
      <c r="I25" s="2748"/>
      <c r="J25" s="2748"/>
      <c r="K25" s="2842"/>
      <c r="L25" s="2838"/>
      <c r="M25" s="2838"/>
      <c r="N25" s="2847"/>
      <c r="O25" s="2846"/>
      <c r="P25" s="2847"/>
      <c r="Q25" s="2401"/>
      <c r="R25" s="2401"/>
      <c r="S25" s="2401"/>
      <c r="T25" s="2401"/>
      <c r="U25" s="2401"/>
      <c r="V25" s="2401"/>
    </row>
    <row r="26" spans="1:22" ht="18" customHeight="1">
      <c r="A26" s="2804"/>
      <c r="B26" s="2805" t="s">
        <v>379</v>
      </c>
      <c r="C26" s="2806"/>
      <c r="D26" s="2807" t="s">
        <v>379</v>
      </c>
      <c r="E26" s="2808"/>
      <c r="F26" s="2809"/>
      <c r="G26" s="2759"/>
      <c r="H26" s="2759"/>
      <c r="I26" s="2759"/>
      <c r="J26" s="2748"/>
      <c r="K26" s="2842"/>
      <c r="L26" s="2838"/>
      <c r="M26" s="2838"/>
      <c r="N26" s="2847"/>
      <c r="O26" s="2846"/>
      <c r="P26" s="2847"/>
      <c r="Q26" s="2401"/>
      <c r="R26" s="2401"/>
      <c r="S26" s="2401"/>
      <c r="T26" s="2401"/>
      <c r="U26" s="2401"/>
      <c r="V26" s="2401"/>
    </row>
    <row r="27" spans="1:22" ht="18" customHeight="1">
      <c r="A27" s="3223" t="s">
        <v>380</v>
      </c>
      <c r="B27" s="2760" t="s">
        <v>381</v>
      </c>
      <c r="C27" s="2810"/>
      <c r="D27" s="2811"/>
      <c r="E27" s="2748"/>
      <c r="F27" s="2748"/>
      <c r="G27" s="2748"/>
      <c r="H27" s="2748"/>
      <c r="I27" s="2748"/>
      <c r="J27" s="2401"/>
      <c r="K27" s="2845"/>
      <c r="L27" s="2846"/>
      <c r="M27" s="2846"/>
      <c r="N27" s="2847"/>
      <c r="O27" s="2846"/>
      <c r="P27" s="2847"/>
      <c r="Q27" s="2401"/>
      <c r="R27" s="2401"/>
      <c r="S27" s="2401"/>
      <c r="T27" s="2401"/>
      <c r="U27" s="2401"/>
      <c r="V27" s="2401"/>
    </row>
    <row r="28" spans="1:22" ht="18" customHeight="1">
      <c r="A28" s="3223"/>
      <c r="B28" s="2737" t="s">
        <v>382</v>
      </c>
      <c r="C28" s="2812"/>
      <c r="D28" s="2813"/>
      <c r="E28" s="2748"/>
      <c r="F28" s="2748"/>
      <c r="G28" s="2748"/>
      <c r="H28" s="2748"/>
      <c r="I28" s="2748"/>
      <c r="J28" s="2401"/>
      <c r="K28" s="2849"/>
      <c r="L28" s="2838"/>
      <c r="M28" s="2838"/>
      <c r="N28" s="2401"/>
      <c r="O28" s="2647"/>
      <c r="P28" s="2401"/>
      <c r="Q28" s="2401"/>
      <c r="R28" s="2401"/>
      <c r="S28" s="2401"/>
      <c r="T28" s="2401"/>
      <c r="U28" s="2401"/>
      <c r="V28" s="2401"/>
    </row>
    <row r="29" spans="1:22" ht="18" customHeight="1">
      <c r="A29" s="3223"/>
      <c r="B29" s="2737" t="s">
        <v>383</v>
      </c>
      <c r="C29" s="2814"/>
      <c r="D29" s="2815"/>
      <c r="E29" s="2748"/>
      <c r="F29" s="2748"/>
      <c r="G29" s="2748"/>
      <c r="H29" s="2748"/>
      <c r="I29" s="2748"/>
      <c r="J29" s="2401"/>
      <c r="K29" s="2849"/>
      <c r="L29" s="2838"/>
      <c r="M29" s="2838"/>
      <c r="N29" s="2401"/>
      <c r="O29" s="2647"/>
      <c r="P29" s="2401"/>
      <c r="Q29" s="2401"/>
      <c r="R29" s="2401"/>
      <c r="S29" s="2401"/>
      <c r="T29" s="2401"/>
      <c r="U29" s="2401"/>
      <c r="V29" s="2401"/>
    </row>
    <row r="30" spans="1:22" ht="18" customHeight="1">
      <c r="A30" s="3224"/>
      <c r="B30" s="2737" t="s">
        <v>384</v>
      </c>
      <c r="C30" s="3250"/>
      <c r="D30" s="3251"/>
      <c r="E30" s="2748"/>
      <c r="F30" s="2748"/>
      <c r="G30" s="2748"/>
      <c r="H30" s="2748"/>
      <c r="I30" s="2748"/>
      <c r="J30" s="2401"/>
      <c r="K30" s="2849"/>
      <c r="L30" s="2838"/>
      <c r="M30" s="2838"/>
      <c r="N30" s="2401"/>
      <c r="O30" s="2647"/>
      <c r="P30" s="2401"/>
      <c r="Q30" s="2401"/>
      <c r="R30" s="2401"/>
      <c r="S30" s="2401"/>
      <c r="T30" s="2401"/>
      <c r="U30" s="2401"/>
      <c r="V30" s="2401"/>
    </row>
    <row r="31" spans="1:22" ht="18" customHeight="1">
      <c r="A31" s="3225" t="s">
        <v>385</v>
      </c>
      <c r="B31" s="2816"/>
      <c r="C31" s="2817" t="str">
        <f>IF(B31="现房","成新及维护状况正常否",IF(B31="在建","工程状态是否正常",IF(B31="土地","是否闲置","-")))</f>
        <v>-</v>
      </c>
      <c r="D31" s="2818"/>
      <c r="E31" s="2819"/>
      <c r="F31" s="2748"/>
      <c r="G31" s="2748"/>
      <c r="H31" s="2748"/>
      <c r="I31" s="2748"/>
      <c r="J31" s="2748"/>
      <c r="K31" s="2841"/>
      <c r="L31" s="2838"/>
      <c r="M31" s="2838"/>
      <c r="N31" s="2401"/>
      <c r="O31" s="2647"/>
      <c r="P31" s="2401"/>
      <c r="Q31" s="2401"/>
      <c r="R31" s="2401"/>
      <c r="S31" s="2401"/>
      <c r="T31" s="2401"/>
      <c r="U31" s="2401"/>
      <c r="V31" s="2401"/>
    </row>
    <row r="32" spans="1:22" ht="18" customHeight="1">
      <c r="A32" s="3226"/>
      <c r="B32" s="2816"/>
      <c r="C32" s="2817" t="str">
        <f>IF(B32="现房","成新及维护状况是否正常",IF(B32="在建","工程状态是否正常",IF(B32="土地","是否闲置","-")))</f>
        <v>-</v>
      </c>
      <c r="D32" s="2818"/>
      <c r="E32" s="2819"/>
      <c r="F32" s="2748"/>
      <c r="G32" s="2748"/>
      <c r="H32" s="2748"/>
      <c r="I32" s="2748"/>
      <c r="J32" s="2748"/>
      <c r="K32" s="2842"/>
      <c r="L32" s="2838"/>
      <c r="M32" s="2838"/>
      <c r="N32" s="2401"/>
      <c r="O32" s="2647"/>
      <c r="P32" s="2401"/>
      <c r="Q32" s="2401"/>
      <c r="R32" s="2401"/>
      <c r="S32" s="2401"/>
      <c r="T32" s="2401"/>
      <c r="U32" s="2401"/>
      <c r="V32" s="2401"/>
    </row>
    <row r="33" spans="1:22" ht="18" customHeight="1">
      <c r="A33" s="3226"/>
      <c r="B33" s="2820"/>
      <c r="C33" s="2765" t="str">
        <f>IF(B33="现房","成新及维护状况是否正常",IF(B33="在建","工程状态是否正常",IF(B33="土地","是否闲置","-")))</f>
        <v>-</v>
      </c>
      <c r="D33" s="2821"/>
      <c r="E33" s="2822"/>
      <c r="F33" s="2748"/>
      <c r="G33" s="2748"/>
      <c r="H33" s="2748"/>
      <c r="I33" s="2748"/>
      <c r="J33" s="2748"/>
      <c r="K33" s="2842"/>
      <c r="L33" s="2838"/>
      <c r="M33" s="2838"/>
      <c r="N33" s="2401"/>
      <c r="O33" s="2647"/>
      <c r="P33" s="2401"/>
      <c r="Q33" s="2401"/>
      <c r="R33" s="2401"/>
      <c r="S33" s="2401"/>
      <c r="T33" s="2401"/>
      <c r="U33" s="2401"/>
      <c r="V33" s="2401"/>
    </row>
    <row r="34" spans="1:22" ht="18" customHeight="1">
      <c r="A34" s="2737" t="s">
        <v>386</v>
      </c>
      <c r="B34" s="2823"/>
      <c r="C34" s="2823"/>
      <c r="D34" s="2823"/>
      <c r="E34" s="2823"/>
      <c r="F34" s="2823"/>
      <c r="G34" s="2823"/>
      <c r="H34" s="2823"/>
      <c r="I34" s="2748"/>
      <c r="J34" s="2748"/>
      <c r="K34" s="1074">
        <f>COUNTIF(B34:H34,"——")</f>
        <v>0</v>
      </c>
      <c r="L34" s="2555" t="s">
        <v>387</v>
      </c>
      <c r="M34" s="2555" t="s">
        <v>388</v>
      </c>
      <c r="N34" s="2555" t="s">
        <v>389</v>
      </c>
      <c r="O34" s="2555" t="s">
        <v>390</v>
      </c>
      <c r="P34" s="2555" t="s">
        <v>391</v>
      </c>
      <c r="Q34" s="2555" t="s">
        <v>392</v>
      </c>
      <c r="R34" s="2555" t="s">
        <v>393</v>
      </c>
      <c r="S34" s="3245" t="s">
        <v>394</v>
      </c>
      <c r="T34" s="2856" t="str">
        <f>NUMBERSTRING(7-K34,1)&amp;"通"</f>
        <v>七通</v>
      </c>
      <c r="U34" s="2401"/>
      <c r="V34" s="2401"/>
    </row>
    <row r="35" spans="1:22" ht="18" customHeight="1">
      <c r="A35" s="2824"/>
      <c r="B35" s="3252" t="s">
        <v>395</v>
      </c>
      <c r="C35" s="3252"/>
      <c r="D35" s="3252"/>
      <c r="E35" s="3252"/>
      <c r="F35" s="2825" t="str">
        <f>C10</f>
        <v>贵州省贵阳市</v>
      </c>
      <c r="G35" s="2748"/>
      <c r="H35" s="2748"/>
      <c r="I35" s="2748"/>
      <c r="J35" s="2748"/>
      <c r="K35" s="2555"/>
      <c r="L35" s="2555">
        <f>B34</f>
        <v>0</v>
      </c>
      <c r="M35" s="2572" t="str">
        <f>B34&amp;"、"&amp;C34</f>
        <v>、</v>
      </c>
      <c r="N35" s="2572" t="str">
        <f>B34&amp;"、"&amp;C34&amp;"、"&amp;D34</f>
        <v>、、</v>
      </c>
      <c r="O35" s="2572" t="str">
        <f>B34&amp;"、"&amp;C34&amp;"、"&amp;D34&amp;"、"&amp;E34</f>
        <v>、、、</v>
      </c>
      <c r="P35" s="2572" t="str">
        <f>B34&amp;"、"&amp;C34&amp;"、"&amp;D34&amp;"、"&amp;E34&amp;"、"&amp;F34</f>
        <v>、、、、</v>
      </c>
      <c r="Q35" s="2572" t="str">
        <f>B34&amp;"、"&amp;C34&amp;"、"&amp;D34&amp;"、"&amp;E34&amp;"、"&amp;F34&amp;"、"&amp;G34</f>
        <v>、、、、、</v>
      </c>
      <c r="R35" s="2572" t="str">
        <f>B34&amp;"、"&amp;C34&amp;"、"&amp;D34&amp;"、"&amp;E34&amp;"、"&amp;F34&amp;"、"&amp;G34&amp;"、"&amp;H34</f>
        <v>、、、、、、</v>
      </c>
      <c r="S35" s="3245"/>
      <c r="T35" s="2572" t="str">
        <f>IF(T34="一通",L35,IF(T34="二通",M35,IF(T34="三通",N35,IF(T34="四通",O35,IF(T34="五通",P35,IF(T34="六通",Q35,R35))))))</f>
        <v>、、、、、、</v>
      </c>
      <c r="U35" s="2401"/>
      <c r="V35" s="2401"/>
    </row>
    <row r="36" spans="1:22" ht="18" customHeight="1">
      <c r="A36" s="2826"/>
      <c r="B36" s="2825" t="s">
        <v>396</v>
      </c>
      <c r="C36" s="2825" t="s">
        <v>397</v>
      </c>
      <c r="D36" s="2825" t="s">
        <v>398</v>
      </c>
      <c r="E36" s="2825" t="s">
        <v>399</v>
      </c>
      <c r="F36" s="2827"/>
      <c r="G36" s="2748"/>
      <c r="H36" s="2748"/>
      <c r="I36" s="2748"/>
      <c r="J36" s="2748"/>
      <c r="K36" s="2842"/>
      <c r="L36" s="2838"/>
      <c r="M36" s="2838"/>
      <c r="N36" s="2401"/>
      <c r="O36" s="2647"/>
      <c r="P36" s="2401"/>
      <c r="Q36" s="2401"/>
      <c r="R36" s="2401"/>
      <c r="S36" s="2401"/>
      <c r="T36" s="2401"/>
      <c r="U36" s="2401"/>
      <c r="V36" s="2401"/>
    </row>
    <row r="37" spans="1:22" ht="18" customHeight="1">
      <c r="A37" s="2828" t="s">
        <v>400</v>
      </c>
      <c r="B37" s="2829"/>
      <c r="C37" s="2829"/>
      <c r="D37" s="2829"/>
      <c r="E37" s="2829"/>
      <c r="F37" s="2827"/>
      <c r="G37" s="2748"/>
      <c r="H37" s="2748"/>
      <c r="I37" s="2748"/>
      <c r="J37" s="2748"/>
      <c r="K37" s="2842"/>
      <c r="L37" s="2838"/>
      <c r="M37" s="2838"/>
      <c r="N37" s="2401"/>
      <c r="O37" s="2647"/>
      <c r="P37" s="2401"/>
      <c r="Q37" s="2401"/>
      <c r="R37" s="2401"/>
      <c r="S37" s="2401"/>
      <c r="T37" s="2401"/>
      <c r="U37" s="2401"/>
      <c r="V37" s="2401"/>
    </row>
    <row r="38" spans="1:22" ht="18" customHeight="1">
      <c r="A38" s="2830" t="s">
        <v>401</v>
      </c>
      <c r="B38" s="2831"/>
      <c r="C38" s="2831"/>
      <c r="D38" s="2831"/>
      <c r="E38" s="2831"/>
      <c r="F38" s="2832"/>
      <c r="G38" s="2759"/>
      <c r="H38" s="2759"/>
      <c r="I38" s="2759"/>
      <c r="J38" s="2748"/>
      <c r="K38" s="2842"/>
      <c r="L38" s="2838"/>
      <c r="M38" s="2838"/>
      <c r="N38" s="2401"/>
      <c r="O38" s="2647"/>
      <c r="P38" s="2401"/>
      <c r="Q38" s="2401"/>
      <c r="R38" s="2401"/>
      <c r="S38" s="2401"/>
      <c r="T38" s="2401"/>
      <c r="U38" s="2401"/>
      <c r="V38" s="2401"/>
    </row>
    <row r="39" spans="1:22" s="2729" customFormat="1" ht="18" customHeight="1">
      <c r="A39" s="2833" t="s">
        <v>402</v>
      </c>
      <c r="B39" s="2834"/>
      <c r="C39" s="2834"/>
      <c r="D39" s="2834"/>
      <c r="E39" s="2834"/>
      <c r="F39" s="2834"/>
      <c r="G39" s="2834"/>
      <c r="H39" s="2834"/>
      <c r="I39" s="2834"/>
      <c r="J39" s="2834"/>
      <c r="K39" s="2850"/>
      <c r="L39" s="2834"/>
      <c r="M39" s="2834"/>
      <c r="N39" s="2834"/>
      <c r="O39" s="2851"/>
      <c r="P39" s="2834"/>
      <c r="Q39" s="2834"/>
      <c r="R39" s="2834"/>
      <c r="S39" s="2834"/>
      <c r="T39" s="2834"/>
      <c r="U39" s="2834"/>
      <c r="V39" s="2834"/>
    </row>
    <row r="40" spans="1:22" ht="18" customHeight="1">
      <c r="A40" s="2401"/>
      <c r="B40" s="2401"/>
      <c r="C40" s="2401"/>
      <c r="D40" s="2401"/>
      <c r="E40" s="2401"/>
      <c r="F40" s="2401"/>
      <c r="G40" s="2401"/>
      <c r="H40" s="2401"/>
      <c r="I40" s="2852"/>
      <c r="J40" s="2847"/>
      <c r="K40" s="1341"/>
      <c r="L40" s="2846"/>
      <c r="M40" s="2846"/>
      <c r="N40" s="2847"/>
      <c r="O40" s="2846"/>
      <c r="P40" s="2401"/>
      <c r="Q40" s="2401"/>
      <c r="R40" s="2401"/>
      <c r="S40" s="2401"/>
      <c r="T40" s="2401"/>
      <c r="U40" s="2401"/>
      <c r="V40" s="2401"/>
    </row>
    <row r="41" spans="1:22" ht="18" customHeight="1">
      <c r="A41" s="1951" t="s">
        <v>403</v>
      </c>
      <c r="B41" s="2835"/>
      <c r="C41" s="2836"/>
      <c r="D41" s="2401"/>
      <c r="E41" s="2401"/>
      <c r="F41" s="2401"/>
      <c r="G41" s="2401"/>
      <c r="H41" s="2401"/>
      <c r="I41" s="2647"/>
      <c r="J41" s="2401"/>
      <c r="K41" s="2849"/>
      <c r="L41" s="2838"/>
      <c r="M41" s="2838"/>
      <c r="N41" s="2401"/>
      <c r="O41" s="2647"/>
      <c r="P41" s="2401"/>
      <c r="Q41" s="2401"/>
      <c r="R41" s="2401"/>
      <c r="S41" s="2401"/>
      <c r="T41" s="2401"/>
      <c r="U41" s="2401"/>
      <c r="V41" s="2401"/>
    </row>
    <row r="42" spans="1:22" ht="18" customHeight="1">
      <c r="A42" s="2555" t="s">
        <v>404</v>
      </c>
      <c r="B42" s="1074" t="s">
        <v>405</v>
      </c>
      <c r="C42" s="1074" t="s">
        <v>406</v>
      </c>
      <c r="D42" s="1074" t="s">
        <v>407</v>
      </c>
      <c r="E42" s="1074" t="s">
        <v>408</v>
      </c>
      <c r="F42" s="1074" t="s">
        <v>409</v>
      </c>
      <c r="G42" s="1074" t="s">
        <v>410</v>
      </c>
      <c r="H42" s="1074" t="s">
        <v>411</v>
      </c>
      <c r="I42" s="1074" t="s">
        <v>412</v>
      </c>
      <c r="J42" s="2853" t="s">
        <v>413</v>
      </c>
      <c r="K42" s="2768" t="s">
        <v>414</v>
      </c>
      <c r="L42" s="2768" t="s">
        <v>415</v>
      </c>
      <c r="M42" s="2768" t="s">
        <v>416</v>
      </c>
      <c r="N42" s="1074" t="s">
        <v>417</v>
      </c>
      <c r="O42" s="1074" t="s">
        <v>418</v>
      </c>
      <c r="P42" s="1074" t="s">
        <v>419</v>
      </c>
      <c r="Q42" s="2555" t="s">
        <v>420</v>
      </c>
      <c r="R42" s="2555" t="s">
        <v>421</v>
      </c>
      <c r="S42" s="2401"/>
      <c r="T42" s="2401"/>
      <c r="U42" s="2401"/>
      <c r="V42" s="2401"/>
    </row>
    <row r="43" spans="1:22" s="2558" customFormat="1" ht="18" customHeight="1">
      <c r="A43" s="2672"/>
      <c r="B43" s="2668"/>
      <c r="C43" s="2668"/>
      <c r="D43" s="2668"/>
      <c r="E43" s="2668"/>
      <c r="F43" s="2668"/>
      <c r="G43" s="2668"/>
      <c r="H43" s="2673"/>
      <c r="I43" s="2673"/>
      <c r="J43" s="2725"/>
      <c r="K43" s="2854"/>
      <c r="L43" s="2854"/>
      <c r="M43" s="2673"/>
      <c r="N43" s="2668"/>
      <c r="O43" s="2673"/>
      <c r="P43" s="2668"/>
      <c r="Q43" s="2668"/>
      <c r="R43" s="2668"/>
      <c r="S43" s="2857"/>
      <c r="T43" s="2857"/>
      <c r="U43" s="2857"/>
      <c r="V43" s="2857"/>
    </row>
    <row r="44" spans="1:22" s="2558" customFormat="1" ht="18" customHeight="1">
      <c r="A44" s="2672"/>
      <c r="B44" s="2672"/>
      <c r="C44" s="2668"/>
      <c r="D44" s="2668"/>
      <c r="E44" s="2668"/>
      <c r="F44" s="2668"/>
      <c r="G44" s="2668"/>
      <c r="H44" s="2673"/>
      <c r="I44" s="2673"/>
      <c r="J44" s="2725"/>
      <c r="K44" s="2854"/>
      <c r="L44" s="2854"/>
      <c r="M44" s="2673"/>
      <c r="N44" s="2668"/>
      <c r="O44" s="2673"/>
      <c r="P44" s="2668"/>
      <c r="Q44" s="2668"/>
      <c r="R44" s="2668"/>
      <c r="S44" s="2857"/>
      <c r="T44" s="2857"/>
      <c r="U44" s="2857"/>
      <c r="V44" s="2857"/>
    </row>
    <row r="45" spans="1:22" s="2558" customFormat="1" ht="18" customHeight="1">
      <c r="A45" s="2672"/>
      <c r="B45" s="2672"/>
      <c r="C45" s="2668"/>
      <c r="D45" s="2668"/>
      <c r="E45" s="2668"/>
      <c r="F45" s="2668"/>
      <c r="G45" s="2668"/>
      <c r="H45" s="2673"/>
      <c r="I45" s="2673"/>
      <c r="J45" s="2725"/>
      <c r="K45" s="2854"/>
      <c r="L45" s="2854"/>
      <c r="M45" s="2673"/>
      <c r="N45" s="2668"/>
      <c r="O45" s="2673"/>
      <c r="P45" s="2668"/>
      <c r="Q45" s="2668"/>
      <c r="R45" s="2668"/>
      <c r="S45" s="2857"/>
      <c r="T45" s="2857"/>
      <c r="U45" s="2857"/>
      <c r="V45" s="2857"/>
    </row>
    <row r="46" spans="1:22" s="2558" customFormat="1" ht="18" customHeight="1">
      <c r="A46" s="2672"/>
      <c r="B46" s="2672"/>
      <c r="C46" s="2668"/>
      <c r="D46" s="2668"/>
      <c r="E46" s="2668"/>
      <c r="F46" s="2668"/>
      <c r="G46" s="2668"/>
      <c r="H46" s="2673"/>
      <c r="I46" s="2673"/>
      <c r="J46" s="2725"/>
      <c r="K46" s="2854"/>
      <c r="L46" s="2854"/>
      <c r="M46" s="2673"/>
      <c r="N46" s="2668"/>
      <c r="O46" s="2673"/>
      <c r="P46" s="2668"/>
      <c r="Q46" s="2668"/>
      <c r="R46" s="2668"/>
      <c r="S46" s="2857"/>
      <c r="T46" s="2857"/>
      <c r="U46" s="2857"/>
      <c r="V46" s="2857"/>
    </row>
    <row r="47" spans="1:22" s="2558" customFormat="1" ht="18" customHeight="1">
      <c r="A47" s="2672"/>
      <c r="B47" s="2672"/>
      <c r="C47" s="2668"/>
      <c r="D47" s="2668"/>
      <c r="E47" s="2668"/>
      <c r="F47" s="2668"/>
      <c r="G47" s="2668"/>
      <c r="H47" s="2673"/>
      <c r="I47" s="2673"/>
      <c r="J47" s="2725"/>
      <c r="K47" s="2854"/>
      <c r="L47" s="2854"/>
      <c r="M47" s="2673"/>
      <c r="N47" s="2668"/>
      <c r="O47" s="2673"/>
      <c r="P47" s="2668"/>
      <c r="Q47" s="2668"/>
      <c r="R47" s="2668"/>
      <c r="S47" s="2857"/>
      <c r="T47" s="2857"/>
      <c r="U47" s="2857"/>
      <c r="V47" s="2857"/>
    </row>
    <row r="48" spans="1:22" s="2558" customFormat="1" ht="18" customHeight="1">
      <c r="A48" s="2672"/>
      <c r="B48" s="2672"/>
      <c r="C48" s="2668"/>
      <c r="D48" s="2668"/>
      <c r="E48" s="2668"/>
      <c r="F48" s="2668"/>
      <c r="G48" s="2668"/>
      <c r="H48" s="2673"/>
      <c r="I48" s="2673"/>
      <c r="J48" s="2725"/>
      <c r="K48" s="2854"/>
      <c r="L48" s="2854"/>
      <c r="M48" s="2673"/>
      <c r="N48" s="2668"/>
      <c r="O48" s="2673"/>
      <c r="P48" s="2668"/>
      <c r="Q48" s="2668"/>
      <c r="R48" s="2668"/>
      <c r="S48" s="2857"/>
      <c r="T48" s="2857"/>
      <c r="U48" s="2857"/>
      <c r="V48" s="2857"/>
    </row>
    <row r="49" spans="1:22" s="2558" customFormat="1" ht="18" customHeight="1">
      <c r="A49" s="2672"/>
      <c r="B49" s="2672"/>
      <c r="C49" s="2668"/>
      <c r="D49" s="2668"/>
      <c r="E49" s="2668"/>
      <c r="F49" s="2668"/>
      <c r="G49" s="2668"/>
      <c r="H49" s="2673"/>
      <c r="I49" s="2673"/>
      <c r="J49" s="2725"/>
      <c r="K49" s="2854"/>
      <c r="L49" s="2854"/>
      <c r="M49" s="2673"/>
      <c r="N49" s="2668"/>
      <c r="O49" s="2673"/>
      <c r="P49" s="2668"/>
      <c r="Q49" s="2668"/>
      <c r="R49" s="2668"/>
      <c r="S49" s="2857"/>
      <c r="T49" s="2857"/>
      <c r="U49" s="2857"/>
      <c r="V49" s="2857"/>
    </row>
    <row r="50" spans="1:22" s="2558" customFormat="1" ht="18" customHeight="1">
      <c r="A50" s="2672"/>
      <c r="B50" s="2672"/>
      <c r="C50" s="2668"/>
      <c r="D50" s="2668"/>
      <c r="E50" s="2668"/>
      <c r="F50" s="2668"/>
      <c r="G50" s="2668"/>
      <c r="H50" s="2673"/>
      <c r="I50" s="2673"/>
      <c r="J50" s="2725"/>
      <c r="K50" s="2854"/>
      <c r="L50" s="2854"/>
      <c r="M50" s="2673"/>
      <c r="N50" s="2668"/>
      <c r="O50" s="2673"/>
      <c r="P50" s="2668"/>
      <c r="Q50" s="2668"/>
      <c r="R50" s="2668"/>
      <c r="S50" s="2857"/>
      <c r="T50" s="2857"/>
      <c r="U50" s="2857"/>
      <c r="V50" s="2857"/>
    </row>
    <row r="51" spans="1:22" s="2558" customFormat="1" ht="18" customHeight="1">
      <c r="A51" s="2672"/>
      <c r="B51" s="2672"/>
      <c r="C51" s="2668"/>
      <c r="D51" s="2668"/>
      <c r="E51" s="2668"/>
      <c r="F51" s="2668"/>
      <c r="G51" s="2668"/>
      <c r="H51" s="2673"/>
      <c r="I51" s="2673"/>
      <c r="J51" s="2725"/>
      <c r="K51" s="2854"/>
      <c r="L51" s="2854"/>
      <c r="M51" s="2673"/>
      <c r="N51" s="2668"/>
      <c r="O51" s="2673"/>
      <c r="P51" s="2668"/>
      <c r="Q51" s="2668"/>
      <c r="R51" s="2668"/>
    </row>
    <row r="52" spans="1:22" s="2558" customFormat="1" ht="18" customHeight="1">
      <c r="A52" s="2724"/>
      <c r="B52" s="2724"/>
      <c r="C52" s="2724"/>
      <c r="D52" s="2724"/>
      <c r="E52" s="2724"/>
      <c r="F52" s="2673"/>
      <c r="G52" s="2724"/>
      <c r="H52" s="2724"/>
      <c r="I52" s="2724"/>
      <c r="J52" s="2855"/>
      <c r="K52" s="2854"/>
      <c r="L52" s="2854"/>
      <c r="M52" s="2854"/>
      <c r="N52" s="2724"/>
      <c r="O52" s="2724"/>
      <c r="P52" s="2724"/>
      <c r="Q52" s="2724"/>
      <c r="R52" s="2724"/>
    </row>
    <row r="53" spans="1:22" s="2558" customFormat="1" ht="18" customHeight="1">
      <c r="A53" s="2724"/>
      <c r="B53" s="2724"/>
      <c r="C53" s="2724"/>
      <c r="D53" s="2724"/>
      <c r="E53" s="2724"/>
      <c r="F53" s="2673"/>
      <c r="G53" s="2724"/>
      <c r="H53" s="2724"/>
      <c r="I53" s="2724"/>
      <c r="J53" s="2855"/>
      <c r="K53" s="2854"/>
      <c r="L53" s="2854"/>
      <c r="M53" s="2854"/>
      <c r="N53" s="2724"/>
      <c r="O53" s="2724"/>
      <c r="P53" s="2724"/>
      <c r="Q53" s="2724"/>
      <c r="R53" s="2724"/>
    </row>
    <row r="54" spans="1:22" s="2558" customFormat="1" ht="18" customHeight="1">
      <c r="A54" s="2724"/>
      <c r="B54" s="2724"/>
      <c r="C54" s="2724"/>
      <c r="D54" s="2724"/>
      <c r="E54" s="2724"/>
      <c r="F54" s="2673"/>
      <c r="G54" s="2724"/>
      <c r="H54" s="2724"/>
      <c r="I54" s="2724"/>
      <c r="J54" s="2855"/>
      <c r="K54" s="2854"/>
      <c r="L54" s="2854"/>
      <c r="M54" s="2854"/>
      <c r="N54" s="2724"/>
      <c r="O54" s="2724"/>
      <c r="P54" s="2724"/>
      <c r="Q54" s="2724"/>
      <c r="R54" s="2724"/>
    </row>
    <row r="55" spans="1:22" s="2558" customFormat="1" ht="18" customHeight="1">
      <c r="A55" s="2724"/>
      <c r="B55" s="2724"/>
      <c r="C55" s="2724"/>
      <c r="D55" s="2724"/>
      <c r="E55" s="2724"/>
      <c r="F55" s="2673"/>
      <c r="G55" s="2724"/>
      <c r="H55" s="2724"/>
      <c r="I55" s="2724"/>
      <c r="J55" s="2855"/>
      <c r="K55" s="2854"/>
      <c r="L55" s="2854"/>
      <c r="M55" s="2854"/>
      <c r="N55" s="2724"/>
      <c r="O55" s="2724"/>
      <c r="P55" s="2724"/>
      <c r="Q55" s="2724"/>
      <c r="R55" s="2724"/>
    </row>
    <row r="56" spans="1:22" s="2558" customFormat="1" ht="18" customHeight="1">
      <c r="A56" s="2724"/>
      <c r="B56" s="2724"/>
      <c r="C56" s="2724"/>
      <c r="D56" s="2724"/>
      <c r="E56" s="2724"/>
      <c r="F56" s="2673"/>
      <c r="G56" s="2724"/>
      <c r="H56" s="2724"/>
      <c r="I56" s="2724"/>
      <c r="J56" s="2855"/>
      <c r="K56" s="2854"/>
      <c r="L56" s="2854"/>
      <c r="M56" s="2854"/>
      <c r="N56" s="2724"/>
      <c r="O56" s="2724"/>
      <c r="P56" s="2724"/>
      <c r="Q56" s="2724"/>
      <c r="R56" s="2724"/>
    </row>
  </sheetData>
  <sheetProtection password="C66D"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25" type="noConversion"/>
  <dataValidations count="23">
    <dataValidation type="list" allowBlank="1" showInputMessage="1" showErrorMessage="1" sqref="B4 D4 F4 H4">
      <formula1>注册房地产估价师</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B21 B22">
      <formula1>"《房屋所有权证》,《国有土地使用证》,《不动产权证书》,——"</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E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showInputMessage="1" showErrorMessage="1" sqref="B31:B33">
      <formula1>"现房,在建,土地,-"</formula1>
    </dataValidation>
  </dataValidations>
  <printOptions horizontalCentered="1"/>
  <pageMargins left="0.70833333333333304" right="0.70833333333333304" top="0.74791666666666701" bottom="0.74791666666666701" header="0.31458333333333299" footer="0.31458333333333299"/>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T593"/>
  <sheetViews>
    <sheetView view="pageBreakPreview" zoomScaleNormal="100" zoomScaleSheetLayoutView="100" workbookViewId="0">
      <pane xSplit="4" ySplit="12" topLeftCell="E13" activePane="bottomRight" state="frozen"/>
      <selection pane="topRight"/>
      <selection pane="bottomLeft"/>
      <selection pane="bottomRight" activeCell="K26" sqref="K26"/>
    </sheetView>
  </sheetViews>
  <sheetFormatPr defaultColWidth="8.875" defaultRowHeight="14.25"/>
  <cols>
    <col min="1" max="1" width="10.625" style="2645" customWidth="1"/>
    <col min="2" max="2" width="11" style="2645" customWidth="1"/>
    <col min="3" max="3" width="10.375" style="2645" customWidth="1"/>
    <col min="4" max="4" width="9.125" style="2645" customWidth="1"/>
    <col min="5" max="6" width="10" style="2643" customWidth="1"/>
    <col min="7" max="8" width="10" style="2645" customWidth="1"/>
    <col min="9" max="9" width="10.625" style="2645" customWidth="1"/>
    <col min="10" max="10" width="9.5" style="2645" customWidth="1"/>
    <col min="11" max="11" width="11" style="2645" customWidth="1"/>
    <col min="12" max="14" width="9.5" style="2645" customWidth="1"/>
    <col min="15" max="15" width="9.875" style="2645" customWidth="1"/>
    <col min="16" max="16" width="9.75" style="2645" customWidth="1"/>
    <col min="17" max="17" width="9.375" style="2645" customWidth="1"/>
    <col min="18" max="18" width="9.25" style="2645" customWidth="1"/>
    <col min="19" max="19" width="10.875" style="2645" customWidth="1"/>
    <col min="20" max="21" width="10.75" style="2645" customWidth="1"/>
    <col min="22" max="22" width="10.875" style="2645" customWidth="1"/>
    <col min="23" max="27" width="10.75" style="2645" customWidth="1"/>
    <col min="28" max="28" width="10.875" style="2645" customWidth="1"/>
    <col min="29" max="29" width="11" style="2645" customWidth="1"/>
    <col min="30" max="30" width="10" style="2645" customWidth="1"/>
    <col min="31" max="31" width="9.75" style="2645" customWidth="1"/>
    <col min="32" max="46" width="9.5" style="2645" customWidth="1"/>
    <col min="47" max="47" width="18.125" style="2645" customWidth="1"/>
    <col min="48" max="50" width="9.75" style="2645" customWidth="1"/>
    <col min="51" max="55" width="10.5" style="2645" customWidth="1"/>
    <col min="56" max="56" width="9.5" style="2645" customWidth="1"/>
    <col min="57" max="63" width="9.125" style="2645" customWidth="1"/>
    <col min="64" max="64" width="9.5" style="2645" customWidth="1"/>
    <col min="65" max="65" width="9.125" style="2645" customWidth="1"/>
    <col min="66" max="66" width="9.5" style="2645" customWidth="1"/>
    <col min="67" max="69" width="9.125" style="2645" customWidth="1"/>
    <col min="70" max="70" width="9.5" style="2645" customWidth="1"/>
    <col min="71" max="71" width="9" style="2645" customWidth="1"/>
    <col min="72" max="72" width="9.125" style="2645" customWidth="1"/>
    <col min="73" max="16384" width="8.875" style="2645"/>
  </cols>
  <sheetData>
    <row r="1" spans="1:72" ht="20.25">
      <c r="A1" s="2646" t="s">
        <v>422</v>
      </c>
      <c r="B1" s="2647"/>
      <c r="C1" s="2647"/>
      <c r="D1" s="2647"/>
      <c r="E1" s="2647"/>
      <c r="F1" s="2647"/>
      <c r="G1" s="2647"/>
      <c r="H1" s="2647"/>
      <c r="I1" s="2647"/>
      <c r="J1" s="2647"/>
      <c r="K1" s="2647"/>
      <c r="L1" s="2647"/>
      <c r="M1" s="2647"/>
      <c r="N1" s="2647"/>
      <c r="O1" s="2647"/>
      <c r="P1" s="2647"/>
      <c r="Q1" s="2647"/>
      <c r="R1" s="2647"/>
      <c r="S1" s="2647"/>
      <c r="T1" s="2647"/>
      <c r="U1" s="2647"/>
      <c r="V1" s="2647"/>
      <c r="W1" s="2647"/>
      <c r="X1" s="2647"/>
      <c r="Y1" s="2647"/>
      <c r="Z1" s="2647"/>
      <c r="AA1" s="2647"/>
      <c r="AB1" s="2647"/>
      <c r="AC1" s="2647"/>
      <c r="AD1" s="2647"/>
      <c r="AE1" s="2647"/>
      <c r="AF1" s="2647"/>
      <c r="AG1" s="2647"/>
      <c r="AH1" s="2647"/>
      <c r="AI1" s="2647"/>
      <c r="AJ1" s="2647"/>
      <c r="AK1" s="2647"/>
      <c r="AL1" s="2647"/>
      <c r="AM1" s="2647"/>
      <c r="AN1" s="2647"/>
      <c r="AO1" s="2647"/>
      <c r="AP1" s="2647"/>
      <c r="AQ1" s="2647"/>
      <c r="AR1" s="2647"/>
      <c r="AS1" s="2647"/>
      <c r="AT1" s="2647"/>
      <c r="AU1" s="2647"/>
      <c r="AV1" s="2697" t="s">
        <v>423</v>
      </c>
      <c r="AW1" s="2647"/>
      <c r="AX1" s="2647"/>
      <c r="AY1" s="2647"/>
      <c r="AZ1" s="2647"/>
      <c r="BA1" s="2647"/>
      <c r="BB1" s="2647"/>
      <c r="BC1" s="2647"/>
      <c r="BD1" s="2647"/>
      <c r="BE1" s="2647"/>
      <c r="BF1" s="2647"/>
      <c r="BG1" s="2647"/>
      <c r="BH1" s="2647"/>
      <c r="BI1" s="2647"/>
      <c r="BJ1" s="2647"/>
      <c r="BK1" s="2647"/>
      <c r="BL1" s="2647"/>
      <c r="BM1" s="2647"/>
      <c r="BN1" s="2647"/>
      <c r="BO1" s="2647"/>
      <c r="BP1" s="2647"/>
      <c r="BQ1" s="2647"/>
      <c r="BR1" s="2647"/>
      <c r="BS1" s="2647"/>
      <c r="BT1" s="2647"/>
    </row>
    <row r="2" spans="1:72" s="2640" customFormat="1" ht="24">
      <c r="A2" s="288" t="s">
        <v>424</v>
      </c>
      <c r="B2" s="288" t="s">
        <v>425</v>
      </c>
      <c r="C2" s="288" t="s">
        <v>426</v>
      </c>
      <c r="D2" s="2648"/>
      <c r="E2" s="2120"/>
      <c r="F2" s="2165"/>
      <c r="G2" s="2648"/>
      <c r="H2" s="2648"/>
      <c r="I2" s="2648"/>
      <c r="J2" s="2648"/>
      <c r="K2" s="2648"/>
      <c r="L2" s="2648"/>
      <c r="M2" s="2648"/>
      <c r="N2" s="2648"/>
      <c r="O2" s="2648"/>
      <c r="P2" s="2648"/>
      <c r="Q2" s="2648"/>
      <c r="R2" s="2648"/>
      <c r="S2" s="2648"/>
      <c r="T2" s="2648"/>
      <c r="U2" s="2648"/>
      <c r="V2" s="2648"/>
      <c r="W2" s="2648"/>
      <c r="X2" s="2648"/>
      <c r="Y2" s="2648"/>
      <c r="Z2" s="2648"/>
      <c r="AA2" s="2648"/>
      <c r="AB2" s="2648"/>
      <c r="AC2" s="2648"/>
      <c r="AD2" s="2648"/>
      <c r="AE2" s="2648"/>
      <c r="AF2" s="2648"/>
      <c r="AG2" s="2648"/>
      <c r="AH2" s="2648"/>
      <c r="AI2" s="2648"/>
      <c r="AJ2" s="2648"/>
      <c r="AK2" s="2648"/>
      <c r="AL2" s="2648"/>
      <c r="AM2" s="2648"/>
      <c r="AN2" s="2648"/>
      <c r="AO2" s="2648"/>
      <c r="AP2" s="2648"/>
      <c r="AQ2" s="2648"/>
      <c r="AR2" s="2648"/>
      <c r="AS2" s="2648"/>
      <c r="AT2" s="2648"/>
      <c r="AU2" s="2648"/>
      <c r="AV2" s="2648"/>
      <c r="AW2" s="2648"/>
      <c r="AX2" s="2648"/>
      <c r="AY2" s="2705" t="s">
        <v>427</v>
      </c>
      <c r="AZ2" s="2706" t="s">
        <v>428</v>
      </c>
      <c r="BA2" s="288" t="s">
        <v>429</v>
      </c>
      <c r="BB2" s="2648"/>
      <c r="BC2" s="2648"/>
      <c r="BD2" s="2648"/>
      <c r="BE2" s="2648"/>
      <c r="BF2" s="2648"/>
      <c r="BG2" s="2648"/>
      <c r="BH2" s="2648"/>
      <c r="BI2" s="2648"/>
      <c r="BJ2" s="2648"/>
      <c r="BK2" s="2648"/>
      <c r="BL2" s="2648"/>
      <c r="BM2" s="2648"/>
      <c r="BN2" s="2648"/>
      <c r="BO2" s="2648"/>
      <c r="BP2" s="2648"/>
      <c r="BQ2" s="2648"/>
      <c r="BR2" s="2648"/>
      <c r="BS2" s="2648"/>
      <c r="BT2" s="2648"/>
    </row>
    <row r="3" spans="1:72" s="2640" customFormat="1" ht="12.75">
      <c r="A3" s="3160">
        <f>ROUND('数据-汇总表'!F31/293393.91*136022,2)</f>
        <v>45839.15</v>
      </c>
      <c r="B3" s="2649">
        <f>IF(C3="否",G5-AT5,G5)</f>
        <v>98873.18</v>
      </c>
      <c r="C3" s="2650" t="s">
        <v>430</v>
      </c>
      <c r="D3" s="2648"/>
      <c r="E3" s="2648"/>
      <c r="F3" s="2648"/>
      <c r="G3" s="2648"/>
      <c r="H3" s="2648"/>
      <c r="I3" s="2648"/>
      <c r="J3" s="2648"/>
      <c r="K3" s="2648"/>
      <c r="L3" s="2648"/>
      <c r="M3" s="2648"/>
      <c r="N3" s="2648"/>
      <c r="O3" s="2648"/>
      <c r="P3" s="2648"/>
      <c r="Q3" s="2648"/>
      <c r="R3" s="2648"/>
      <c r="S3" s="2648"/>
      <c r="T3" s="2648"/>
      <c r="U3" s="2648"/>
      <c r="V3" s="2648"/>
      <c r="W3" s="2648"/>
      <c r="X3" s="2648"/>
      <c r="Y3" s="2648"/>
      <c r="Z3" s="2648"/>
      <c r="AA3" s="2648"/>
      <c r="AB3" s="2648"/>
      <c r="AC3" s="2648"/>
      <c r="AD3" s="2648"/>
      <c r="AE3" s="2648"/>
      <c r="AF3" s="2648"/>
      <c r="AG3" s="2648"/>
      <c r="AH3" s="2648"/>
      <c r="AI3" s="2648"/>
      <c r="AJ3" s="2648"/>
      <c r="AK3" s="2648"/>
      <c r="AL3" s="2648"/>
      <c r="AM3" s="2648"/>
      <c r="AN3" s="2648"/>
      <c r="AO3" s="2648"/>
      <c r="AP3" s="2648"/>
      <c r="AQ3" s="2648"/>
      <c r="AR3" s="2648"/>
      <c r="AS3" s="2648"/>
      <c r="AT3" s="2648"/>
      <c r="AU3" s="2648"/>
      <c r="AV3" s="2648"/>
      <c r="AW3" s="2648"/>
      <c r="AX3" s="2648"/>
      <c r="AY3" s="2707"/>
      <c r="AZ3" s="2668"/>
      <c r="BA3" s="2708"/>
      <c r="BB3" s="2648"/>
      <c r="BC3" s="2648"/>
      <c r="BD3" s="2648"/>
      <c r="BE3" s="2648"/>
      <c r="BF3" s="2648"/>
      <c r="BG3" s="2648"/>
      <c r="BH3" s="2648"/>
      <c r="BI3" s="2648"/>
      <c r="BJ3" s="2648"/>
      <c r="BK3" s="2648"/>
      <c r="BL3" s="2648"/>
      <c r="BM3" s="2648"/>
      <c r="BN3" s="2648"/>
      <c r="BO3" s="2648"/>
      <c r="BP3" s="2648"/>
      <c r="BQ3" s="2648"/>
      <c r="BR3" s="2648"/>
      <c r="BS3" s="2648"/>
      <c r="BT3" s="2648"/>
    </row>
    <row r="4" spans="1:72" s="2641" customFormat="1" ht="12.75">
      <c r="A4" s="2651"/>
      <c r="B4" s="2652"/>
      <c r="C4" s="2653"/>
      <c r="D4" s="2648"/>
      <c r="E4" s="2648"/>
      <c r="F4" s="2648"/>
      <c r="G4" s="2648"/>
      <c r="H4" s="2648"/>
      <c r="I4" s="2648"/>
      <c r="J4" s="2648"/>
      <c r="K4" s="2648"/>
      <c r="L4" s="2648"/>
      <c r="M4" s="2648"/>
      <c r="N4" s="2648"/>
      <c r="O4" s="2648"/>
      <c r="P4" s="2648"/>
      <c r="Q4" s="2648"/>
      <c r="R4" s="2648"/>
      <c r="S4" s="2648"/>
      <c r="T4" s="2648"/>
      <c r="U4" s="2648"/>
      <c r="V4" s="2648"/>
      <c r="W4" s="2648"/>
      <c r="X4" s="2648"/>
      <c r="Y4" s="2648"/>
      <c r="Z4" s="2648"/>
      <c r="AA4" s="2648"/>
      <c r="AB4" s="2648"/>
      <c r="AC4" s="2648"/>
      <c r="AD4" s="2648"/>
      <c r="AE4" s="2648"/>
      <c r="AF4" s="2648"/>
      <c r="AG4" s="2648"/>
      <c r="AH4" s="2648"/>
      <c r="AI4" s="2648"/>
      <c r="AJ4" s="2648"/>
      <c r="AK4" s="2648"/>
      <c r="AL4" s="2648"/>
      <c r="AM4" s="2648"/>
      <c r="AN4" s="2648"/>
      <c r="AO4" s="2648"/>
      <c r="AP4" s="2648"/>
      <c r="AQ4" s="2648"/>
      <c r="AR4" s="2648"/>
      <c r="AS4" s="2648"/>
      <c r="AT4" s="2648"/>
      <c r="AU4" s="2648"/>
      <c r="AV4" s="2648"/>
      <c r="AW4" s="2648"/>
      <c r="AX4" s="2648"/>
      <c r="AY4" s="2648"/>
      <c r="AZ4" s="2648"/>
      <c r="BA4" s="2709"/>
      <c r="BB4" s="2648"/>
      <c r="BC4" s="2648"/>
      <c r="BD4" s="2648"/>
      <c r="BE4" s="2648"/>
      <c r="BF4" s="2648"/>
      <c r="BG4" s="2648"/>
      <c r="BH4" s="2648"/>
      <c r="BI4" s="2648"/>
      <c r="BJ4" s="2648"/>
      <c r="BK4" s="2648"/>
      <c r="BL4" s="2648"/>
      <c r="BM4" s="2648"/>
      <c r="BN4" s="2648"/>
      <c r="BO4" s="2648"/>
      <c r="BP4" s="2648"/>
      <c r="BQ4" s="2648"/>
      <c r="BR4" s="2648"/>
      <c r="BS4" s="2648"/>
      <c r="BT4" s="2648"/>
    </row>
    <row r="5" spans="1:72" s="2640" customFormat="1" ht="12.75">
      <c r="A5" s="1821" t="s">
        <v>431</v>
      </c>
      <c r="B5" s="2045"/>
      <c r="C5" s="2045"/>
      <c r="D5" s="2157"/>
      <c r="E5" s="2654" t="s">
        <v>124</v>
      </c>
      <c r="F5" s="2654">
        <f>SUM(F13:F587)</f>
        <v>0</v>
      </c>
      <c r="G5" s="2654">
        <f>SUM(G13:G587)</f>
        <v>98873.18</v>
      </c>
      <c r="H5" s="2654">
        <f t="shared" ref="H5:AT5" si="0">SUM(H13:H656)</f>
        <v>98873.18</v>
      </c>
      <c r="I5" s="2654">
        <f t="shared" si="0"/>
        <v>98873.18</v>
      </c>
      <c r="J5" s="2654">
        <f t="shared" si="0"/>
        <v>0</v>
      </c>
      <c r="K5" s="2654">
        <f t="shared" si="0"/>
        <v>0</v>
      </c>
      <c r="L5" s="2654">
        <f t="shared" si="0"/>
        <v>0</v>
      </c>
      <c r="M5" s="2654">
        <f t="shared" si="0"/>
        <v>0</v>
      </c>
      <c r="N5" s="2654">
        <f t="shared" si="0"/>
        <v>0</v>
      </c>
      <c r="O5" s="2654">
        <f t="shared" si="0"/>
        <v>0</v>
      </c>
      <c r="P5" s="2654">
        <f t="shared" si="0"/>
        <v>0</v>
      </c>
      <c r="Q5" s="2654">
        <f t="shared" si="0"/>
        <v>0</v>
      </c>
      <c r="R5" s="2654">
        <f t="shared" si="0"/>
        <v>0</v>
      </c>
      <c r="S5" s="2654">
        <f t="shared" si="0"/>
        <v>0</v>
      </c>
      <c r="T5" s="2654">
        <f t="shared" si="0"/>
        <v>0</v>
      </c>
      <c r="U5" s="2654">
        <f t="shared" si="0"/>
        <v>0</v>
      </c>
      <c r="V5" s="2654">
        <f t="shared" si="0"/>
        <v>0</v>
      </c>
      <c r="W5" s="2654">
        <f t="shared" si="0"/>
        <v>0</v>
      </c>
      <c r="X5" s="2654">
        <f t="shared" si="0"/>
        <v>0</v>
      </c>
      <c r="Y5" s="2654">
        <f t="shared" si="0"/>
        <v>0</v>
      </c>
      <c r="Z5" s="2654">
        <f t="shared" si="0"/>
        <v>0</v>
      </c>
      <c r="AA5" s="2654">
        <f t="shared" si="0"/>
        <v>0</v>
      </c>
      <c r="AB5" s="2654">
        <f t="shared" si="0"/>
        <v>0</v>
      </c>
      <c r="AC5" s="2654">
        <f t="shared" si="0"/>
        <v>0</v>
      </c>
      <c r="AD5" s="2654">
        <f t="shared" si="0"/>
        <v>0</v>
      </c>
      <c r="AE5" s="2654">
        <f t="shared" si="0"/>
        <v>0</v>
      </c>
      <c r="AF5" s="2654">
        <f t="shared" si="0"/>
        <v>0</v>
      </c>
      <c r="AG5" s="2654">
        <f t="shared" si="0"/>
        <v>0</v>
      </c>
      <c r="AH5" s="2654">
        <f t="shared" si="0"/>
        <v>0</v>
      </c>
      <c r="AI5" s="2654">
        <f t="shared" si="0"/>
        <v>0</v>
      </c>
      <c r="AJ5" s="2654">
        <f t="shared" si="0"/>
        <v>0</v>
      </c>
      <c r="AK5" s="2654">
        <f t="shared" si="0"/>
        <v>0</v>
      </c>
      <c r="AL5" s="2654">
        <f t="shared" si="0"/>
        <v>0</v>
      </c>
      <c r="AM5" s="2654">
        <f t="shared" si="0"/>
        <v>0</v>
      </c>
      <c r="AN5" s="2654">
        <f t="shared" si="0"/>
        <v>0</v>
      </c>
      <c r="AO5" s="2654">
        <f t="shared" si="0"/>
        <v>0</v>
      </c>
      <c r="AP5" s="2654">
        <f t="shared" si="0"/>
        <v>0</v>
      </c>
      <c r="AQ5" s="2654">
        <f t="shared" si="0"/>
        <v>0</v>
      </c>
      <c r="AR5" s="2654">
        <f t="shared" si="0"/>
        <v>0</v>
      </c>
      <c r="AS5" s="2654">
        <f t="shared" si="0"/>
        <v>0</v>
      </c>
      <c r="AT5" s="2654">
        <f t="shared" si="0"/>
        <v>0</v>
      </c>
      <c r="AU5" s="2044"/>
      <c r="AV5" s="1821" t="s">
        <v>431</v>
      </c>
      <c r="AW5" s="2045"/>
      <c r="AX5" s="2045"/>
      <c r="AY5" s="2710" t="s">
        <v>124</v>
      </c>
      <c r="AZ5" s="2711">
        <f t="shared" ref="AZ5:BT5" si="1">SUM(AZ13:AZ656)</f>
        <v>98873.18</v>
      </c>
      <c r="BA5" s="2711">
        <f t="shared" si="1"/>
        <v>98873.18</v>
      </c>
      <c r="BB5" s="2711">
        <f t="shared" si="1"/>
        <v>98873.18</v>
      </c>
      <c r="BC5" s="2711">
        <f t="shared" si="1"/>
        <v>0</v>
      </c>
      <c r="BD5" s="2711">
        <f t="shared" si="1"/>
        <v>0</v>
      </c>
      <c r="BE5" s="2711">
        <f t="shared" si="1"/>
        <v>0</v>
      </c>
      <c r="BF5" s="2711">
        <f t="shared" si="1"/>
        <v>0</v>
      </c>
      <c r="BG5" s="2711">
        <f t="shared" si="1"/>
        <v>0</v>
      </c>
      <c r="BH5" s="2711">
        <f t="shared" si="1"/>
        <v>0</v>
      </c>
      <c r="BI5" s="2711">
        <f t="shared" si="1"/>
        <v>0</v>
      </c>
      <c r="BJ5" s="2711">
        <f t="shared" si="1"/>
        <v>0</v>
      </c>
      <c r="BK5" s="2711">
        <f t="shared" si="1"/>
        <v>0</v>
      </c>
      <c r="BL5" s="2711">
        <f t="shared" si="1"/>
        <v>0</v>
      </c>
      <c r="BM5" s="2711">
        <f t="shared" si="1"/>
        <v>0</v>
      </c>
      <c r="BN5" s="2711">
        <f t="shared" si="1"/>
        <v>0</v>
      </c>
      <c r="BO5" s="2711">
        <f t="shared" si="1"/>
        <v>0</v>
      </c>
      <c r="BP5" s="2711">
        <f t="shared" si="1"/>
        <v>0</v>
      </c>
      <c r="BQ5" s="2711">
        <f t="shared" si="1"/>
        <v>0</v>
      </c>
      <c r="BR5" s="2711">
        <f t="shared" si="1"/>
        <v>0</v>
      </c>
      <c r="BS5" s="2711">
        <f t="shared" si="1"/>
        <v>0</v>
      </c>
      <c r="BT5" s="2719">
        <f t="shared" si="1"/>
        <v>0</v>
      </c>
    </row>
    <row r="6" spans="1:72" s="2642" customFormat="1" ht="12.75">
      <c r="A6" s="1821" t="s">
        <v>432</v>
      </c>
      <c r="B6" s="2655"/>
      <c r="C6" s="2655"/>
      <c r="D6" s="2656"/>
      <c r="E6" s="2654">
        <f>H6+AC6+AT6</f>
        <v>45839.15</v>
      </c>
      <c r="F6" s="2654" t="s">
        <v>124</v>
      </c>
      <c r="G6" s="2654" t="s">
        <v>124</v>
      </c>
      <c r="H6" s="2657">
        <f>SUMIF(I$12:AB$12,"总值",I6:AB6)</f>
        <v>45839.15</v>
      </c>
      <c r="I6" s="2654">
        <f t="shared" ref="I6:AB6" si="2">ROUND($A$3*I5/$B$3,2)</f>
        <v>45839.15</v>
      </c>
      <c r="J6" s="2654">
        <f t="shared" si="2"/>
        <v>0</v>
      </c>
      <c r="K6" s="2654">
        <f t="shared" si="2"/>
        <v>0</v>
      </c>
      <c r="L6" s="2654">
        <f t="shared" si="2"/>
        <v>0</v>
      </c>
      <c r="M6" s="2654">
        <f t="shared" si="2"/>
        <v>0</v>
      </c>
      <c r="N6" s="2654">
        <f t="shared" si="2"/>
        <v>0</v>
      </c>
      <c r="O6" s="2654">
        <f t="shared" si="2"/>
        <v>0</v>
      </c>
      <c r="P6" s="2654">
        <f t="shared" si="2"/>
        <v>0</v>
      </c>
      <c r="Q6" s="2654">
        <f t="shared" si="2"/>
        <v>0</v>
      </c>
      <c r="R6" s="2654">
        <f t="shared" si="2"/>
        <v>0</v>
      </c>
      <c r="S6" s="2654">
        <f t="shared" si="2"/>
        <v>0</v>
      </c>
      <c r="T6" s="2654">
        <f t="shared" si="2"/>
        <v>0</v>
      </c>
      <c r="U6" s="2654">
        <f t="shared" si="2"/>
        <v>0</v>
      </c>
      <c r="V6" s="2654">
        <f t="shared" si="2"/>
        <v>0</v>
      </c>
      <c r="W6" s="2654">
        <f t="shared" si="2"/>
        <v>0</v>
      </c>
      <c r="X6" s="2654">
        <f t="shared" si="2"/>
        <v>0</v>
      </c>
      <c r="Y6" s="2654">
        <f t="shared" si="2"/>
        <v>0</v>
      </c>
      <c r="Z6" s="2654">
        <f t="shared" si="2"/>
        <v>0</v>
      </c>
      <c r="AA6" s="2654">
        <f t="shared" si="2"/>
        <v>0</v>
      </c>
      <c r="AB6" s="2654">
        <f t="shared" si="2"/>
        <v>0</v>
      </c>
      <c r="AC6" s="2657">
        <f>SUMIF(AD$12:AS$12,"总值",AD6:AS6)</f>
        <v>0</v>
      </c>
      <c r="AD6" s="2654">
        <f t="shared" ref="AD6:AS6" si="3">ROUND($A$3*AD5/$B$3,2)</f>
        <v>0</v>
      </c>
      <c r="AE6" s="2654">
        <f t="shared" si="3"/>
        <v>0</v>
      </c>
      <c r="AF6" s="2654">
        <f t="shared" si="3"/>
        <v>0</v>
      </c>
      <c r="AG6" s="2654">
        <f t="shared" si="3"/>
        <v>0</v>
      </c>
      <c r="AH6" s="2654">
        <f t="shared" si="3"/>
        <v>0</v>
      </c>
      <c r="AI6" s="2654">
        <f t="shared" si="3"/>
        <v>0</v>
      </c>
      <c r="AJ6" s="2654">
        <f t="shared" si="3"/>
        <v>0</v>
      </c>
      <c r="AK6" s="2654">
        <f t="shared" si="3"/>
        <v>0</v>
      </c>
      <c r="AL6" s="2654">
        <f t="shared" si="3"/>
        <v>0</v>
      </c>
      <c r="AM6" s="2654">
        <f t="shared" si="3"/>
        <v>0</v>
      </c>
      <c r="AN6" s="2654">
        <f t="shared" si="3"/>
        <v>0</v>
      </c>
      <c r="AO6" s="2654">
        <f t="shared" si="3"/>
        <v>0</v>
      </c>
      <c r="AP6" s="2654">
        <f t="shared" si="3"/>
        <v>0</v>
      </c>
      <c r="AQ6" s="2654">
        <f t="shared" si="3"/>
        <v>0</v>
      </c>
      <c r="AR6" s="2654">
        <f t="shared" si="3"/>
        <v>0</v>
      </c>
      <c r="AS6" s="2654">
        <f t="shared" si="3"/>
        <v>0</v>
      </c>
      <c r="AT6" s="2657">
        <f>IF(C3="是",ROUND($A$3*AT5/$B$3,2),0)</f>
        <v>0</v>
      </c>
      <c r="AU6" s="2698"/>
      <c r="AV6" s="1821" t="s">
        <v>432</v>
      </c>
      <c r="AW6" s="2655"/>
      <c r="AX6" s="2655"/>
      <c r="AY6" s="2712">
        <f>IF(AY3&gt;0,AY3,ROUND($A$3*AZ5/$B$3,2))</f>
        <v>45839.15</v>
      </c>
      <c r="AZ6" s="2654" t="s">
        <v>124</v>
      </c>
      <c r="BA6" s="2654">
        <f>ROUND($AY$6*BA5/$AZ$5,2)</f>
        <v>45839.15</v>
      </c>
      <c r="BB6" s="2654">
        <f>ROUND($AY$6*BB5/$AZ$5,2)</f>
        <v>45839.15</v>
      </c>
      <c r="BC6" s="2654">
        <f t="shared" ref="BC6:BH6" si="4">ROUND($AY$6*BC5/$AZ$5,2)</f>
        <v>0</v>
      </c>
      <c r="BD6" s="2654">
        <f t="shared" si="4"/>
        <v>0</v>
      </c>
      <c r="BE6" s="2654">
        <f t="shared" si="4"/>
        <v>0</v>
      </c>
      <c r="BF6" s="2654">
        <f t="shared" si="4"/>
        <v>0</v>
      </c>
      <c r="BG6" s="2654">
        <f t="shared" si="4"/>
        <v>0</v>
      </c>
      <c r="BH6" s="2654">
        <f t="shared" si="4"/>
        <v>0</v>
      </c>
      <c r="BI6" s="2654">
        <f t="shared" ref="BI6:BT6" si="5">ROUND($AY$6*BI5/$AZ$5,2)</f>
        <v>0</v>
      </c>
      <c r="BJ6" s="2654">
        <f t="shared" si="5"/>
        <v>0</v>
      </c>
      <c r="BK6" s="2654">
        <f t="shared" si="5"/>
        <v>0</v>
      </c>
      <c r="BL6" s="2654">
        <f t="shared" si="5"/>
        <v>0</v>
      </c>
      <c r="BM6" s="2654">
        <f t="shared" si="5"/>
        <v>0</v>
      </c>
      <c r="BN6" s="2654">
        <f t="shared" si="5"/>
        <v>0</v>
      </c>
      <c r="BO6" s="2654">
        <f t="shared" si="5"/>
        <v>0</v>
      </c>
      <c r="BP6" s="2654">
        <f t="shared" si="5"/>
        <v>0</v>
      </c>
      <c r="BQ6" s="2654">
        <f t="shared" si="5"/>
        <v>0</v>
      </c>
      <c r="BR6" s="2654">
        <f t="shared" si="5"/>
        <v>0</v>
      </c>
      <c r="BS6" s="2654">
        <f t="shared" si="5"/>
        <v>0</v>
      </c>
      <c r="BT6" s="2720">
        <f t="shared" si="5"/>
        <v>0</v>
      </c>
    </row>
    <row r="7" spans="1:72" s="2640" customFormat="1" ht="24.75">
      <c r="A7" s="2658" t="s">
        <v>433</v>
      </c>
      <c r="B7" s="2658" t="s">
        <v>434</v>
      </c>
      <c r="C7" s="2658" t="s">
        <v>435</v>
      </c>
      <c r="D7" s="2658" t="s">
        <v>436</v>
      </c>
      <c r="E7" s="2658" t="s">
        <v>432</v>
      </c>
      <c r="F7" s="2658" t="s">
        <v>437</v>
      </c>
      <c r="G7" s="2659" t="s">
        <v>438</v>
      </c>
      <c r="H7" s="2660"/>
      <c r="I7" s="2660"/>
      <c r="J7" s="2660"/>
      <c r="K7" s="2660"/>
      <c r="L7" s="2660"/>
      <c r="M7" s="2660"/>
      <c r="N7" s="2660"/>
      <c r="O7" s="2660"/>
      <c r="P7" s="2660"/>
      <c r="Q7" s="2660"/>
      <c r="R7" s="2660"/>
      <c r="S7" s="2660"/>
      <c r="T7" s="2660"/>
      <c r="U7" s="2660"/>
      <c r="V7" s="2660"/>
      <c r="W7" s="2660"/>
      <c r="X7" s="2660"/>
      <c r="Y7" s="2660"/>
      <c r="Z7" s="2660"/>
      <c r="AA7" s="2660"/>
      <c r="AB7" s="2660"/>
      <c r="AC7" s="2660"/>
      <c r="AD7" s="2660"/>
      <c r="AE7" s="2660"/>
      <c r="AF7" s="2660"/>
      <c r="AG7" s="2660"/>
      <c r="AH7" s="2660"/>
      <c r="AI7" s="2660"/>
      <c r="AJ7" s="2660"/>
      <c r="AK7" s="2660"/>
      <c r="AL7" s="2660"/>
      <c r="AM7" s="2660"/>
      <c r="AN7" s="2660"/>
      <c r="AO7" s="2660"/>
      <c r="AP7" s="2660"/>
      <c r="AQ7" s="2660"/>
      <c r="AR7" s="2660"/>
      <c r="AS7" s="2660"/>
      <c r="AT7" s="2157"/>
      <c r="AU7" s="2660" t="s">
        <v>439</v>
      </c>
      <c r="AV7" s="2140" t="s">
        <v>433</v>
      </c>
      <c r="AW7" s="2165" t="s">
        <v>434</v>
      </c>
      <c r="AX7" s="2140" t="s">
        <v>435</v>
      </c>
      <c r="AY7" s="2045" t="s">
        <v>440</v>
      </c>
      <c r="AZ7" s="2690"/>
      <c r="BA7" s="2660"/>
      <c r="BB7" s="2660"/>
      <c r="BC7" s="2660"/>
      <c r="BD7" s="2660"/>
      <c r="BE7" s="2660"/>
      <c r="BF7" s="2660"/>
      <c r="BG7" s="2660"/>
      <c r="BH7" s="2660"/>
      <c r="BI7" s="2660"/>
      <c r="BJ7" s="2660"/>
      <c r="BK7" s="2660"/>
      <c r="BL7" s="2660"/>
      <c r="BM7" s="2660"/>
      <c r="BN7" s="2660"/>
      <c r="BO7" s="2660"/>
      <c r="BP7" s="2660"/>
      <c r="BQ7" s="2660"/>
      <c r="BR7" s="2660"/>
      <c r="BS7" s="2660"/>
      <c r="BT7" s="2721"/>
    </row>
    <row r="8" spans="1:72" s="2394" customFormat="1" ht="24">
      <c r="A8" s="2661"/>
      <c r="B8" s="2661"/>
      <c r="C8" s="2661"/>
      <c r="D8" s="2661"/>
      <c r="E8" s="2661"/>
      <c r="F8" s="2661"/>
      <c r="G8" s="2662" t="s">
        <v>441</v>
      </c>
      <c r="H8" s="2663" t="s">
        <v>442</v>
      </c>
      <c r="I8" s="2679"/>
      <c r="J8" s="287"/>
      <c r="K8" s="287"/>
      <c r="L8" s="287"/>
      <c r="M8" s="287"/>
      <c r="N8" s="287"/>
      <c r="O8" s="287"/>
      <c r="P8" s="287"/>
      <c r="Q8" s="287"/>
      <c r="R8" s="287"/>
      <c r="S8" s="287"/>
      <c r="T8" s="287"/>
      <c r="U8" s="287"/>
      <c r="V8" s="2686"/>
      <c r="W8" s="287"/>
      <c r="X8" s="287"/>
      <c r="Y8" s="287"/>
      <c r="Z8" s="287"/>
      <c r="AA8" s="2686"/>
      <c r="AB8" s="2688"/>
      <c r="AC8" s="1969" t="s">
        <v>443</v>
      </c>
      <c r="AD8" s="2689"/>
      <c r="AE8" s="2690"/>
      <c r="AF8" s="287"/>
      <c r="AG8" s="287"/>
      <c r="AH8" s="287"/>
      <c r="AI8" s="287"/>
      <c r="AJ8" s="287"/>
      <c r="AK8" s="287"/>
      <c r="AL8" s="287"/>
      <c r="AM8" s="287"/>
      <c r="AN8" s="287"/>
      <c r="AO8" s="287"/>
      <c r="AP8" s="287"/>
      <c r="AQ8" s="287"/>
      <c r="AR8" s="287"/>
      <c r="AS8" s="287"/>
      <c r="AT8" s="1665" t="s">
        <v>444</v>
      </c>
      <c r="AU8" s="2661" t="s">
        <v>445</v>
      </c>
      <c r="AV8" s="1665"/>
      <c r="AW8" s="2120"/>
      <c r="AX8" s="1665"/>
      <c r="AY8" s="2165" t="s">
        <v>432</v>
      </c>
      <c r="AZ8" s="286" t="s">
        <v>425</v>
      </c>
      <c r="BA8" s="287"/>
      <c r="BB8" s="287"/>
      <c r="BC8" s="287"/>
      <c r="BD8" s="287"/>
      <c r="BE8" s="287"/>
      <c r="BF8" s="287"/>
      <c r="BG8" s="287"/>
      <c r="BH8" s="287"/>
      <c r="BI8" s="287"/>
      <c r="BJ8" s="287"/>
      <c r="BK8" s="287"/>
      <c r="BL8" s="287"/>
      <c r="BM8" s="287"/>
      <c r="BN8" s="287"/>
      <c r="BO8" s="287"/>
      <c r="BP8" s="287"/>
      <c r="BQ8" s="287"/>
      <c r="BR8" s="287"/>
      <c r="BS8" s="287"/>
      <c r="BT8" s="1711"/>
    </row>
    <row r="9" spans="1:72" s="2394" customFormat="1" ht="12.75">
      <c r="A9" s="2661"/>
      <c r="B9" s="2661"/>
      <c r="C9" s="2661"/>
      <c r="D9" s="2661"/>
      <c r="E9" s="2661"/>
      <c r="F9" s="2661"/>
      <c r="G9" s="1665"/>
      <c r="H9" s="2664" t="s">
        <v>446</v>
      </c>
      <c r="I9" s="2680" t="s">
        <v>3306</v>
      </c>
      <c r="J9" s="1969"/>
      <c r="K9" s="2680" t="s">
        <v>3306</v>
      </c>
      <c r="L9" s="1969"/>
      <c r="M9" s="2680"/>
      <c r="N9" s="1969"/>
      <c r="O9" s="2680"/>
      <c r="P9" s="1969"/>
      <c r="Q9" s="2680"/>
      <c r="R9" s="1969"/>
      <c r="S9" s="2680"/>
      <c r="T9" s="1969"/>
      <c r="U9" s="2680"/>
      <c r="V9" s="1969"/>
      <c r="W9" s="2680"/>
      <c r="X9" s="2687"/>
      <c r="Y9" s="2680"/>
      <c r="Z9" s="1969"/>
      <c r="AA9" s="2680"/>
      <c r="AB9" s="1969"/>
      <c r="AC9" s="2662" t="s">
        <v>446</v>
      </c>
      <c r="AD9" s="1821" t="s">
        <v>447</v>
      </c>
      <c r="AE9" s="1677"/>
      <c r="AF9" s="1821" t="s">
        <v>448</v>
      </c>
      <c r="AG9" s="1677"/>
      <c r="AH9" s="1821" t="s">
        <v>447</v>
      </c>
      <c r="AI9" s="1677"/>
      <c r="AJ9" s="1821" t="s">
        <v>448</v>
      </c>
      <c r="AK9" s="1677"/>
      <c r="AL9" s="1821" t="s">
        <v>447</v>
      </c>
      <c r="AM9" s="1677"/>
      <c r="AN9" s="1821" t="s">
        <v>448</v>
      </c>
      <c r="AO9" s="1677"/>
      <c r="AP9" s="1821" t="s">
        <v>447</v>
      </c>
      <c r="AQ9" s="1677"/>
      <c r="AR9" s="1821" t="s">
        <v>448</v>
      </c>
      <c r="AS9" s="2699"/>
      <c r="AT9" s="2661"/>
      <c r="AU9" s="2661" t="s">
        <v>449</v>
      </c>
      <c r="AV9" s="1665"/>
      <c r="AW9" s="2120"/>
      <c r="AX9" s="1665"/>
      <c r="AY9" s="2141"/>
      <c r="AZ9" s="2141" t="s">
        <v>441</v>
      </c>
      <c r="BA9" s="2713" t="s">
        <v>450</v>
      </c>
      <c r="BB9" s="2714"/>
      <c r="BC9" s="1723"/>
      <c r="BD9" s="1723"/>
      <c r="BE9" s="1723"/>
      <c r="BF9" s="1723"/>
      <c r="BG9" s="1723"/>
      <c r="BH9" s="1723"/>
      <c r="BI9" s="1723"/>
      <c r="BJ9" s="1723"/>
      <c r="BK9" s="2718"/>
      <c r="BL9" s="1821" t="s">
        <v>451</v>
      </c>
      <c r="BM9" s="287"/>
      <c r="BN9" s="2679"/>
      <c r="BO9" s="287"/>
      <c r="BP9" s="287"/>
      <c r="BQ9" s="287"/>
      <c r="BR9" s="287"/>
      <c r="BS9" s="287"/>
      <c r="BT9" s="1711"/>
    </row>
    <row r="10" spans="1:72" s="2394" customFormat="1" ht="12.75">
      <c r="A10" s="2661"/>
      <c r="B10" s="2661"/>
      <c r="C10" s="2661"/>
      <c r="D10" s="2661"/>
      <c r="E10" s="2661"/>
      <c r="F10" s="2661"/>
      <c r="G10" s="1665"/>
      <c r="H10" s="2141"/>
      <c r="I10" s="2680" t="s">
        <v>2041</v>
      </c>
      <c r="J10" s="1969"/>
      <c r="K10" s="2681" t="s">
        <v>2044</v>
      </c>
      <c r="L10" s="1969"/>
      <c r="M10" s="2681"/>
      <c r="N10" s="1969"/>
      <c r="O10" s="2681"/>
      <c r="P10" s="1969"/>
      <c r="Q10" s="2681"/>
      <c r="R10" s="1969"/>
      <c r="S10" s="2681"/>
      <c r="T10" s="1969"/>
      <c r="U10" s="2681"/>
      <c r="V10" s="1969"/>
      <c r="W10" s="2681"/>
      <c r="X10" s="1969"/>
      <c r="Y10" s="2681"/>
      <c r="Z10" s="1969"/>
      <c r="AA10" s="2681"/>
      <c r="AB10" s="1969"/>
      <c r="AC10" s="1665"/>
      <c r="AD10" s="1821" t="s">
        <v>452</v>
      </c>
      <c r="AE10" s="2691"/>
      <c r="AF10" s="1821" t="s">
        <v>452</v>
      </c>
      <c r="AG10" s="2691"/>
      <c r="AH10" s="1821" t="s">
        <v>453</v>
      </c>
      <c r="AI10" s="2691"/>
      <c r="AJ10" s="1821" t="s">
        <v>453</v>
      </c>
      <c r="AK10" s="2691"/>
      <c r="AL10" s="1821" t="s">
        <v>454</v>
      </c>
      <c r="AM10" s="1677"/>
      <c r="AN10" s="1821" t="s">
        <v>454</v>
      </c>
      <c r="AO10" s="1677"/>
      <c r="AP10" s="1821" t="s">
        <v>455</v>
      </c>
      <c r="AQ10" s="1677"/>
      <c r="AR10" s="1821" t="s">
        <v>455</v>
      </c>
      <c r="AS10" s="1677"/>
      <c r="AT10" s="2661"/>
      <c r="AU10" s="2661"/>
      <c r="AV10" s="1665"/>
      <c r="AW10" s="2120"/>
      <c r="AX10" s="1665"/>
      <c r="AY10" s="2141"/>
      <c r="AZ10" s="2141"/>
      <c r="BA10" s="2665" t="s">
        <v>446</v>
      </c>
      <c r="BB10" s="2715" t="str">
        <f>I9</f>
        <v>地上</v>
      </c>
      <c r="BC10" s="1733" t="str">
        <f>K9</f>
        <v>地上</v>
      </c>
      <c r="BD10" s="1733">
        <f>M9</f>
        <v>0</v>
      </c>
      <c r="BE10" s="1733">
        <f>O9</f>
        <v>0</v>
      </c>
      <c r="BF10" s="1733">
        <f>Q9</f>
        <v>0</v>
      </c>
      <c r="BG10" s="1733">
        <f>S9</f>
        <v>0</v>
      </c>
      <c r="BH10" s="1733">
        <f>U9</f>
        <v>0</v>
      </c>
      <c r="BI10" s="1733">
        <f>W9</f>
        <v>0</v>
      </c>
      <c r="BJ10" s="1733">
        <f>Y9</f>
        <v>0</v>
      </c>
      <c r="BK10" s="1733">
        <f>AA9</f>
        <v>0</v>
      </c>
      <c r="BL10" s="1729" t="s">
        <v>446</v>
      </c>
      <c r="BM10" s="286" t="str">
        <f>AD9</f>
        <v>地上</v>
      </c>
      <c r="BN10" s="1733" t="str">
        <f>AF9</f>
        <v>地下</v>
      </c>
      <c r="BO10" s="286" t="str">
        <f>AH9</f>
        <v>地上</v>
      </c>
      <c r="BP10" s="1733" t="str">
        <f>AJ9</f>
        <v>地下</v>
      </c>
      <c r="BQ10" s="286" t="str">
        <f>AL9</f>
        <v>地上</v>
      </c>
      <c r="BR10" s="1733" t="str">
        <f>AN9</f>
        <v>地下</v>
      </c>
      <c r="BS10" s="286" t="str">
        <f>AP9</f>
        <v>地上</v>
      </c>
      <c r="BT10" s="2149" t="str">
        <f>AR9</f>
        <v>地下</v>
      </c>
    </row>
    <row r="11" spans="1:72" s="2394" customFormat="1" ht="12.75">
      <c r="A11" s="2661"/>
      <c r="B11" s="2661"/>
      <c r="C11" s="2661"/>
      <c r="D11" s="2661"/>
      <c r="E11" s="2661"/>
      <c r="F11" s="2661"/>
      <c r="G11" s="1665"/>
      <c r="H11" s="2665"/>
      <c r="I11" s="2682" t="s">
        <v>3307</v>
      </c>
      <c r="J11" s="2683"/>
      <c r="K11" s="2682" t="s">
        <v>3320</v>
      </c>
      <c r="L11" s="2683"/>
      <c r="M11" s="2682"/>
      <c r="N11" s="2683"/>
      <c r="O11" s="2682"/>
      <c r="P11" s="2683"/>
      <c r="Q11" s="2682"/>
      <c r="R11" s="2683"/>
      <c r="S11" s="2682"/>
      <c r="T11" s="2683"/>
      <c r="U11" s="2682"/>
      <c r="V11" s="2683"/>
      <c r="W11" s="2682"/>
      <c r="X11" s="2683"/>
      <c r="Y11" s="2682"/>
      <c r="Z11" s="2683"/>
      <c r="AA11" s="2682"/>
      <c r="AB11" s="2683"/>
      <c r="AC11" s="1665"/>
      <c r="AD11" s="2692" t="s">
        <v>456</v>
      </c>
      <c r="AE11" s="340"/>
      <c r="AF11" s="2692" t="s">
        <v>456</v>
      </c>
      <c r="AG11" s="340"/>
      <c r="AH11" s="2692" t="s">
        <v>457</v>
      </c>
      <c r="AI11" s="2696"/>
      <c r="AJ11" s="2692" t="s">
        <v>457</v>
      </c>
      <c r="AK11" s="340"/>
      <c r="AL11" s="286"/>
      <c r="AM11" s="340"/>
      <c r="AN11" s="286"/>
      <c r="AO11" s="340"/>
      <c r="AP11" s="286"/>
      <c r="AQ11" s="340"/>
      <c r="AR11" s="286"/>
      <c r="AS11" s="340"/>
      <c r="AT11" s="2120"/>
      <c r="AU11" s="2661"/>
      <c r="AV11" s="1665"/>
      <c r="AW11" s="2120"/>
      <c r="AX11" s="1665"/>
      <c r="AY11" s="2141"/>
      <c r="AZ11" s="2141"/>
      <c r="BA11" s="2141"/>
      <c r="BB11" s="2688" t="str">
        <f>I10</f>
        <v>商业</v>
      </c>
      <c r="BC11" s="2688" t="str">
        <f>K10</f>
        <v>工业</v>
      </c>
      <c r="BD11" s="2688">
        <f>M10</f>
        <v>0</v>
      </c>
      <c r="BE11" s="2688">
        <f>O10</f>
        <v>0</v>
      </c>
      <c r="BF11" s="2688">
        <f>Q10</f>
        <v>0</v>
      </c>
      <c r="BG11" s="2688">
        <f>S10</f>
        <v>0</v>
      </c>
      <c r="BH11" s="2688">
        <f>U10</f>
        <v>0</v>
      </c>
      <c r="BI11" s="2688">
        <f>W10</f>
        <v>0</v>
      </c>
      <c r="BJ11" s="2688">
        <f>Y10</f>
        <v>0</v>
      </c>
      <c r="BK11" s="2688">
        <f>AA10</f>
        <v>0</v>
      </c>
      <c r="BL11" s="1665"/>
      <c r="BM11" s="286" t="str">
        <f>AD10</f>
        <v>公共配套设施</v>
      </c>
      <c r="BN11" s="286" t="str">
        <f>AF10</f>
        <v>公共配套设施</v>
      </c>
      <c r="BO11" s="285" t="str">
        <f>AH10</f>
        <v>物业管理用房</v>
      </c>
      <c r="BP11" s="285" t="str">
        <f>AJ10</f>
        <v>物业管理用房</v>
      </c>
      <c r="BQ11" s="285" t="str">
        <f>AL10</f>
        <v>设备及其他</v>
      </c>
      <c r="BR11" s="285" t="str">
        <f>AN10</f>
        <v>设备及其他</v>
      </c>
      <c r="BS11" s="1729" t="str">
        <f>AP10</f>
        <v>未注明</v>
      </c>
      <c r="BT11" s="2142" t="str">
        <f>AR10</f>
        <v>未注明</v>
      </c>
    </row>
    <row r="12" spans="1:72" s="2640" customFormat="1" ht="12.75">
      <c r="A12" s="2666"/>
      <c r="B12" s="2666"/>
      <c r="C12" s="2666"/>
      <c r="D12" s="2666"/>
      <c r="E12" s="2666"/>
      <c r="F12" s="2666"/>
      <c r="G12" s="609"/>
      <c r="H12" s="2667"/>
      <c r="I12" s="2157" t="s">
        <v>458</v>
      </c>
      <c r="J12" s="288" t="s">
        <v>459</v>
      </c>
      <c r="K12" s="288" t="s">
        <v>458</v>
      </c>
      <c r="L12" s="288" t="s">
        <v>459</v>
      </c>
      <c r="M12" s="288" t="s">
        <v>458</v>
      </c>
      <c r="N12" s="288" t="s">
        <v>459</v>
      </c>
      <c r="O12" s="288" t="s">
        <v>458</v>
      </c>
      <c r="P12" s="288" t="s">
        <v>459</v>
      </c>
      <c r="Q12" s="288" t="s">
        <v>458</v>
      </c>
      <c r="R12" s="288" t="s">
        <v>459</v>
      </c>
      <c r="S12" s="288" t="s">
        <v>458</v>
      </c>
      <c r="T12" s="288" t="s">
        <v>459</v>
      </c>
      <c r="U12" s="288" t="s">
        <v>458</v>
      </c>
      <c r="V12" s="2044" t="s">
        <v>459</v>
      </c>
      <c r="W12" s="288" t="s">
        <v>458</v>
      </c>
      <c r="X12" s="288" t="s">
        <v>459</v>
      </c>
      <c r="Y12" s="288" t="s">
        <v>458</v>
      </c>
      <c r="Z12" s="288" t="s">
        <v>459</v>
      </c>
      <c r="AA12" s="288" t="s">
        <v>458</v>
      </c>
      <c r="AB12" s="288" t="s">
        <v>459</v>
      </c>
      <c r="AC12" s="2693"/>
      <c r="AD12" s="2157" t="s">
        <v>458</v>
      </c>
      <c r="AE12" s="288" t="s">
        <v>459</v>
      </c>
      <c r="AF12" s="288" t="s">
        <v>458</v>
      </c>
      <c r="AG12" s="288" t="s">
        <v>459</v>
      </c>
      <c r="AH12" s="288" t="s">
        <v>458</v>
      </c>
      <c r="AI12" s="288" t="s">
        <v>459</v>
      </c>
      <c r="AJ12" s="288" t="s">
        <v>458</v>
      </c>
      <c r="AK12" s="288" t="s">
        <v>459</v>
      </c>
      <c r="AL12" s="288" t="s">
        <v>458</v>
      </c>
      <c r="AM12" s="288" t="s">
        <v>459</v>
      </c>
      <c r="AN12" s="288" t="s">
        <v>458</v>
      </c>
      <c r="AO12" s="288" t="s">
        <v>459</v>
      </c>
      <c r="AP12" s="288" t="s">
        <v>458</v>
      </c>
      <c r="AQ12" s="288" t="s">
        <v>459</v>
      </c>
      <c r="AR12" s="609" t="s">
        <v>458</v>
      </c>
      <c r="AS12" s="2666" t="s">
        <v>459</v>
      </c>
      <c r="AT12" s="2700"/>
      <c r="AU12" s="2666"/>
      <c r="AV12" s="2145"/>
      <c r="AW12" s="2165"/>
      <c r="AX12" s="2145"/>
      <c r="AY12" s="2716"/>
      <c r="AZ12" s="2141"/>
      <c r="BA12" s="2665"/>
      <c r="BB12" s="285" t="str">
        <f>I11</f>
        <v>独栋</v>
      </c>
      <c r="BC12" s="2717" t="str">
        <f>K11</f>
        <v>仓库</v>
      </c>
      <c r="BD12" s="2717">
        <f>M11</f>
        <v>0</v>
      </c>
      <c r="BE12" s="2688">
        <f>O11</f>
        <v>0</v>
      </c>
      <c r="BF12" s="2688">
        <f>Q11</f>
        <v>0</v>
      </c>
      <c r="BG12" s="2688">
        <f>S11</f>
        <v>0</v>
      </c>
      <c r="BH12" s="2688">
        <f>U11</f>
        <v>0</v>
      </c>
      <c r="BI12" s="2688">
        <f>W11</f>
        <v>0</v>
      </c>
      <c r="BJ12" s="2688">
        <f>Y11</f>
        <v>0</v>
      </c>
      <c r="BK12" s="2688">
        <f>AA11</f>
        <v>0</v>
      </c>
      <c r="BL12" s="1665"/>
      <c r="BM12" s="286" t="str">
        <f>AD11</f>
        <v>（住宅）</v>
      </c>
      <c r="BN12" s="286" t="str">
        <f>AF11</f>
        <v>（住宅）</v>
      </c>
      <c r="BO12" s="285" t="str">
        <f>AH11</f>
        <v>（住宅、计出让金）</v>
      </c>
      <c r="BP12" s="285" t="str">
        <f>AJ11</f>
        <v>（住宅、计出让金）</v>
      </c>
      <c r="BQ12" s="285">
        <f>AL11</f>
        <v>0</v>
      </c>
      <c r="BR12" s="285">
        <f>AN11</f>
        <v>0</v>
      </c>
      <c r="BS12" s="1729">
        <f>AP11</f>
        <v>0</v>
      </c>
      <c r="BT12" s="2142">
        <f>AR11</f>
        <v>0</v>
      </c>
    </row>
    <row r="13" spans="1:72" s="2640" customFormat="1" ht="25.5">
      <c r="A13" s="3159" t="s">
        <v>3374</v>
      </c>
      <c r="B13" s="3127" t="s">
        <v>3305</v>
      </c>
      <c r="C13" s="3127" t="str">
        <f>'面积表1（1-6#企业提供）'!B142</f>
        <v>一层</v>
      </c>
      <c r="D13" s="2669" t="s">
        <v>3373</v>
      </c>
      <c r="E13" s="2654">
        <f>IF($C$3="是",ROUND($A$3*G13/$B$3,2),ROUND($A$3*(G13-AT13)/$B$3,2))</f>
        <v>2003.82</v>
      </c>
      <c r="F13" s="2670"/>
      <c r="G13" s="2671">
        <f>H13+AC13+AT13</f>
        <v>4322.1499999999996</v>
      </c>
      <c r="H13" s="2657">
        <f>SUMIF(I$12:AB$12,"总值",I13:AB13)</f>
        <v>4322.1499999999996</v>
      </c>
      <c r="I13" s="3132">
        <f>'面积表1（1-6#企业提供）'!C142</f>
        <v>4322.1499999999996</v>
      </c>
      <c r="J13" s="2684"/>
      <c r="K13" s="2684"/>
      <c r="L13" s="2684"/>
      <c r="M13" s="2684"/>
      <c r="N13" s="2684"/>
      <c r="O13" s="2684"/>
      <c r="P13" s="2684"/>
      <c r="Q13" s="2684"/>
      <c r="R13" s="2684"/>
      <c r="S13" s="2684"/>
      <c r="T13" s="2684"/>
      <c r="U13" s="2684"/>
      <c r="V13" s="2684"/>
      <c r="W13" s="2684"/>
      <c r="X13" s="2684"/>
      <c r="Y13" s="2684"/>
      <c r="Z13" s="2684"/>
      <c r="AA13" s="2684"/>
      <c r="AB13" s="2684"/>
      <c r="AC13" s="2654">
        <f>SUMIF(AD$12:AS$12,"总值",AD13:AS13)</f>
        <v>0</v>
      </c>
      <c r="AD13" s="2694"/>
      <c r="AE13" s="2694"/>
      <c r="AF13" s="2694"/>
      <c r="AG13" s="2694"/>
      <c r="AH13" s="2694"/>
      <c r="AI13" s="2694"/>
      <c r="AJ13" s="2694"/>
      <c r="AK13" s="2694"/>
      <c r="AL13" s="2694"/>
      <c r="AM13" s="2694"/>
      <c r="AN13" s="2694"/>
      <c r="AO13" s="2694"/>
      <c r="AP13" s="2694"/>
      <c r="AQ13" s="2694"/>
      <c r="AR13" s="2694"/>
      <c r="AS13" s="2694"/>
      <c r="AT13" s="2701"/>
      <c r="AU13" s="2702"/>
      <c r="AV13" s="288" t="str">
        <f t="shared" ref="AV13:AX17" si="6">A13</f>
        <v>分摊土地面积需确认</v>
      </c>
      <c r="AW13" s="288" t="e">
        <f>#REF!</f>
        <v>#REF!</v>
      </c>
      <c r="AX13" s="288" t="str">
        <f>B13</f>
        <v>一号广场</v>
      </c>
      <c r="AY13" s="2157">
        <f>ROUND($AY$6*AZ13/$AZ$5,2)</f>
        <v>2003.82</v>
      </c>
      <c r="AZ13" s="2654">
        <f>BA13+BL13</f>
        <v>4322.1499999999996</v>
      </c>
      <c r="BA13" s="2654">
        <f>SUM(BB13:BK13)</f>
        <v>4322.1499999999996</v>
      </c>
      <c r="BB13" s="2654">
        <f>IF($D13="是",I13-J13,0)</f>
        <v>4322.1499999999996</v>
      </c>
      <c r="BC13" s="2654">
        <f>IF($D13="是",K13-L13,0)</f>
        <v>0</v>
      </c>
      <c r="BD13" s="2654">
        <f>IF($D13="是",M13-N13,0)</f>
        <v>0</v>
      </c>
      <c r="BE13" s="2654">
        <f>IF($D13="是",O13-P13,0)</f>
        <v>0</v>
      </c>
      <c r="BF13" s="2654">
        <f>IF($D13="是",Q13-R13,0)</f>
        <v>0</v>
      </c>
      <c r="BG13" s="2654">
        <f>IF($D13="是",S13-T13,0)</f>
        <v>0</v>
      </c>
      <c r="BH13" s="2654">
        <f>IF($D13="是",U13-V13,0)</f>
        <v>0</v>
      </c>
      <c r="BI13" s="2654">
        <f>IF($D13="是",W13-X13,0)</f>
        <v>0</v>
      </c>
      <c r="BJ13" s="2654">
        <f>IF($D13="是",Y13-Z13,0)</f>
        <v>0</v>
      </c>
      <c r="BK13" s="2654">
        <f>IF($D13="是",AA13-AB13,0)</f>
        <v>0</v>
      </c>
      <c r="BL13" s="2654">
        <f>SUM(BM13:BT13)</f>
        <v>0</v>
      </c>
      <c r="BM13" s="2654">
        <f>IF($D13="是",AD13-AE13,0)</f>
        <v>0</v>
      </c>
      <c r="BN13" s="2654">
        <f>IF($D13="是",AF13-AG13,0)</f>
        <v>0</v>
      </c>
      <c r="BO13" s="2654">
        <f>IF($D13="是",AH13-AI13,0)</f>
        <v>0</v>
      </c>
      <c r="BP13" s="2654">
        <f>IF($D13="是",AJ13-AK13,0)</f>
        <v>0</v>
      </c>
      <c r="BQ13" s="2654">
        <f>IF($D13="是",AL13-AM13,0)</f>
        <v>0</v>
      </c>
      <c r="BR13" s="2654">
        <f>IF($D13="是",AN13-AO13,0)</f>
        <v>0</v>
      </c>
      <c r="BS13" s="2654">
        <f>IF($D13="是",AP13-AQ13,0)</f>
        <v>0</v>
      </c>
      <c r="BT13" s="2720">
        <f>IF($D13="是",AR13-AS13,0)</f>
        <v>0</v>
      </c>
    </row>
    <row r="14" spans="1:72" s="2640" customFormat="1" ht="12.75">
      <c r="A14" s="2668"/>
      <c r="B14" s="3127"/>
      <c r="C14" s="3127" t="str">
        <f>'面积表1（1-6#企业提供）'!B143</f>
        <v>二层</v>
      </c>
      <c r="D14" s="2669" t="s">
        <v>3373</v>
      </c>
      <c r="E14" s="2654">
        <f>IF($C$3="是",ROUND($A$3*G14/$B$3,2),ROUND($A$3*(G14-AT14)/$B$3,2))</f>
        <v>8354.7999999999993</v>
      </c>
      <c r="F14" s="2670"/>
      <c r="G14" s="2671">
        <f>H14+AC14+AT14</f>
        <v>18020.97</v>
      </c>
      <c r="H14" s="2657">
        <f>SUMIF(I$12:AB$12,"总值",I14:AB14)</f>
        <v>18020.97</v>
      </c>
      <c r="I14" s="3132">
        <f>'面积表1（1-6#企业提供）'!C143</f>
        <v>18020.97</v>
      </c>
      <c r="J14" s="2684"/>
      <c r="K14" s="2684"/>
      <c r="L14" s="2684"/>
      <c r="M14" s="2684"/>
      <c r="N14" s="2684"/>
      <c r="O14" s="2684"/>
      <c r="P14" s="2684"/>
      <c r="Q14" s="2684"/>
      <c r="R14" s="2684"/>
      <c r="S14" s="2684"/>
      <c r="T14" s="2684"/>
      <c r="U14" s="2684"/>
      <c r="V14" s="2684"/>
      <c r="W14" s="2684"/>
      <c r="X14" s="2684"/>
      <c r="Y14" s="2684"/>
      <c r="Z14" s="2684"/>
      <c r="AA14" s="2684"/>
      <c r="AB14" s="2684"/>
      <c r="AC14" s="2654">
        <f>SUMIF(AD$12:AS$12,"总值",AD14:AS14)</f>
        <v>0</v>
      </c>
      <c r="AD14" s="2694"/>
      <c r="AE14" s="2694"/>
      <c r="AF14" s="2694"/>
      <c r="AG14" s="2694"/>
      <c r="AH14" s="2694"/>
      <c r="AI14" s="2694"/>
      <c r="AJ14" s="2694"/>
      <c r="AK14" s="2694"/>
      <c r="AL14" s="2694"/>
      <c r="AM14" s="2694"/>
      <c r="AN14" s="2694"/>
      <c r="AO14" s="2694"/>
      <c r="AP14" s="2694"/>
      <c r="AQ14" s="2694"/>
      <c r="AR14" s="2694"/>
      <c r="AS14" s="2694"/>
      <c r="AT14" s="2701"/>
      <c r="AU14" s="2702"/>
      <c r="AV14" s="288">
        <f t="shared" si="6"/>
        <v>0</v>
      </c>
      <c r="AW14" s="288">
        <f t="shared" si="6"/>
        <v>0</v>
      </c>
      <c r="AX14" s="288" t="str">
        <f t="shared" si="6"/>
        <v>二层</v>
      </c>
      <c r="AY14" s="2157">
        <f>ROUND($AY$6*AZ14/$AZ$5,2)</f>
        <v>8354.7999999999993</v>
      </c>
      <c r="AZ14" s="2654">
        <f>BA14+BL14</f>
        <v>18020.97</v>
      </c>
      <c r="BA14" s="2654">
        <f>SUM(BB14:BK14)</f>
        <v>18020.97</v>
      </c>
      <c r="BB14" s="2654">
        <f>IF($D14="是",I14-J14,0)</f>
        <v>18020.97</v>
      </c>
      <c r="BC14" s="2654">
        <f>IF($D14="是",K14-L14,0)</f>
        <v>0</v>
      </c>
      <c r="BD14" s="2654">
        <f>IF($D14="是",M14-N14,0)</f>
        <v>0</v>
      </c>
      <c r="BE14" s="2654">
        <f>IF($D14="是",O14-P14,0)</f>
        <v>0</v>
      </c>
      <c r="BF14" s="2654">
        <f>IF($D14="是",Q14-R14,0)</f>
        <v>0</v>
      </c>
      <c r="BG14" s="2654">
        <f>IF($D14="是",S14-T14,0)</f>
        <v>0</v>
      </c>
      <c r="BH14" s="2654">
        <f>IF($D14="是",U14-V14,0)</f>
        <v>0</v>
      </c>
      <c r="BI14" s="2654">
        <f>IF($D14="是",W14-X14,0)</f>
        <v>0</v>
      </c>
      <c r="BJ14" s="2654">
        <f>IF($D14="是",Y14-Z14,0)</f>
        <v>0</v>
      </c>
      <c r="BK14" s="2654">
        <f>IF($D14="是",AA14-AB14,0)</f>
        <v>0</v>
      </c>
      <c r="BL14" s="2654">
        <f>SUM(BM14:BT14)</f>
        <v>0</v>
      </c>
      <c r="BM14" s="2654">
        <f>IF($D14="是",AD14-AE14,0)</f>
        <v>0</v>
      </c>
      <c r="BN14" s="2654">
        <f>IF($D14="是",AF14-AG14,0)</f>
        <v>0</v>
      </c>
      <c r="BO14" s="2654">
        <f>IF($D14="是",AH14-AI14,0)</f>
        <v>0</v>
      </c>
      <c r="BP14" s="2654">
        <f>IF($D14="是",AJ14-AK14,0)</f>
        <v>0</v>
      </c>
      <c r="BQ14" s="2654">
        <f>IF($D14="是",AL14-AM14,0)</f>
        <v>0</v>
      </c>
      <c r="BR14" s="2654">
        <f>IF($D14="是",AN14-AO14,0)</f>
        <v>0</v>
      </c>
      <c r="BS14" s="2654">
        <f>IF($D14="是",AP14-AQ14,0)</f>
        <v>0</v>
      </c>
      <c r="BT14" s="2720">
        <f>IF($D14="是",AR14-AS14,0)</f>
        <v>0</v>
      </c>
    </row>
    <row r="15" spans="1:72" s="2640" customFormat="1" ht="12.75">
      <c r="A15" s="2668"/>
      <c r="B15" s="3127"/>
      <c r="C15" s="3127" t="str">
        <f>'面积表1（1-6#企业提供）'!B144</f>
        <v>三层</v>
      </c>
      <c r="D15" s="2669" t="s">
        <v>3373</v>
      </c>
      <c r="E15" s="2654">
        <f>IF($C$3="是",ROUND($A$3*G15/$B$3,2),ROUND($A$3*(G15-AT15)/$B$3,2))</f>
        <v>25811.38</v>
      </c>
      <c r="F15" s="2670"/>
      <c r="G15" s="2671">
        <f>H15+AC15+AT15</f>
        <v>55674.09</v>
      </c>
      <c r="H15" s="2657">
        <f>SUMIF(I$12:AB$12,"总值",I15:AB15)</f>
        <v>55674.09</v>
      </c>
      <c r="I15" s="3132">
        <f>'面积表1（1-6#企业提供）'!C144</f>
        <v>55674.09</v>
      </c>
      <c r="J15" s="2684"/>
      <c r="K15" s="2684"/>
      <c r="L15" s="2684"/>
      <c r="M15" s="2684"/>
      <c r="N15" s="2684"/>
      <c r="O15" s="2684"/>
      <c r="P15" s="2684"/>
      <c r="Q15" s="2684"/>
      <c r="R15" s="2684"/>
      <c r="S15" s="2684"/>
      <c r="T15" s="2684"/>
      <c r="U15" s="2684"/>
      <c r="V15" s="2684"/>
      <c r="W15" s="2684"/>
      <c r="X15" s="2684"/>
      <c r="Y15" s="2684"/>
      <c r="Z15" s="2684"/>
      <c r="AA15" s="2684"/>
      <c r="AB15" s="2684"/>
      <c r="AC15" s="2654">
        <f>SUMIF(AD$12:AS$12,"总值",AD15:AS15)</f>
        <v>0</v>
      </c>
      <c r="AD15" s="2694"/>
      <c r="AE15" s="2694"/>
      <c r="AF15" s="2694"/>
      <c r="AG15" s="2694"/>
      <c r="AH15" s="2694"/>
      <c r="AI15" s="2694"/>
      <c r="AJ15" s="2694"/>
      <c r="AK15" s="2694"/>
      <c r="AL15" s="2694"/>
      <c r="AM15" s="2694"/>
      <c r="AN15" s="2694"/>
      <c r="AO15" s="2694"/>
      <c r="AP15" s="2694"/>
      <c r="AQ15" s="2694"/>
      <c r="AR15" s="2694"/>
      <c r="AS15" s="2694"/>
      <c r="AT15" s="2701"/>
      <c r="AU15" s="2702"/>
      <c r="AV15" s="288">
        <f t="shared" si="6"/>
        <v>0</v>
      </c>
      <c r="AW15" s="288">
        <f t="shared" si="6"/>
        <v>0</v>
      </c>
      <c r="AX15" s="288" t="str">
        <f t="shared" si="6"/>
        <v>三层</v>
      </c>
      <c r="AY15" s="2157">
        <f>ROUND($AY$6*AZ15/$AZ$5,2)</f>
        <v>25811.38</v>
      </c>
      <c r="AZ15" s="2654">
        <f>BA15+BL15</f>
        <v>55674.09</v>
      </c>
      <c r="BA15" s="2654">
        <f>SUM(BB15:BK15)</f>
        <v>55674.09</v>
      </c>
      <c r="BB15" s="2654">
        <f>IF($D15="是",I15-J15,0)</f>
        <v>55674.09</v>
      </c>
      <c r="BC15" s="2654">
        <f>IF($D15="是",K15-L15,0)</f>
        <v>0</v>
      </c>
      <c r="BD15" s="2654">
        <f>IF($D15="是",M15-N15,0)</f>
        <v>0</v>
      </c>
      <c r="BE15" s="2654">
        <f>IF($D15="是",O15-P15,0)</f>
        <v>0</v>
      </c>
      <c r="BF15" s="2654">
        <f>IF($D15="是",Q15-R15,0)</f>
        <v>0</v>
      </c>
      <c r="BG15" s="2654">
        <f>IF($D15="是",S15-T15,0)</f>
        <v>0</v>
      </c>
      <c r="BH15" s="2654">
        <f>IF($D15="是",U15-V15,0)</f>
        <v>0</v>
      </c>
      <c r="BI15" s="2654">
        <f>IF($D15="是",W15-X15,0)</f>
        <v>0</v>
      </c>
      <c r="BJ15" s="2654">
        <f>IF($D15="是",Y15-Z15,0)</f>
        <v>0</v>
      </c>
      <c r="BK15" s="2654">
        <f>IF($D15="是",AA15-AB15,0)</f>
        <v>0</v>
      </c>
      <c r="BL15" s="2654">
        <f>SUM(BM15:BT15)</f>
        <v>0</v>
      </c>
      <c r="BM15" s="2654">
        <f>IF($D15="是",AD15-AE15,0)</f>
        <v>0</v>
      </c>
      <c r="BN15" s="2654">
        <f>IF($D15="是",AF15-AG15,0)</f>
        <v>0</v>
      </c>
      <c r="BO15" s="2654">
        <f>IF($D15="是",AH15-AI15,0)</f>
        <v>0</v>
      </c>
      <c r="BP15" s="2654">
        <f>IF($D15="是",AJ15-AK15,0)</f>
        <v>0</v>
      </c>
      <c r="BQ15" s="2654">
        <f>IF($D15="是",AL15-AM15,0)</f>
        <v>0</v>
      </c>
      <c r="BR15" s="2654">
        <f>IF($D15="是",AN15-AO15,0)</f>
        <v>0</v>
      </c>
      <c r="BS15" s="2654">
        <f>IF($D15="是",AP15-AQ15,0)</f>
        <v>0</v>
      </c>
      <c r="BT15" s="2720">
        <f>IF($D15="是",AR15-AS15,0)</f>
        <v>0</v>
      </c>
    </row>
    <row r="16" spans="1:72" s="2640" customFormat="1" ht="12.75">
      <c r="A16" s="2668"/>
      <c r="B16" s="3127"/>
      <c r="C16" s="3127" t="str">
        <f>'面积表1（1-6#企业提供）'!B145</f>
        <v>四层</v>
      </c>
      <c r="D16" s="2669" t="s">
        <v>3373</v>
      </c>
      <c r="E16" s="2654">
        <f>IF($C$3="是",ROUND($A$3*G16/$B$3,2),ROUND($A$3*(G16-AT16)/$B$3,2))</f>
        <v>9669.15</v>
      </c>
      <c r="F16" s="2670"/>
      <c r="G16" s="2671">
        <f>H16+AC16+AT16</f>
        <v>20855.97</v>
      </c>
      <c r="H16" s="2657">
        <f>SUMIF(I$12:AB$12,"总值",I16:AB16)</f>
        <v>20855.97</v>
      </c>
      <c r="I16" s="3132">
        <f>'面积表1（1-6#企业提供）'!C145</f>
        <v>20855.97</v>
      </c>
      <c r="J16" s="2684"/>
      <c r="K16" s="2684"/>
      <c r="L16" s="2684"/>
      <c r="M16" s="2684"/>
      <c r="N16" s="2684"/>
      <c r="O16" s="2684"/>
      <c r="P16" s="2684"/>
      <c r="Q16" s="2684"/>
      <c r="R16" s="2684"/>
      <c r="S16" s="2684"/>
      <c r="T16" s="2684"/>
      <c r="U16" s="2684"/>
      <c r="V16" s="2684"/>
      <c r="W16" s="2684"/>
      <c r="X16" s="2684"/>
      <c r="Y16" s="2684"/>
      <c r="Z16" s="2684"/>
      <c r="AA16" s="2684"/>
      <c r="AB16" s="2684"/>
      <c r="AC16" s="2654">
        <f>SUMIF(AD$12:AS$12,"总值",AD16:AS16)</f>
        <v>0</v>
      </c>
      <c r="AD16" s="2694"/>
      <c r="AE16" s="2694"/>
      <c r="AF16" s="2694"/>
      <c r="AG16" s="2694"/>
      <c r="AH16" s="2694"/>
      <c r="AI16" s="2694"/>
      <c r="AJ16" s="2694"/>
      <c r="AK16" s="2694"/>
      <c r="AL16" s="2694"/>
      <c r="AM16" s="2694"/>
      <c r="AN16" s="2694"/>
      <c r="AO16" s="2694"/>
      <c r="AP16" s="2694"/>
      <c r="AQ16" s="2694"/>
      <c r="AR16" s="2694"/>
      <c r="AS16" s="2694"/>
      <c r="AT16" s="2701"/>
      <c r="AU16" s="2702"/>
      <c r="AV16" s="288">
        <f t="shared" si="6"/>
        <v>0</v>
      </c>
      <c r="AW16" s="288">
        <f t="shared" si="6"/>
        <v>0</v>
      </c>
      <c r="AX16" s="288" t="str">
        <f t="shared" si="6"/>
        <v>四层</v>
      </c>
      <c r="AY16" s="2157">
        <f>ROUND($AY$6*AZ16/$AZ$5,2)</f>
        <v>9669.15</v>
      </c>
      <c r="AZ16" s="2654">
        <f>BA16+BL16</f>
        <v>20855.97</v>
      </c>
      <c r="BA16" s="2654">
        <f>SUM(BB16:BK16)</f>
        <v>20855.97</v>
      </c>
      <c r="BB16" s="2654">
        <f>IF($D16="是",I16-J16,0)</f>
        <v>20855.97</v>
      </c>
      <c r="BC16" s="2654">
        <f>IF($D16="是",K16-L16,0)</f>
        <v>0</v>
      </c>
      <c r="BD16" s="2654">
        <f>IF($D16="是",M16-N16,0)</f>
        <v>0</v>
      </c>
      <c r="BE16" s="2654">
        <f>IF($D16="是",O16-P16,0)</f>
        <v>0</v>
      </c>
      <c r="BF16" s="2654">
        <f>IF($D16="是",Q16-R16,0)</f>
        <v>0</v>
      </c>
      <c r="BG16" s="2654">
        <f>IF($D16="是",S16-T16,0)</f>
        <v>0</v>
      </c>
      <c r="BH16" s="2654">
        <f>IF($D16="是",U16-V16,0)</f>
        <v>0</v>
      </c>
      <c r="BI16" s="2654">
        <f>IF($D16="是",W16-X16,0)</f>
        <v>0</v>
      </c>
      <c r="BJ16" s="2654">
        <f>IF($D16="是",Y16-Z16,0)</f>
        <v>0</v>
      </c>
      <c r="BK16" s="2654">
        <f>IF($D16="是",AA16-AB16,0)</f>
        <v>0</v>
      </c>
      <c r="BL16" s="2654">
        <f>SUM(BM16:BT16)</f>
        <v>0</v>
      </c>
      <c r="BM16" s="2654">
        <f>IF($D16="是",AD16-AE16,0)</f>
        <v>0</v>
      </c>
      <c r="BN16" s="2654">
        <f>IF($D16="是",AF16-AG16,0)</f>
        <v>0</v>
      </c>
      <c r="BO16" s="2654">
        <f>IF($D16="是",AH16-AI16,0)</f>
        <v>0</v>
      </c>
      <c r="BP16" s="2654">
        <f>IF($D16="是",AJ16-AK16,0)</f>
        <v>0</v>
      </c>
      <c r="BQ16" s="2654">
        <f>IF($D16="是",AL16-AM16,0)</f>
        <v>0</v>
      </c>
      <c r="BR16" s="2654">
        <f>IF($D16="是",AN16-AO16,0)</f>
        <v>0</v>
      </c>
      <c r="BS16" s="2654">
        <f>IF($D16="是",AP16-AQ16,0)</f>
        <v>0</v>
      </c>
      <c r="BT16" s="2720">
        <f>IF($D16="是",AR16-AS16,0)</f>
        <v>0</v>
      </c>
    </row>
    <row r="17" spans="1:72" s="2640" customFormat="1" ht="12.75">
      <c r="A17" s="2668"/>
      <c r="B17" s="3128" t="s">
        <v>3308</v>
      </c>
      <c r="C17" s="3129" t="str">
        <f>'面积表1（1-6#企业提供）'!B148</f>
        <v>一层</v>
      </c>
      <c r="D17" s="2669"/>
      <c r="E17" s="2654">
        <f>IF($C$3="是",ROUND($A$3*G17/$B$3,2),ROUND($A$3*(G17-AT17)/$B$3,2))</f>
        <v>0</v>
      </c>
      <c r="F17" s="2670"/>
      <c r="G17" s="2671">
        <f>H17+AC17+AT17</f>
        <v>0</v>
      </c>
      <c r="H17" s="2657">
        <f>SUMIF(I$12:AB$12,"总值",I17:AB17)</f>
        <v>0</v>
      </c>
      <c r="I17" s="3133"/>
      <c r="J17" s="2684"/>
      <c r="K17" s="2684"/>
      <c r="L17" s="2684"/>
      <c r="M17" s="2684"/>
      <c r="N17" s="2684"/>
      <c r="O17" s="2684"/>
      <c r="P17" s="2684"/>
      <c r="Q17" s="2684"/>
      <c r="R17" s="2684"/>
      <c r="S17" s="2684"/>
      <c r="T17" s="2684"/>
      <c r="U17" s="2684"/>
      <c r="V17" s="2684"/>
      <c r="W17" s="2684"/>
      <c r="X17" s="2684"/>
      <c r="Y17" s="2684"/>
      <c r="Z17" s="2684"/>
      <c r="AA17" s="2684"/>
      <c r="AB17" s="2684"/>
      <c r="AC17" s="2654">
        <f>SUMIF(AD$12:AS$12,"总值",AD17:AS17)</f>
        <v>0</v>
      </c>
      <c r="AD17" s="2694"/>
      <c r="AE17" s="2694"/>
      <c r="AF17" s="2694"/>
      <c r="AG17" s="2694"/>
      <c r="AH17" s="2694"/>
      <c r="AI17" s="2694"/>
      <c r="AJ17" s="2694"/>
      <c r="AK17" s="2694"/>
      <c r="AL17" s="2694"/>
      <c r="AM17" s="2694"/>
      <c r="AN17" s="2694"/>
      <c r="AO17" s="2694"/>
      <c r="AP17" s="2694"/>
      <c r="AQ17" s="2694"/>
      <c r="AR17" s="2694"/>
      <c r="AS17" s="2694"/>
      <c r="AT17" s="2701"/>
      <c r="AU17" s="2702"/>
      <c r="AV17" s="288">
        <f t="shared" si="6"/>
        <v>0</v>
      </c>
      <c r="AW17" s="288" t="str">
        <f t="shared" si="6"/>
        <v>二号广场</v>
      </c>
      <c r="AX17" s="288" t="str">
        <f t="shared" si="6"/>
        <v>一层</v>
      </c>
      <c r="AY17" s="2157">
        <f>ROUND($AY$6*AZ17/$AZ$5,2)</f>
        <v>0</v>
      </c>
      <c r="AZ17" s="2654">
        <f>BA17+BL17</f>
        <v>0</v>
      </c>
      <c r="BA17" s="2654">
        <f>SUM(BB17:BK17)</f>
        <v>0</v>
      </c>
      <c r="BB17" s="2654">
        <f>IF($D17="是",I17-J17,0)</f>
        <v>0</v>
      </c>
      <c r="BC17" s="2654">
        <f>IF($D17="是",K17-L17,0)</f>
        <v>0</v>
      </c>
      <c r="BD17" s="2654">
        <f>IF($D17="是",M17-N17,0)</f>
        <v>0</v>
      </c>
      <c r="BE17" s="2654">
        <f>IF($D17="是",O17-P17,0)</f>
        <v>0</v>
      </c>
      <c r="BF17" s="2654">
        <f>IF($D17="是",Q17-R17,0)</f>
        <v>0</v>
      </c>
      <c r="BG17" s="2654">
        <f>IF($D17="是",S17-T17,0)</f>
        <v>0</v>
      </c>
      <c r="BH17" s="2654">
        <f>IF($D17="是",U17-V17,0)</f>
        <v>0</v>
      </c>
      <c r="BI17" s="2654">
        <f>IF($D17="是",W17-X17,0)</f>
        <v>0</v>
      </c>
      <c r="BJ17" s="2654">
        <f>IF($D17="是",Y17-Z17,0)</f>
        <v>0</v>
      </c>
      <c r="BK17" s="2654">
        <f>IF($D17="是",AA17-AB17,0)</f>
        <v>0</v>
      </c>
      <c r="BL17" s="2654">
        <f>SUM(BM17:BT17)</f>
        <v>0</v>
      </c>
      <c r="BM17" s="2654">
        <f>IF($D17="是",AD17-AE17,0)</f>
        <v>0</v>
      </c>
      <c r="BN17" s="2654">
        <f>IF($D17="是",AF17-AG17,0)</f>
        <v>0</v>
      </c>
      <c r="BO17" s="2654">
        <f>IF($D17="是",AH17-AI17,0)</f>
        <v>0</v>
      </c>
      <c r="BP17" s="2654">
        <f>IF($D17="是",AJ17-AK17,0)</f>
        <v>0</v>
      </c>
      <c r="BQ17" s="2654">
        <f>IF($D17="是",AL17-AM17,0)</f>
        <v>0</v>
      </c>
      <c r="BR17" s="2654">
        <f>IF($D17="是",AN17-AO17,0)</f>
        <v>0</v>
      </c>
      <c r="BS17" s="2654">
        <f>IF($D17="是",AP17-AQ17,0)</f>
        <v>0</v>
      </c>
      <c r="BT17" s="2720">
        <f>IF($D17="是",AR17-AS17,0)</f>
        <v>0</v>
      </c>
    </row>
    <row r="18" spans="1:72">
      <c r="A18" s="2673"/>
      <c r="B18" s="3130"/>
      <c r="C18" s="3129" t="str">
        <f>'面积表1（1-6#企业提供）'!B149</f>
        <v>二层</v>
      </c>
      <c r="D18" s="2277"/>
      <c r="E18" s="2675">
        <f t="shared" ref="E18:E112" si="7">IF($C$3="是",ROUND($A$3*G18/$B$3,2),ROUND($A$3*(G18-AT18)/$B$3,2))</f>
        <v>0</v>
      </c>
      <c r="F18" s="2676"/>
      <c r="G18" s="2677">
        <f t="shared" ref="G18:G109" si="8">H18+AC18+AT18</f>
        <v>0</v>
      </c>
      <c r="H18" s="2678">
        <f t="shared" ref="H18:H109" si="9">SUMIF(I$12:AB$12,"总值",I18:AB18)</f>
        <v>0</v>
      </c>
      <c r="I18" s="3133"/>
      <c r="J18" s="2685"/>
      <c r="K18" s="2685"/>
      <c r="L18" s="2685"/>
      <c r="M18" s="2685"/>
      <c r="N18" s="2685"/>
      <c r="O18" s="2685"/>
      <c r="P18" s="2685"/>
      <c r="Q18" s="2685"/>
      <c r="R18" s="2685"/>
      <c r="S18" s="2685"/>
      <c r="T18" s="2685"/>
      <c r="U18" s="2685"/>
      <c r="V18" s="2685"/>
      <c r="W18" s="2685"/>
      <c r="X18" s="2685"/>
      <c r="Y18" s="2685"/>
      <c r="Z18" s="2685"/>
      <c r="AA18" s="2685"/>
      <c r="AB18" s="2685"/>
      <c r="AC18" s="2675">
        <f t="shared" ref="AC18:AC109" si="10">SUMIF(AD$12:AS$12,"总值",AD18:AS18)</f>
        <v>0</v>
      </c>
      <c r="AD18" s="2695"/>
      <c r="AE18" s="2695"/>
      <c r="AF18" s="2695"/>
      <c r="AG18" s="2695"/>
      <c r="AH18" s="2695"/>
      <c r="AI18" s="2695"/>
      <c r="AJ18" s="2695"/>
      <c r="AK18" s="2695"/>
      <c r="AL18" s="2695"/>
      <c r="AM18" s="2695"/>
      <c r="AN18" s="2695"/>
      <c r="AO18" s="2695"/>
      <c r="AP18" s="2695"/>
      <c r="AQ18" s="2695"/>
      <c r="AR18" s="2695"/>
      <c r="AS18" s="2695"/>
      <c r="AT18" s="2703"/>
      <c r="AU18" s="2704"/>
      <c r="AV18" s="1074">
        <f t="shared" ref="AV18:AV112" si="11">A18</f>
        <v>0</v>
      </c>
      <c r="AW18" s="1074">
        <f t="shared" ref="AW18:AW112" si="12">B18</f>
        <v>0</v>
      </c>
      <c r="AX18" s="1074" t="str">
        <f t="shared" ref="AX18:AX112" si="13">C18</f>
        <v>二层</v>
      </c>
      <c r="AY18" s="2279">
        <f t="shared" ref="AY18:AY109" si="14">ROUND($AY$6*AZ18/$AZ$5,2)</f>
        <v>0</v>
      </c>
      <c r="AZ18" s="2675">
        <f t="shared" ref="AZ18:AZ109" si="15">BA18+BL18</f>
        <v>0</v>
      </c>
      <c r="BA18" s="2675">
        <f t="shared" ref="BA18:BA109" si="16">SUM(BB18:BK18)</f>
        <v>0</v>
      </c>
      <c r="BB18" s="2675">
        <f t="shared" ref="BB18:BB109" si="17">IF($D18="是",I18-J18,0)</f>
        <v>0</v>
      </c>
      <c r="BC18" s="2675">
        <f t="shared" ref="BC18:BC109" si="18">IF($D18="是",K18-L18,0)</f>
        <v>0</v>
      </c>
      <c r="BD18" s="2675">
        <f t="shared" ref="BD18:BD109" si="19">IF($D18="是",M18-N18,0)</f>
        <v>0</v>
      </c>
      <c r="BE18" s="2675">
        <f t="shared" ref="BE18:BE109" si="20">IF($D18="是",O18-P18,0)</f>
        <v>0</v>
      </c>
      <c r="BF18" s="2675">
        <f t="shared" ref="BF18:BF109" si="21">IF($D18="是",Q18-R18,0)</f>
        <v>0</v>
      </c>
      <c r="BG18" s="2675">
        <f t="shared" ref="BG18:BG109" si="22">IF($D18="是",S18-T18,0)</f>
        <v>0</v>
      </c>
      <c r="BH18" s="2675">
        <f t="shared" ref="BH18:BH109" si="23">IF($D18="是",U18-V18,0)</f>
        <v>0</v>
      </c>
      <c r="BI18" s="2675">
        <f t="shared" ref="BI18:BI109" si="24">IF($D18="是",W18-X18,0)</f>
        <v>0</v>
      </c>
      <c r="BJ18" s="2675">
        <f t="shared" ref="BJ18:BJ109" si="25">IF($D18="是",Y18-Z18,0)</f>
        <v>0</v>
      </c>
      <c r="BK18" s="2675">
        <f t="shared" ref="BK18:BK109" si="26">IF($D18="是",AA18-AB18,0)</f>
        <v>0</v>
      </c>
      <c r="BL18" s="2675">
        <f t="shared" ref="BL18:BL109" si="27">SUM(BM18:BT18)</f>
        <v>0</v>
      </c>
      <c r="BM18" s="2675">
        <f t="shared" ref="BM18:BM109" si="28">IF($D18="是",AD18-AE18,0)</f>
        <v>0</v>
      </c>
      <c r="BN18" s="2675">
        <f t="shared" ref="BN18:BN109" si="29">IF($D18="是",AF18-AG18,0)</f>
        <v>0</v>
      </c>
      <c r="BO18" s="2675">
        <f t="shared" ref="BO18:BO109" si="30">IF($D18="是",AH18-AI18,0)</f>
        <v>0</v>
      </c>
      <c r="BP18" s="2675">
        <f t="shared" ref="BP18:BP109" si="31">IF($D18="是",AJ18-AK18,0)</f>
        <v>0</v>
      </c>
      <c r="BQ18" s="2675">
        <f t="shared" ref="BQ18:BQ109" si="32">IF($D18="是",AL18-AM18,0)</f>
        <v>0</v>
      </c>
      <c r="BR18" s="2675">
        <f t="shared" ref="BR18:BR109" si="33">IF($D18="是",AN18-AO18,0)</f>
        <v>0</v>
      </c>
      <c r="BS18" s="2675">
        <f t="shared" ref="BS18:BS109" si="34">IF($D18="是",AP18-AQ18,0)</f>
        <v>0</v>
      </c>
      <c r="BT18" s="2722">
        <f t="shared" ref="BT18:BT109" si="35">IF($D18="是",AR18-AS18,0)</f>
        <v>0</v>
      </c>
    </row>
    <row r="19" spans="1:72">
      <c r="A19" s="2673"/>
      <c r="B19" s="3130"/>
      <c r="C19" s="3129" t="str">
        <f>'面积表1（1-6#企业提供）'!B150</f>
        <v>三层</v>
      </c>
      <c r="D19" s="2277"/>
      <c r="E19" s="2675">
        <f t="shared" si="7"/>
        <v>0</v>
      </c>
      <c r="F19" s="2676"/>
      <c r="G19" s="2677">
        <f t="shared" si="8"/>
        <v>0</v>
      </c>
      <c r="H19" s="2678">
        <f t="shared" si="9"/>
        <v>0</v>
      </c>
      <c r="I19" s="3133"/>
      <c r="J19" s="2685"/>
      <c r="K19" s="2685"/>
      <c r="L19" s="2685"/>
      <c r="M19" s="2685"/>
      <c r="N19" s="2685"/>
      <c r="O19" s="2685"/>
      <c r="P19" s="2685"/>
      <c r="Q19" s="2685"/>
      <c r="R19" s="2685"/>
      <c r="S19" s="2685"/>
      <c r="T19" s="2685"/>
      <c r="U19" s="2685"/>
      <c r="V19" s="2685"/>
      <c r="W19" s="2685"/>
      <c r="X19" s="2685"/>
      <c r="Y19" s="2685"/>
      <c r="Z19" s="2685"/>
      <c r="AA19" s="2685"/>
      <c r="AB19" s="2685"/>
      <c r="AC19" s="2675">
        <f t="shared" si="10"/>
        <v>0</v>
      </c>
      <c r="AD19" s="2695"/>
      <c r="AE19" s="2695"/>
      <c r="AF19" s="2695"/>
      <c r="AG19" s="2695"/>
      <c r="AH19" s="2695"/>
      <c r="AI19" s="2695"/>
      <c r="AJ19" s="2695"/>
      <c r="AK19" s="2695"/>
      <c r="AL19" s="2695"/>
      <c r="AM19" s="2695"/>
      <c r="AN19" s="2695"/>
      <c r="AO19" s="2695"/>
      <c r="AP19" s="2695"/>
      <c r="AQ19" s="2695"/>
      <c r="AR19" s="2695"/>
      <c r="AS19" s="2695"/>
      <c r="AT19" s="2703"/>
      <c r="AU19" s="2704"/>
      <c r="AV19" s="1074">
        <f t="shared" si="11"/>
        <v>0</v>
      </c>
      <c r="AW19" s="1074">
        <f t="shared" si="12"/>
        <v>0</v>
      </c>
      <c r="AX19" s="1074" t="str">
        <f t="shared" si="13"/>
        <v>三层</v>
      </c>
      <c r="AY19" s="2279">
        <f t="shared" si="14"/>
        <v>0</v>
      </c>
      <c r="AZ19" s="2675">
        <f t="shared" si="15"/>
        <v>0</v>
      </c>
      <c r="BA19" s="2675">
        <f t="shared" si="16"/>
        <v>0</v>
      </c>
      <c r="BB19" s="2675">
        <f t="shared" si="17"/>
        <v>0</v>
      </c>
      <c r="BC19" s="2675">
        <f t="shared" si="18"/>
        <v>0</v>
      </c>
      <c r="BD19" s="2675">
        <f t="shared" si="19"/>
        <v>0</v>
      </c>
      <c r="BE19" s="2675">
        <f t="shared" si="20"/>
        <v>0</v>
      </c>
      <c r="BF19" s="2675">
        <f t="shared" si="21"/>
        <v>0</v>
      </c>
      <c r="BG19" s="2675">
        <f t="shared" si="22"/>
        <v>0</v>
      </c>
      <c r="BH19" s="2675">
        <f t="shared" si="23"/>
        <v>0</v>
      </c>
      <c r="BI19" s="2675">
        <f t="shared" si="24"/>
        <v>0</v>
      </c>
      <c r="BJ19" s="2675">
        <f t="shared" si="25"/>
        <v>0</v>
      </c>
      <c r="BK19" s="2675">
        <f t="shared" si="26"/>
        <v>0</v>
      </c>
      <c r="BL19" s="2675">
        <f t="shared" si="27"/>
        <v>0</v>
      </c>
      <c r="BM19" s="2675">
        <f t="shared" si="28"/>
        <v>0</v>
      </c>
      <c r="BN19" s="2675">
        <f t="shared" si="29"/>
        <v>0</v>
      </c>
      <c r="BO19" s="2675">
        <f t="shared" si="30"/>
        <v>0</v>
      </c>
      <c r="BP19" s="2675">
        <f t="shared" si="31"/>
        <v>0</v>
      </c>
      <c r="BQ19" s="2675">
        <f t="shared" si="32"/>
        <v>0</v>
      </c>
      <c r="BR19" s="2675">
        <f t="shared" si="33"/>
        <v>0</v>
      </c>
      <c r="BS19" s="2675">
        <f t="shared" si="34"/>
        <v>0</v>
      </c>
      <c r="BT19" s="2722">
        <f t="shared" si="35"/>
        <v>0</v>
      </c>
    </row>
    <row r="20" spans="1:72">
      <c r="A20" s="2673"/>
      <c r="B20" s="3130"/>
      <c r="C20" s="3129" t="str">
        <f>'面积表1（1-6#企业提供）'!B151</f>
        <v>四层</v>
      </c>
      <c r="D20" s="2277"/>
      <c r="E20" s="2675">
        <f t="shared" si="7"/>
        <v>0</v>
      </c>
      <c r="F20" s="2676"/>
      <c r="G20" s="2677">
        <f t="shared" si="8"/>
        <v>0</v>
      </c>
      <c r="H20" s="2678">
        <f t="shared" si="9"/>
        <v>0</v>
      </c>
      <c r="I20" s="3133"/>
      <c r="J20" s="2685"/>
      <c r="K20" s="2685"/>
      <c r="L20" s="2685"/>
      <c r="M20" s="2685"/>
      <c r="N20" s="2685"/>
      <c r="O20" s="2685"/>
      <c r="P20" s="2685"/>
      <c r="Q20" s="2685"/>
      <c r="R20" s="2685"/>
      <c r="S20" s="2685"/>
      <c r="T20" s="2685"/>
      <c r="U20" s="2685"/>
      <c r="V20" s="2685"/>
      <c r="W20" s="2685"/>
      <c r="X20" s="2685"/>
      <c r="Y20" s="2685"/>
      <c r="Z20" s="2685"/>
      <c r="AA20" s="2685"/>
      <c r="AB20" s="2685"/>
      <c r="AC20" s="2675">
        <f t="shared" si="10"/>
        <v>0</v>
      </c>
      <c r="AD20" s="2695"/>
      <c r="AE20" s="2695"/>
      <c r="AF20" s="2695"/>
      <c r="AG20" s="2695"/>
      <c r="AH20" s="2695"/>
      <c r="AI20" s="2695"/>
      <c r="AJ20" s="2695"/>
      <c r="AK20" s="2695"/>
      <c r="AL20" s="2695"/>
      <c r="AM20" s="2695"/>
      <c r="AN20" s="2695"/>
      <c r="AO20" s="2695"/>
      <c r="AP20" s="2695"/>
      <c r="AQ20" s="2695"/>
      <c r="AR20" s="2695"/>
      <c r="AS20" s="2695"/>
      <c r="AT20" s="2703"/>
      <c r="AU20" s="2704"/>
      <c r="AV20" s="1074">
        <f t="shared" si="11"/>
        <v>0</v>
      </c>
      <c r="AW20" s="1074">
        <f t="shared" si="12"/>
        <v>0</v>
      </c>
      <c r="AX20" s="1074" t="str">
        <f t="shared" si="13"/>
        <v>四层</v>
      </c>
      <c r="AY20" s="2279">
        <f t="shared" si="14"/>
        <v>0</v>
      </c>
      <c r="AZ20" s="2675">
        <f t="shared" si="15"/>
        <v>0</v>
      </c>
      <c r="BA20" s="2675">
        <f t="shared" si="16"/>
        <v>0</v>
      </c>
      <c r="BB20" s="2675">
        <f t="shared" si="17"/>
        <v>0</v>
      </c>
      <c r="BC20" s="2675">
        <f t="shared" si="18"/>
        <v>0</v>
      </c>
      <c r="BD20" s="2675">
        <f t="shared" si="19"/>
        <v>0</v>
      </c>
      <c r="BE20" s="2675">
        <f t="shared" si="20"/>
        <v>0</v>
      </c>
      <c r="BF20" s="2675">
        <f t="shared" si="21"/>
        <v>0</v>
      </c>
      <c r="BG20" s="2675">
        <f t="shared" si="22"/>
        <v>0</v>
      </c>
      <c r="BH20" s="2675">
        <f t="shared" si="23"/>
        <v>0</v>
      </c>
      <c r="BI20" s="2675">
        <f t="shared" si="24"/>
        <v>0</v>
      </c>
      <c r="BJ20" s="2675">
        <f t="shared" si="25"/>
        <v>0</v>
      </c>
      <c r="BK20" s="2675">
        <f t="shared" si="26"/>
        <v>0</v>
      </c>
      <c r="BL20" s="2675">
        <f t="shared" si="27"/>
        <v>0</v>
      </c>
      <c r="BM20" s="2675">
        <f t="shared" si="28"/>
        <v>0</v>
      </c>
      <c r="BN20" s="2675">
        <f t="shared" si="29"/>
        <v>0</v>
      </c>
      <c r="BO20" s="2675">
        <f t="shared" si="30"/>
        <v>0</v>
      </c>
      <c r="BP20" s="2675">
        <f t="shared" si="31"/>
        <v>0</v>
      </c>
      <c r="BQ20" s="2675">
        <f t="shared" si="32"/>
        <v>0</v>
      </c>
      <c r="BR20" s="2675">
        <f t="shared" si="33"/>
        <v>0</v>
      </c>
      <c r="BS20" s="2675">
        <f t="shared" si="34"/>
        <v>0</v>
      </c>
      <c r="BT20" s="2722">
        <f t="shared" si="35"/>
        <v>0</v>
      </c>
    </row>
    <row r="21" spans="1:72">
      <c r="A21" s="2673"/>
      <c r="B21" s="3130"/>
      <c r="C21" s="3129" t="str">
        <f>'面积表1（1-6#企业提供）'!B152</f>
        <v>底商</v>
      </c>
      <c r="D21" s="2277"/>
      <c r="E21" s="2675">
        <f t="shared" si="7"/>
        <v>0</v>
      </c>
      <c r="F21" s="2676"/>
      <c r="G21" s="2677">
        <f t="shared" si="8"/>
        <v>0</v>
      </c>
      <c r="H21" s="2678">
        <f t="shared" si="9"/>
        <v>0</v>
      </c>
      <c r="I21" s="3133"/>
      <c r="J21" s="2685"/>
      <c r="K21" s="2685"/>
      <c r="L21" s="2685"/>
      <c r="M21" s="2685"/>
      <c r="N21" s="2685"/>
      <c r="O21" s="2685"/>
      <c r="P21" s="2685"/>
      <c r="Q21" s="2685"/>
      <c r="R21" s="2685"/>
      <c r="S21" s="2685"/>
      <c r="T21" s="2685"/>
      <c r="U21" s="2685"/>
      <c r="V21" s="2685"/>
      <c r="W21" s="2685"/>
      <c r="X21" s="2685"/>
      <c r="Y21" s="2685"/>
      <c r="Z21" s="2685"/>
      <c r="AA21" s="2685"/>
      <c r="AB21" s="2685"/>
      <c r="AC21" s="2675">
        <f t="shared" si="10"/>
        <v>0</v>
      </c>
      <c r="AD21" s="2695"/>
      <c r="AE21" s="2695"/>
      <c r="AF21" s="2695"/>
      <c r="AG21" s="2695"/>
      <c r="AH21" s="2695"/>
      <c r="AI21" s="2695"/>
      <c r="AJ21" s="2695"/>
      <c r="AK21" s="2695"/>
      <c r="AL21" s="2695"/>
      <c r="AM21" s="2695"/>
      <c r="AN21" s="2695"/>
      <c r="AO21" s="2695"/>
      <c r="AP21" s="2695"/>
      <c r="AQ21" s="2695"/>
      <c r="AR21" s="2695"/>
      <c r="AS21" s="2695"/>
      <c r="AT21" s="2703"/>
      <c r="AU21" s="2704"/>
      <c r="AV21" s="1074">
        <f t="shared" si="11"/>
        <v>0</v>
      </c>
      <c r="AW21" s="1074">
        <f t="shared" si="12"/>
        <v>0</v>
      </c>
      <c r="AX21" s="1074" t="str">
        <f t="shared" si="13"/>
        <v>底商</v>
      </c>
      <c r="AY21" s="2279">
        <f t="shared" si="14"/>
        <v>0</v>
      </c>
      <c r="AZ21" s="2675">
        <f t="shared" si="15"/>
        <v>0</v>
      </c>
      <c r="BA21" s="2675">
        <f t="shared" si="16"/>
        <v>0</v>
      </c>
      <c r="BB21" s="2675">
        <f t="shared" si="17"/>
        <v>0</v>
      </c>
      <c r="BC21" s="2675">
        <f t="shared" si="18"/>
        <v>0</v>
      </c>
      <c r="BD21" s="2675">
        <f t="shared" si="19"/>
        <v>0</v>
      </c>
      <c r="BE21" s="2675">
        <f t="shared" si="20"/>
        <v>0</v>
      </c>
      <c r="BF21" s="2675">
        <f t="shared" si="21"/>
        <v>0</v>
      </c>
      <c r="BG21" s="2675">
        <f t="shared" si="22"/>
        <v>0</v>
      </c>
      <c r="BH21" s="2675">
        <f t="shared" si="23"/>
        <v>0</v>
      </c>
      <c r="BI21" s="2675">
        <f t="shared" si="24"/>
        <v>0</v>
      </c>
      <c r="BJ21" s="2675">
        <f t="shared" si="25"/>
        <v>0</v>
      </c>
      <c r="BK21" s="2675">
        <f t="shared" si="26"/>
        <v>0</v>
      </c>
      <c r="BL21" s="2675">
        <f t="shared" si="27"/>
        <v>0</v>
      </c>
      <c r="BM21" s="2675">
        <f t="shared" si="28"/>
        <v>0</v>
      </c>
      <c r="BN21" s="2675">
        <f t="shared" si="29"/>
        <v>0</v>
      </c>
      <c r="BO21" s="2675">
        <f t="shared" si="30"/>
        <v>0</v>
      </c>
      <c r="BP21" s="2675">
        <f t="shared" si="31"/>
        <v>0</v>
      </c>
      <c r="BQ21" s="2675">
        <f t="shared" si="32"/>
        <v>0</v>
      </c>
      <c r="BR21" s="2675">
        <f t="shared" si="33"/>
        <v>0</v>
      </c>
      <c r="BS21" s="2675">
        <f t="shared" si="34"/>
        <v>0</v>
      </c>
      <c r="BT21" s="2722">
        <f t="shared" si="35"/>
        <v>0</v>
      </c>
    </row>
    <row r="22" spans="1:72">
      <c r="A22" s="2673"/>
      <c r="B22" s="3124" t="s">
        <v>3309</v>
      </c>
      <c r="C22" s="3125" t="str">
        <f>'面积表1（1-6#企业提供）'!B154</f>
        <v>一层</v>
      </c>
      <c r="D22" s="2277"/>
      <c r="E22" s="2675">
        <f t="shared" si="7"/>
        <v>0</v>
      </c>
      <c r="F22" s="2676"/>
      <c r="G22" s="2677">
        <f t="shared" si="8"/>
        <v>0</v>
      </c>
      <c r="H22" s="2678">
        <f t="shared" si="9"/>
        <v>0</v>
      </c>
      <c r="I22" s="3132"/>
      <c r="J22" s="2685"/>
      <c r="K22" s="2685"/>
      <c r="L22" s="2685"/>
      <c r="M22" s="2685"/>
      <c r="N22" s="2685"/>
      <c r="O22" s="2685"/>
      <c r="P22" s="2685"/>
      <c r="Q22" s="2685"/>
      <c r="R22" s="2685"/>
      <c r="S22" s="2685"/>
      <c r="T22" s="2685"/>
      <c r="U22" s="2685"/>
      <c r="V22" s="2685"/>
      <c r="W22" s="2685"/>
      <c r="X22" s="2685"/>
      <c r="Y22" s="2685"/>
      <c r="Z22" s="2685"/>
      <c r="AA22" s="2685"/>
      <c r="AB22" s="2685"/>
      <c r="AC22" s="2675">
        <f t="shared" si="10"/>
        <v>0</v>
      </c>
      <c r="AD22" s="2695"/>
      <c r="AE22" s="2695"/>
      <c r="AF22" s="2695"/>
      <c r="AG22" s="2695"/>
      <c r="AH22" s="2695"/>
      <c r="AI22" s="2695"/>
      <c r="AJ22" s="2695"/>
      <c r="AK22" s="2695"/>
      <c r="AL22" s="2695"/>
      <c r="AM22" s="2695"/>
      <c r="AN22" s="2695"/>
      <c r="AO22" s="2695"/>
      <c r="AP22" s="2695"/>
      <c r="AQ22" s="2695"/>
      <c r="AR22" s="2695"/>
      <c r="AS22" s="2695"/>
      <c r="AT22" s="2703"/>
      <c r="AU22" s="2704"/>
      <c r="AV22" s="1074">
        <f t="shared" si="11"/>
        <v>0</v>
      </c>
      <c r="AW22" s="1074" t="str">
        <f t="shared" si="12"/>
        <v>三号广场</v>
      </c>
      <c r="AX22" s="1074" t="str">
        <f t="shared" si="13"/>
        <v>一层</v>
      </c>
      <c r="AY22" s="2279">
        <f t="shared" si="14"/>
        <v>0</v>
      </c>
      <c r="AZ22" s="2675">
        <f t="shared" si="15"/>
        <v>0</v>
      </c>
      <c r="BA22" s="2675">
        <f t="shared" si="16"/>
        <v>0</v>
      </c>
      <c r="BB22" s="2675">
        <f t="shared" si="17"/>
        <v>0</v>
      </c>
      <c r="BC22" s="2675">
        <f t="shared" si="18"/>
        <v>0</v>
      </c>
      <c r="BD22" s="2675">
        <f t="shared" si="19"/>
        <v>0</v>
      </c>
      <c r="BE22" s="2675">
        <f t="shared" si="20"/>
        <v>0</v>
      </c>
      <c r="BF22" s="2675">
        <f t="shared" si="21"/>
        <v>0</v>
      </c>
      <c r="BG22" s="2675">
        <f t="shared" si="22"/>
        <v>0</v>
      </c>
      <c r="BH22" s="2675">
        <f t="shared" si="23"/>
        <v>0</v>
      </c>
      <c r="BI22" s="2675">
        <f t="shared" si="24"/>
        <v>0</v>
      </c>
      <c r="BJ22" s="2675">
        <f t="shared" si="25"/>
        <v>0</v>
      </c>
      <c r="BK22" s="2675">
        <f t="shared" si="26"/>
        <v>0</v>
      </c>
      <c r="BL22" s="2675">
        <f t="shared" si="27"/>
        <v>0</v>
      </c>
      <c r="BM22" s="2675">
        <f t="shared" si="28"/>
        <v>0</v>
      </c>
      <c r="BN22" s="2675">
        <f t="shared" si="29"/>
        <v>0</v>
      </c>
      <c r="BO22" s="2675">
        <f t="shared" si="30"/>
        <v>0</v>
      </c>
      <c r="BP22" s="2675">
        <f t="shared" si="31"/>
        <v>0</v>
      </c>
      <c r="BQ22" s="2675">
        <f t="shared" si="32"/>
        <v>0</v>
      </c>
      <c r="BR22" s="2675">
        <f t="shared" si="33"/>
        <v>0</v>
      </c>
      <c r="BS22" s="2675">
        <f t="shared" si="34"/>
        <v>0</v>
      </c>
      <c r="BT22" s="2722">
        <f t="shared" si="35"/>
        <v>0</v>
      </c>
    </row>
    <row r="23" spans="1:72">
      <c r="A23" s="2673"/>
      <c r="B23" s="3125"/>
      <c r="C23" s="3125" t="str">
        <f>'面积表1（1-6#企业提供）'!B155</f>
        <v>二层</v>
      </c>
      <c r="D23" s="2277"/>
      <c r="E23" s="2675">
        <f t="shared" si="7"/>
        <v>0</v>
      </c>
      <c r="F23" s="2676"/>
      <c r="G23" s="2677">
        <f t="shared" si="8"/>
        <v>0</v>
      </c>
      <c r="H23" s="2678">
        <f t="shared" si="9"/>
        <v>0</v>
      </c>
      <c r="I23" s="3132"/>
      <c r="J23" s="2685"/>
      <c r="K23" s="2685"/>
      <c r="L23" s="2685"/>
      <c r="M23" s="2685"/>
      <c r="N23" s="2685"/>
      <c r="O23" s="2685"/>
      <c r="P23" s="2685"/>
      <c r="Q23" s="2685"/>
      <c r="R23" s="2685"/>
      <c r="S23" s="2685"/>
      <c r="T23" s="2685"/>
      <c r="U23" s="2685"/>
      <c r="V23" s="2685"/>
      <c r="W23" s="2685"/>
      <c r="X23" s="2685"/>
      <c r="Y23" s="2685"/>
      <c r="Z23" s="2685"/>
      <c r="AA23" s="2685"/>
      <c r="AB23" s="2685"/>
      <c r="AC23" s="2675">
        <f t="shared" si="10"/>
        <v>0</v>
      </c>
      <c r="AD23" s="2695"/>
      <c r="AE23" s="2695"/>
      <c r="AF23" s="2695"/>
      <c r="AG23" s="2695"/>
      <c r="AH23" s="2695"/>
      <c r="AI23" s="2695"/>
      <c r="AJ23" s="2695"/>
      <c r="AK23" s="2695"/>
      <c r="AL23" s="2695"/>
      <c r="AM23" s="2695"/>
      <c r="AN23" s="2695"/>
      <c r="AO23" s="2695"/>
      <c r="AP23" s="2695"/>
      <c r="AQ23" s="2695"/>
      <c r="AR23" s="2695"/>
      <c r="AS23" s="2695"/>
      <c r="AT23" s="2703"/>
      <c r="AU23" s="2704"/>
      <c r="AV23" s="1074">
        <f t="shared" si="11"/>
        <v>0</v>
      </c>
      <c r="AW23" s="1074">
        <f t="shared" si="12"/>
        <v>0</v>
      </c>
      <c r="AX23" s="1074" t="str">
        <f t="shared" si="13"/>
        <v>二层</v>
      </c>
      <c r="AY23" s="2279">
        <f t="shared" si="14"/>
        <v>0</v>
      </c>
      <c r="AZ23" s="2675">
        <f t="shared" si="15"/>
        <v>0</v>
      </c>
      <c r="BA23" s="2675">
        <f t="shared" si="16"/>
        <v>0</v>
      </c>
      <c r="BB23" s="2675">
        <f t="shared" si="17"/>
        <v>0</v>
      </c>
      <c r="BC23" s="2675">
        <f t="shared" si="18"/>
        <v>0</v>
      </c>
      <c r="BD23" s="2675">
        <f t="shared" si="19"/>
        <v>0</v>
      </c>
      <c r="BE23" s="2675">
        <f t="shared" si="20"/>
        <v>0</v>
      </c>
      <c r="BF23" s="2675">
        <f t="shared" si="21"/>
        <v>0</v>
      </c>
      <c r="BG23" s="2675">
        <f t="shared" si="22"/>
        <v>0</v>
      </c>
      <c r="BH23" s="2675">
        <f t="shared" si="23"/>
        <v>0</v>
      </c>
      <c r="BI23" s="2675">
        <f t="shared" si="24"/>
        <v>0</v>
      </c>
      <c r="BJ23" s="2675">
        <f t="shared" si="25"/>
        <v>0</v>
      </c>
      <c r="BK23" s="2675">
        <f t="shared" si="26"/>
        <v>0</v>
      </c>
      <c r="BL23" s="2675">
        <f t="shared" si="27"/>
        <v>0</v>
      </c>
      <c r="BM23" s="2675">
        <f t="shared" si="28"/>
        <v>0</v>
      </c>
      <c r="BN23" s="2675">
        <f t="shared" si="29"/>
        <v>0</v>
      </c>
      <c r="BO23" s="2675">
        <f t="shared" si="30"/>
        <v>0</v>
      </c>
      <c r="BP23" s="2675">
        <f t="shared" si="31"/>
        <v>0</v>
      </c>
      <c r="BQ23" s="2675">
        <f t="shared" si="32"/>
        <v>0</v>
      </c>
      <c r="BR23" s="2675">
        <f t="shared" si="33"/>
        <v>0</v>
      </c>
      <c r="BS23" s="2675">
        <f t="shared" si="34"/>
        <v>0</v>
      </c>
      <c r="BT23" s="2722">
        <f t="shared" si="35"/>
        <v>0</v>
      </c>
    </row>
    <row r="24" spans="1:72">
      <c r="A24" s="2673"/>
      <c r="B24" s="3125"/>
      <c r="C24" s="3125" t="str">
        <f>'面积表1（1-6#企业提供）'!B156</f>
        <v>三层</v>
      </c>
      <c r="D24" s="2277"/>
      <c r="E24" s="2675">
        <f t="shared" si="7"/>
        <v>0</v>
      </c>
      <c r="F24" s="2676"/>
      <c r="G24" s="2677">
        <f t="shared" si="8"/>
        <v>0</v>
      </c>
      <c r="H24" s="2678">
        <f t="shared" si="9"/>
        <v>0</v>
      </c>
      <c r="I24" s="3132"/>
      <c r="J24" s="2685"/>
      <c r="K24" s="2685"/>
      <c r="L24" s="2685"/>
      <c r="M24" s="2685"/>
      <c r="N24" s="2685"/>
      <c r="O24" s="2685"/>
      <c r="P24" s="2685"/>
      <c r="Q24" s="2685"/>
      <c r="R24" s="2685"/>
      <c r="S24" s="2685"/>
      <c r="T24" s="2685"/>
      <c r="U24" s="2685"/>
      <c r="V24" s="2685"/>
      <c r="W24" s="2685"/>
      <c r="X24" s="2685"/>
      <c r="Y24" s="2685"/>
      <c r="Z24" s="2685"/>
      <c r="AA24" s="2685"/>
      <c r="AB24" s="2685"/>
      <c r="AC24" s="2675">
        <f t="shared" si="10"/>
        <v>0</v>
      </c>
      <c r="AD24" s="2695"/>
      <c r="AE24" s="2695"/>
      <c r="AF24" s="2695"/>
      <c r="AG24" s="2695"/>
      <c r="AH24" s="2695"/>
      <c r="AI24" s="2695"/>
      <c r="AJ24" s="2695"/>
      <c r="AK24" s="2695"/>
      <c r="AL24" s="2695"/>
      <c r="AM24" s="2695"/>
      <c r="AN24" s="2695"/>
      <c r="AO24" s="2695"/>
      <c r="AP24" s="2695"/>
      <c r="AQ24" s="2695"/>
      <c r="AR24" s="2695"/>
      <c r="AS24" s="2695"/>
      <c r="AT24" s="2703"/>
      <c r="AU24" s="2704"/>
      <c r="AV24" s="1074">
        <f t="shared" si="11"/>
        <v>0</v>
      </c>
      <c r="AW24" s="1074">
        <f t="shared" si="12"/>
        <v>0</v>
      </c>
      <c r="AX24" s="1074" t="str">
        <f t="shared" si="13"/>
        <v>三层</v>
      </c>
      <c r="AY24" s="2279">
        <f t="shared" si="14"/>
        <v>0</v>
      </c>
      <c r="AZ24" s="2675">
        <f t="shared" si="15"/>
        <v>0</v>
      </c>
      <c r="BA24" s="2675">
        <f t="shared" si="16"/>
        <v>0</v>
      </c>
      <c r="BB24" s="2675">
        <f t="shared" si="17"/>
        <v>0</v>
      </c>
      <c r="BC24" s="2675">
        <f t="shared" si="18"/>
        <v>0</v>
      </c>
      <c r="BD24" s="2675">
        <f t="shared" si="19"/>
        <v>0</v>
      </c>
      <c r="BE24" s="2675">
        <f t="shared" si="20"/>
        <v>0</v>
      </c>
      <c r="BF24" s="2675">
        <f t="shared" si="21"/>
        <v>0</v>
      </c>
      <c r="BG24" s="2675">
        <f t="shared" si="22"/>
        <v>0</v>
      </c>
      <c r="BH24" s="2675">
        <f t="shared" si="23"/>
        <v>0</v>
      </c>
      <c r="BI24" s="2675">
        <f t="shared" si="24"/>
        <v>0</v>
      </c>
      <c r="BJ24" s="2675">
        <f t="shared" si="25"/>
        <v>0</v>
      </c>
      <c r="BK24" s="2675">
        <f t="shared" si="26"/>
        <v>0</v>
      </c>
      <c r="BL24" s="2675">
        <f t="shared" si="27"/>
        <v>0</v>
      </c>
      <c r="BM24" s="2675">
        <f t="shared" si="28"/>
        <v>0</v>
      </c>
      <c r="BN24" s="2675">
        <f t="shared" si="29"/>
        <v>0</v>
      </c>
      <c r="BO24" s="2675">
        <f t="shared" si="30"/>
        <v>0</v>
      </c>
      <c r="BP24" s="2675">
        <f t="shared" si="31"/>
        <v>0</v>
      </c>
      <c r="BQ24" s="2675">
        <f t="shared" si="32"/>
        <v>0</v>
      </c>
      <c r="BR24" s="2675">
        <f t="shared" si="33"/>
        <v>0</v>
      </c>
      <c r="BS24" s="2675">
        <f t="shared" si="34"/>
        <v>0</v>
      </c>
      <c r="BT24" s="2722">
        <f t="shared" si="35"/>
        <v>0</v>
      </c>
    </row>
    <row r="25" spans="1:72">
      <c r="A25" s="2673"/>
      <c r="B25" s="3125"/>
      <c r="C25" s="3125" t="str">
        <f>'面积表1（1-6#企业提供）'!B157</f>
        <v>四层</v>
      </c>
      <c r="D25" s="2277"/>
      <c r="E25" s="2675">
        <f t="shared" si="7"/>
        <v>0</v>
      </c>
      <c r="F25" s="2676"/>
      <c r="G25" s="2677">
        <f t="shared" si="8"/>
        <v>0</v>
      </c>
      <c r="H25" s="2678">
        <f t="shared" si="9"/>
        <v>0</v>
      </c>
      <c r="I25" s="3132"/>
      <c r="J25" s="2685"/>
      <c r="K25" s="2685"/>
      <c r="L25" s="2685"/>
      <c r="M25" s="2685"/>
      <c r="N25" s="2685"/>
      <c r="O25" s="2685"/>
      <c r="P25" s="2685"/>
      <c r="Q25" s="2685"/>
      <c r="R25" s="2685"/>
      <c r="S25" s="2685"/>
      <c r="T25" s="2685"/>
      <c r="U25" s="2685"/>
      <c r="V25" s="2685"/>
      <c r="W25" s="2685"/>
      <c r="X25" s="2685"/>
      <c r="Y25" s="2685"/>
      <c r="Z25" s="2685"/>
      <c r="AA25" s="2685"/>
      <c r="AB25" s="2685"/>
      <c r="AC25" s="2675">
        <f t="shared" si="10"/>
        <v>0</v>
      </c>
      <c r="AD25" s="2695"/>
      <c r="AE25" s="2695"/>
      <c r="AF25" s="2695"/>
      <c r="AG25" s="2695"/>
      <c r="AH25" s="2695"/>
      <c r="AI25" s="2695"/>
      <c r="AJ25" s="2695"/>
      <c r="AK25" s="2695"/>
      <c r="AL25" s="2695"/>
      <c r="AM25" s="2695"/>
      <c r="AN25" s="2695"/>
      <c r="AO25" s="2695"/>
      <c r="AP25" s="2695"/>
      <c r="AQ25" s="2695"/>
      <c r="AR25" s="2695"/>
      <c r="AS25" s="2695"/>
      <c r="AT25" s="2703"/>
      <c r="AU25" s="2704"/>
      <c r="AV25" s="1074">
        <f t="shared" si="11"/>
        <v>0</v>
      </c>
      <c r="AW25" s="1074">
        <f t="shared" si="12"/>
        <v>0</v>
      </c>
      <c r="AX25" s="1074" t="str">
        <f t="shared" si="13"/>
        <v>四层</v>
      </c>
      <c r="AY25" s="2279">
        <f t="shared" si="14"/>
        <v>0</v>
      </c>
      <c r="AZ25" s="2675">
        <f t="shared" si="15"/>
        <v>0</v>
      </c>
      <c r="BA25" s="2675">
        <f t="shared" si="16"/>
        <v>0</v>
      </c>
      <c r="BB25" s="2675">
        <f t="shared" si="17"/>
        <v>0</v>
      </c>
      <c r="BC25" s="2675">
        <f t="shared" si="18"/>
        <v>0</v>
      </c>
      <c r="BD25" s="2675">
        <f t="shared" si="19"/>
        <v>0</v>
      </c>
      <c r="BE25" s="2675">
        <f t="shared" si="20"/>
        <v>0</v>
      </c>
      <c r="BF25" s="2675">
        <f t="shared" si="21"/>
        <v>0</v>
      </c>
      <c r="BG25" s="2675">
        <f t="shared" si="22"/>
        <v>0</v>
      </c>
      <c r="BH25" s="2675">
        <f t="shared" si="23"/>
        <v>0</v>
      </c>
      <c r="BI25" s="2675">
        <f t="shared" si="24"/>
        <v>0</v>
      </c>
      <c r="BJ25" s="2675">
        <f t="shared" si="25"/>
        <v>0</v>
      </c>
      <c r="BK25" s="2675">
        <f t="shared" si="26"/>
        <v>0</v>
      </c>
      <c r="BL25" s="2675">
        <f t="shared" si="27"/>
        <v>0</v>
      </c>
      <c r="BM25" s="2675">
        <f t="shared" si="28"/>
        <v>0</v>
      </c>
      <c r="BN25" s="2675">
        <f t="shared" si="29"/>
        <v>0</v>
      </c>
      <c r="BO25" s="2675">
        <f t="shared" si="30"/>
        <v>0</v>
      </c>
      <c r="BP25" s="2675">
        <f t="shared" si="31"/>
        <v>0</v>
      </c>
      <c r="BQ25" s="2675">
        <f t="shared" si="32"/>
        <v>0</v>
      </c>
      <c r="BR25" s="2675">
        <f t="shared" si="33"/>
        <v>0</v>
      </c>
      <c r="BS25" s="2675">
        <f t="shared" si="34"/>
        <v>0</v>
      </c>
      <c r="BT25" s="2722">
        <f t="shared" si="35"/>
        <v>0</v>
      </c>
    </row>
    <row r="26" spans="1:72">
      <c r="A26" s="2673"/>
      <c r="B26" s="3131" t="s">
        <v>3310</v>
      </c>
      <c r="C26" s="3130" t="str">
        <f>'面积表1（1-6#企业提供）'!B160</f>
        <v>一层</v>
      </c>
      <c r="D26" s="2277"/>
      <c r="E26" s="2675">
        <f t="shared" si="7"/>
        <v>0</v>
      </c>
      <c r="F26" s="2676"/>
      <c r="G26" s="2677">
        <f t="shared" si="8"/>
        <v>0</v>
      </c>
      <c r="H26" s="2678">
        <f t="shared" si="9"/>
        <v>0</v>
      </c>
      <c r="I26" s="3133"/>
      <c r="J26" s="2685"/>
      <c r="K26" s="2685"/>
      <c r="L26" s="2685"/>
      <c r="M26" s="2685"/>
      <c r="N26" s="2685"/>
      <c r="O26" s="2685"/>
      <c r="P26" s="2685"/>
      <c r="Q26" s="2685"/>
      <c r="R26" s="2685"/>
      <c r="S26" s="2685"/>
      <c r="T26" s="2685"/>
      <c r="U26" s="2685"/>
      <c r="V26" s="2685"/>
      <c r="W26" s="2685"/>
      <c r="X26" s="2685"/>
      <c r="Y26" s="2685"/>
      <c r="Z26" s="2685"/>
      <c r="AA26" s="2685"/>
      <c r="AB26" s="2685"/>
      <c r="AC26" s="2675">
        <f t="shared" si="10"/>
        <v>0</v>
      </c>
      <c r="AD26" s="2695"/>
      <c r="AE26" s="2695"/>
      <c r="AF26" s="2695"/>
      <c r="AG26" s="2695"/>
      <c r="AH26" s="2695"/>
      <c r="AI26" s="2695"/>
      <c r="AJ26" s="2695"/>
      <c r="AK26" s="2695"/>
      <c r="AL26" s="2695"/>
      <c r="AM26" s="2695"/>
      <c r="AN26" s="2695"/>
      <c r="AO26" s="2695"/>
      <c r="AP26" s="2695"/>
      <c r="AQ26" s="2695"/>
      <c r="AR26" s="2695"/>
      <c r="AS26" s="2695"/>
      <c r="AT26" s="2703"/>
      <c r="AU26" s="2704"/>
      <c r="AV26" s="1074">
        <f t="shared" si="11"/>
        <v>0</v>
      </c>
      <c r="AW26" s="1074" t="str">
        <f t="shared" si="12"/>
        <v>四号广场</v>
      </c>
      <c r="AX26" s="1074" t="str">
        <f t="shared" si="13"/>
        <v>一层</v>
      </c>
      <c r="AY26" s="2279">
        <f t="shared" si="14"/>
        <v>0</v>
      </c>
      <c r="AZ26" s="2675">
        <f t="shared" si="15"/>
        <v>0</v>
      </c>
      <c r="BA26" s="2675">
        <f t="shared" si="16"/>
        <v>0</v>
      </c>
      <c r="BB26" s="2675">
        <f t="shared" si="17"/>
        <v>0</v>
      </c>
      <c r="BC26" s="2675">
        <f t="shared" si="18"/>
        <v>0</v>
      </c>
      <c r="BD26" s="2675">
        <f t="shared" si="19"/>
        <v>0</v>
      </c>
      <c r="BE26" s="2675">
        <f t="shared" si="20"/>
        <v>0</v>
      </c>
      <c r="BF26" s="2675">
        <f t="shared" si="21"/>
        <v>0</v>
      </c>
      <c r="BG26" s="2675">
        <f t="shared" si="22"/>
        <v>0</v>
      </c>
      <c r="BH26" s="2675">
        <f t="shared" si="23"/>
        <v>0</v>
      </c>
      <c r="BI26" s="2675">
        <f t="shared" si="24"/>
        <v>0</v>
      </c>
      <c r="BJ26" s="2675">
        <f t="shared" si="25"/>
        <v>0</v>
      </c>
      <c r="BK26" s="2675">
        <f t="shared" si="26"/>
        <v>0</v>
      </c>
      <c r="BL26" s="2675">
        <f t="shared" si="27"/>
        <v>0</v>
      </c>
      <c r="BM26" s="2675">
        <f t="shared" si="28"/>
        <v>0</v>
      </c>
      <c r="BN26" s="2675">
        <f t="shared" si="29"/>
        <v>0</v>
      </c>
      <c r="BO26" s="2675">
        <f t="shared" si="30"/>
        <v>0</v>
      </c>
      <c r="BP26" s="2675">
        <f t="shared" si="31"/>
        <v>0</v>
      </c>
      <c r="BQ26" s="2675">
        <f t="shared" si="32"/>
        <v>0</v>
      </c>
      <c r="BR26" s="2675">
        <f t="shared" si="33"/>
        <v>0</v>
      </c>
      <c r="BS26" s="2675">
        <f t="shared" si="34"/>
        <v>0</v>
      </c>
      <c r="BT26" s="2722">
        <f t="shared" si="35"/>
        <v>0</v>
      </c>
    </row>
    <row r="27" spans="1:72">
      <c r="A27" s="2673"/>
      <c r="B27" s="3130"/>
      <c r="C27" s="3130" t="str">
        <f>'面积表1（1-6#企业提供）'!B161</f>
        <v>二层</v>
      </c>
      <c r="D27" s="2277"/>
      <c r="E27" s="2675">
        <f t="shared" si="7"/>
        <v>0</v>
      </c>
      <c r="F27" s="2676"/>
      <c r="G27" s="2677">
        <f t="shared" si="8"/>
        <v>0</v>
      </c>
      <c r="H27" s="2678">
        <f t="shared" si="9"/>
        <v>0</v>
      </c>
      <c r="I27" s="3133"/>
      <c r="J27" s="2685"/>
      <c r="K27" s="2685"/>
      <c r="L27" s="2685"/>
      <c r="M27" s="2685"/>
      <c r="N27" s="2685"/>
      <c r="O27" s="2685"/>
      <c r="P27" s="2685"/>
      <c r="Q27" s="2685"/>
      <c r="R27" s="2685"/>
      <c r="S27" s="2685"/>
      <c r="T27" s="2685"/>
      <c r="U27" s="2685"/>
      <c r="V27" s="2685"/>
      <c r="W27" s="2685"/>
      <c r="X27" s="2685"/>
      <c r="Y27" s="2685"/>
      <c r="Z27" s="2685"/>
      <c r="AA27" s="2685"/>
      <c r="AB27" s="2685"/>
      <c r="AC27" s="2675">
        <f t="shared" si="10"/>
        <v>0</v>
      </c>
      <c r="AD27" s="2695"/>
      <c r="AE27" s="2695"/>
      <c r="AF27" s="2695"/>
      <c r="AG27" s="2695"/>
      <c r="AH27" s="2695"/>
      <c r="AI27" s="2695"/>
      <c r="AJ27" s="2695"/>
      <c r="AK27" s="2695"/>
      <c r="AL27" s="2695"/>
      <c r="AM27" s="2695"/>
      <c r="AN27" s="2695"/>
      <c r="AO27" s="2695"/>
      <c r="AP27" s="2695"/>
      <c r="AQ27" s="2695"/>
      <c r="AR27" s="2695"/>
      <c r="AS27" s="2695"/>
      <c r="AT27" s="2703"/>
      <c r="AU27" s="2704"/>
      <c r="AV27" s="1074">
        <f t="shared" si="11"/>
        <v>0</v>
      </c>
      <c r="AW27" s="1074">
        <f t="shared" si="12"/>
        <v>0</v>
      </c>
      <c r="AX27" s="1074" t="str">
        <f t="shared" si="13"/>
        <v>二层</v>
      </c>
      <c r="AY27" s="2279">
        <f t="shared" si="14"/>
        <v>0</v>
      </c>
      <c r="AZ27" s="2675">
        <f t="shared" si="15"/>
        <v>0</v>
      </c>
      <c r="BA27" s="2675">
        <f t="shared" si="16"/>
        <v>0</v>
      </c>
      <c r="BB27" s="2675">
        <f t="shared" si="17"/>
        <v>0</v>
      </c>
      <c r="BC27" s="2675">
        <f t="shared" si="18"/>
        <v>0</v>
      </c>
      <c r="BD27" s="2675">
        <f t="shared" si="19"/>
        <v>0</v>
      </c>
      <c r="BE27" s="2675">
        <f t="shared" si="20"/>
        <v>0</v>
      </c>
      <c r="BF27" s="2675">
        <f t="shared" si="21"/>
        <v>0</v>
      </c>
      <c r="BG27" s="2675">
        <f t="shared" si="22"/>
        <v>0</v>
      </c>
      <c r="BH27" s="2675">
        <f t="shared" si="23"/>
        <v>0</v>
      </c>
      <c r="BI27" s="2675">
        <f t="shared" si="24"/>
        <v>0</v>
      </c>
      <c r="BJ27" s="2675">
        <f t="shared" si="25"/>
        <v>0</v>
      </c>
      <c r="BK27" s="2675">
        <f t="shared" si="26"/>
        <v>0</v>
      </c>
      <c r="BL27" s="2675">
        <f t="shared" si="27"/>
        <v>0</v>
      </c>
      <c r="BM27" s="2675">
        <f t="shared" si="28"/>
        <v>0</v>
      </c>
      <c r="BN27" s="2675">
        <f t="shared" si="29"/>
        <v>0</v>
      </c>
      <c r="BO27" s="2675">
        <f t="shared" si="30"/>
        <v>0</v>
      </c>
      <c r="BP27" s="2675">
        <f t="shared" si="31"/>
        <v>0</v>
      </c>
      <c r="BQ27" s="2675">
        <f t="shared" si="32"/>
        <v>0</v>
      </c>
      <c r="BR27" s="2675">
        <f t="shared" si="33"/>
        <v>0</v>
      </c>
      <c r="BS27" s="2675">
        <f t="shared" si="34"/>
        <v>0</v>
      </c>
      <c r="BT27" s="2722">
        <f t="shared" si="35"/>
        <v>0</v>
      </c>
    </row>
    <row r="28" spans="1:72">
      <c r="A28" s="2673"/>
      <c r="B28" s="3130"/>
      <c r="C28" s="3130" t="str">
        <f>'面积表1（1-6#企业提供）'!B162</f>
        <v>三层</v>
      </c>
      <c r="D28" s="2277"/>
      <c r="E28" s="2675">
        <f t="shared" si="7"/>
        <v>0</v>
      </c>
      <c r="F28" s="2676"/>
      <c r="G28" s="2677">
        <f t="shared" si="8"/>
        <v>0</v>
      </c>
      <c r="H28" s="2678">
        <f t="shared" si="9"/>
        <v>0</v>
      </c>
      <c r="I28" s="3133"/>
      <c r="J28" s="2685"/>
      <c r="K28" s="2685"/>
      <c r="L28" s="2685"/>
      <c r="M28" s="2685"/>
      <c r="N28" s="2685"/>
      <c r="O28" s="2685"/>
      <c r="P28" s="2685"/>
      <c r="Q28" s="2685"/>
      <c r="R28" s="2685"/>
      <c r="S28" s="2685"/>
      <c r="T28" s="2685"/>
      <c r="U28" s="2685"/>
      <c r="V28" s="2685"/>
      <c r="W28" s="2685"/>
      <c r="X28" s="2685"/>
      <c r="Y28" s="2685"/>
      <c r="Z28" s="2685"/>
      <c r="AA28" s="2685"/>
      <c r="AB28" s="2685"/>
      <c r="AC28" s="2675">
        <f t="shared" si="10"/>
        <v>0</v>
      </c>
      <c r="AD28" s="2695"/>
      <c r="AE28" s="2695"/>
      <c r="AF28" s="2695"/>
      <c r="AG28" s="2695"/>
      <c r="AH28" s="2695"/>
      <c r="AI28" s="2695"/>
      <c r="AJ28" s="2695"/>
      <c r="AK28" s="2695"/>
      <c r="AL28" s="2695"/>
      <c r="AM28" s="2695"/>
      <c r="AN28" s="2695"/>
      <c r="AO28" s="2695"/>
      <c r="AP28" s="2695"/>
      <c r="AQ28" s="2695"/>
      <c r="AR28" s="2695"/>
      <c r="AS28" s="2695"/>
      <c r="AT28" s="2703"/>
      <c r="AU28" s="2704"/>
      <c r="AV28" s="1074">
        <f t="shared" si="11"/>
        <v>0</v>
      </c>
      <c r="AW28" s="1074">
        <f t="shared" si="12"/>
        <v>0</v>
      </c>
      <c r="AX28" s="1074" t="str">
        <f t="shared" si="13"/>
        <v>三层</v>
      </c>
      <c r="AY28" s="2279">
        <f t="shared" si="14"/>
        <v>0</v>
      </c>
      <c r="AZ28" s="2675">
        <f t="shared" si="15"/>
        <v>0</v>
      </c>
      <c r="BA28" s="2675">
        <f t="shared" si="16"/>
        <v>0</v>
      </c>
      <c r="BB28" s="2675">
        <f t="shared" si="17"/>
        <v>0</v>
      </c>
      <c r="BC28" s="2675">
        <f t="shared" si="18"/>
        <v>0</v>
      </c>
      <c r="BD28" s="2675">
        <f t="shared" si="19"/>
        <v>0</v>
      </c>
      <c r="BE28" s="2675">
        <f t="shared" si="20"/>
        <v>0</v>
      </c>
      <c r="BF28" s="2675">
        <f t="shared" si="21"/>
        <v>0</v>
      </c>
      <c r="BG28" s="2675">
        <f t="shared" si="22"/>
        <v>0</v>
      </c>
      <c r="BH28" s="2675">
        <f t="shared" si="23"/>
        <v>0</v>
      </c>
      <c r="BI28" s="2675">
        <f t="shared" si="24"/>
        <v>0</v>
      </c>
      <c r="BJ28" s="2675">
        <f t="shared" si="25"/>
        <v>0</v>
      </c>
      <c r="BK28" s="2675">
        <f t="shared" si="26"/>
        <v>0</v>
      </c>
      <c r="BL28" s="2675">
        <f t="shared" si="27"/>
        <v>0</v>
      </c>
      <c r="BM28" s="2675">
        <f t="shared" si="28"/>
        <v>0</v>
      </c>
      <c r="BN28" s="2675">
        <f t="shared" si="29"/>
        <v>0</v>
      </c>
      <c r="BO28" s="2675">
        <f t="shared" si="30"/>
        <v>0</v>
      </c>
      <c r="BP28" s="2675">
        <f t="shared" si="31"/>
        <v>0</v>
      </c>
      <c r="BQ28" s="2675">
        <f t="shared" si="32"/>
        <v>0</v>
      </c>
      <c r="BR28" s="2675">
        <f t="shared" si="33"/>
        <v>0</v>
      </c>
      <c r="BS28" s="2675">
        <f t="shared" si="34"/>
        <v>0</v>
      </c>
      <c r="BT28" s="2722">
        <f t="shared" si="35"/>
        <v>0</v>
      </c>
    </row>
    <row r="29" spans="1:72">
      <c r="A29" s="2673"/>
      <c r="B29" s="3130"/>
      <c r="C29" s="3130" t="str">
        <f>'面积表1（1-6#企业提供）'!B163</f>
        <v>四层</v>
      </c>
      <c r="D29" s="2277"/>
      <c r="E29" s="2675">
        <f t="shared" si="7"/>
        <v>0</v>
      </c>
      <c r="F29" s="2676"/>
      <c r="G29" s="2677">
        <f t="shared" si="8"/>
        <v>0</v>
      </c>
      <c r="H29" s="2678">
        <f t="shared" si="9"/>
        <v>0</v>
      </c>
      <c r="I29" s="3133"/>
      <c r="J29" s="2685"/>
      <c r="K29" s="2685"/>
      <c r="L29" s="2685"/>
      <c r="M29" s="2685"/>
      <c r="N29" s="2685"/>
      <c r="O29" s="2685"/>
      <c r="P29" s="2685"/>
      <c r="Q29" s="2685"/>
      <c r="R29" s="2685"/>
      <c r="S29" s="2685"/>
      <c r="T29" s="2685"/>
      <c r="U29" s="2685"/>
      <c r="V29" s="2685"/>
      <c r="W29" s="2685"/>
      <c r="X29" s="2685"/>
      <c r="Y29" s="2685"/>
      <c r="Z29" s="2685"/>
      <c r="AA29" s="2685"/>
      <c r="AB29" s="2685"/>
      <c r="AC29" s="2675">
        <f t="shared" si="10"/>
        <v>0</v>
      </c>
      <c r="AD29" s="2695"/>
      <c r="AE29" s="2695"/>
      <c r="AF29" s="2695"/>
      <c r="AG29" s="2695"/>
      <c r="AH29" s="2695"/>
      <c r="AI29" s="2695"/>
      <c r="AJ29" s="2695"/>
      <c r="AK29" s="2695"/>
      <c r="AL29" s="2695"/>
      <c r="AM29" s="2695"/>
      <c r="AN29" s="2695"/>
      <c r="AO29" s="2695"/>
      <c r="AP29" s="2695"/>
      <c r="AQ29" s="2695"/>
      <c r="AR29" s="2695"/>
      <c r="AS29" s="2695"/>
      <c r="AT29" s="2703"/>
      <c r="AU29" s="2704"/>
      <c r="AV29" s="1074">
        <f t="shared" si="11"/>
        <v>0</v>
      </c>
      <c r="AW29" s="1074">
        <f t="shared" si="12"/>
        <v>0</v>
      </c>
      <c r="AX29" s="1074" t="str">
        <f t="shared" si="13"/>
        <v>四层</v>
      </c>
      <c r="AY29" s="2279">
        <f t="shared" si="14"/>
        <v>0</v>
      </c>
      <c r="AZ29" s="2675">
        <f t="shared" si="15"/>
        <v>0</v>
      </c>
      <c r="BA29" s="2675">
        <f t="shared" si="16"/>
        <v>0</v>
      </c>
      <c r="BB29" s="2675">
        <f t="shared" si="17"/>
        <v>0</v>
      </c>
      <c r="BC29" s="2675">
        <f t="shared" si="18"/>
        <v>0</v>
      </c>
      <c r="BD29" s="2675">
        <f t="shared" si="19"/>
        <v>0</v>
      </c>
      <c r="BE29" s="2675">
        <f t="shared" si="20"/>
        <v>0</v>
      </c>
      <c r="BF29" s="2675">
        <f t="shared" si="21"/>
        <v>0</v>
      </c>
      <c r="BG29" s="2675">
        <f t="shared" si="22"/>
        <v>0</v>
      </c>
      <c r="BH29" s="2675">
        <f t="shared" si="23"/>
        <v>0</v>
      </c>
      <c r="BI29" s="2675">
        <f t="shared" si="24"/>
        <v>0</v>
      </c>
      <c r="BJ29" s="2675">
        <f t="shared" si="25"/>
        <v>0</v>
      </c>
      <c r="BK29" s="2675">
        <f t="shared" si="26"/>
        <v>0</v>
      </c>
      <c r="BL29" s="2675">
        <f t="shared" si="27"/>
        <v>0</v>
      </c>
      <c r="BM29" s="2675">
        <f t="shared" si="28"/>
        <v>0</v>
      </c>
      <c r="BN29" s="2675">
        <f t="shared" si="29"/>
        <v>0</v>
      </c>
      <c r="BO29" s="2675">
        <f t="shared" si="30"/>
        <v>0</v>
      </c>
      <c r="BP29" s="2675">
        <f t="shared" si="31"/>
        <v>0</v>
      </c>
      <c r="BQ29" s="2675">
        <f t="shared" si="32"/>
        <v>0</v>
      </c>
      <c r="BR29" s="2675">
        <f t="shared" si="33"/>
        <v>0</v>
      </c>
      <c r="BS29" s="2675">
        <f t="shared" si="34"/>
        <v>0</v>
      </c>
      <c r="BT29" s="2722">
        <f t="shared" si="35"/>
        <v>0</v>
      </c>
    </row>
    <row r="30" spans="1:72">
      <c r="A30" s="2673"/>
      <c r="B30" s="3124" t="s">
        <v>3311</v>
      </c>
      <c r="C30" s="3125" t="str">
        <f>'面积表1（1-6#企业提供）'!B166</f>
        <v>一层</v>
      </c>
      <c r="D30" s="2277"/>
      <c r="E30" s="2675">
        <f t="shared" si="7"/>
        <v>0</v>
      </c>
      <c r="F30" s="2676"/>
      <c r="G30" s="2677">
        <f t="shared" si="8"/>
        <v>0</v>
      </c>
      <c r="H30" s="2678">
        <f t="shared" si="9"/>
        <v>0</v>
      </c>
      <c r="I30" s="3132"/>
      <c r="J30" s="2685"/>
      <c r="K30" s="2685"/>
      <c r="L30" s="2685"/>
      <c r="M30" s="2685"/>
      <c r="N30" s="2685"/>
      <c r="O30" s="2685"/>
      <c r="P30" s="2685"/>
      <c r="Q30" s="2685"/>
      <c r="R30" s="2685"/>
      <c r="S30" s="2685"/>
      <c r="T30" s="2685"/>
      <c r="U30" s="2685"/>
      <c r="V30" s="2685"/>
      <c r="W30" s="2685"/>
      <c r="X30" s="2685"/>
      <c r="Y30" s="2685"/>
      <c r="Z30" s="2685"/>
      <c r="AA30" s="2685"/>
      <c r="AB30" s="2685"/>
      <c r="AC30" s="2675">
        <f t="shared" si="10"/>
        <v>0</v>
      </c>
      <c r="AD30" s="2695"/>
      <c r="AE30" s="2695"/>
      <c r="AF30" s="2695"/>
      <c r="AG30" s="2695"/>
      <c r="AH30" s="2695"/>
      <c r="AI30" s="2695"/>
      <c r="AJ30" s="2695"/>
      <c r="AK30" s="2695"/>
      <c r="AL30" s="2695"/>
      <c r="AM30" s="2695"/>
      <c r="AN30" s="2695"/>
      <c r="AO30" s="2695"/>
      <c r="AP30" s="2695"/>
      <c r="AQ30" s="2695"/>
      <c r="AR30" s="2695"/>
      <c r="AS30" s="2695"/>
      <c r="AT30" s="2703"/>
      <c r="AU30" s="2704"/>
      <c r="AV30" s="1074">
        <f t="shared" si="11"/>
        <v>0</v>
      </c>
      <c r="AW30" s="1074" t="str">
        <f t="shared" si="12"/>
        <v>五号广场</v>
      </c>
      <c r="AX30" s="1074" t="str">
        <f t="shared" si="13"/>
        <v>一层</v>
      </c>
      <c r="AY30" s="2279">
        <f t="shared" si="14"/>
        <v>0</v>
      </c>
      <c r="AZ30" s="2675">
        <f t="shared" si="15"/>
        <v>0</v>
      </c>
      <c r="BA30" s="2675">
        <f t="shared" si="16"/>
        <v>0</v>
      </c>
      <c r="BB30" s="2675">
        <f t="shared" si="17"/>
        <v>0</v>
      </c>
      <c r="BC30" s="2675">
        <f t="shared" si="18"/>
        <v>0</v>
      </c>
      <c r="BD30" s="2675">
        <f t="shared" si="19"/>
        <v>0</v>
      </c>
      <c r="BE30" s="2675">
        <f t="shared" si="20"/>
        <v>0</v>
      </c>
      <c r="BF30" s="2675">
        <f t="shared" si="21"/>
        <v>0</v>
      </c>
      <c r="BG30" s="2675">
        <f t="shared" si="22"/>
        <v>0</v>
      </c>
      <c r="BH30" s="2675">
        <f t="shared" si="23"/>
        <v>0</v>
      </c>
      <c r="BI30" s="2675">
        <f t="shared" si="24"/>
        <v>0</v>
      </c>
      <c r="BJ30" s="2675">
        <f t="shared" si="25"/>
        <v>0</v>
      </c>
      <c r="BK30" s="2675">
        <f t="shared" si="26"/>
        <v>0</v>
      </c>
      <c r="BL30" s="2675">
        <f t="shared" si="27"/>
        <v>0</v>
      </c>
      <c r="BM30" s="2675">
        <f t="shared" si="28"/>
        <v>0</v>
      </c>
      <c r="BN30" s="2675">
        <f t="shared" si="29"/>
        <v>0</v>
      </c>
      <c r="BO30" s="2675">
        <f t="shared" si="30"/>
        <v>0</v>
      </c>
      <c r="BP30" s="2675">
        <f t="shared" si="31"/>
        <v>0</v>
      </c>
      <c r="BQ30" s="2675">
        <f t="shared" si="32"/>
        <v>0</v>
      </c>
      <c r="BR30" s="2675">
        <f t="shared" si="33"/>
        <v>0</v>
      </c>
      <c r="BS30" s="2675">
        <f t="shared" si="34"/>
        <v>0</v>
      </c>
      <c r="BT30" s="2722">
        <f t="shared" si="35"/>
        <v>0</v>
      </c>
    </row>
    <row r="31" spans="1:72">
      <c r="A31" s="2673"/>
      <c r="B31" s="3131" t="s">
        <v>3312</v>
      </c>
      <c r="C31" s="3130" t="str">
        <f>'面积表1（1-6#企业提供）'!B172</f>
        <v>一层</v>
      </c>
      <c r="D31" s="2277"/>
      <c r="E31" s="2675">
        <f t="shared" si="7"/>
        <v>0</v>
      </c>
      <c r="F31" s="2676"/>
      <c r="G31" s="2677">
        <f t="shared" si="8"/>
        <v>0</v>
      </c>
      <c r="H31" s="2678">
        <f t="shared" si="9"/>
        <v>0</v>
      </c>
      <c r="I31" s="3133"/>
      <c r="J31" s="2685"/>
      <c r="K31" s="2685"/>
      <c r="L31" s="2685"/>
      <c r="M31" s="2685"/>
      <c r="N31" s="2685"/>
      <c r="O31" s="2685"/>
      <c r="P31" s="2685"/>
      <c r="Q31" s="2685"/>
      <c r="R31" s="2685"/>
      <c r="S31" s="2685"/>
      <c r="T31" s="2685"/>
      <c r="U31" s="2685"/>
      <c r="V31" s="2685"/>
      <c r="W31" s="2685"/>
      <c r="X31" s="2685"/>
      <c r="Y31" s="2685"/>
      <c r="Z31" s="2685"/>
      <c r="AA31" s="2685"/>
      <c r="AB31" s="2685"/>
      <c r="AC31" s="2675">
        <f t="shared" si="10"/>
        <v>0</v>
      </c>
      <c r="AD31" s="2695"/>
      <c r="AE31" s="2695"/>
      <c r="AF31" s="2695"/>
      <c r="AG31" s="2695"/>
      <c r="AH31" s="2695"/>
      <c r="AI31" s="2695"/>
      <c r="AJ31" s="2695"/>
      <c r="AK31" s="2695"/>
      <c r="AL31" s="2695"/>
      <c r="AM31" s="2695"/>
      <c r="AN31" s="2695"/>
      <c r="AO31" s="2695"/>
      <c r="AP31" s="2695"/>
      <c r="AQ31" s="2695"/>
      <c r="AR31" s="2695"/>
      <c r="AS31" s="2695"/>
      <c r="AT31" s="2703"/>
      <c r="AU31" s="2704"/>
      <c r="AV31" s="1074">
        <f t="shared" si="11"/>
        <v>0</v>
      </c>
      <c r="AW31" s="1074" t="str">
        <f t="shared" si="12"/>
        <v>六号广场</v>
      </c>
      <c r="AX31" s="1074" t="str">
        <f t="shared" si="13"/>
        <v>一层</v>
      </c>
      <c r="AY31" s="2279">
        <f t="shared" si="14"/>
        <v>0</v>
      </c>
      <c r="AZ31" s="2675">
        <f t="shared" si="15"/>
        <v>0</v>
      </c>
      <c r="BA31" s="2675">
        <f t="shared" si="16"/>
        <v>0</v>
      </c>
      <c r="BB31" s="2675">
        <f t="shared" si="17"/>
        <v>0</v>
      </c>
      <c r="BC31" s="2675">
        <f t="shared" si="18"/>
        <v>0</v>
      </c>
      <c r="BD31" s="2675">
        <f t="shared" si="19"/>
        <v>0</v>
      </c>
      <c r="BE31" s="2675">
        <f t="shared" si="20"/>
        <v>0</v>
      </c>
      <c r="BF31" s="2675">
        <f t="shared" si="21"/>
        <v>0</v>
      </c>
      <c r="BG31" s="2675">
        <f t="shared" si="22"/>
        <v>0</v>
      </c>
      <c r="BH31" s="2675">
        <f t="shared" si="23"/>
        <v>0</v>
      </c>
      <c r="BI31" s="2675">
        <f t="shared" si="24"/>
        <v>0</v>
      </c>
      <c r="BJ31" s="2675">
        <f t="shared" si="25"/>
        <v>0</v>
      </c>
      <c r="BK31" s="2675">
        <f t="shared" si="26"/>
        <v>0</v>
      </c>
      <c r="BL31" s="2675">
        <f t="shared" si="27"/>
        <v>0</v>
      </c>
      <c r="BM31" s="2675">
        <f t="shared" si="28"/>
        <v>0</v>
      </c>
      <c r="BN31" s="2675">
        <f t="shared" si="29"/>
        <v>0</v>
      </c>
      <c r="BO31" s="2675">
        <f t="shared" si="30"/>
        <v>0</v>
      </c>
      <c r="BP31" s="2675">
        <f t="shared" si="31"/>
        <v>0</v>
      </c>
      <c r="BQ31" s="2675">
        <f t="shared" si="32"/>
        <v>0</v>
      </c>
      <c r="BR31" s="2675">
        <f t="shared" si="33"/>
        <v>0</v>
      </c>
      <c r="BS31" s="2675">
        <f t="shared" si="34"/>
        <v>0</v>
      </c>
      <c r="BT31" s="2722">
        <f t="shared" si="35"/>
        <v>0</v>
      </c>
    </row>
    <row r="32" spans="1:72">
      <c r="A32" s="2673"/>
      <c r="B32" s="3130"/>
      <c r="C32" s="3130" t="str">
        <f>'面积表1（1-6#企业提供）'!B173</f>
        <v>二层</v>
      </c>
      <c r="D32" s="2277"/>
      <c r="E32" s="2675">
        <f t="shared" si="7"/>
        <v>0</v>
      </c>
      <c r="F32" s="2676"/>
      <c r="G32" s="2677">
        <f t="shared" si="8"/>
        <v>0</v>
      </c>
      <c r="H32" s="2678">
        <f t="shared" si="9"/>
        <v>0</v>
      </c>
      <c r="I32" s="3133"/>
      <c r="J32" s="2685"/>
      <c r="K32" s="2685"/>
      <c r="L32" s="2685"/>
      <c r="M32" s="2685"/>
      <c r="N32" s="2685"/>
      <c r="O32" s="2685"/>
      <c r="P32" s="2685"/>
      <c r="Q32" s="2685"/>
      <c r="R32" s="2685"/>
      <c r="S32" s="2685"/>
      <c r="T32" s="2685"/>
      <c r="U32" s="2685"/>
      <c r="V32" s="2685"/>
      <c r="W32" s="2685"/>
      <c r="X32" s="2685"/>
      <c r="Y32" s="2685"/>
      <c r="Z32" s="2685"/>
      <c r="AA32" s="2685"/>
      <c r="AB32" s="2685"/>
      <c r="AC32" s="2675">
        <f t="shared" si="10"/>
        <v>0</v>
      </c>
      <c r="AD32" s="2695"/>
      <c r="AE32" s="2695"/>
      <c r="AF32" s="2695"/>
      <c r="AG32" s="2695"/>
      <c r="AH32" s="2695"/>
      <c r="AI32" s="2695"/>
      <c r="AJ32" s="2695"/>
      <c r="AK32" s="2695"/>
      <c r="AL32" s="2695"/>
      <c r="AM32" s="2695"/>
      <c r="AN32" s="2695"/>
      <c r="AO32" s="2695"/>
      <c r="AP32" s="2695"/>
      <c r="AQ32" s="2695"/>
      <c r="AR32" s="2695"/>
      <c r="AS32" s="2695"/>
      <c r="AT32" s="2703"/>
      <c r="AU32" s="2704"/>
      <c r="AV32" s="1074">
        <f t="shared" si="11"/>
        <v>0</v>
      </c>
      <c r="AW32" s="1074">
        <f t="shared" si="12"/>
        <v>0</v>
      </c>
      <c r="AX32" s="1074" t="str">
        <f t="shared" si="13"/>
        <v>二层</v>
      </c>
      <c r="AY32" s="2279">
        <f t="shared" si="14"/>
        <v>0</v>
      </c>
      <c r="AZ32" s="2675">
        <f t="shared" si="15"/>
        <v>0</v>
      </c>
      <c r="BA32" s="2675">
        <f t="shared" si="16"/>
        <v>0</v>
      </c>
      <c r="BB32" s="2675">
        <f t="shared" si="17"/>
        <v>0</v>
      </c>
      <c r="BC32" s="2675">
        <f t="shared" si="18"/>
        <v>0</v>
      </c>
      <c r="BD32" s="2675">
        <f t="shared" si="19"/>
        <v>0</v>
      </c>
      <c r="BE32" s="2675">
        <f t="shared" si="20"/>
        <v>0</v>
      </c>
      <c r="BF32" s="2675">
        <f t="shared" si="21"/>
        <v>0</v>
      </c>
      <c r="BG32" s="2675">
        <f t="shared" si="22"/>
        <v>0</v>
      </c>
      <c r="BH32" s="2675">
        <f t="shared" si="23"/>
        <v>0</v>
      </c>
      <c r="BI32" s="2675">
        <f t="shared" si="24"/>
        <v>0</v>
      </c>
      <c r="BJ32" s="2675">
        <f t="shared" si="25"/>
        <v>0</v>
      </c>
      <c r="BK32" s="2675">
        <f t="shared" si="26"/>
        <v>0</v>
      </c>
      <c r="BL32" s="2675">
        <f t="shared" si="27"/>
        <v>0</v>
      </c>
      <c r="BM32" s="2675">
        <f t="shared" si="28"/>
        <v>0</v>
      </c>
      <c r="BN32" s="2675">
        <f t="shared" si="29"/>
        <v>0</v>
      </c>
      <c r="BO32" s="2675">
        <f t="shared" si="30"/>
        <v>0</v>
      </c>
      <c r="BP32" s="2675">
        <f t="shared" si="31"/>
        <v>0</v>
      </c>
      <c r="BQ32" s="2675">
        <f t="shared" si="32"/>
        <v>0</v>
      </c>
      <c r="BR32" s="2675">
        <f t="shared" si="33"/>
        <v>0</v>
      </c>
      <c r="BS32" s="2675">
        <f t="shared" si="34"/>
        <v>0</v>
      </c>
      <c r="BT32" s="2722">
        <f t="shared" si="35"/>
        <v>0</v>
      </c>
    </row>
    <row r="33" spans="1:72">
      <c r="A33" s="2673"/>
      <c r="B33" s="2674"/>
      <c r="C33" s="2674"/>
      <c r="D33" s="2277"/>
      <c r="E33" s="2675">
        <f t="shared" si="7"/>
        <v>0</v>
      </c>
      <c r="F33" s="2676"/>
      <c r="G33" s="2677">
        <f t="shared" si="8"/>
        <v>0</v>
      </c>
      <c r="H33" s="2678">
        <f t="shared" si="9"/>
        <v>0</v>
      </c>
      <c r="I33" s="2685"/>
      <c r="J33" s="2685"/>
      <c r="K33" s="2685"/>
      <c r="L33" s="2685"/>
      <c r="M33" s="2685"/>
      <c r="N33" s="2685"/>
      <c r="O33" s="2685"/>
      <c r="P33" s="2685"/>
      <c r="Q33" s="2685"/>
      <c r="R33" s="2685"/>
      <c r="S33" s="2685"/>
      <c r="T33" s="2685"/>
      <c r="U33" s="2685"/>
      <c r="V33" s="2685"/>
      <c r="W33" s="2685"/>
      <c r="X33" s="2685"/>
      <c r="Y33" s="2685"/>
      <c r="Z33" s="2685"/>
      <c r="AA33" s="2685"/>
      <c r="AB33" s="2685"/>
      <c r="AC33" s="2675">
        <f t="shared" si="10"/>
        <v>0</v>
      </c>
      <c r="AD33" s="2695"/>
      <c r="AE33" s="2695"/>
      <c r="AF33" s="2695"/>
      <c r="AG33" s="2695"/>
      <c r="AH33" s="2695"/>
      <c r="AI33" s="2695"/>
      <c r="AJ33" s="2695"/>
      <c r="AK33" s="2695"/>
      <c r="AL33" s="2695"/>
      <c r="AM33" s="2695"/>
      <c r="AN33" s="2695"/>
      <c r="AO33" s="2695"/>
      <c r="AP33" s="2695"/>
      <c r="AQ33" s="2695"/>
      <c r="AR33" s="2695"/>
      <c r="AS33" s="2695"/>
      <c r="AT33" s="2703"/>
      <c r="AU33" s="2704"/>
      <c r="AV33" s="1074">
        <f t="shared" si="11"/>
        <v>0</v>
      </c>
      <c r="AW33" s="1074">
        <f t="shared" si="12"/>
        <v>0</v>
      </c>
      <c r="AX33" s="1074">
        <f t="shared" si="13"/>
        <v>0</v>
      </c>
      <c r="AY33" s="2279">
        <f t="shared" si="14"/>
        <v>0</v>
      </c>
      <c r="AZ33" s="2675">
        <f t="shared" si="15"/>
        <v>0</v>
      </c>
      <c r="BA33" s="2675">
        <f t="shared" si="16"/>
        <v>0</v>
      </c>
      <c r="BB33" s="2675">
        <f t="shared" si="17"/>
        <v>0</v>
      </c>
      <c r="BC33" s="2675">
        <f t="shared" si="18"/>
        <v>0</v>
      </c>
      <c r="BD33" s="2675">
        <f t="shared" si="19"/>
        <v>0</v>
      </c>
      <c r="BE33" s="2675">
        <f t="shared" si="20"/>
        <v>0</v>
      </c>
      <c r="BF33" s="2675">
        <f t="shared" si="21"/>
        <v>0</v>
      </c>
      <c r="BG33" s="2675">
        <f t="shared" si="22"/>
        <v>0</v>
      </c>
      <c r="BH33" s="2675">
        <f t="shared" si="23"/>
        <v>0</v>
      </c>
      <c r="BI33" s="2675">
        <f t="shared" si="24"/>
        <v>0</v>
      </c>
      <c r="BJ33" s="2675">
        <f t="shared" si="25"/>
        <v>0</v>
      </c>
      <c r="BK33" s="2675">
        <f t="shared" si="26"/>
        <v>0</v>
      </c>
      <c r="BL33" s="2675">
        <f t="shared" si="27"/>
        <v>0</v>
      </c>
      <c r="BM33" s="2675">
        <f t="shared" si="28"/>
        <v>0</v>
      </c>
      <c r="BN33" s="2675">
        <f t="shared" si="29"/>
        <v>0</v>
      </c>
      <c r="BO33" s="2675">
        <f t="shared" si="30"/>
        <v>0</v>
      </c>
      <c r="BP33" s="2675">
        <f t="shared" si="31"/>
        <v>0</v>
      </c>
      <c r="BQ33" s="2675">
        <f t="shared" si="32"/>
        <v>0</v>
      </c>
      <c r="BR33" s="2675">
        <f t="shared" si="33"/>
        <v>0</v>
      </c>
      <c r="BS33" s="2675">
        <f t="shared" si="34"/>
        <v>0</v>
      </c>
      <c r="BT33" s="2722">
        <f t="shared" si="35"/>
        <v>0</v>
      </c>
    </row>
    <row r="34" spans="1:72">
      <c r="A34" s="2673"/>
      <c r="B34" s="3131" t="s">
        <v>3325</v>
      </c>
      <c r="C34" s="2673"/>
      <c r="D34" s="2277"/>
      <c r="E34" s="2675">
        <f t="shared" si="7"/>
        <v>0</v>
      </c>
      <c r="F34" s="2676"/>
      <c r="G34" s="2677">
        <f t="shared" si="8"/>
        <v>0</v>
      </c>
      <c r="H34" s="2678">
        <f>SUMIF(I$12:AB$12,"总值",I34:AB34)</f>
        <v>0</v>
      </c>
      <c r="I34" s="3133"/>
      <c r="J34" s="2685"/>
      <c r="K34" s="2685"/>
      <c r="L34" s="2685"/>
      <c r="M34" s="2685"/>
      <c r="N34" s="2685"/>
      <c r="O34" s="2685"/>
      <c r="P34" s="2685"/>
      <c r="Q34" s="2685"/>
      <c r="R34" s="2685"/>
      <c r="S34" s="2685"/>
      <c r="T34" s="2685"/>
      <c r="U34" s="2685"/>
      <c r="V34" s="2685"/>
      <c r="W34" s="2685"/>
      <c r="X34" s="2685"/>
      <c r="Y34" s="2685"/>
      <c r="Z34" s="2685"/>
      <c r="AA34" s="2685"/>
      <c r="AB34" s="2685"/>
      <c r="AC34" s="2675">
        <f t="shared" si="10"/>
        <v>0</v>
      </c>
      <c r="AD34" s="2695"/>
      <c r="AE34" s="2695"/>
      <c r="AF34" s="2695"/>
      <c r="AG34" s="2695"/>
      <c r="AH34" s="2695"/>
      <c r="AI34" s="2695"/>
      <c r="AJ34" s="2695"/>
      <c r="AK34" s="2695"/>
      <c r="AL34" s="2695"/>
      <c r="AM34" s="2695"/>
      <c r="AN34" s="2695"/>
      <c r="AO34" s="2695"/>
      <c r="AP34" s="2695"/>
      <c r="AQ34" s="2695"/>
      <c r="AR34" s="2695"/>
      <c r="AS34" s="2695"/>
      <c r="AT34" s="2703"/>
      <c r="AU34" s="2704"/>
      <c r="AV34" s="1074">
        <f t="shared" si="11"/>
        <v>0</v>
      </c>
      <c r="AW34" s="1074" t="str">
        <f t="shared" ref="AW34:AX39" si="36">B36</f>
        <v>仓储A</v>
      </c>
      <c r="AX34" s="1074">
        <f t="shared" si="36"/>
        <v>0</v>
      </c>
      <c r="AY34" s="2279">
        <f t="shared" si="14"/>
        <v>0</v>
      </c>
      <c r="AZ34" s="2675">
        <f t="shared" si="15"/>
        <v>0</v>
      </c>
      <c r="BA34" s="2675">
        <f t="shared" si="16"/>
        <v>0</v>
      </c>
      <c r="BB34" s="2675">
        <f>IF($D34="是",#REF!-J34,0)</f>
        <v>0</v>
      </c>
      <c r="BC34" s="2675">
        <f t="shared" ref="BC34:BC39" si="37">IF($D34="是",K36-L34,0)</f>
        <v>0</v>
      </c>
      <c r="BD34" s="2675">
        <f t="shared" si="19"/>
        <v>0</v>
      </c>
      <c r="BE34" s="2675">
        <f t="shared" si="20"/>
        <v>0</v>
      </c>
      <c r="BF34" s="2675">
        <f t="shared" si="21"/>
        <v>0</v>
      </c>
      <c r="BG34" s="2675">
        <f t="shared" si="22"/>
        <v>0</v>
      </c>
      <c r="BH34" s="2675">
        <f t="shared" si="23"/>
        <v>0</v>
      </c>
      <c r="BI34" s="2675">
        <f t="shared" si="24"/>
        <v>0</v>
      </c>
      <c r="BJ34" s="2675">
        <f t="shared" si="25"/>
        <v>0</v>
      </c>
      <c r="BK34" s="2675">
        <f t="shared" si="26"/>
        <v>0</v>
      </c>
      <c r="BL34" s="2675">
        <f t="shared" si="27"/>
        <v>0</v>
      </c>
      <c r="BM34" s="2675">
        <f t="shared" si="28"/>
        <v>0</v>
      </c>
      <c r="BN34" s="2675">
        <f t="shared" si="29"/>
        <v>0</v>
      </c>
      <c r="BO34" s="2675">
        <f t="shared" si="30"/>
        <v>0</v>
      </c>
      <c r="BP34" s="2675">
        <f t="shared" si="31"/>
        <v>0</v>
      </c>
      <c r="BQ34" s="2675">
        <f t="shared" si="32"/>
        <v>0</v>
      </c>
      <c r="BR34" s="2675">
        <f t="shared" si="33"/>
        <v>0</v>
      </c>
      <c r="BS34" s="2675">
        <f t="shared" si="34"/>
        <v>0</v>
      </c>
      <c r="BT34" s="2722">
        <f t="shared" si="35"/>
        <v>0</v>
      </c>
    </row>
    <row r="35" spans="1:72">
      <c r="A35" s="2673"/>
      <c r="B35" s="2673"/>
      <c r="C35" s="2673"/>
      <c r="D35" s="2277"/>
      <c r="E35" s="2675">
        <f t="shared" si="7"/>
        <v>0</v>
      </c>
      <c r="F35" s="2676"/>
      <c r="G35" s="2677">
        <f t="shared" si="8"/>
        <v>0</v>
      </c>
      <c r="H35" s="2678">
        <f t="shared" si="9"/>
        <v>0</v>
      </c>
      <c r="I35" s="2685"/>
      <c r="J35" s="2685"/>
      <c r="K35" s="2685"/>
      <c r="L35" s="2685"/>
      <c r="M35" s="2685"/>
      <c r="N35" s="2685"/>
      <c r="O35" s="2685"/>
      <c r="P35" s="2685"/>
      <c r="Q35" s="2685"/>
      <c r="R35" s="2685"/>
      <c r="S35" s="2685"/>
      <c r="T35" s="2685"/>
      <c r="U35" s="2685"/>
      <c r="V35" s="2685"/>
      <c r="W35" s="2685"/>
      <c r="X35" s="2685"/>
      <c r="Y35" s="2685"/>
      <c r="Z35" s="2685"/>
      <c r="AA35" s="2685"/>
      <c r="AB35" s="2685"/>
      <c r="AC35" s="2675">
        <f t="shared" si="10"/>
        <v>0</v>
      </c>
      <c r="AD35" s="2695"/>
      <c r="AE35" s="2695"/>
      <c r="AF35" s="2695"/>
      <c r="AG35" s="2695"/>
      <c r="AH35" s="2695"/>
      <c r="AI35" s="2695"/>
      <c r="AJ35" s="2695"/>
      <c r="AK35" s="2695"/>
      <c r="AL35" s="2695"/>
      <c r="AM35" s="2695"/>
      <c r="AN35" s="2695"/>
      <c r="AO35" s="2695"/>
      <c r="AP35" s="2695"/>
      <c r="AQ35" s="2695"/>
      <c r="AR35" s="2695"/>
      <c r="AS35" s="2695"/>
      <c r="AT35" s="2703"/>
      <c r="AU35" s="2704"/>
      <c r="AV35" s="1074">
        <f t="shared" si="11"/>
        <v>0</v>
      </c>
      <c r="AW35" s="1074" t="str">
        <f t="shared" si="36"/>
        <v>仓储B</v>
      </c>
      <c r="AX35" s="1074">
        <f t="shared" si="36"/>
        <v>0</v>
      </c>
      <c r="AY35" s="2279">
        <f t="shared" si="14"/>
        <v>0</v>
      </c>
      <c r="AZ35" s="2675">
        <f t="shared" si="15"/>
        <v>0</v>
      </c>
      <c r="BA35" s="2675">
        <f t="shared" si="16"/>
        <v>0</v>
      </c>
      <c r="BB35" s="2675">
        <f t="shared" si="17"/>
        <v>0</v>
      </c>
      <c r="BC35" s="2675">
        <f t="shared" si="37"/>
        <v>0</v>
      </c>
      <c r="BD35" s="2675">
        <f t="shared" si="19"/>
        <v>0</v>
      </c>
      <c r="BE35" s="2675">
        <f t="shared" si="20"/>
        <v>0</v>
      </c>
      <c r="BF35" s="2675">
        <f t="shared" si="21"/>
        <v>0</v>
      </c>
      <c r="BG35" s="2675">
        <f t="shared" si="22"/>
        <v>0</v>
      </c>
      <c r="BH35" s="2675">
        <f t="shared" si="23"/>
        <v>0</v>
      </c>
      <c r="BI35" s="2675">
        <f t="shared" si="24"/>
        <v>0</v>
      </c>
      <c r="BJ35" s="2675">
        <f t="shared" si="25"/>
        <v>0</v>
      </c>
      <c r="BK35" s="2675">
        <f t="shared" si="26"/>
        <v>0</v>
      </c>
      <c r="BL35" s="2675">
        <f t="shared" si="27"/>
        <v>0</v>
      </c>
      <c r="BM35" s="2675">
        <f t="shared" si="28"/>
        <v>0</v>
      </c>
      <c r="BN35" s="2675">
        <f t="shared" si="29"/>
        <v>0</v>
      </c>
      <c r="BO35" s="2675">
        <f t="shared" si="30"/>
        <v>0</v>
      </c>
      <c r="BP35" s="2675">
        <f t="shared" si="31"/>
        <v>0</v>
      </c>
      <c r="BQ35" s="2675">
        <f t="shared" si="32"/>
        <v>0</v>
      </c>
      <c r="BR35" s="2675">
        <f t="shared" si="33"/>
        <v>0</v>
      </c>
      <c r="BS35" s="2675">
        <f t="shared" si="34"/>
        <v>0</v>
      </c>
      <c r="BT35" s="2722">
        <f t="shared" si="35"/>
        <v>0</v>
      </c>
    </row>
    <row r="36" spans="1:72">
      <c r="A36" s="2673"/>
      <c r="B36" s="3139" t="str">
        <f>'面积表2（仓储A、B、C区企业提供）'!C46</f>
        <v>仓储A</v>
      </c>
      <c r="C36" s="3126"/>
      <c r="D36" s="2277"/>
      <c r="E36" s="2675">
        <f t="shared" si="7"/>
        <v>0</v>
      </c>
      <c r="F36" s="2676"/>
      <c r="G36" s="2677">
        <f t="shared" si="8"/>
        <v>0</v>
      </c>
      <c r="H36" s="2678">
        <f t="shared" si="9"/>
        <v>0</v>
      </c>
      <c r="I36" s="2685"/>
      <c r="J36" s="2685"/>
      <c r="K36" s="3140"/>
      <c r="L36" s="2685"/>
      <c r="M36" s="2685"/>
      <c r="N36" s="2685"/>
      <c r="O36" s="2685"/>
      <c r="P36" s="2685"/>
      <c r="Q36" s="2685"/>
      <c r="R36" s="2685"/>
      <c r="S36" s="2685"/>
      <c r="T36" s="2685"/>
      <c r="U36" s="2685"/>
      <c r="V36" s="2685"/>
      <c r="W36" s="2685"/>
      <c r="X36" s="2685"/>
      <c r="Y36" s="2685"/>
      <c r="Z36" s="2685"/>
      <c r="AA36" s="2685"/>
      <c r="AB36" s="2685"/>
      <c r="AC36" s="2675">
        <f t="shared" si="10"/>
        <v>0</v>
      </c>
      <c r="AD36" s="2695"/>
      <c r="AE36" s="2695"/>
      <c r="AF36" s="2695"/>
      <c r="AG36" s="2695"/>
      <c r="AH36" s="2695"/>
      <c r="AI36" s="2695"/>
      <c r="AJ36" s="2695"/>
      <c r="AK36" s="2695"/>
      <c r="AL36" s="2695"/>
      <c r="AM36" s="2695"/>
      <c r="AN36" s="2695"/>
      <c r="AO36" s="2695"/>
      <c r="AP36" s="2695"/>
      <c r="AQ36" s="2695"/>
      <c r="AR36" s="2695"/>
      <c r="AS36" s="2695"/>
      <c r="AT36" s="2703"/>
      <c r="AU36" s="2704"/>
      <c r="AV36" s="1074">
        <f t="shared" si="11"/>
        <v>0</v>
      </c>
      <c r="AW36" s="1074" t="str">
        <f t="shared" si="36"/>
        <v>仓储C</v>
      </c>
      <c r="AX36" s="1074">
        <f t="shared" si="36"/>
        <v>0</v>
      </c>
      <c r="AY36" s="2279">
        <f t="shared" si="14"/>
        <v>0</v>
      </c>
      <c r="AZ36" s="2675">
        <f t="shared" si="15"/>
        <v>0</v>
      </c>
      <c r="BA36" s="2675">
        <f t="shared" si="16"/>
        <v>0</v>
      </c>
      <c r="BB36" s="2675">
        <f t="shared" si="17"/>
        <v>0</v>
      </c>
      <c r="BC36" s="2675">
        <f t="shared" si="37"/>
        <v>0</v>
      </c>
      <c r="BD36" s="2675">
        <f t="shared" si="19"/>
        <v>0</v>
      </c>
      <c r="BE36" s="2675">
        <f t="shared" si="20"/>
        <v>0</v>
      </c>
      <c r="BF36" s="2675">
        <f t="shared" si="21"/>
        <v>0</v>
      </c>
      <c r="BG36" s="2675">
        <f t="shared" si="22"/>
        <v>0</v>
      </c>
      <c r="BH36" s="2675">
        <f t="shared" si="23"/>
        <v>0</v>
      </c>
      <c r="BI36" s="2675">
        <f t="shared" si="24"/>
        <v>0</v>
      </c>
      <c r="BJ36" s="2675">
        <f t="shared" si="25"/>
        <v>0</v>
      </c>
      <c r="BK36" s="2675">
        <f t="shared" si="26"/>
        <v>0</v>
      </c>
      <c r="BL36" s="2675">
        <f t="shared" si="27"/>
        <v>0</v>
      </c>
      <c r="BM36" s="2675">
        <f t="shared" si="28"/>
        <v>0</v>
      </c>
      <c r="BN36" s="2675">
        <f t="shared" si="29"/>
        <v>0</v>
      </c>
      <c r="BO36" s="2675">
        <f t="shared" si="30"/>
        <v>0</v>
      </c>
      <c r="BP36" s="2675">
        <f t="shared" si="31"/>
        <v>0</v>
      </c>
      <c r="BQ36" s="2675">
        <f t="shared" si="32"/>
        <v>0</v>
      </c>
      <c r="BR36" s="2675">
        <f t="shared" si="33"/>
        <v>0</v>
      </c>
      <c r="BS36" s="2675">
        <f t="shared" si="34"/>
        <v>0</v>
      </c>
      <c r="BT36" s="2722">
        <f t="shared" si="35"/>
        <v>0</v>
      </c>
    </row>
    <row r="37" spans="1:72">
      <c r="A37" s="2673"/>
      <c r="B37" s="3139" t="str">
        <f>'面积表2（仓储A、B、C区企业提供）'!C47</f>
        <v>仓储B</v>
      </c>
      <c r="C37" s="3126"/>
      <c r="D37" s="2277"/>
      <c r="E37" s="2675">
        <f t="shared" si="7"/>
        <v>0</v>
      </c>
      <c r="F37" s="2676"/>
      <c r="G37" s="2677">
        <f t="shared" si="8"/>
        <v>0</v>
      </c>
      <c r="H37" s="2678">
        <f t="shared" si="9"/>
        <v>0</v>
      </c>
      <c r="I37" s="2685"/>
      <c r="J37" s="2685"/>
      <c r="K37" s="3140"/>
      <c r="L37" s="2685"/>
      <c r="M37" s="2685"/>
      <c r="N37" s="2685"/>
      <c r="O37" s="2685"/>
      <c r="P37" s="2685"/>
      <c r="Q37" s="2685"/>
      <c r="R37" s="2685"/>
      <c r="S37" s="2685"/>
      <c r="T37" s="2685"/>
      <c r="U37" s="2685"/>
      <c r="V37" s="2685"/>
      <c r="W37" s="2685"/>
      <c r="X37" s="2685"/>
      <c r="Y37" s="2685"/>
      <c r="Z37" s="2685"/>
      <c r="AA37" s="2685"/>
      <c r="AB37" s="2685"/>
      <c r="AC37" s="2675">
        <f t="shared" si="10"/>
        <v>0</v>
      </c>
      <c r="AD37" s="2695"/>
      <c r="AE37" s="2695"/>
      <c r="AF37" s="2695"/>
      <c r="AG37" s="2695"/>
      <c r="AH37" s="2695"/>
      <c r="AI37" s="2695"/>
      <c r="AJ37" s="2695"/>
      <c r="AK37" s="2695"/>
      <c r="AL37" s="2695"/>
      <c r="AM37" s="2695"/>
      <c r="AN37" s="2695"/>
      <c r="AO37" s="2695"/>
      <c r="AP37" s="2695"/>
      <c r="AQ37" s="2695"/>
      <c r="AR37" s="2695"/>
      <c r="AS37" s="2695"/>
      <c r="AT37" s="2703"/>
      <c r="AU37" s="2704"/>
      <c r="AV37" s="1074">
        <f t="shared" si="11"/>
        <v>0</v>
      </c>
      <c r="AW37" s="1074">
        <f t="shared" si="36"/>
        <v>0</v>
      </c>
      <c r="AX37" s="1074">
        <f t="shared" si="36"/>
        <v>0</v>
      </c>
      <c r="AY37" s="2279">
        <f t="shared" si="14"/>
        <v>0</v>
      </c>
      <c r="AZ37" s="2675">
        <f t="shared" si="15"/>
        <v>0</v>
      </c>
      <c r="BA37" s="2675">
        <f t="shared" si="16"/>
        <v>0</v>
      </c>
      <c r="BB37" s="2675">
        <f t="shared" si="17"/>
        <v>0</v>
      </c>
      <c r="BC37" s="2675">
        <f t="shared" si="37"/>
        <v>0</v>
      </c>
      <c r="BD37" s="2675">
        <f t="shared" si="19"/>
        <v>0</v>
      </c>
      <c r="BE37" s="2675">
        <f t="shared" si="20"/>
        <v>0</v>
      </c>
      <c r="BF37" s="2675">
        <f t="shared" si="21"/>
        <v>0</v>
      </c>
      <c r="BG37" s="2675">
        <f t="shared" si="22"/>
        <v>0</v>
      </c>
      <c r="BH37" s="2675">
        <f t="shared" si="23"/>
        <v>0</v>
      </c>
      <c r="BI37" s="2675">
        <f t="shared" si="24"/>
        <v>0</v>
      </c>
      <c r="BJ37" s="2675">
        <f t="shared" si="25"/>
        <v>0</v>
      </c>
      <c r="BK37" s="2675">
        <f t="shared" si="26"/>
        <v>0</v>
      </c>
      <c r="BL37" s="2675">
        <f t="shared" si="27"/>
        <v>0</v>
      </c>
      <c r="BM37" s="2675">
        <f t="shared" si="28"/>
        <v>0</v>
      </c>
      <c r="BN37" s="2675">
        <f t="shared" si="29"/>
        <v>0</v>
      </c>
      <c r="BO37" s="2675">
        <f t="shared" si="30"/>
        <v>0</v>
      </c>
      <c r="BP37" s="2675">
        <f t="shared" si="31"/>
        <v>0</v>
      </c>
      <c r="BQ37" s="2675">
        <f t="shared" si="32"/>
        <v>0</v>
      </c>
      <c r="BR37" s="2675">
        <f t="shared" si="33"/>
        <v>0</v>
      </c>
      <c r="BS37" s="2675">
        <f t="shared" si="34"/>
        <v>0</v>
      </c>
      <c r="BT37" s="2722">
        <f t="shared" si="35"/>
        <v>0</v>
      </c>
    </row>
    <row r="38" spans="1:72" ht="14.25" customHeight="1">
      <c r="A38" s="2673"/>
      <c r="B38" s="3139" t="str">
        <f>'面积表2（仓储A、B、C区企业提供）'!C48</f>
        <v>仓储C</v>
      </c>
      <c r="C38" s="3126"/>
      <c r="D38" s="2277"/>
      <c r="E38" s="2675">
        <f t="shared" si="7"/>
        <v>0</v>
      </c>
      <c r="F38" s="2676"/>
      <c r="G38" s="2677">
        <f t="shared" si="8"/>
        <v>0</v>
      </c>
      <c r="H38" s="2678">
        <f t="shared" si="9"/>
        <v>0</v>
      </c>
      <c r="I38" s="2685"/>
      <c r="J38" s="2685"/>
      <c r="K38" s="3140"/>
      <c r="L38" s="2685"/>
      <c r="M38" s="2685"/>
      <c r="N38" s="2685"/>
      <c r="O38" s="2685"/>
      <c r="P38" s="2685"/>
      <c r="Q38" s="2685"/>
      <c r="R38" s="2685"/>
      <c r="S38" s="2685"/>
      <c r="T38" s="2685"/>
      <c r="U38" s="2685"/>
      <c r="V38" s="2685"/>
      <c r="W38" s="2685"/>
      <c r="X38" s="2685"/>
      <c r="Y38" s="2685"/>
      <c r="Z38" s="2685"/>
      <c r="AA38" s="2685"/>
      <c r="AB38" s="2685"/>
      <c r="AC38" s="2675">
        <f t="shared" si="10"/>
        <v>0</v>
      </c>
      <c r="AD38" s="2695"/>
      <c r="AE38" s="2695"/>
      <c r="AF38" s="2695"/>
      <c r="AG38" s="2695"/>
      <c r="AH38" s="2695"/>
      <c r="AI38" s="2695"/>
      <c r="AJ38" s="2695"/>
      <c r="AK38" s="2695"/>
      <c r="AL38" s="2695"/>
      <c r="AM38" s="2695"/>
      <c r="AN38" s="2695"/>
      <c r="AO38" s="2695"/>
      <c r="AP38" s="2695"/>
      <c r="AQ38" s="2695"/>
      <c r="AR38" s="2695"/>
      <c r="AS38" s="2695"/>
      <c r="AT38" s="2703"/>
      <c r="AU38" s="2704"/>
      <c r="AV38" s="1074">
        <f t="shared" si="11"/>
        <v>0</v>
      </c>
      <c r="AW38" s="1074" t="str">
        <f t="shared" si="36"/>
        <v>浙商产业园</v>
      </c>
      <c r="AX38" s="1074">
        <f t="shared" si="36"/>
        <v>0</v>
      </c>
      <c r="AY38" s="2279">
        <f t="shared" si="14"/>
        <v>0</v>
      </c>
      <c r="AZ38" s="2675">
        <f t="shared" si="15"/>
        <v>0</v>
      </c>
      <c r="BA38" s="2675">
        <f t="shared" si="16"/>
        <v>0</v>
      </c>
      <c r="BB38" s="2675">
        <f t="shared" si="17"/>
        <v>0</v>
      </c>
      <c r="BC38" s="2675">
        <f t="shared" si="37"/>
        <v>0</v>
      </c>
      <c r="BD38" s="2675">
        <f t="shared" si="19"/>
        <v>0</v>
      </c>
      <c r="BE38" s="2675">
        <f t="shared" si="20"/>
        <v>0</v>
      </c>
      <c r="BF38" s="2675">
        <f t="shared" si="21"/>
        <v>0</v>
      </c>
      <c r="BG38" s="2675">
        <f t="shared" si="22"/>
        <v>0</v>
      </c>
      <c r="BH38" s="2675">
        <f t="shared" si="23"/>
        <v>0</v>
      </c>
      <c r="BI38" s="2675">
        <f t="shared" si="24"/>
        <v>0</v>
      </c>
      <c r="BJ38" s="2675">
        <f t="shared" si="25"/>
        <v>0</v>
      </c>
      <c r="BK38" s="2675">
        <f t="shared" si="26"/>
        <v>0</v>
      </c>
      <c r="BL38" s="2675">
        <f t="shared" si="27"/>
        <v>0</v>
      </c>
      <c r="BM38" s="2675">
        <f t="shared" si="28"/>
        <v>0</v>
      </c>
      <c r="BN38" s="2675">
        <f t="shared" si="29"/>
        <v>0</v>
      </c>
      <c r="BO38" s="2675">
        <f t="shared" si="30"/>
        <v>0</v>
      </c>
      <c r="BP38" s="2675">
        <f t="shared" si="31"/>
        <v>0</v>
      </c>
      <c r="BQ38" s="2675">
        <f t="shared" si="32"/>
        <v>0</v>
      </c>
      <c r="BR38" s="2675">
        <f t="shared" si="33"/>
        <v>0</v>
      </c>
      <c r="BS38" s="2675">
        <f t="shared" si="34"/>
        <v>0</v>
      </c>
      <c r="BT38" s="2722">
        <f t="shared" si="35"/>
        <v>0</v>
      </c>
    </row>
    <row r="39" spans="1:72" ht="28.5">
      <c r="A39" s="2673"/>
      <c r="B39" s="2674"/>
      <c r="C39" s="2674"/>
      <c r="D39" s="2277"/>
      <c r="E39" s="2675">
        <f t="shared" si="7"/>
        <v>0</v>
      </c>
      <c r="F39" s="2676"/>
      <c r="G39" s="2677">
        <f t="shared" si="8"/>
        <v>0</v>
      </c>
      <c r="H39" s="2678">
        <f t="shared" si="9"/>
        <v>0</v>
      </c>
      <c r="I39" s="2685"/>
      <c r="J39" s="2685"/>
      <c r="K39" s="2685"/>
      <c r="L39" s="2685"/>
      <c r="M39" s="2685"/>
      <c r="N39" s="2685"/>
      <c r="O39" s="2685"/>
      <c r="P39" s="2685"/>
      <c r="Q39" s="2685"/>
      <c r="R39" s="2685"/>
      <c r="S39" s="2685"/>
      <c r="T39" s="2685"/>
      <c r="U39" s="2685"/>
      <c r="V39" s="2685"/>
      <c r="W39" s="2685"/>
      <c r="X39" s="2685"/>
      <c r="Y39" s="2685"/>
      <c r="Z39" s="2685"/>
      <c r="AA39" s="2685"/>
      <c r="AB39" s="2685"/>
      <c r="AC39" s="2675">
        <f t="shared" si="10"/>
        <v>0</v>
      </c>
      <c r="AD39" s="2695"/>
      <c r="AE39" s="2695"/>
      <c r="AF39" s="2695"/>
      <c r="AG39" s="2695"/>
      <c r="AH39" s="2695"/>
      <c r="AI39" s="2695"/>
      <c r="AJ39" s="2695"/>
      <c r="AK39" s="2695"/>
      <c r="AL39" s="2695"/>
      <c r="AM39" s="2695"/>
      <c r="AN39" s="2695"/>
      <c r="AO39" s="2695"/>
      <c r="AP39" s="2695"/>
      <c r="AQ39" s="2695"/>
      <c r="AR39" s="2695"/>
      <c r="AS39" s="2695"/>
      <c r="AT39" s="2703"/>
      <c r="AU39" s="2704"/>
      <c r="AV39" s="1074">
        <f t="shared" si="11"/>
        <v>0</v>
      </c>
      <c r="AW39" s="1074" t="str">
        <f t="shared" si="36"/>
        <v>电商产业园</v>
      </c>
      <c r="AX39" s="1074">
        <f t="shared" si="36"/>
        <v>0</v>
      </c>
      <c r="AY39" s="2279">
        <f t="shared" si="14"/>
        <v>0</v>
      </c>
      <c r="AZ39" s="2675">
        <f t="shared" si="15"/>
        <v>0</v>
      </c>
      <c r="BA39" s="2675">
        <f t="shared" si="16"/>
        <v>0</v>
      </c>
      <c r="BB39" s="2675">
        <f t="shared" si="17"/>
        <v>0</v>
      </c>
      <c r="BC39" s="2675">
        <f t="shared" si="37"/>
        <v>0</v>
      </c>
      <c r="BD39" s="2675">
        <f t="shared" si="19"/>
        <v>0</v>
      </c>
      <c r="BE39" s="2675">
        <f t="shared" si="20"/>
        <v>0</v>
      </c>
      <c r="BF39" s="2675">
        <f t="shared" si="21"/>
        <v>0</v>
      </c>
      <c r="BG39" s="2675">
        <f t="shared" si="22"/>
        <v>0</v>
      </c>
      <c r="BH39" s="2675">
        <f t="shared" si="23"/>
        <v>0</v>
      </c>
      <c r="BI39" s="2675">
        <f t="shared" si="24"/>
        <v>0</v>
      </c>
      <c r="BJ39" s="2675">
        <f t="shared" si="25"/>
        <v>0</v>
      </c>
      <c r="BK39" s="2675">
        <f t="shared" si="26"/>
        <v>0</v>
      </c>
      <c r="BL39" s="2675">
        <f t="shared" si="27"/>
        <v>0</v>
      </c>
      <c r="BM39" s="2675">
        <f t="shared" si="28"/>
        <v>0</v>
      </c>
      <c r="BN39" s="2675">
        <f t="shared" si="29"/>
        <v>0</v>
      </c>
      <c r="BO39" s="2675">
        <f t="shared" si="30"/>
        <v>0</v>
      </c>
      <c r="BP39" s="2675">
        <f t="shared" si="31"/>
        <v>0</v>
      </c>
      <c r="BQ39" s="2675">
        <f t="shared" si="32"/>
        <v>0</v>
      </c>
      <c r="BR39" s="2675">
        <f t="shared" si="33"/>
        <v>0</v>
      </c>
      <c r="BS39" s="2675">
        <f t="shared" si="34"/>
        <v>0</v>
      </c>
      <c r="BT39" s="2722">
        <f t="shared" si="35"/>
        <v>0</v>
      </c>
    </row>
    <row r="40" spans="1:72">
      <c r="A40" s="2673"/>
      <c r="B40" s="3123" t="str">
        <f>'面积表3（产业园企业提供）'!C34</f>
        <v>浙商产业园</v>
      </c>
      <c r="C40" s="3121"/>
      <c r="D40" s="2277"/>
      <c r="E40" s="2675">
        <f t="shared" si="7"/>
        <v>0</v>
      </c>
      <c r="F40" s="2676"/>
      <c r="G40" s="2677">
        <f t="shared" si="8"/>
        <v>0</v>
      </c>
      <c r="H40" s="2678">
        <f t="shared" si="9"/>
        <v>0</v>
      </c>
      <c r="I40" s="2685"/>
      <c r="J40" s="2685"/>
      <c r="K40" s="3143"/>
      <c r="L40" s="2685"/>
      <c r="M40" s="2685"/>
      <c r="N40" s="2685"/>
      <c r="O40" s="2685"/>
      <c r="P40" s="2685"/>
      <c r="Q40" s="2685"/>
      <c r="R40" s="2685"/>
      <c r="S40" s="2685"/>
      <c r="T40" s="2685"/>
      <c r="U40" s="2685"/>
      <c r="V40" s="2685"/>
      <c r="W40" s="2685"/>
      <c r="X40" s="2685"/>
      <c r="Y40" s="2685"/>
      <c r="Z40" s="2685"/>
      <c r="AA40" s="2685"/>
      <c r="AB40" s="2685"/>
      <c r="AC40" s="2675">
        <f t="shared" si="10"/>
        <v>0</v>
      </c>
      <c r="AD40" s="2695"/>
      <c r="AE40" s="2695"/>
      <c r="AF40" s="2695"/>
      <c r="AG40" s="2695"/>
      <c r="AH40" s="2695"/>
      <c r="AI40" s="2695"/>
      <c r="AJ40" s="2695"/>
      <c r="AK40" s="2695"/>
      <c r="AL40" s="2695"/>
      <c r="AM40" s="2695"/>
      <c r="AN40" s="2695"/>
      <c r="AO40" s="2695"/>
      <c r="AP40" s="2695"/>
      <c r="AQ40" s="2695"/>
      <c r="AR40" s="2695"/>
      <c r="AS40" s="2695"/>
      <c r="AT40" s="2703"/>
      <c r="AU40" s="2704"/>
      <c r="AV40" s="1074">
        <f t="shared" si="11"/>
        <v>0</v>
      </c>
      <c r="AW40" s="1074" t="e">
        <f>#REF!</f>
        <v>#REF!</v>
      </c>
      <c r="AX40" s="1074" t="e">
        <f>#REF!</f>
        <v>#REF!</v>
      </c>
      <c r="AY40" s="2279">
        <f t="shared" si="14"/>
        <v>0</v>
      </c>
      <c r="AZ40" s="2675">
        <f t="shared" si="15"/>
        <v>0</v>
      </c>
      <c r="BA40" s="2675">
        <f t="shared" si="16"/>
        <v>0</v>
      </c>
      <c r="BB40" s="2675">
        <f t="shared" si="17"/>
        <v>0</v>
      </c>
      <c r="BC40" s="2675">
        <f>IF($D40="是",#REF!-L40,0)</f>
        <v>0</v>
      </c>
      <c r="BD40" s="2675">
        <f t="shared" si="19"/>
        <v>0</v>
      </c>
      <c r="BE40" s="2675">
        <f t="shared" si="20"/>
        <v>0</v>
      </c>
      <c r="BF40" s="2675">
        <f t="shared" si="21"/>
        <v>0</v>
      </c>
      <c r="BG40" s="2675">
        <f t="shared" si="22"/>
        <v>0</v>
      </c>
      <c r="BH40" s="2675">
        <f t="shared" si="23"/>
        <v>0</v>
      </c>
      <c r="BI40" s="2675">
        <f t="shared" si="24"/>
        <v>0</v>
      </c>
      <c r="BJ40" s="2675">
        <f t="shared" si="25"/>
        <v>0</v>
      </c>
      <c r="BK40" s="2675">
        <f t="shared" si="26"/>
        <v>0</v>
      </c>
      <c r="BL40" s="2675">
        <f t="shared" si="27"/>
        <v>0</v>
      </c>
      <c r="BM40" s="2675">
        <f t="shared" si="28"/>
        <v>0</v>
      </c>
      <c r="BN40" s="2675">
        <f t="shared" si="29"/>
        <v>0</v>
      </c>
      <c r="BO40" s="2675">
        <f t="shared" si="30"/>
        <v>0</v>
      </c>
      <c r="BP40" s="2675">
        <f t="shared" si="31"/>
        <v>0</v>
      </c>
      <c r="BQ40" s="2675">
        <f t="shared" si="32"/>
        <v>0</v>
      </c>
      <c r="BR40" s="2675">
        <f t="shared" si="33"/>
        <v>0</v>
      </c>
      <c r="BS40" s="2675">
        <f t="shared" si="34"/>
        <v>0</v>
      </c>
      <c r="BT40" s="2722">
        <f t="shared" si="35"/>
        <v>0</v>
      </c>
    </row>
    <row r="41" spans="1:72">
      <c r="A41" s="2673"/>
      <c r="B41" s="3123" t="str">
        <f>'面积表3（产业园企业提供）'!C35</f>
        <v>电商产业园</v>
      </c>
      <c r="C41" s="3121"/>
      <c r="D41" s="2277"/>
      <c r="E41" s="2675">
        <f t="shared" si="7"/>
        <v>0</v>
      </c>
      <c r="F41" s="2676"/>
      <c r="G41" s="2677">
        <f t="shared" si="8"/>
        <v>0</v>
      </c>
      <c r="H41" s="2678">
        <f t="shared" si="9"/>
        <v>0</v>
      </c>
      <c r="I41" s="2325"/>
      <c r="J41" s="2685"/>
      <c r="K41" s="3143"/>
      <c r="L41" s="2685"/>
      <c r="M41" s="2685"/>
      <c r="N41" s="2685"/>
      <c r="O41" s="2685"/>
      <c r="P41" s="2685"/>
      <c r="Q41" s="2685"/>
      <c r="R41" s="2685"/>
      <c r="S41" s="2685"/>
      <c r="T41" s="2685"/>
      <c r="U41" s="2685"/>
      <c r="V41" s="2685"/>
      <c r="W41" s="2685"/>
      <c r="X41" s="2685"/>
      <c r="Y41" s="2685"/>
      <c r="Z41" s="2685"/>
      <c r="AA41" s="2685"/>
      <c r="AB41" s="2685"/>
      <c r="AC41" s="2675">
        <f t="shared" si="10"/>
        <v>0</v>
      </c>
      <c r="AD41" s="2695"/>
      <c r="AE41" s="2695"/>
      <c r="AF41" s="2695"/>
      <c r="AG41" s="2695"/>
      <c r="AH41" s="2695"/>
      <c r="AI41" s="2695"/>
      <c r="AJ41" s="2695"/>
      <c r="AK41" s="2695"/>
      <c r="AL41" s="2695"/>
      <c r="AM41" s="2695"/>
      <c r="AN41" s="2695"/>
      <c r="AO41" s="2695"/>
      <c r="AP41" s="2695"/>
      <c r="AQ41" s="2695"/>
      <c r="AR41" s="2695"/>
      <c r="AS41" s="2695"/>
      <c r="AT41" s="2703"/>
      <c r="AU41" s="2704"/>
      <c r="AV41" s="1074">
        <f t="shared" si="11"/>
        <v>0</v>
      </c>
      <c r="AW41" s="1074" t="str">
        <f>B34</f>
        <v>连廊</v>
      </c>
      <c r="AX41" s="1074" t="e">
        <f>#REF!</f>
        <v>#REF!</v>
      </c>
      <c r="AY41" s="2279">
        <f t="shared" si="14"/>
        <v>0</v>
      </c>
      <c r="AZ41" s="2675">
        <f t="shared" si="15"/>
        <v>0</v>
      </c>
      <c r="BA41" s="2675">
        <f t="shared" si="16"/>
        <v>0</v>
      </c>
      <c r="BB41" s="2675">
        <f>IF($D41="是",I34-J41,0)</f>
        <v>0</v>
      </c>
      <c r="BC41" s="2675">
        <f>IF($D41="是",#REF!-L41,0)</f>
        <v>0</v>
      </c>
      <c r="BD41" s="2675">
        <f t="shared" si="19"/>
        <v>0</v>
      </c>
      <c r="BE41" s="2675">
        <f t="shared" si="20"/>
        <v>0</v>
      </c>
      <c r="BF41" s="2675">
        <f t="shared" si="21"/>
        <v>0</v>
      </c>
      <c r="BG41" s="2675">
        <f t="shared" si="22"/>
        <v>0</v>
      </c>
      <c r="BH41" s="2675">
        <f t="shared" si="23"/>
        <v>0</v>
      </c>
      <c r="BI41" s="2675">
        <f t="shared" si="24"/>
        <v>0</v>
      </c>
      <c r="BJ41" s="2675">
        <f t="shared" si="25"/>
        <v>0</v>
      </c>
      <c r="BK41" s="2675">
        <f t="shared" si="26"/>
        <v>0</v>
      </c>
      <c r="BL41" s="2675">
        <f t="shared" si="27"/>
        <v>0</v>
      </c>
      <c r="BM41" s="2675">
        <f t="shared" si="28"/>
        <v>0</v>
      </c>
      <c r="BN41" s="2675">
        <f t="shared" si="29"/>
        <v>0</v>
      </c>
      <c r="BO41" s="2675">
        <f t="shared" si="30"/>
        <v>0</v>
      </c>
      <c r="BP41" s="2675">
        <f t="shared" si="31"/>
        <v>0</v>
      </c>
      <c r="BQ41" s="2675">
        <f t="shared" si="32"/>
        <v>0</v>
      </c>
      <c r="BR41" s="2675">
        <f t="shared" si="33"/>
        <v>0</v>
      </c>
      <c r="BS41" s="2675">
        <f t="shared" si="34"/>
        <v>0</v>
      </c>
      <c r="BT41" s="2722">
        <f t="shared" si="35"/>
        <v>0</v>
      </c>
    </row>
    <row r="42" spans="1:72">
      <c r="A42" s="2673"/>
      <c r="B42" s="3122"/>
      <c r="C42" s="2674"/>
      <c r="D42" s="2277"/>
      <c r="E42" s="2675">
        <f t="shared" si="7"/>
        <v>0</v>
      </c>
      <c r="F42" s="2676"/>
      <c r="G42" s="2677">
        <f t="shared" si="8"/>
        <v>0</v>
      </c>
      <c r="H42" s="2678">
        <f t="shared" si="9"/>
        <v>0</v>
      </c>
      <c r="I42" s="2685"/>
      <c r="J42" s="2685"/>
      <c r="K42" s="2685"/>
      <c r="L42" s="2685"/>
      <c r="M42" s="2685"/>
      <c r="N42" s="2685"/>
      <c r="O42" s="2685"/>
      <c r="P42" s="2685"/>
      <c r="Q42" s="2685"/>
      <c r="R42" s="2685"/>
      <c r="S42" s="2685"/>
      <c r="T42" s="2685"/>
      <c r="U42" s="2685"/>
      <c r="V42" s="2685"/>
      <c r="W42" s="2685"/>
      <c r="X42" s="2685"/>
      <c r="Y42" s="2685"/>
      <c r="Z42" s="2685"/>
      <c r="AA42" s="2685"/>
      <c r="AB42" s="2685"/>
      <c r="AC42" s="2675">
        <f t="shared" si="10"/>
        <v>0</v>
      </c>
      <c r="AD42" s="2695"/>
      <c r="AE42" s="2695"/>
      <c r="AF42" s="2695"/>
      <c r="AG42" s="2695"/>
      <c r="AH42" s="2695"/>
      <c r="AI42" s="2695"/>
      <c r="AJ42" s="2695"/>
      <c r="AK42" s="2695"/>
      <c r="AL42" s="2695"/>
      <c r="AM42" s="2695"/>
      <c r="AN42" s="2695"/>
      <c r="AO42" s="2695"/>
      <c r="AP42" s="2695"/>
      <c r="AQ42" s="2695"/>
      <c r="AR42" s="2695"/>
      <c r="AS42" s="2695"/>
      <c r="AT42" s="2703"/>
      <c r="AU42" s="2704"/>
      <c r="AV42" s="1074">
        <f t="shared" si="11"/>
        <v>0</v>
      </c>
      <c r="AW42" s="1074">
        <f t="shared" si="12"/>
        <v>0</v>
      </c>
      <c r="AX42" s="1074">
        <f t="shared" si="13"/>
        <v>0</v>
      </c>
      <c r="AY42" s="2279">
        <f t="shared" si="14"/>
        <v>0</v>
      </c>
      <c r="AZ42" s="2675">
        <f t="shared" si="15"/>
        <v>0</v>
      </c>
      <c r="BA42" s="2675">
        <f t="shared" si="16"/>
        <v>0</v>
      </c>
      <c r="BB42" s="2675">
        <f t="shared" si="17"/>
        <v>0</v>
      </c>
      <c r="BC42" s="2675">
        <f t="shared" si="18"/>
        <v>0</v>
      </c>
      <c r="BD42" s="2675">
        <f t="shared" si="19"/>
        <v>0</v>
      </c>
      <c r="BE42" s="2675">
        <f t="shared" si="20"/>
        <v>0</v>
      </c>
      <c r="BF42" s="2675">
        <f t="shared" si="21"/>
        <v>0</v>
      </c>
      <c r="BG42" s="2675">
        <f t="shared" si="22"/>
        <v>0</v>
      </c>
      <c r="BH42" s="2675">
        <f t="shared" si="23"/>
        <v>0</v>
      </c>
      <c r="BI42" s="2675">
        <f t="shared" si="24"/>
        <v>0</v>
      </c>
      <c r="BJ42" s="2675">
        <f t="shared" si="25"/>
        <v>0</v>
      </c>
      <c r="BK42" s="2675">
        <f t="shared" si="26"/>
        <v>0</v>
      </c>
      <c r="BL42" s="2675">
        <f t="shared" si="27"/>
        <v>0</v>
      </c>
      <c r="BM42" s="2675">
        <f t="shared" si="28"/>
        <v>0</v>
      </c>
      <c r="BN42" s="2675">
        <f t="shared" si="29"/>
        <v>0</v>
      </c>
      <c r="BO42" s="2675">
        <f t="shared" si="30"/>
        <v>0</v>
      </c>
      <c r="BP42" s="2675">
        <f t="shared" si="31"/>
        <v>0</v>
      </c>
      <c r="BQ42" s="2675">
        <f t="shared" si="32"/>
        <v>0</v>
      </c>
      <c r="BR42" s="2675">
        <f t="shared" si="33"/>
        <v>0</v>
      </c>
      <c r="BS42" s="2675">
        <f t="shared" si="34"/>
        <v>0</v>
      </c>
      <c r="BT42" s="2722">
        <f t="shared" si="35"/>
        <v>0</v>
      </c>
    </row>
    <row r="43" spans="1:72">
      <c r="A43" s="2673"/>
      <c r="B43" s="2674"/>
      <c r="C43" s="2674"/>
      <c r="D43" s="2277"/>
      <c r="E43" s="2675">
        <f t="shared" si="7"/>
        <v>0</v>
      </c>
      <c r="F43" s="2676"/>
      <c r="G43" s="2677">
        <f t="shared" si="8"/>
        <v>0</v>
      </c>
      <c r="H43" s="2678">
        <f t="shared" si="9"/>
        <v>0</v>
      </c>
      <c r="I43" s="2685"/>
      <c r="J43" s="2685"/>
      <c r="K43" s="2685"/>
      <c r="L43" s="2685"/>
      <c r="M43" s="2685"/>
      <c r="N43" s="2685"/>
      <c r="O43" s="2685"/>
      <c r="P43" s="2685"/>
      <c r="Q43" s="2685"/>
      <c r="R43" s="2685"/>
      <c r="S43" s="2685"/>
      <c r="T43" s="2685"/>
      <c r="U43" s="2685"/>
      <c r="V43" s="2685"/>
      <c r="W43" s="2685"/>
      <c r="X43" s="2685"/>
      <c r="Y43" s="2685"/>
      <c r="Z43" s="2685"/>
      <c r="AA43" s="2685"/>
      <c r="AB43" s="2685"/>
      <c r="AC43" s="2675">
        <f t="shared" si="10"/>
        <v>0</v>
      </c>
      <c r="AD43" s="2695"/>
      <c r="AE43" s="2695"/>
      <c r="AF43" s="2695"/>
      <c r="AG43" s="2695"/>
      <c r="AH43" s="2695"/>
      <c r="AI43" s="2695"/>
      <c r="AJ43" s="2695"/>
      <c r="AK43" s="2695"/>
      <c r="AL43" s="2695"/>
      <c r="AM43" s="2695"/>
      <c r="AN43" s="2695"/>
      <c r="AO43" s="2695"/>
      <c r="AP43" s="2695"/>
      <c r="AQ43" s="2695"/>
      <c r="AR43" s="2695"/>
      <c r="AS43" s="2695"/>
      <c r="AT43" s="2703"/>
      <c r="AU43" s="2704"/>
      <c r="AV43" s="1074">
        <f t="shared" si="11"/>
        <v>0</v>
      </c>
      <c r="AW43" s="1074">
        <f t="shared" si="12"/>
        <v>0</v>
      </c>
      <c r="AX43" s="1074">
        <f t="shared" si="13"/>
        <v>0</v>
      </c>
      <c r="AY43" s="2279">
        <f t="shared" si="14"/>
        <v>0</v>
      </c>
      <c r="AZ43" s="2675">
        <f t="shared" si="15"/>
        <v>0</v>
      </c>
      <c r="BA43" s="2675">
        <f t="shared" si="16"/>
        <v>0</v>
      </c>
      <c r="BB43" s="2675">
        <f t="shared" si="17"/>
        <v>0</v>
      </c>
      <c r="BC43" s="2675">
        <f t="shared" si="18"/>
        <v>0</v>
      </c>
      <c r="BD43" s="2675">
        <f t="shared" si="19"/>
        <v>0</v>
      </c>
      <c r="BE43" s="2675">
        <f t="shared" si="20"/>
        <v>0</v>
      </c>
      <c r="BF43" s="2675">
        <f t="shared" si="21"/>
        <v>0</v>
      </c>
      <c r="BG43" s="2675">
        <f t="shared" si="22"/>
        <v>0</v>
      </c>
      <c r="BH43" s="2675">
        <f t="shared" si="23"/>
        <v>0</v>
      </c>
      <c r="BI43" s="2675">
        <f t="shared" si="24"/>
        <v>0</v>
      </c>
      <c r="BJ43" s="2675">
        <f t="shared" si="25"/>
        <v>0</v>
      </c>
      <c r="BK43" s="2675">
        <f t="shared" si="26"/>
        <v>0</v>
      </c>
      <c r="BL43" s="2675">
        <f t="shared" si="27"/>
        <v>0</v>
      </c>
      <c r="BM43" s="2675">
        <f t="shared" si="28"/>
        <v>0</v>
      </c>
      <c r="BN43" s="2675">
        <f t="shared" si="29"/>
        <v>0</v>
      </c>
      <c r="BO43" s="2675">
        <f t="shared" si="30"/>
        <v>0</v>
      </c>
      <c r="BP43" s="2675">
        <f t="shared" si="31"/>
        <v>0</v>
      </c>
      <c r="BQ43" s="2675">
        <f t="shared" si="32"/>
        <v>0</v>
      </c>
      <c r="BR43" s="2675">
        <f t="shared" si="33"/>
        <v>0</v>
      </c>
      <c r="BS43" s="2675">
        <f t="shared" si="34"/>
        <v>0</v>
      </c>
      <c r="BT43" s="2722">
        <f t="shared" si="35"/>
        <v>0</v>
      </c>
    </row>
    <row r="44" spans="1:72">
      <c r="A44" s="2673"/>
      <c r="B44" s="2674"/>
      <c r="C44" s="2674"/>
      <c r="D44" s="2277"/>
      <c r="E44" s="2675">
        <f t="shared" si="7"/>
        <v>0</v>
      </c>
      <c r="F44" s="2676"/>
      <c r="G44" s="2677">
        <f t="shared" si="8"/>
        <v>0</v>
      </c>
      <c r="H44" s="2678">
        <f t="shared" si="9"/>
        <v>0</v>
      </c>
      <c r="I44" s="2685"/>
      <c r="J44" s="2685"/>
      <c r="K44" s="2685"/>
      <c r="L44" s="2685"/>
      <c r="M44" s="2685"/>
      <c r="N44" s="2685"/>
      <c r="O44" s="2685"/>
      <c r="P44" s="2685"/>
      <c r="Q44" s="2685"/>
      <c r="R44" s="2685"/>
      <c r="S44" s="2685"/>
      <c r="T44" s="2685"/>
      <c r="U44" s="2685"/>
      <c r="V44" s="2685"/>
      <c r="W44" s="2685"/>
      <c r="X44" s="2685"/>
      <c r="Y44" s="2685"/>
      <c r="Z44" s="2685"/>
      <c r="AA44" s="2685"/>
      <c r="AB44" s="2685"/>
      <c r="AC44" s="2675">
        <f t="shared" si="10"/>
        <v>0</v>
      </c>
      <c r="AD44" s="2695"/>
      <c r="AE44" s="2695"/>
      <c r="AF44" s="2695"/>
      <c r="AG44" s="2695"/>
      <c r="AH44" s="2695"/>
      <c r="AI44" s="2695"/>
      <c r="AJ44" s="2695"/>
      <c r="AK44" s="2695"/>
      <c r="AL44" s="2695"/>
      <c r="AM44" s="2695"/>
      <c r="AN44" s="2695"/>
      <c r="AO44" s="2695"/>
      <c r="AP44" s="2695"/>
      <c r="AQ44" s="2695"/>
      <c r="AR44" s="2695"/>
      <c r="AS44" s="2695"/>
      <c r="AT44" s="2703"/>
      <c r="AU44" s="2704"/>
      <c r="AV44" s="1074">
        <f t="shared" si="11"/>
        <v>0</v>
      </c>
      <c r="AW44" s="1074">
        <f t="shared" si="12"/>
        <v>0</v>
      </c>
      <c r="AX44" s="1074">
        <f t="shared" si="13"/>
        <v>0</v>
      </c>
      <c r="AY44" s="2279">
        <f t="shared" si="14"/>
        <v>0</v>
      </c>
      <c r="AZ44" s="2675">
        <f t="shared" si="15"/>
        <v>0</v>
      </c>
      <c r="BA44" s="2675">
        <f t="shared" si="16"/>
        <v>0</v>
      </c>
      <c r="BB44" s="2675">
        <f t="shared" si="17"/>
        <v>0</v>
      </c>
      <c r="BC44" s="2675">
        <f t="shared" si="18"/>
        <v>0</v>
      </c>
      <c r="BD44" s="2675">
        <f t="shared" si="19"/>
        <v>0</v>
      </c>
      <c r="BE44" s="2675">
        <f t="shared" si="20"/>
        <v>0</v>
      </c>
      <c r="BF44" s="2675">
        <f t="shared" si="21"/>
        <v>0</v>
      </c>
      <c r="BG44" s="2675">
        <f t="shared" si="22"/>
        <v>0</v>
      </c>
      <c r="BH44" s="2675">
        <f t="shared" si="23"/>
        <v>0</v>
      </c>
      <c r="BI44" s="2675">
        <f t="shared" si="24"/>
        <v>0</v>
      </c>
      <c r="BJ44" s="2675">
        <f t="shared" si="25"/>
        <v>0</v>
      </c>
      <c r="BK44" s="2675">
        <f t="shared" si="26"/>
        <v>0</v>
      </c>
      <c r="BL44" s="2675">
        <f t="shared" si="27"/>
        <v>0</v>
      </c>
      <c r="BM44" s="2675">
        <f t="shared" si="28"/>
        <v>0</v>
      </c>
      <c r="BN44" s="2675">
        <f t="shared" si="29"/>
        <v>0</v>
      </c>
      <c r="BO44" s="2675">
        <f t="shared" si="30"/>
        <v>0</v>
      </c>
      <c r="BP44" s="2675">
        <f t="shared" si="31"/>
        <v>0</v>
      </c>
      <c r="BQ44" s="2675">
        <f t="shared" si="32"/>
        <v>0</v>
      </c>
      <c r="BR44" s="2675">
        <f t="shared" si="33"/>
        <v>0</v>
      </c>
      <c r="BS44" s="2675">
        <f t="shared" si="34"/>
        <v>0</v>
      </c>
      <c r="BT44" s="2722">
        <f t="shared" si="35"/>
        <v>0</v>
      </c>
    </row>
    <row r="45" spans="1:72">
      <c r="A45" s="2673"/>
      <c r="B45" s="2674"/>
      <c r="C45" s="2674"/>
      <c r="D45" s="2277"/>
      <c r="E45" s="2675">
        <f t="shared" si="7"/>
        <v>0</v>
      </c>
      <c r="F45" s="2676"/>
      <c r="G45" s="2677">
        <f t="shared" si="8"/>
        <v>0</v>
      </c>
      <c r="H45" s="2678">
        <f t="shared" si="9"/>
        <v>0</v>
      </c>
      <c r="I45" s="2685"/>
      <c r="J45" s="2685"/>
      <c r="K45" s="2685"/>
      <c r="L45" s="2685"/>
      <c r="M45" s="2685"/>
      <c r="N45" s="2685"/>
      <c r="O45" s="2685"/>
      <c r="P45" s="2685"/>
      <c r="Q45" s="2685"/>
      <c r="R45" s="2685"/>
      <c r="S45" s="2685"/>
      <c r="T45" s="2685"/>
      <c r="U45" s="2685"/>
      <c r="V45" s="2685"/>
      <c r="W45" s="2685"/>
      <c r="X45" s="2685"/>
      <c r="Y45" s="2685"/>
      <c r="Z45" s="2685"/>
      <c r="AA45" s="2685"/>
      <c r="AB45" s="2685"/>
      <c r="AC45" s="2675">
        <f t="shared" si="10"/>
        <v>0</v>
      </c>
      <c r="AD45" s="2695"/>
      <c r="AE45" s="2695"/>
      <c r="AF45" s="2695"/>
      <c r="AG45" s="2695"/>
      <c r="AH45" s="2695"/>
      <c r="AI45" s="2695"/>
      <c r="AJ45" s="2695"/>
      <c r="AK45" s="2695"/>
      <c r="AL45" s="2695"/>
      <c r="AM45" s="2695"/>
      <c r="AN45" s="2695"/>
      <c r="AO45" s="2695"/>
      <c r="AP45" s="2695"/>
      <c r="AQ45" s="2695"/>
      <c r="AR45" s="2695"/>
      <c r="AS45" s="2695"/>
      <c r="AT45" s="2703"/>
      <c r="AU45" s="2704"/>
      <c r="AV45" s="1074">
        <f t="shared" si="11"/>
        <v>0</v>
      </c>
      <c r="AW45" s="1074">
        <f t="shared" si="12"/>
        <v>0</v>
      </c>
      <c r="AX45" s="1074">
        <f t="shared" si="13"/>
        <v>0</v>
      </c>
      <c r="AY45" s="2279">
        <f t="shared" si="14"/>
        <v>0</v>
      </c>
      <c r="AZ45" s="2675">
        <f t="shared" si="15"/>
        <v>0</v>
      </c>
      <c r="BA45" s="2675">
        <f t="shared" si="16"/>
        <v>0</v>
      </c>
      <c r="BB45" s="2675">
        <f t="shared" si="17"/>
        <v>0</v>
      </c>
      <c r="BC45" s="2675">
        <f t="shared" si="18"/>
        <v>0</v>
      </c>
      <c r="BD45" s="2675">
        <f t="shared" si="19"/>
        <v>0</v>
      </c>
      <c r="BE45" s="2675">
        <f t="shared" si="20"/>
        <v>0</v>
      </c>
      <c r="BF45" s="2675">
        <f t="shared" si="21"/>
        <v>0</v>
      </c>
      <c r="BG45" s="2675">
        <f t="shared" si="22"/>
        <v>0</v>
      </c>
      <c r="BH45" s="2675">
        <f t="shared" si="23"/>
        <v>0</v>
      </c>
      <c r="BI45" s="2675">
        <f t="shared" si="24"/>
        <v>0</v>
      </c>
      <c r="BJ45" s="2675">
        <f t="shared" si="25"/>
        <v>0</v>
      </c>
      <c r="BK45" s="2675">
        <f t="shared" si="26"/>
        <v>0</v>
      </c>
      <c r="BL45" s="2675">
        <f t="shared" si="27"/>
        <v>0</v>
      </c>
      <c r="BM45" s="2675">
        <f t="shared" si="28"/>
        <v>0</v>
      </c>
      <c r="BN45" s="2675">
        <f t="shared" si="29"/>
        <v>0</v>
      </c>
      <c r="BO45" s="2675">
        <f t="shared" si="30"/>
        <v>0</v>
      </c>
      <c r="BP45" s="2675">
        <f t="shared" si="31"/>
        <v>0</v>
      </c>
      <c r="BQ45" s="2675">
        <f t="shared" si="32"/>
        <v>0</v>
      </c>
      <c r="BR45" s="2675">
        <f t="shared" si="33"/>
        <v>0</v>
      </c>
      <c r="BS45" s="2675">
        <f t="shared" si="34"/>
        <v>0</v>
      </c>
      <c r="BT45" s="2722">
        <f t="shared" si="35"/>
        <v>0</v>
      </c>
    </row>
    <row r="46" spans="1:72">
      <c r="A46" s="2673"/>
      <c r="B46" s="2674"/>
      <c r="C46" s="2674"/>
      <c r="D46" s="2277"/>
      <c r="E46" s="2675">
        <f t="shared" si="7"/>
        <v>0</v>
      </c>
      <c r="F46" s="2676"/>
      <c r="G46" s="2677">
        <f t="shared" si="8"/>
        <v>0</v>
      </c>
      <c r="H46" s="2678">
        <f t="shared" si="9"/>
        <v>0</v>
      </c>
      <c r="I46" s="2685"/>
      <c r="J46" s="2685"/>
      <c r="K46" s="2685"/>
      <c r="L46" s="2685"/>
      <c r="M46" s="2685"/>
      <c r="N46" s="2685"/>
      <c r="O46" s="2685"/>
      <c r="P46" s="2685"/>
      <c r="Q46" s="2685"/>
      <c r="R46" s="2685"/>
      <c r="S46" s="2685"/>
      <c r="T46" s="2685"/>
      <c r="U46" s="2685"/>
      <c r="V46" s="2685"/>
      <c r="W46" s="2685"/>
      <c r="X46" s="2685"/>
      <c r="Y46" s="2685"/>
      <c r="Z46" s="2685"/>
      <c r="AA46" s="2685"/>
      <c r="AB46" s="2685"/>
      <c r="AC46" s="2675">
        <f t="shared" si="10"/>
        <v>0</v>
      </c>
      <c r="AD46" s="2695"/>
      <c r="AE46" s="2695"/>
      <c r="AF46" s="2695"/>
      <c r="AG46" s="2695"/>
      <c r="AH46" s="2695"/>
      <c r="AI46" s="2695"/>
      <c r="AJ46" s="2695"/>
      <c r="AK46" s="2695"/>
      <c r="AL46" s="2695"/>
      <c r="AM46" s="2695"/>
      <c r="AN46" s="2695"/>
      <c r="AO46" s="2695"/>
      <c r="AP46" s="2695"/>
      <c r="AQ46" s="2695"/>
      <c r="AR46" s="2695"/>
      <c r="AS46" s="2695"/>
      <c r="AT46" s="2703"/>
      <c r="AU46" s="2704"/>
      <c r="AV46" s="1074">
        <f t="shared" si="11"/>
        <v>0</v>
      </c>
      <c r="AW46" s="1074">
        <f t="shared" si="12"/>
        <v>0</v>
      </c>
      <c r="AX46" s="1074">
        <f t="shared" si="13"/>
        <v>0</v>
      </c>
      <c r="AY46" s="2279">
        <f t="shared" si="14"/>
        <v>0</v>
      </c>
      <c r="AZ46" s="2675">
        <f t="shared" si="15"/>
        <v>0</v>
      </c>
      <c r="BA46" s="2675">
        <f t="shared" si="16"/>
        <v>0</v>
      </c>
      <c r="BB46" s="2675">
        <f t="shared" si="17"/>
        <v>0</v>
      </c>
      <c r="BC46" s="2675">
        <f t="shared" si="18"/>
        <v>0</v>
      </c>
      <c r="BD46" s="2675">
        <f t="shared" si="19"/>
        <v>0</v>
      </c>
      <c r="BE46" s="2675">
        <f t="shared" si="20"/>
        <v>0</v>
      </c>
      <c r="BF46" s="2675">
        <f t="shared" si="21"/>
        <v>0</v>
      </c>
      <c r="BG46" s="2675">
        <f t="shared" si="22"/>
        <v>0</v>
      </c>
      <c r="BH46" s="2675">
        <f t="shared" si="23"/>
        <v>0</v>
      </c>
      <c r="BI46" s="2675">
        <f t="shared" si="24"/>
        <v>0</v>
      </c>
      <c r="BJ46" s="2675">
        <f t="shared" si="25"/>
        <v>0</v>
      </c>
      <c r="BK46" s="2675">
        <f t="shared" si="26"/>
        <v>0</v>
      </c>
      <c r="BL46" s="2675">
        <f t="shared" si="27"/>
        <v>0</v>
      </c>
      <c r="BM46" s="2675">
        <f t="shared" si="28"/>
        <v>0</v>
      </c>
      <c r="BN46" s="2675">
        <f t="shared" si="29"/>
        <v>0</v>
      </c>
      <c r="BO46" s="2675">
        <f t="shared" si="30"/>
        <v>0</v>
      </c>
      <c r="BP46" s="2675">
        <f t="shared" si="31"/>
        <v>0</v>
      </c>
      <c r="BQ46" s="2675">
        <f t="shared" si="32"/>
        <v>0</v>
      </c>
      <c r="BR46" s="2675">
        <f t="shared" si="33"/>
        <v>0</v>
      </c>
      <c r="BS46" s="2675">
        <f t="shared" si="34"/>
        <v>0</v>
      </c>
      <c r="BT46" s="2722">
        <f t="shared" si="35"/>
        <v>0</v>
      </c>
    </row>
    <row r="47" spans="1:72">
      <c r="A47" s="2673"/>
      <c r="B47" s="2673"/>
      <c r="C47" s="2673"/>
      <c r="D47" s="2277"/>
      <c r="E47" s="2675">
        <f t="shared" si="7"/>
        <v>0</v>
      </c>
      <c r="F47" s="2676"/>
      <c r="G47" s="2677">
        <f t="shared" si="8"/>
        <v>0</v>
      </c>
      <c r="H47" s="2678">
        <f t="shared" si="9"/>
        <v>0</v>
      </c>
      <c r="I47" s="2685"/>
      <c r="J47" s="2685"/>
      <c r="K47" s="2685"/>
      <c r="L47" s="2685"/>
      <c r="M47" s="2685"/>
      <c r="N47" s="2685"/>
      <c r="O47" s="2685"/>
      <c r="P47" s="2685"/>
      <c r="Q47" s="2685"/>
      <c r="R47" s="2685"/>
      <c r="S47" s="2685"/>
      <c r="T47" s="2685"/>
      <c r="U47" s="2685"/>
      <c r="V47" s="2685"/>
      <c r="W47" s="2685"/>
      <c r="X47" s="2685"/>
      <c r="Y47" s="2685"/>
      <c r="Z47" s="2685"/>
      <c r="AA47" s="2685"/>
      <c r="AB47" s="2685"/>
      <c r="AC47" s="2675">
        <f t="shared" si="10"/>
        <v>0</v>
      </c>
      <c r="AD47" s="2695"/>
      <c r="AE47" s="2695"/>
      <c r="AF47" s="2695"/>
      <c r="AG47" s="2695"/>
      <c r="AH47" s="2695"/>
      <c r="AI47" s="2695"/>
      <c r="AJ47" s="2695"/>
      <c r="AK47" s="2695"/>
      <c r="AL47" s="2695"/>
      <c r="AM47" s="2695"/>
      <c r="AN47" s="2695"/>
      <c r="AO47" s="2695"/>
      <c r="AP47" s="2695"/>
      <c r="AQ47" s="2695"/>
      <c r="AR47" s="2695"/>
      <c r="AS47" s="2695"/>
      <c r="AT47" s="2703"/>
      <c r="AU47" s="2704"/>
      <c r="AV47" s="1074">
        <f t="shared" si="11"/>
        <v>0</v>
      </c>
      <c r="AW47" s="1074">
        <f t="shared" si="12"/>
        <v>0</v>
      </c>
      <c r="AX47" s="1074">
        <f t="shared" si="13"/>
        <v>0</v>
      </c>
      <c r="AY47" s="2279">
        <f t="shared" si="14"/>
        <v>0</v>
      </c>
      <c r="AZ47" s="2675">
        <f t="shared" si="15"/>
        <v>0</v>
      </c>
      <c r="BA47" s="2675">
        <f t="shared" si="16"/>
        <v>0</v>
      </c>
      <c r="BB47" s="2675">
        <f t="shared" si="17"/>
        <v>0</v>
      </c>
      <c r="BC47" s="2675">
        <f t="shared" si="18"/>
        <v>0</v>
      </c>
      <c r="BD47" s="2675">
        <f t="shared" si="19"/>
        <v>0</v>
      </c>
      <c r="BE47" s="2675">
        <f t="shared" si="20"/>
        <v>0</v>
      </c>
      <c r="BF47" s="2675">
        <f t="shared" si="21"/>
        <v>0</v>
      </c>
      <c r="BG47" s="2675">
        <f t="shared" si="22"/>
        <v>0</v>
      </c>
      <c r="BH47" s="2675">
        <f t="shared" si="23"/>
        <v>0</v>
      </c>
      <c r="BI47" s="2675">
        <f t="shared" si="24"/>
        <v>0</v>
      </c>
      <c r="BJ47" s="2675">
        <f t="shared" si="25"/>
        <v>0</v>
      </c>
      <c r="BK47" s="2675">
        <f t="shared" si="26"/>
        <v>0</v>
      </c>
      <c r="BL47" s="2675">
        <f t="shared" si="27"/>
        <v>0</v>
      </c>
      <c r="BM47" s="2675">
        <f t="shared" si="28"/>
        <v>0</v>
      </c>
      <c r="BN47" s="2675">
        <f t="shared" si="29"/>
        <v>0</v>
      </c>
      <c r="BO47" s="2675">
        <f t="shared" si="30"/>
        <v>0</v>
      </c>
      <c r="BP47" s="2675">
        <f t="shared" si="31"/>
        <v>0</v>
      </c>
      <c r="BQ47" s="2675">
        <f t="shared" si="32"/>
        <v>0</v>
      </c>
      <c r="BR47" s="2675">
        <f t="shared" si="33"/>
        <v>0</v>
      </c>
      <c r="BS47" s="2675">
        <f t="shared" si="34"/>
        <v>0</v>
      </c>
      <c r="BT47" s="2722">
        <f t="shared" si="35"/>
        <v>0</v>
      </c>
    </row>
    <row r="48" spans="1:72">
      <c r="A48" s="2673"/>
      <c r="B48" s="2673"/>
      <c r="C48" s="2673"/>
      <c r="D48" s="2277"/>
      <c r="E48" s="2675">
        <f t="shared" si="7"/>
        <v>0</v>
      </c>
      <c r="F48" s="2676"/>
      <c r="G48" s="2677">
        <f t="shared" si="8"/>
        <v>0</v>
      </c>
      <c r="H48" s="2678">
        <f t="shared" si="9"/>
        <v>0</v>
      </c>
      <c r="I48" s="2685"/>
      <c r="J48" s="2685"/>
      <c r="K48" s="2685"/>
      <c r="L48" s="2685"/>
      <c r="M48" s="2685"/>
      <c r="N48" s="2685"/>
      <c r="O48" s="2685"/>
      <c r="P48" s="2685"/>
      <c r="Q48" s="2685"/>
      <c r="R48" s="2685"/>
      <c r="S48" s="2685"/>
      <c r="T48" s="2685"/>
      <c r="U48" s="2685"/>
      <c r="V48" s="2685"/>
      <c r="W48" s="2685"/>
      <c r="X48" s="2685"/>
      <c r="Y48" s="2685"/>
      <c r="Z48" s="2685"/>
      <c r="AA48" s="2685"/>
      <c r="AB48" s="2685"/>
      <c r="AC48" s="2675">
        <f t="shared" si="10"/>
        <v>0</v>
      </c>
      <c r="AD48" s="2695"/>
      <c r="AE48" s="2695"/>
      <c r="AF48" s="2695"/>
      <c r="AG48" s="2695"/>
      <c r="AH48" s="2695"/>
      <c r="AI48" s="2695"/>
      <c r="AJ48" s="2695"/>
      <c r="AK48" s="2695"/>
      <c r="AL48" s="2695"/>
      <c r="AM48" s="2695"/>
      <c r="AN48" s="2695"/>
      <c r="AO48" s="2695"/>
      <c r="AP48" s="2695"/>
      <c r="AQ48" s="2695"/>
      <c r="AR48" s="2695"/>
      <c r="AS48" s="2695"/>
      <c r="AT48" s="2703"/>
      <c r="AU48" s="2704"/>
      <c r="AV48" s="1074">
        <f t="shared" si="11"/>
        <v>0</v>
      </c>
      <c r="AW48" s="1074" t="e">
        <f>#REF!</f>
        <v>#REF!</v>
      </c>
      <c r="AX48" s="1074" t="e">
        <f>#REF!</f>
        <v>#REF!</v>
      </c>
      <c r="AY48" s="2279">
        <f t="shared" si="14"/>
        <v>0</v>
      </c>
      <c r="AZ48" s="2675">
        <f t="shared" si="15"/>
        <v>0</v>
      </c>
      <c r="BA48" s="2675">
        <f t="shared" si="16"/>
        <v>0</v>
      </c>
      <c r="BB48" s="2675">
        <f t="shared" si="17"/>
        <v>0</v>
      </c>
      <c r="BC48" s="2675">
        <f t="shared" si="18"/>
        <v>0</v>
      </c>
      <c r="BD48" s="2675">
        <f t="shared" si="19"/>
        <v>0</v>
      </c>
      <c r="BE48" s="2675">
        <f t="shared" si="20"/>
        <v>0</v>
      </c>
      <c r="BF48" s="2675">
        <f t="shared" si="21"/>
        <v>0</v>
      </c>
      <c r="BG48" s="2675">
        <f t="shared" si="22"/>
        <v>0</v>
      </c>
      <c r="BH48" s="2675">
        <f t="shared" si="23"/>
        <v>0</v>
      </c>
      <c r="BI48" s="2675">
        <f t="shared" si="24"/>
        <v>0</v>
      </c>
      <c r="BJ48" s="2675">
        <f t="shared" si="25"/>
        <v>0</v>
      </c>
      <c r="BK48" s="2675">
        <f t="shared" si="26"/>
        <v>0</v>
      </c>
      <c r="BL48" s="2675">
        <f t="shared" si="27"/>
        <v>0</v>
      </c>
      <c r="BM48" s="2675">
        <f t="shared" si="28"/>
        <v>0</v>
      </c>
      <c r="BN48" s="2675">
        <f t="shared" si="29"/>
        <v>0</v>
      </c>
      <c r="BO48" s="2675">
        <f t="shared" si="30"/>
        <v>0</v>
      </c>
      <c r="BP48" s="2675">
        <f t="shared" si="31"/>
        <v>0</v>
      </c>
      <c r="BQ48" s="2675">
        <f t="shared" si="32"/>
        <v>0</v>
      </c>
      <c r="BR48" s="2675">
        <f t="shared" si="33"/>
        <v>0</v>
      </c>
      <c r="BS48" s="2675">
        <f t="shared" si="34"/>
        <v>0</v>
      </c>
      <c r="BT48" s="2722">
        <f t="shared" si="35"/>
        <v>0</v>
      </c>
    </row>
    <row r="49" spans="1:72">
      <c r="A49" s="2673"/>
      <c r="B49" s="2673"/>
      <c r="C49" s="2673"/>
      <c r="D49" s="2277"/>
      <c r="E49" s="2675">
        <f t="shared" si="7"/>
        <v>0</v>
      </c>
      <c r="F49" s="2676"/>
      <c r="G49" s="2677">
        <f t="shared" si="8"/>
        <v>0</v>
      </c>
      <c r="H49" s="2678">
        <f t="shared" si="9"/>
        <v>0</v>
      </c>
      <c r="I49" s="2685"/>
      <c r="J49" s="2685"/>
      <c r="K49" s="2685"/>
      <c r="L49" s="2685"/>
      <c r="M49" s="2685"/>
      <c r="N49" s="2685"/>
      <c r="O49" s="2685"/>
      <c r="P49" s="2685"/>
      <c r="Q49" s="2685"/>
      <c r="R49" s="2685"/>
      <c r="S49" s="2685"/>
      <c r="T49" s="2685"/>
      <c r="U49" s="2685"/>
      <c r="V49" s="2685"/>
      <c r="W49" s="2685"/>
      <c r="X49" s="2685"/>
      <c r="Y49" s="2685"/>
      <c r="Z49" s="2685"/>
      <c r="AA49" s="2685"/>
      <c r="AB49" s="2685"/>
      <c r="AC49" s="2675">
        <f t="shared" si="10"/>
        <v>0</v>
      </c>
      <c r="AD49" s="2695"/>
      <c r="AE49" s="2695"/>
      <c r="AF49" s="2695"/>
      <c r="AG49" s="2695"/>
      <c r="AH49" s="2695"/>
      <c r="AI49" s="2695"/>
      <c r="AJ49" s="2695"/>
      <c r="AK49" s="2695"/>
      <c r="AL49" s="2695"/>
      <c r="AM49" s="2695"/>
      <c r="AN49" s="2695"/>
      <c r="AO49" s="2695"/>
      <c r="AP49" s="2695"/>
      <c r="AQ49" s="2695"/>
      <c r="AR49" s="2695"/>
      <c r="AS49" s="2695"/>
      <c r="AT49" s="2703"/>
      <c r="AU49" s="2704"/>
      <c r="AV49" s="1074">
        <f t="shared" si="11"/>
        <v>0</v>
      </c>
      <c r="AW49" s="1074" t="e">
        <f>#REF!</f>
        <v>#REF!</v>
      </c>
      <c r="AX49" s="1074" t="e">
        <f>#REF!</f>
        <v>#REF!</v>
      </c>
      <c r="AY49" s="2279">
        <f t="shared" si="14"/>
        <v>0</v>
      </c>
      <c r="AZ49" s="2675">
        <f t="shared" si="15"/>
        <v>0</v>
      </c>
      <c r="BA49" s="2675">
        <f t="shared" si="16"/>
        <v>0</v>
      </c>
      <c r="BB49" s="2675">
        <f t="shared" si="17"/>
        <v>0</v>
      </c>
      <c r="BC49" s="2675">
        <f t="shared" si="18"/>
        <v>0</v>
      </c>
      <c r="BD49" s="2675">
        <f t="shared" si="19"/>
        <v>0</v>
      </c>
      <c r="BE49" s="2675">
        <f t="shared" si="20"/>
        <v>0</v>
      </c>
      <c r="BF49" s="2675">
        <f t="shared" si="21"/>
        <v>0</v>
      </c>
      <c r="BG49" s="2675">
        <f t="shared" si="22"/>
        <v>0</v>
      </c>
      <c r="BH49" s="2675">
        <f t="shared" si="23"/>
        <v>0</v>
      </c>
      <c r="BI49" s="2675">
        <f t="shared" si="24"/>
        <v>0</v>
      </c>
      <c r="BJ49" s="2675">
        <f t="shared" si="25"/>
        <v>0</v>
      </c>
      <c r="BK49" s="2675">
        <f t="shared" si="26"/>
        <v>0</v>
      </c>
      <c r="BL49" s="2675">
        <f t="shared" si="27"/>
        <v>0</v>
      </c>
      <c r="BM49" s="2675">
        <f t="shared" si="28"/>
        <v>0</v>
      </c>
      <c r="BN49" s="2675">
        <f t="shared" si="29"/>
        <v>0</v>
      </c>
      <c r="BO49" s="2675">
        <f t="shared" si="30"/>
        <v>0</v>
      </c>
      <c r="BP49" s="2675">
        <f t="shared" si="31"/>
        <v>0</v>
      </c>
      <c r="BQ49" s="2675">
        <f t="shared" si="32"/>
        <v>0</v>
      </c>
      <c r="BR49" s="2675">
        <f t="shared" si="33"/>
        <v>0</v>
      </c>
      <c r="BS49" s="2675">
        <f t="shared" si="34"/>
        <v>0</v>
      </c>
      <c r="BT49" s="2722">
        <f t="shared" si="35"/>
        <v>0</v>
      </c>
    </row>
    <row r="50" spans="1:72">
      <c r="A50" s="2673"/>
      <c r="B50" s="2673"/>
      <c r="C50" s="2673"/>
      <c r="D50" s="2277"/>
      <c r="E50" s="2675">
        <f t="shared" si="7"/>
        <v>0</v>
      </c>
      <c r="F50" s="2676"/>
      <c r="G50" s="2677">
        <f t="shared" si="8"/>
        <v>0</v>
      </c>
      <c r="H50" s="2678">
        <f t="shared" si="9"/>
        <v>0</v>
      </c>
      <c r="I50" s="2685"/>
      <c r="J50" s="2685"/>
      <c r="K50" s="2685"/>
      <c r="L50" s="2685"/>
      <c r="M50" s="2685"/>
      <c r="N50" s="2685"/>
      <c r="O50" s="2685"/>
      <c r="P50" s="2685"/>
      <c r="Q50" s="2685"/>
      <c r="R50" s="2685"/>
      <c r="S50" s="2685"/>
      <c r="T50" s="2685"/>
      <c r="U50" s="2685"/>
      <c r="V50" s="2685"/>
      <c r="W50" s="2685"/>
      <c r="X50" s="2685"/>
      <c r="Y50" s="2685"/>
      <c r="Z50" s="2685"/>
      <c r="AA50" s="2685"/>
      <c r="AB50" s="2685"/>
      <c r="AC50" s="2675">
        <f t="shared" si="10"/>
        <v>0</v>
      </c>
      <c r="AD50" s="2695"/>
      <c r="AE50" s="2695"/>
      <c r="AF50" s="2695"/>
      <c r="AG50" s="2695"/>
      <c r="AH50" s="2695"/>
      <c r="AI50" s="2695"/>
      <c r="AJ50" s="2695"/>
      <c r="AK50" s="2695"/>
      <c r="AL50" s="2695"/>
      <c r="AM50" s="2695"/>
      <c r="AN50" s="2695"/>
      <c r="AO50" s="2695"/>
      <c r="AP50" s="2695"/>
      <c r="AQ50" s="2695"/>
      <c r="AR50" s="2695"/>
      <c r="AS50" s="2695"/>
      <c r="AT50" s="2703"/>
      <c r="AU50" s="2704"/>
      <c r="AV50" s="1074">
        <f t="shared" si="11"/>
        <v>0</v>
      </c>
      <c r="AW50" s="1074" t="e">
        <f>#REF!</f>
        <v>#REF!</v>
      </c>
      <c r="AX50" s="1074" t="e">
        <f>#REF!</f>
        <v>#REF!</v>
      </c>
      <c r="AY50" s="2279">
        <f t="shared" si="14"/>
        <v>0</v>
      </c>
      <c r="AZ50" s="2675">
        <f t="shared" si="15"/>
        <v>0</v>
      </c>
      <c r="BA50" s="2675">
        <f t="shared" si="16"/>
        <v>0</v>
      </c>
      <c r="BB50" s="2675">
        <f t="shared" si="17"/>
        <v>0</v>
      </c>
      <c r="BC50" s="2675">
        <f t="shared" si="18"/>
        <v>0</v>
      </c>
      <c r="BD50" s="2675">
        <f t="shared" si="19"/>
        <v>0</v>
      </c>
      <c r="BE50" s="2675">
        <f t="shared" si="20"/>
        <v>0</v>
      </c>
      <c r="BF50" s="2675">
        <f t="shared" si="21"/>
        <v>0</v>
      </c>
      <c r="BG50" s="2675">
        <f t="shared" si="22"/>
        <v>0</v>
      </c>
      <c r="BH50" s="2675">
        <f t="shared" si="23"/>
        <v>0</v>
      </c>
      <c r="BI50" s="2675">
        <f t="shared" si="24"/>
        <v>0</v>
      </c>
      <c r="BJ50" s="2675">
        <f t="shared" si="25"/>
        <v>0</v>
      </c>
      <c r="BK50" s="2675">
        <f t="shared" si="26"/>
        <v>0</v>
      </c>
      <c r="BL50" s="2675">
        <f t="shared" si="27"/>
        <v>0</v>
      </c>
      <c r="BM50" s="2675">
        <f t="shared" si="28"/>
        <v>0</v>
      </c>
      <c r="BN50" s="2675">
        <f t="shared" si="29"/>
        <v>0</v>
      </c>
      <c r="BO50" s="2675">
        <f t="shared" si="30"/>
        <v>0</v>
      </c>
      <c r="BP50" s="2675">
        <f t="shared" si="31"/>
        <v>0</v>
      </c>
      <c r="BQ50" s="2675">
        <f t="shared" si="32"/>
        <v>0</v>
      </c>
      <c r="BR50" s="2675">
        <f t="shared" si="33"/>
        <v>0</v>
      </c>
      <c r="BS50" s="2675">
        <f t="shared" si="34"/>
        <v>0</v>
      </c>
      <c r="BT50" s="2722">
        <f t="shared" si="35"/>
        <v>0</v>
      </c>
    </row>
    <row r="51" spans="1:72">
      <c r="A51" s="2673"/>
      <c r="B51" s="2673"/>
      <c r="C51" s="2673"/>
      <c r="D51" s="2277"/>
      <c r="E51" s="2675">
        <f t="shared" si="7"/>
        <v>0</v>
      </c>
      <c r="F51" s="2676"/>
      <c r="G51" s="2677">
        <f t="shared" si="8"/>
        <v>0</v>
      </c>
      <c r="H51" s="2678">
        <f t="shared" si="9"/>
        <v>0</v>
      </c>
      <c r="I51" s="2685"/>
      <c r="J51" s="2685"/>
      <c r="K51" s="2685"/>
      <c r="L51" s="2685"/>
      <c r="M51" s="2685"/>
      <c r="N51" s="2685"/>
      <c r="O51" s="2685"/>
      <c r="P51" s="2685"/>
      <c r="Q51" s="2685"/>
      <c r="R51" s="2685"/>
      <c r="S51" s="2685"/>
      <c r="T51" s="2685"/>
      <c r="U51" s="2685"/>
      <c r="V51" s="2685"/>
      <c r="W51" s="2685"/>
      <c r="X51" s="2685"/>
      <c r="Y51" s="2685"/>
      <c r="Z51" s="2685"/>
      <c r="AA51" s="2685"/>
      <c r="AB51" s="2685"/>
      <c r="AC51" s="2675">
        <f t="shared" si="10"/>
        <v>0</v>
      </c>
      <c r="AD51" s="2695"/>
      <c r="AE51" s="2695"/>
      <c r="AF51" s="2695"/>
      <c r="AG51" s="2695"/>
      <c r="AH51" s="2695"/>
      <c r="AI51" s="2695"/>
      <c r="AJ51" s="2695"/>
      <c r="AK51" s="2695"/>
      <c r="AL51" s="2695"/>
      <c r="AM51" s="2695"/>
      <c r="AN51" s="2695"/>
      <c r="AO51" s="2695"/>
      <c r="AP51" s="2695"/>
      <c r="AQ51" s="2695"/>
      <c r="AR51" s="2695"/>
      <c r="AS51" s="2695"/>
      <c r="AT51" s="2703"/>
      <c r="AU51" s="2704"/>
      <c r="AV51" s="1074">
        <f t="shared" si="11"/>
        <v>0</v>
      </c>
      <c r="AW51" s="1074" t="e">
        <f>#REF!</f>
        <v>#REF!</v>
      </c>
      <c r="AX51" s="1074" t="e">
        <f>#REF!</f>
        <v>#REF!</v>
      </c>
      <c r="AY51" s="2279">
        <f t="shared" si="14"/>
        <v>0</v>
      </c>
      <c r="AZ51" s="2675">
        <f t="shared" si="15"/>
        <v>0</v>
      </c>
      <c r="BA51" s="2675">
        <f t="shared" si="16"/>
        <v>0</v>
      </c>
      <c r="BB51" s="2675">
        <f t="shared" si="17"/>
        <v>0</v>
      </c>
      <c r="BC51" s="2675">
        <f t="shared" si="18"/>
        <v>0</v>
      </c>
      <c r="BD51" s="2675">
        <f t="shared" si="19"/>
        <v>0</v>
      </c>
      <c r="BE51" s="2675">
        <f t="shared" si="20"/>
        <v>0</v>
      </c>
      <c r="BF51" s="2675">
        <f t="shared" si="21"/>
        <v>0</v>
      </c>
      <c r="BG51" s="2675">
        <f t="shared" si="22"/>
        <v>0</v>
      </c>
      <c r="BH51" s="2675">
        <f t="shared" si="23"/>
        <v>0</v>
      </c>
      <c r="BI51" s="2675">
        <f t="shared" si="24"/>
        <v>0</v>
      </c>
      <c r="BJ51" s="2675">
        <f t="shared" si="25"/>
        <v>0</v>
      </c>
      <c r="BK51" s="2675">
        <f t="shared" si="26"/>
        <v>0</v>
      </c>
      <c r="BL51" s="2675">
        <f t="shared" si="27"/>
        <v>0</v>
      </c>
      <c r="BM51" s="2675">
        <f t="shared" si="28"/>
        <v>0</v>
      </c>
      <c r="BN51" s="2675">
        <f t="shared" si="29"/>
        <v>0</v>
      </c>
      <c r="BO51" s="2675">
        <f t="shared" si="30"/>
        <v>0</v>
      </c>
      <c r="BP51" s="2675">
        <f t="shared" si="31"/>
        <v>0</v>
      </c>
      <c r="BQ51" s="2675">
        <f t="shared" si="32"/>
        <v>0</v>
      </c>
      <c r="BR51" s="2675">
        <f t="shared" si="33"/>
        <v>0</v>
      </c>
      <c r="BS51" s="2675">
        <f t="shared" si="34"/>
        <v>0</v>
      </c>
      <c r="BT51" s="2722">
        <f t="shared" si="35"/>
        <v>0</v>
      </c>
    </row>
    <row r="52" spans="1:72">
      <c r="A52" s="2673"/>
      <c r="B52" s="2673"/>
      <c r="C52" s="2673"/>
      <c r="D52" s="2277"/>
      <c r="E52" s="2675">
        <f t="shared" si="7"/>
        <v>0</v>
      </c>
      <c r="F52" s="2676"/>
      <c r="G52" s="2677">
        <f t="shared" si="8"/>
        <v>0</v>
      </c>
      <c r="H52" s="2678">
        <f t="shared" si="9"/>
        <v>0</v>
      </c>
      <c r="I52" s="2685"/>
      <c r="J52" s="2685"/>
      <c r="K52" s="2685"/>
      <c r="L52" s="2685"/>
      <c r="M52" s="2685"/>
      <c r="N52" s="2685"/>
      <c r="O52" s="2685"/>
      <c r="P52" s="2685"/>
      <c r="Q52" s="2685"/>
      <c r="R52" s="2685"/>
      <c r="S52" s="2685"/>
      <c r="T52" s="2685"/>
      <c r="U52" s="2685"/>
      <c r="V52" s="2685"/>
      <c r="W52" s="2685"/>
      <c r="X52" s="2685"/>
      <c r="Y52" s="2685"/>
      <c r="Z52" s="2685"/>
      <c r="AA52" s="2685"/>
      <c r="AB52" s="2685"/>
      <c r="AC52" s="2675">
        <f t="shared" si="10"/>
        <v>0</v>
      </c>
      <c r="AD52" s="2695"/>
      <c r="AE52" s="2695"/>
      <c r="AF52" s="2695"/>
      <c r="AG52" s="2695"/>
      <c r="AH52" s="2695"/>
      <c r="AI52" s="2695"/>
      <c r="AJ52" s="2695"/>
      <c r="AK52" s="2695"/>
      <c r="AL52" s="2695"/>
      <c r="AM52" s="2695"/>
      <c r="AN52" s="2695"/>
      <c r="AO52" s="2695"/>
      <c r="AP52" s="2695"/>
      <c r="AQ52" s="2695"/>
      <c r="AR52" s="2695"/>
      <c r="AS52" s="2695"/>
      <c r="AT52" s="2703"/>
      <c r="AU52" s="2704"/>
      <c r="AV52" s="1074">
        <f t="shared" si="11"/>
        <v>0</v>
      </c>
      <c r="AW52" s="1074" t="e">
        <f>#REF!</f>
        <v>#REF!</v>
      </c>
      <c r="AX52" s="1074" t="e">
        <f>#REF!</f>
        <v>#REF!</v>
      </c>
      <c r="AY52" s="2279">
        <f t="shared" si="14"/>
        <v>0</v>
      </c>
      <c r="AZ52" s="2675">
        <f t="shared" si="15"/>
        <v>0</v>
      </c>
      <c r="BA52" s="2675">
        <f t="shared" si="16"/>
        <v>0</v>
      </c>
      <c r="BB52" s="2675">
        <f t="shared" si="17"/>
        <v>0</v>
      </c>
      <c r="BC52" s="2675">
        <f t="shared" si="18"/>
        <v>0</v>
      </c>
      <c r="BD52" s="2675">
        <f t="shared" si="19"/>
        <v>0</v>
      </c>
      <c r="BE52" s="2675">
        <f t="shared" si="20"/>
        <v>0</v>
      </c>
      <c r="BF52" s="2675">
        <f t="shared" si="21"/>
        <v>0</v>
      </c>
      <c r="BG52" s="2675">
        <f t="shared" si="22"/>
        <v>0</v>
      </c>
      <c r="BH52" s="2675">
        <f t="shared" si="23"/>
        <v>0</v>
      </c>
      <c r="BI52" s="2675">
        <f t="shared" si="24"/>
        <v>0</v>
      </c>
      <c r="BJ52" s="2675">
        <f t="shared" si="25"/>
        <v>0</v>
      </c>
      <c r="BK52" s="2675">
        <f t="shared" si="26"/>
        <v>0</v>
      </c>
      <c r="BL52" s="2675">
        <f t="shared" si="27"/>
        <v>0</v>
      </c>
      <c r="BM52" s="2675">
        <f t="shared" si="28"/>
        <v>0</v>
      </c>
      <c r="BN52" s="2675">
        <f t="shared" si="29"/>
        <v>0</v>
      </c>
      <c r="BO52" s="2675">
        <f t="shared" si="30"/>
        <v>0</v>
      </c>
      <c r="BP52" s="2675">
        <f t="shared" si="31"/>
        <v>0</v>
      </c>
      <c r="BQ52" s="2675">
        <f t="shared" si="32"/>
        <v>0</v>
      </c>
      <c r="BR52" s="2675">
        <f t="shared" si="33"/>
        <v>0</v>
      </c>
      <c r="BS52" s="2675">
        <f t="shared" si="34"/>
        <v>0</v>
      </c>
      <c r="BT52" s="2722">
        <f t="shared" si="35"/>
        <v>0</v>
      </c>
    </row>
    <row r="53" spans="1:72">
      <c r="A53" s="2673"/>
      <c r="B53" s="2673"/>
      <c r="C53" s="2673"/>
      <c r="D53" s="2277"/>
      <c r="E53" s="2675">
        <f t="shared" si="7"/>
        <v>0</v>
      </c>
      <c r="F53" s="2676"/>
      <c r="G53" s="2677">
        <f t="shared" si="8"/>
        <v>0</v>
      </c>
      <c r="H53" s="2678">
        <f t="shared" si="9"/>
        <v>0</v>
      </c>
      <c r="I53" s="2685"/>
      <c r="J53" s="2685"/>
      <c r="K53" s="2685"/>
      <c r="L53" s="2685"/>
      <c r="M53" s="2685"/>
      <c r="N53" s="2685"/>
      <c r="O53" s="2685"/>
      <c r="P53" s="2685"/>
      <c r="Q53" s="2685"/>
      <c r="R53" s="2685"/>
      <c r="S53" s="2685"/>
      <c r="T53" s="2685"/>
      <c r="U53" s="2685"/>
      <c r="V53" s="2685"/>
      <c r="W53" s="2685"/>
      <c r="X53" s="2685"/>
      <c r="Y53" s="2685"/>
      <c r="Z53" s="2685"/>
      <c r="AA53" s="2685"/>
      <c r="AB53" s="2685"/>
      <c r="AC53" s="2675">
        <f t="shared" si="10"/>
        <v>0</v>
      </c>
      <c r="AD53" s="2695"/>
      <c r="AE53" s="2695"/>
      <c r="AF53" s="2695"/>
      <c r="AG53" s="2695"/>
      <c r="AH53" s="2695"/>
      <c r="AI53" s="2695"/>
      <c r="AJ53" s="2695"/>
      <c r="AK53" s="2695"/>
      <c r="AL53" s="2695"/>
      <c r="AM53" s="2695"/>
      <c r="AN53" s="2695"/>
      <c r="AO53" s="2695"/>
      <c r="AP53" s="2695"/>
      <c r="AQ53" s="2695"/>
      <c r="AR53" s="2695"/>
      <c r="AS53" s="2695"/>
      <c r="AT53" s="2703"/>
      <c r="AU53" s="2704"/>
      <c r="AV53" s="1074">
        <f t="shared" si="11"/>
        <v>0</v>
      </c>
      <c r="AW53" s="1074" t="e">
        <f>#REF!</f>
        <v>#REF!</v>
      </c>
      <c r="AX53" s="1074" t="e">
        <f>#REF!</f>
        <v>#REF!</v>
      </c>
      <c r="AY53" s="2279">
        <f t="shared" si="14"/>
        <v>0</v>
      </c>
      <c r="AZ53" s="2675">
        <f t="shared" si="15"/>
        <v>0</v>
      </c>
      <c r="BA53" s="2675">
        <f t="shared" si="16"/>
        <v>0</v>
      </c>
      <c r="BB53" s="2675">
        <f t="shared" si="17"/>
        <v>0</v>
      </c>
      <c r="BC53" s="2675">
        <f t="shared" si="18"/>
        <v>0</v>
      </c>
      <c r="BD53" s="2675">
        <f t="shared" si="19"/>
        <v>0</v>
      </c>
      <c r="BE53" s="2675">
        <f t="shared" si="20"/>
        <v>0</v>
      </c>
      <c r="BF53" s="2675">
        <f t="shared" si="21"/>
        <v>0</v>
      </c>
      <c r="BG53" s="2675">
        <f t="shared" si="22"/>
        <v>0</v>
      </c>
      <c r="BH53" s="2675">
        <f t="shared" si="23"/>
        <v>0</v>
      </c>
      <c r="BI53" s="2675">
        <f t="shared" si="24"/>
        <v>0</v>
      </c>
      <c r="BJ53" s="2675">
        <f t="shared" si="25"/>
        <v>0</v>
      </c>
      <c r="BK53" s="2675">
        <f t="shared" si="26"/>
        <v>0</v>
      </c>
      <c r="BL53" s="2675">
        <f t="shared" si="27"/>
        <v>0</v>
      </c>
      <c r="BM53" s="2675">
        <f t="shared" si="28"/>
        <v>0</v>
      </c>
      <c r="BN53" s="2675">
        <f t="shared" si="29"/>
        <v>0</v>
      </c>
      <c r="BO53" s="2675">
        <f t="shared" si="30"/>
        <v>0</v>
      </c>
      <c r="BP53" s="2675">
        <f t="shared" si="31"/>
        <v>0</v>
      </c>
      <c r="BQ53" s="2675">
        <f t="shared" si="32"/>
        <v>0</v>
      </c>
      <c r="BR53" s="2675">
        <f t="shared" si="33"/>
        <v>0</v>
      </c>
      <c r="BS53" s="2675">
        <f t="shared" si="34"/>
        <v>0</v>
      </c>
      <c r="BT53" s="2722">
        <f t="shared" si="35"/>
        <v>0</v>
      </c>
    </row>
    <row r="54" spans="1:72">
      <c r="A54" s="2673"/>
      <c r="B54" s="2673"/>
      <c r="C54" s="2673"/>
      <c r="D54" s="2277"/>
      <c r="E54" s="2675">
        <f t="shared" si="7"/>
        <v>0</v>
      </c>
      <c r="F54" s="2676"/>
      <c r="G54" s="2677">
        <f t="shared" si="8"/>
        <v>0</v>
      </c>
      <c r="H54" s="2678">
        <f t="shared" si="9"/>
        <v>0</v>
      </c>
      <c r="I54" s="2685"/>
      <c r="J54" s="2685"/>
      <c r="K54" s="2685"/>
      <c r="L54" s="2685"/>
      <c r="M54" s="2685"/>
      <c r="N54" s="2685"/>
      <c r="O54" s="2685"/>
      <c r="P54" s="2685"/>
      <c r="Q54" s="2685"/>
      <c r="R54" s="2685"/>
      <c r="S54" s="2685"/>
      <c r="T54" s="2685"/>
      <c r="U54" s="2685"/>
      <c r="V54" s="2685"/>
      <c r="W54" s="2685"/>
      <c r="X54" s="2685"/>
      <c r="Y54" s="2685"/>
      <c r="Z54" s="2685"/>
      <c r="AA54" s="2685"/>
      <c r="AB54" s="2685"/>
      <c r="AC54" s="2675">
        <f t="shared" si="10"/>
        <v>0</v>
      </c>
      <c r="AD54" s="2695"/>
      <c r="AE54" s="2695"/>
      <c r="AF54" s="2695"/>
      <c r="AG54" s="2695"/>
      <c r="AH54" s="2695"/>
      <c r="AI54" s="2695"/>
      <c r="AJ54" s="2695"/>
      <c r="AK54" s="2695"/>
      <c r="AL54" s="2695"/>
      <c r="AM54" s="2695"/>
      <c r="AN54" s="2695"/>
      <c r="AO54" s="2695"/>
      <c r="AP54" s="2695"/>
      <c r="AQ54" s="2695"/>
      <c r="AR54" s="2695"/>
      <c r="AS54" s="2695"/>
      <c r="AT54" s="2703"/>
      <c r="AU54" s="2704"/>
      <c r="AV54" s="1074">
        <f t="shared" si="11"/>
        <v>0</v>
      </c>
      <c r="AW54" s="1074">
        <f t="shared" si="12"/>
        <v>0</v>
      </c>
      <c r="AX54" s="1074">
        <f t="shared" si="13"/>
        <v>0</v>
      </c>
      <c r="AY54" s="2279">
        <f t="shared" si="14"/>
        <v>0</v>
      </c>
      <c r="AZ54" s="2675">
        <f t="shared" si="15"/>
        <v>0</v>
      </c>
      <c r="BA54" s="2675">
        <f t="shared" si="16"/>
        <v>0</v>
      </c>
      <c r="BB54" s="2675">
        <f t="shared" si="17"/>
        <v>0</v>
      </c>
      <c r="BC54" s="2675">
        <f t="shared" si="18"/>
        <v>0</v>
      </c>
      <c r="BD54" s="2675">
        <f t="shared" si="19"/>
        <v>0</v>
      </c>
      <c r="BE54" s="2675">
        <f t="shared" si="20"/>
        <v>0</v>
      </c>
      <c r="BF54" s="2675">
        <f t="shared" si="21"/>
        <v>0</v>
      </c>
      <c r="BG54" s="2675">
        <f t="shared" si="22"/>
        <v>0</v>
      </c>
      <c r="BH54" s="2675">
        <f t="shared" si="23"/>
        <v>0</v>
      </c>
      <c r="BI54" s="2675">
        <f t="shared" si="24"/>
        <v>0</v>
      </c>
      <c r="BJ54" s="2675">
        <f t="shared" si="25"/>
        <v>0</v>
      </c>
      <c r="BK54" s="2675">
        <f t="shared" si="26"/>
        <v>0</v>
      </c>
      <c r="BL54" s="2675">
        <f t="shared" si="27"/>
        <v>0</v>
      </c>
      <c r="BM54" s="2675">
        <f t="shared" si="28"/>
        <v>0</v>
      </c>
      <c r="BN54" s="2675">
        <f t="shared" si="29"/>
        <v>0</v>
      </c>
      <c r="BO54" s="2675">
        <f t="shared" si="30"/>
        <v>0</v>
      </c>
      <c r="BP54" s="2675">
        <f t="shared" si="31"/>
        <v>0</v>
      </c>
      <c r="BQ54" s="2675">
        <f t="shared" si="32"/>
        <v>0</v>
      </c>
      <c r="BR54" s="2675">
        <f t="shared" si="33"/>
        <v>0</v>
      </c>
      <c r="BS54" s="2675">
        <f t="shared" si="34"/>
        <v>0</v>
      </c>
      <c r="BT54" s="2722">
        <f t="shared" si="35"/>
        <v>0</v>
      </c>
    </row>
    <row r="55" spans="1:72">
      <c r="A55" s="2673"/>
      <c r="B55" s="2673"/>
      <c r="C55" s="2673"/>
      <c r="D55" s="2277"/>
      <c r="E55" s="2675">
        <f t="shared" si="7"/>
        <v>0</v>
      </c>
      <c r="F55" s="2676"/>
      <c r="G55" s="2677">
        <f t="shared" si="8"/>
        <v>0</v>
      </c>
      <c r="H55" s="2678">
        <f t="shared" si="9"/>
        <v>0</v>
      </c>
      <c r="I55" s="2685"/>
      <c r="J55" s="2685"/>
      <c r="K55" s="2685"/>
      <c r="L55" s="2685"/>
      <c r="M55" s="2685"/>
      <c r="N55" s="2685"/>
      <c r="O55" s="2685"/>
      <c r="P55" s="2685"/>
      <c r="Q55" s="2685"/>
      <c r="R55" s="2685"/>
      <c r="S55" s="2685"/>
      <c r="T55" s="2685"/>
      <c r="U55" s="2685"/>
      <c r="V55" s="2685"/>
      <c r="W55" s="2685"/>
      <c r="X55" s="2685"/>
      <c r="Y55" s="2685"/>
      <c r="Z55" s="2685"/>
      <c r="AA55" s="2685"/>
      <c r="AB55" s="2685"/>
      <c r="AC55" s="2675">
        <f t="shared" si="10"/>
        <v>0</v>
      </c>
      <c r="AD55" s="2695"/>
      <c r="AE55" s="2695"/>
      <c r="AF55" s="2695"/>
      <c r="AG55" s="2695"/>
      <c r="AH55" s="2695"/>
      <c r="AI55" s="2695"/>
      <c r="AJ55" s="2695"/>
      <c r="AK55" s="2695"/>
      <c r="AL55" s="2695"/>
      <c r="AM55" s="2695"/>
      <c r="AN55" s="2695"/>
      <c r="AO55" s="2695"/>
      <c r="AP55" s="2695"/>
      <c r="AQ55" s="2695"/>
      <c r="AR55" s="2695"/>
      <c r="AS55" s="2695"/>
      <c r="AT55" s="2703"/>
      <c r="AU55" s="2704"/>
      <c r="AV55" s="1074">
        <f t="shared" si="11"/>
        <v>0</v>
      </c>
      <c r="AW55" s="1074">
        <f t="shared" si="12"/>
        <v>0</v>
      </c>
      <c r="AX55" s="1074">
        <f t="shared" si="13"/>
        <v>0</v>
      </c>
      <c r="AY55" s="2279">
        <f t="shared" si="14"/>
        <v>0</v>
      </c>
      <c r="AZ55" s="2675">
        <f t="shared" si="15"/>
        <v>0</v>
      </c>
      <c r="BA55" s="2675">
        <f t="shared" si="16"/>
        <v>0</v>
      </c>
      <c r="BB55" s="2675">
        <f t="shared" si="17"/>
        <v>0</v>
      </c>
      <c r="BC55" s="2675">
        <f t="shared" si="18"/>
        <v>0</v>
      </c>
      <c r="BD55" s="2675">
        <f t="shared" si="19"/>
        <v>0</v>
      </c>
      <c r="BE55" s="2675">
        <f t="shared" si="20"/>
        <v>0</v>
      </c>
      <c r="BF55" s="2675">
        <f t="shared" si="21"/>
        <v>0</v>
      </c>
      <c r="BG55" s="2675">
        <f t="shared" si="22"/>
        <v>0</v>
      </c>
      <c r="BH55" s="2675">
        <f t="shared" si="23"/>
        <v>0</v>
      </c>
      <c r="BI55" s="2675">
        <f t="shared" si="24"/>
        <v>0</v>
      </c>
      <c r="BJ55" s="2675">
        <f t="shared" si="25"/>
        <v>0</v>
      </c>
      <c r="BK55" s="2675">
        <f t="shared" si="26"/>
        <v>0</v>
      </c>
      <c r="BL55" s="2675">
        <f t="shared" si="27"/>
        <v>0</v>
      </c>
      <c r="BM55" s="2675">
        <f t="shared" si="28"/>
        <v>0</v>
      </c>
      <c r="BN55" s="2675">
        <f t="shared" si="29"/>
        <v>0</v>
      </c>
      <c r="BO55" s="2675">
        <f t="shared" si="30"/>
        <v>0</v>
      </c>
      <c r="BP55" s="2675">
        <f t="shared" si="31"/>
        <v>0</v>
      </c>
      <c r="BQ55" s="2675">
        <f t="shared" si="32"/>
        <v>0</v>
      </c>
      <c r="BR55" s="2675">
        <f t="shared" si="33"/>
        <v>0</v>
      </c>
      <c r="BS55" s="2675">
        <f t="shared" si="34"/>
        <v>0</v>
      </c>
      <c r="BT55" s="2722">
        <f t="shared" si="35"/>
        <v>0</v>
      </c>
    </row>
    <row r="56" spans="1:72">
      <c r="A56" s="2673"/>
      <c r="B56" s="2673"/>
      <c r="C56" s="2673"/>
      <c r="D56" s="2277"/>
      <c r="E56" s="2675">
        <f t="shared" si="7"/>
        <v>0</v>
      </c>
      <c r="F56" s="2676"/>
      <c r="G56" s="2677">
        <f t="shared" si="8"/>
        <v>0</v>
      </c>
      <c r="H56" s="2678">
        <f t="shared" si="9"/>
        <v>0</v>
      </c>
      <c r="I56" s="2685"/>
      <c r="J56" s="2685"/>
      <c r="K56" s="2685"/>
      <c r="L56" s="2685"/>
      <c r="M56" s="2685"/>
      <c r="N56" s="2685"/>
      <c r="O56" s="2685"/>
      <c r="P56" s="2685"/>
      <c r="Q56" s="2685"/>
      <c r="R56" s="2685"/>
      <c r="S56" s="2685"/>
      <c r="T56" s="2685"/>
      <c r="U56" s="2685"/>
      <c r="V56" s="2685"/>
      <c r="W56" s="2685"/>
      <c r="X56" s="2685"/>
      <c r="Y56" s="2685"/>
      <c r="Z56" s="2685"/>
      <c r="AA56" s="2685"/>
      <c r="AB56" s="2685"/>
      <c r="AC56" s="2675">
        <f t="shared" si="10"/>
        <v>0</v>
      </c>
      <c r="AD56" s="2695"/>
      <c r="AE56" s="2695"/>
      <c r="AF56" s="2695"/>
      <c r="AG56" s="2695"/>
      <c r="AH56" s="2695"/>
      <c r="AI56" s="2695"/>
      <c r="AJ56" s="2695"/>
      <c r="AK56" s="2695"/>
      <c r="AL56" s="2695"/>
      <c r="AM56" s="2695"/>
      <c r="AN56" s="2695"/>
      <c r="AO56" s="2695"/>
      <c r="AP56" s="2695"/>
      <c r="AQ56" s="2695"/>
      <c r="AR56" s="2695"/>
      <c r="AS56" s="2695"/>
      <c r="AT56" s="2703"/>
      <c r="AU56" s="2704"/>
      <c r="AV56" s="1074">
        <f t="shared" si="11"/>
        <v>0</v>
      </c>
      <c r="AW56" s="1074">
        <f t="shared" si="12"/>
        <v>0</v>
      </c>
      <c r="AX56" s="1074">
        <f t="shared" si="13"/>
        <v>0</v>
      </c>
      <c r="AY56" s="2279">
        <f t="shared" si="14"/>
        <v>0</v>
      </c>
      <c r="AZ56" s="2675">
        <f t="shared" si="15"/>
        <v>0</v>
      </c>
      <c r="BA56" s="2675">
        <f t="shared" si="16"/>
        <v>0</v>
      </c>
      <c r="BB56" s="2675">
        <f t="shared" si="17"/>
        <v>0</v>
      </c>
      <c r="BC56" s="2675">
        <f t="shared" si="18"/>
        <v>0</v>
      </c>
      <c r="BD56" s="2675">
        <f t="shared" si="19"/>
        <v>0</v>
      </c>
      <c r="BE56" s="2675">
        <f t="shared" si="20"/>
        <v>0</v>
      </c>
      <c r="BF56" s="2675">
        <f t="shared" si="21"/>
        <v>0</v>
      </c>
      <c r="BG56" s="2675">
        <f t="shared" si="22"/>
        <v>0</v>
      </c>
      <c r="BH56" s="2675">
        <f t="shared" si="23"/>
        <v>0</v>
      </c>
      <c r="BI56" s="2675">
        <f t="shared" si="24"/>
        <v>0</v>
      </c>
      <c r="BJ56" s="2675">
        <f t="shared" si="25"/>
        <v>0</v>
      </c>
      <c r="BK56" s="2675">
        <f t="shared" si="26"/>
        <v>0</v>
      </c>
      <c r="BL56" s="2675">
        <f t="shared" si="27"/>
        <v>0</v>
      </c>
      <c r="BM56" s="2675">
        <f t="shared" si="28"/>
        <v>0</v>
      </c>
      <c r="BN56" s="2675">
        <f t="shared" si="29"/>
        <v>0</v>
      </c>
      <c r="BO56" s="2675">
        <f t="shared" si="30"/>
        <v>0</v>
      </c>
      <c r="BP56" s="2675">
        <f t="shared" si="31"/>
        <v>0</v>
      </c>
      <c r="BQ56" s="2675">
        <f t="shared" si="32"/>
        <v>0</v>
      </c>
      <c r="BR56" s="2675">
        <f t="shared" si="33"/>
        <v>0</v>
      </c>
      <c r="BS56" s="2675">
        <f t="shared" si="34"/>
        <v>0</v>
      </c>
      <c r="BT56" s="2722">
        <f t="shared" si="35"/>
        <v>0</v>
      </c>
    </row>
    <row r="57" spans="1:72">
      <c r="A57" s="2673"/>
      <c r="B57" s="2674"/>
      <c r="C57" s="2674"/>
      <c r="D57" s="2277"/>
      <c r="E57" s="2675">
        <f t="shared" si="7"/>
        <v>0</v>
      </c>
      <c r="F57" s="2676"/>
      <c r="G57" s="2677">
        <f t="shared" si="8"/>
        <v>0</v>
      </c>
      <c r="H57" s="2678">
        <f t="shared" si="9"/>
        <v>0</v>
      </c>
      <c r="I57" s="2685"/>
      <c r="J57" s="2685"/>
      <c r="K57" s="2685"/>
      <c r="L57" s="2685"/>
      <c r="M57" s="2685"/>
      <c r="N57" s="2685"/>
      <c r="O57" s="2685"/>
      <c r="P57" s="2685"/>
      <c r="Q57" s="2685"/>
      <c r="R57" s="2685"/>
      <c r="S57" s="2685"/>
      <c r="T57" s="2685"/>
      <c r="U57" s="2685"/>
      <c r="V57" s="2685"/>
      <c r="W57" s="2685"/>
      <c r="X57" s="2685"/>
      <c r="Y57" s="2685"/>
      <c r="Z57" s="2685"/>
      <c r="AA57" s="2685"/>
      <c r="AB57" s="2685"/>
      <c r="AC57" s="2675">
        <f t="shared" si="10"/>
        <v>0</v>
      </c>
      <c r="AD57" s="2695"/>
      <c r="AE57" s="2695"/>
      <c r="AF57" s="2695"/>
      <c r="AG57" s="2695"/>
      <c r="AH57" s="2695"/>
      <c r="AI57" s="2695"/>
      <c r="AJ57" s="2695"/>
      <c r="AK57" s="2695"/>
      <c r="AL57" s="2695"/>
      <c r="AM57" s="2695"/>
      <c r="AN57" s="2695"/>
      <c r="AO57" s="2695"/>
      <c r="AP57" s="2695"/>
      <c r="AQ57" s="2695"/>
      <c r="AR57" s="2695"/>
      <c r="AS57" s="2695"/>
      <c r="AT57" s="2703"/>
      <c r="AU57" s="2704"/>
      <c r="AV57" s="1074">
        <f t="shared" si="11"/>
        <v>0</v>
      </c>
      <c r="AW57" s="1074">
        <f t="shared" si="12"/>
        <v>0</v>
      </c>
      <c r="AX57" s="1074">
        <f t="shared" si="13"/>
        <v>0</v>
      </c>
      <c r="AY57" s="2279">
        <f t="shared" si="14"/>
        <v>0</v>
      </c>
      <c r="AZ57" s="2675">
        <f t="shared" si="15"/>
        <v>0</v>
      </c>
      <c r="BA57" s="2675">
        <f t="shared" si="16"/>
        <v>0</v>
      </c>
      <c r="BB57" s="2675">
        <f t="shared" si="17"/>
        <v>0</v>
      </c>
      <c r="BC57" s="2675">
        <f t="shared" si="18"/>
        <v>0</v>
      </c>
      <c r="BD57" s="2675">
        <f t="shared" si="19"/>
        <v>0</v>
      </c>
      <c r="BE57" s="2675">
        <f t="shared" si="20"/>
        <v>0</v>
      </c>
      <c r="BF57" s="2675">
        <f t="shared" si="21"/>
        <v>0</v>
      </c>
      <c r="BG57" s="2675">
        <f t="shared" si="22"/>
        <v>0</v>
      </c>
      <c r="BH57" s="2675">
        <f t="shared" si="23"/>
        <v>0</v>
      </c>
      <c r="BI57" s="2675">
        <f t="shared" si="24"/>
        <v>0</v>
      </c>
      <c r="BJ57" s="2675">
        <f t="shared" si="25"/>
        <v>0</v>
      </c>
      <c r="BK57" s="2675">
        <f t="shared" si="26"/>
        <v>0</v>
      </c>
      <c r="BL57" s="2675">
        <f t="shared" si="27"/>
        <v>0</v>
      </c>
      <c r="BM57" s="2675">
        <f t="shared" si="28"/>
        <v>0</v>
      </c>
      <c r="BN57" s="2675">
        <f t="shared" si="29"/>
        <v>0</v>
      </c>
      <c r="BO57" s="2675">
        <f t="shared" si="30"/>
        <v>0</v>
      </c>
      <c r="BP57" s="2675">
        <f t="shared" si="31"/>
        <v>0</v>
      </c>
      <c r="BQ57" s="2675">
        <f t="shared" si="32"/>
        <v>0</v>
      </c>
      <c r="BR57" s="2675">
        <f t="shared" si="33"/>
        <v>0</v>
      </c>
      <c r="BS57" s="2675">
        <f t="shared" si="34"/>
        <v>0</v>
      </c>
      <c r="BT57" s="2722">
        <f t="shared" si="35"/>
        <v>0</v>
      </c>
    </row>
    <row r="58" spans="1:72">
      <c r="A58" s="2673"/>
      <c r="B58" s="2674"/>
      <c r="C58" s="2674"/>
      <c r="D58" s="2277"/>
      <c r="E58" s="2675">
        <f t="shared" si="7"/>
        <v>0</v>
      </c>
      <c r="F58" s="2676"/>
      <c r="G58" s="2677">
        <f t="shared" si="8"/>
        <v>0</v>
      </c>
      <c r="H58" s="2678">
        <f t="shared" si="9"/>
        <v>0</v>
      </c>
      <c r="I58" s="2685"/>
      <c r="J58" s="2685"/>
      <c r="K58" s="2685"/>
      <c r="L58" s="2685"/>
      <c r="M58" s="2685"/>
      <c r="N58" s="2685"/>
      <c r="O58" s="2685"/>
      <c r="P58" s="2685"/>
      <c r="Q58" s="2685"/>
      <c r="R58" s="2685"/>
      <c r="S58" s="2685"/>
      <c r="T58" s="2685"/>
      <c r="U58" s="2685"/>
      <c r="V58" s="2685"/>
      <c r="W58" s="2685"/>
      <c r="X58" s="2685"/>
      <c r="Y58" s="2685"/>
      <c r="Z58" s="2685"/>
      <c r="AA58" s="2685"/>
      <c r="AB58" s="2685"/>
      <c r="AC58" s="2675">
        <f t="shared" si="10"/>
        <v>0</v>
      </c>
      <c r="AD58" s="2695"/>
      <c r="AE58" s="2695"/>
      <c r="AF58" s="2695"/>
      <c r="AG58" s="2695"/>
      <c r="AH58" s="2695"/>
      <c r="AI58" s="2695"/>
      <c r="AJ58" s="2695"/>
      <c r="AK58" s="2695"/>
      <c r="AL58" s="2695"/>
      <c r="AM58" s="2695"/>
      <c r="AN58" s="2695"/>
      <c r="AO58" s="2695"/>
      <c r="AP58" s="2695"/>
      <c r="AQ58" s="2695"/>
      <c r="AR58" s="2695"/>
      <c r="AS58" s="2695"/>
      <c r="AT58" s="2703"/>
      <c r="AU58" s="2704"/>
      <c r="AV58" s="1074">
        <f t="shared" si="11"/>
        <v>0</v>
      </c>
      <c r="AW58" s="1074">
        <f t="shared" si="12"/>
        <v>0</v>
      </c>
      <c r="AX58" s="1074">
        <f t="shared" si="13"/>
        <v>0</v>
      </c>
      <c r="AY58" s="2279">
        <f t="shared" si="14"/>
        <v>0</v>
      </c>
      <c r="AZ58" s="2675">
        <f t="shared" si="15"/>
        <v>0</v>
      </c>
      <c r="BA58" s="2675">
        <f t="shared" si="16"/>
        <v>0</v>
      </c>
      <c r="BB58" s="2675">
        <f t="shared" si="17"/>
        <v>0</v>
      </c>
      <c r="BC58" s="2675">
        <f t="shared" si="18"/>
        <v>0</v>
      </c>
      <c r="BD58" s="2675">
        <f t="shared" si="19"/>
        <v>0</v>
      </c>
      <c r="BE58" s="2675">
        <f t="shared" si="20"/>
        <v>0</v>
      </c>
      <c r="BF58" s="2675">
        <f t="shared" si="21"/>
        <v>0</v>
      </c>
      <c r="BG58" s="2675">
        <f t="shared" si="22"/>
        <v>0</v>
      </c>
      <c r="BH58" s="2675">
        <f t="shared" si="23"/>
        <v>0</v>
      </c>
      <c r="BI58" s="2675">
        <f t="shared" si="24"/>
        <v>0</v>
      </c>
      <c r="BJ58" s="2675">
        <f t="shared" si="25"/>
        <v>0</v>
      </c>
      <c r="BK58" s="2675">
        <f t="shared" si="26"/>
        <v>0</v>
      </c>
      <c r="BL58" s="2675">
        <f t="shared" si="27"/>
        <v>0</v>
      </c>
      <c r="BM58" s="2675">
        <f t="shared" si="28"/>
        <v>0</v>
      </c>
      <c r="BN58" s="2675">
        <f t="shared" si="29"/>
        <v>0</v>
      </c>
      <c r="BO58" s="2675">
        <f t="shared" si="30"/>
        <v>0</v>
      </c>
      <c r="BP58" s="2675">
        <f t="shared" si="31"/>
        <v>0</v>
      </c>
      <c r="BQ58" s="2675">
        <f t="shared" si="32"/>
        <v>0</v>
      </c>
      <c r="BR58" s="2675">
        <f t="shared" si="33"/>
        <v>0</v>
      </c>
      <c r="BS58" s="2675">
        <f t="shared" si="34"/>
        <v>0</v>
      </c>
      <c r="BT58" s="2722">
        <f t="shared" si="35"/>
        <v>0</v>
      </c>
    </row>
    <row r="59" spans="1:72">
      <c r="A59" s="2673"/>
      <c r="B59" s="2674"/>
      <c r="C59" s="2674"/>
      <c r="D59" s="2277"/>
      <c r="E59" s="2675">
        <f t="shared" si="7"/>
        <v>0</v>
      </c>
      <c r="F59" s="2676"/>
      <c r="G59" s="2677">
        <f t="shared" si="8"/>
        <v>0</v>
      </c>
      <c r="H59" s="2678">
        <f t="shared" si="9"/>
        <v>0</v>
      </c>
      <c r="I59" s="2685"/>
      <c r="J59" s="2685"/>
      <c r="K59" s="2685"/>
      <c r="L59" s="2685"/>
      <c r="M59" s="2685"/>
      <c r="N59" s="2685"/>
      <c r="O59" s="2685"/>
      <c r="P59" s="2685"/>
      <c r="Q59" s="2685"/>
      <c r="R59" s="2685"/>
      <c r="S59" s="2685"/>
      <c r="T59" s="2685"/>
      <c r="U59" s="2685"/>
      <c r="V59" s="2685"/>
      <c r="W59" s="2685"/>
      <c r="X59" s="2685"/>
      <c r="Y59" s="2685"/>
      <c r="Z59" s="2685"/>
      <c r="AA59" s="2685"/>
      <c r="AB59" s="2685"/>
      <c r="AC59" s="2675">
        <f t="shared" si="10"/>
        <v>0</v>
      </c>
      <c r="AD59" s="2695"/>
      <c r="AE59" s="2695"/>
      <c r="AF59" s="2695"/>
      <c r="AG59" s="2695"/>
      <c r="AH59" s="2695"/>
      <c r="AI59" s="2695"/>
      <c r="AJ59" s="2695"/>
      <c r="AK59" s="2695"/>
      <c r="AL59" s="2695"/>
      <c r="AM59" s="2695"/>
      <c r="AN59" s="2695"/>
      <c r="AO59" s="2695"/>
      <c r="AP59" s="2695"/>
      <c r="AQ59" s="2695"/>
      <c r="AR59" s="2695"/>
      <c r="AS59" s="2695"/>
      <c r="AT59" s="2703"/>
      <c r="AU59" s="2704"/>
      <c r="AV59" s="1074">
        <f t="shared" si="11"/>
        <v>0</v>
      </c>
      <c r="AW59" s="1074">
        <f t="shared" si="12"/>
        <v>0</v>
      </c>
      <c r="AX59" s="1074">
        <f t="shared" si="13"/>
        <v>0</v>
      </c>
      <c r="AY59" s="2279">
        <f t="shared" si="14"/>
        <v>0</v>
      </c>
      <c r="AZ59" s="2675">
        <f t="shared" si="15"/>
        <v>0</v>
      </c>
      <c r="BA59" s="2675">
        <f t="shared" si="16"/>
        <v>0</v>
      </c>
      <c r="BB59" s="2675">
        <f t="shared" si="17"/>
        <v>0</v>
      </c>
      <c r="BC59" s="2675">
        <f t="shared" si="18"/>
        <v>0</v>
      </c>
      <c r="BD59" s="2675">
        <f t="shared" si="19"/>
        <v>0</v>
      </c>
      <c r="BE59" s="2675">
        <f t="shared" si="20"/>
        <v>0</v>
      </c>
      <c r="BF59" s="2675">
        <f t="shared" si="21"/>
        <v>0</v>
      </c>
      <c r="BG59" s="2675">
        <f t="shared" si="22"/>
        <v>0</v>
      </c>
      <c r="BH59" s="2675">
        <f t="shared" si="23"/>
        <v>0</v>
      </c>
      <c r="BI59" s="2675">
        <f t="shared" si="24"/>
        <v>0</v>
      </c>
      <c r="BJ59" s="2675">
        <f t="shared" si="25"/>
        <v>0</v>
      </c>
      <c r="BK59" s="2675">
        <f t="shared" si="26"/>
        <v>0</v>
      </c>
      <c r="BL59" s="2675">
        <f t="shared" si="27"/>
        <v>0</v>
      </c>
      <c r="BM59" s="2675">
        <f t="shared" si="28"/>
        <v>0</v>
      </c>
      <c r="BN59" s="2675">
        <f t="shared" si="29"/>
        <v>0</v>
      </c>
      <c r="BO59" s="2675">
        <f t="shared" si="30"/>
        <v>0</v>
      </c>
      <c r="BP59" s="2675">
        <f t="shared" si="31"/>
        <v>0</v>
      </c>
      <c r="BQ59" s="2675">
        <f t="shared" si="32"/>
        <v>0</v>
      </c>
      <c r="BR59" s="2675">
        <f t="shared" si="33"/>
        <v>0</v>
      </c>
      <c r="BS59" s="2675">
        <f t="shared" si="34"/>
        <v>0</v>
      </c>
      <c r="BT59" s="2722">
        <f t="shared" si="35"/>
        <v>0</v>
      </c>
    </row>
    <row r="60" spans="1:72">
      <c r="A60" s="2673"/>
      <c r="B60" s="2674"/>
      <c r="C60" s="2674"/>
      <c r="D60" s="2277"/>
      <c r="E60" s="2675">
        <f t="shared" si="7"/>
        <v>0</v>
      </c>
      <c r="F60" s="2676"/>
      <c r="G60" s="2677">
        <f t="shared" si="8"/>
        <v>0</v>
      </c>
      <c r="H60" s="2678">
        <f t="shared" si="9"/>
        <v>0</v>
      </c>
      <c r="I60" s="2685"/>
      <c r="J60" s="2685"/>
      <c r="K60" s="2685"/>
      <c r="L60" s="2685"/>
      <c r="M60" s="2685"/>
      <c r="N60" s="2685"/>
      <c r="O60" s="2685"/>
      <c r="P60" s="2685"/>
      <c r="Q60" s="2685"/>
      <c r="R60" s="2685"/>
      <c r="S60" s="2685"/>
      <c r="T60" s="2685"/>
      <c r="U60" s="2685"/>
      <c r="V60" s="2685"/>
      <c r="W60" s="2685"/>
      <c r="X60" s="2685"/>
      <c r="Y60" s="2685"/>
      <c r="Z60" s="2685"/>
      <c r="AA60" s="2685"/>
      <c r="AB60" s="2685"/>
      <c r="AC60" s="2675">
        <f t="shared" si="10"/>
        <v>0</v>
      </c>
      <c r="AD60" s="2695"/>
      <c r="AE60" s="2695"/>
      <c r="AF60" s="2695"/>
      <c r="AG60" s="2695"/>
      <c r="AH60" s="2695"/>
      <c r="AI60" s="2695"/>
      <c r="AJ60" s="2695"/>
      <c r="AK60" s="2695"/>
      <c r="AL60" s="2695"/>
      <c r="AM60" s="2695"/>
      <c r="AN60" s="2695"/>
      <c r="AO60" s="2695"/>
      <c r="AP60" s="2695"/>
      <c r="AQ60" s="2695"/>
      <c r="AR60" s="2695"/>
      <c r="AS60" s="2695"/>
      <c r="AT60" s="2703"/>
      <c r="AU60" s="2704"/>
      <c r="AV60" s="1074">
        <f t="shared" si="11"/>
        <v>0</v>
      </c>
      <c r="AW60" s="1074">
        <f t="shared" si="12"/>
        <v>0</v>
      </c>
      <c r="AX60" s="1074">
        <f t="shared" si="13"/>
        <v>0</v>
      </c>
      <c r="AY60" s="2279">
        <f t="shared" si="14"/>
        <v>0</v>
      </c>
      <c r="AZ60" s="2675">
        <f t="shared" si="15"/>
        <v>0</v>
      </c>
      <c r="BA60" s="2675">
        <f t="shared" si="16"/>
        <v>0</v>
      </c>
      <c r="BB60" s="2675">
        <f t="shared" si="17"/>
        <v>0</v>
      </c>
      <c r="BC60" s="2675">
        <f t="shared" si="18"/>
        <v>0</v>
      </c>
      <c r="BD60" s="2675">
        <f t="shared" si="19"/>
        <v>0</v>
      </c>
      <c r="BE60" s="2675">
        <f t="shared" si="20"/>
        <v>0</v>
      </c>
      <c r="BF60" s="2675">
        <f t="shared" si="21"/>
        <v>0</v>
      </c>
      <c r="BG60" s="2675">
        <f t="shared" si="22"/>
        <v>0</v>
      </c>
      <c r="BH60" s="2675">
        <f t="shared" si="23"/>
        <v>0</v>
      </c>
      <c r="BI60" s="2675">
        <f t="shared" si="24"/>
        <v>0</v>
      </c>
      <c r="BJ60" s="2675">
        <f t="shared" si="25"/>
        <v>0</v>
      </c>
      <c r="BK60" s="2675">
        <f t="shared" si="26"/>
        <v>0</v>
      </c>
      <c r="BL60" s="2675">
        <f t="shared" si="27"/>
        <v>0</v>
      </c>
      <c r="BM60" s="2675">
        <f t="shared" si="28"/>
        <v>0</v>
      </c>
      <c r="BN60" s="2675">
        <f t="shared" si="29"/>
        <v>0</v>
      </c>
      <c r="BO60" s="2675">
        <f t="shared" si="30"/>
        <v>0</v>
      </c>
      <c r="BP60" s="2675">
        <f t="shared" si="31"/>
        <v>0</v>
      </c>
      <c r="BQ60" s="2675">
        <f t="shared" si="32"/>
        <v>0</v>
      </c>
      <c r="BR60" s="2675">
        <f t="shared" si="33"/>
        <v>0</v>
      </c>
      <c r="BS60" s="2675">
        <f t="shared" si="34"/>
        <v>0</v>
      </c>
      <c r="BT60" s="2722">
        <f t="shared" si="35"/>
        <v>0</v>
      </c>
    </row>
    <row r="61" spans="1:72">
      <c r="A61" s="2673"/>
      <c r="B61" s="2674"/>
      <c r="C61" s="2674"/>
      <c r="D61" s="2277"/>
      <c r="E61" s="2675">
        <f t="shared" si="7"/>
        <v>0</v>
      </c>
      <c r="F61" s="2676"/>
      <c r="G61" s="2677">
        <f t="shared" si="8"/>
        <v>0</v>
      </c>
      <c r="H61" s="2678">
        <f t="shared" si="9"/>
        <v>0</v>
      </c>
      <c r="I61" s="2685"/>
      <c r="J61" s="2685"/>
      <c r="K61" s="2685"/>
      <c r="L61" s="2685"/>
      <c r="M61" s="2685"/>
      <c r="N61" s="2685"/>
      <c r="O61" s="2685"/>
      <c r="P61" s="2685"/>
      <c r="Q61" s="2685"/>
      <c r="R61" s="2685"/>
      <c r="S61" s="2685"/>
      <c r="T61" s="2685"/>
      <c r="U61" s="2685"/>
      <c r="V61" s="2685"/>
      <c r="W61" s="2685"/>
      <c r="X61" s="2685"/>
      <c r="Y61" s="2685"/>
      <c r="Z61" s="2685"/>
      <c r="AA61" s="2685"/>
      <c r="AB61" s="2685"/>
      <c r="AC61" s="2675">
        <f t="shared" si="10"/>
        <v>0</v>
      </c>
      <c r="AD61" s="2695"/>
      <c r="AE61" s="2695"/>
      <c r="AF61" s="2695"/>
      <c r="AG61" s="2695"/>
      <c r="AH61" s="2695"/>
      <c r="AI61" s="2695"/>
      <c r="AJ61" s="2695"/>
      <c r="AK61" s="2695"/>
      <c r="AL61" s="2695"/>
      <c r="AM61" s="2695"/>
      <c r="AN61" s="2695"/>
      <c r="AO61" s="2695"/>
      <c r="AP61" s="2695"/>
      <c r="AQ61" s="2695"/>
      <c r="AR61" s="2695"/>
      <c r="AS61" s="2695"/>
      <c r="AT61" s="2703"/>
      <c r="AU61" s="2704"/>
      <c r="AV61" s="1074">
        <f t="shared" si="11"/>
        <v>0</v>
      </c>
      <c r="AW61" s="1074">
        <f t="shared" si="12"/>
        <v>0</v>
      </c>
      <c r="AX61" s="1074">
        <f t="shared" si="13"/>
        <v>0</v>
      </c>
      <c r="AY61" s="2279">
        <f t="shared" si="14"/>
        <v>0</v>
      </c>
      <c r="AZ61" s="2675">
        <f t="shared" si="15"/>
        <v>0</v>
      </c>
      <c r="BA61" s="2675">
        <f t="shared" si="16"/>
        <v>0</v>
      </c>
      <c r="BB61" s="2675">
        <f t="shared" si="17"/>
        <v>0</v>
      </c>
      <c r="BC61" s="2675">
        <f t="shared" si="18"/>
        <v>0</v>
      </c>
      <c r="BD61" s="2675">
        <f t="shared" si="19"/>
        <v>0</v>
      </c>
      <c r="BE61" s="2675">
        <f t="shared" si="20"/>
        <v>0</v>
      </c>
      <c r="BF61" s="2675">
        <f t="shared" si="21"/>
        <v>0</v>
      </c>
      <c r="BG61" s="2675">
        <f t="shared" si="22"/>
        <v>0</v>
      </c>
      <c r="BH61" s="2675">
        <f t="shared" si="23"/>
        <v>0</v>
      </c>
      <c r="BI61" s="2675">
        <f t="shared" si="24"/>
        <v>0</v>
      </c>
      <c r="BJ61" s="2675">
        <f t="shared" si="25"/>
        <v>0</v>
      </c>
      <c r="BK61" s="2675">
        <f t="shared" si="26"/>
        <v>0</v>
      </c>
      <c r="BL61" s="2675">
        <f t="shared" si="27"/>
        <v>0</v>
      </c>
      <c r="BM61" s="2675">
        <f t="shared" si="28"/>
        <v>0</v>
      </c>
      <c r="BN61" s="2675">
        <f t="shared" si="29"/>
        <v>0</v>
      </c>
      <c r="BO61" s="2675">
        <f t="shared" si="30"/>
        <v>0</v>
      </c>
      <c r="BP61" s="2675">
        <f t="shared" si="31"/>
        <v>0</v>
      </c>
      <c r="BQ61" s="2675">
        <f t="shared" si="32"/>
        <v>0</v>
      </c>
      <c r="BR61" s="2675">
        <f t="shared" si="33"/>
        <v>0</v>
      </c>
      <c r="BS61" s="2675">
        <f t="shared" si="34"/>
        <v>0</v>
      </c>
      <c r="BT61" s="2722">
        <f t="shared" si="35"/>
        <v>0</v>
      </c>
    </row>
    <row r="62" spans="1:72">
      <c r="A62" s="2673"/>
      <c r="B62" s="2674"/>
      <c r="C62" s="2674"/>
      <c r="D62" s="2277"/>
      <c r="E62" s="2675">
        <f t="shared" si="7"/>
        <v>0</v>
      </c>
      <c r="F62" s="2676"/>
      <c r="G62" s="2677">
        <f t="shared" si="8"/>
        <v>0</v>
      </c>
      <c r="H62" s="2678">
        <f t="shared" si="9"/>
        <v>0</v>
      </c>
      <c r="I62" s="2685"/>
      <c r="J62" s="2685"/>
      <c r="K62" s="2685"/>
      <c r="L62" s="2685"/>
      <c r="M62" s="2685"/>
      <c r="N62" s="2685"/>
      <c r="O62" s="2685"/>
      <c r="P62" s="2685"/>
      <c r="Q62" s="2685"/>
      <c r="R62" s="2685"/>
      <c r="S62" s="2685"/>
      <c r="T62" s="2685"/>
      <c r="U62" s="2685"/>
      <c r="V62" s="2685"/>
      <c r="W62" s="2685"/>
      <c r="X62" s="2685"/>
      <c r="Y62" s="2685"/>
      <c r="Z62" s="2685"/>
      <c r="AA62" s="2685"/>
      <c r="AB62" s="2685"/>
      <c r="AC62" s="2675">
        <f t="shared" si="10"/>
        <v>0</v>
      </c>
      <c r="AD62" s="2695"/>
      <c r="AE62" s="2695"/>
      <c r="AF62" s="2695"/>
      <c r="AG62" s="2695"/>
      <c r="AH62" s="2695"/>
      <c r="AI62" s="2695"/>
      <c r="AJ62" s="2695"/>
      <c r="AK62" s="2695"/>
      <c r="AL62" s="2695"/>
      <c r="AM62" s="2695"/>
      <c r="AN62" s="2695"/>
      <c r="AO62" s="2695"/>
      <c r="AP62" s="2695"/>
      <c r="AQ62" s="2695"/>
      <c r="AR62" s="2695"/>
      <c r="AS62" s="2695"/>
      <c r="AT62" s="2703"/>
      <c r="AU62" s="2704"/>
      <c r="AV62" s="1074">
        <f t="shared" si="11"/>
        <v>0</v>
      </c>
      <c r="AW62" s="1074">
        <f t="shared" si="12"/>
        <v>0</v>
      </c>
      <c r="AX62" s="1074">
        <f t="shared" si="13"/>
        <v>0</v>
      </c>
      <c r="AY62" s="2279">
        <f t="shared" si="14"/>
        <v>0</v>
      </c>
      <c r="AZ62" s="2675">
        <f t="shared" si="15"/>
        <v>0</v>
      </c>
      <c r="BA62" s="2675">
        <f t="shared" si="16"/>
        <v>0</v>
      </c>
      <c r="BB62" s="2675">
        <f t="shared" si="17"/>
        <v>0</v>
      </c>
      <c r="BC62" s="2675">
        <f t="shared" si="18"/>
        <v>0</v>
      </c>
      <c r="BD62" s="2675">
        <f t="shared" si="19"/>
        <v>0</v>
      </c>
      <c r="BE62" s="2675">
        <f t="shared" si="20"/>
        <v>0</v>
      </c>
      <c r="BF62" s="2675">
        <f t="shared" si="21"/>
        <v>0</v>
      </c>
      <c r="BG62" s="2675">
        <f t="shared" si="22"/>
        <v>0</v>
      </c>
      <c r="BH62" s="2675">
        <f t="shared" si="23"/>
        <v>0</v>
      </c>
      <c r="BI62" s="2675">
        <f t="shared" si="24"/>
        <v>0</v>
      </c>
      <c r="BJ62" s="2675">
        <f t="shared" si="25"/>
        <v>0</v>
      </c>
      <c r="BK62" s="2675">
        <f t="shared" si="26"/>
        <v>0</v>
      </c>
      <c r="BL62" s="2675">
        <f t="shared" si="27"/>
        <v>0</v>
      </c>
      <c r="BM62" s="2675">
        <f t="shared" si="28"/>
        <v>0</v>
      </c>
      <c r="BN62" s="2675">
        <f t="shared" si="29"/>
        <v>0</v>
      </c>
      <c r="BO62" s="2675">
        <f t="shared" si="30"/>
        <v>0</v>
      </c>
      <c r="BP62" s="2675">
        <f t="shared" si="31"/>
        <v>0</v>
      </c>
      <c r="BQ62" s="2675">
        <f t="shared" si="32"/>
        <v>0</v>
      </c>
      <c r="BR62" s="2675">
        <f t="shared" si="33"/>
        <v>0</v>
      </c>
      <c r="BS62" s="2675">
        <f t="shared" si="34"/>
        <v>0</v>
      </c>
      <c r="BT62" s="2722">
        <f t="shared" si="35"/>
        <v>0</v>
      </c>
    </row>
    <row r="63" spans="1:72">
      <c r="A63" s="2673"/>
      <c r="B63" s="2674"/>
      <c r="C63" s="2674"/>
      <c r="D63" s="2277"/>
      <c r="E63" s="2675">
        <f t="shared" si="7"/>
        <v>0</v>
      </c>
      <c r="F63" s="2676"/>
      <c r="G63" s="2677">
        <f t="shared" si="8"/>
        <v>0</v>
      </c>
      <c r="H63" s="2678">
        <f t="shared" si="9"/>
        <v>0</v>
      </c>
      <c r="I63" s="2685"/>
      <c r="J63" s="2685"/>
      <c r="K63" s="2685"/>
      <c r="L63" s="2685"/>
      <c r="M63" s="2685"/>
      <c r="N63" s="2685"/>
      <c r="O63" s="2685"/>
      <c r="P63" s="2685"/>
      <c r="Q63" s="2685"/>
      <c r="R63" s="2685"/>
      <c r="S63" s="2685"/>
      <c r="T63" s="2685"/>
      <c r="U63" s="2685"/>
      <c r="V63" s="2685"/>
      <c r="W63" s="2685"/>
      <c r="X63" s="2685"/>
      <c r="Y63" s="2685"/>
      <c r="Z63" s="2685"/>
      <c r="AA63" s="2685"/>
      <c r="AB63" s="2685"/>
      <c r="AC63" s="2675">
        <f t="shared" si="10"/>
        <v>0</v>
      </c>
      <c r="AD63" s="2695"/>
      <c r="AE63" s="2695"/>
      <c r="AF63" s="2695"/>
      <c r="AG63" s="2695"/>
      <c r="AH63" s="2695"/>
      <c r="AI63" s="2695"/>
      <c r="AJ63" s="2695"/>
      <c r="AK63" s="2695"/>
      <c r="AL63" s="2695"/>
      <c r="AM63" s="2695"/>
      <c r="AN63" s="2695"/>
      <c r="AO63" s="2695"/>
      <c r="AP63" s="2695"/>
      <c r="AQ63" s="2695"/>
      <c r="AR63" s="2695"/>
      <c r="AS63" s="2695"/>
      <c r="AT63" s="2703"/>
      <c r="AU63" s="2704"/>
      <c r="AV63" s="1074">
        <f t="shared" si="11"/>
        <v>0</v>
      </c>
      <c r="AW63" s="1074">
        <f t="shared" si="12"/>
        <v>0</v>
      </c>
      <c r="AX63" s="1074">
        <f t="shared" si="13"/>
        <v>0</v>
      </c>
      <c r="AY63" s="2279">
        <f t="shared" si="14"/>
        <v>0</v>
      </c>
      <c r="AZ63" s="2675">
        <f t="shared" si="15"/>
        <v>0</v>
      </c>
      <c r="BA63" s="2675">
        <f t="shared" si="16"/>
        <v>0</v>
      </c>
      <c r="BB63" s="2675">
        <f t="shared" si="17"/>
        <v>0</v>
      </c>
      <c r="BC63" s="2675">
        <f t="shared" si="18"/>
        <v>0</v>
      </c>
      <c r="BD63" s="2675">
        <f t="shared" si="19"/>
        <v>0</v>
      </c>
      <c r="BE63" s="2675">
        <f t="shared" si="20"/>
        <v>0</v>
      </c>
      <c r="BF63" s="2675">
        <f t="shared" si="21"/>
        <v>0</v>
      </c>
      <c r="BG63" s="2675">
        <f t="shared" si="22"/>
        <v>0</v>
      </c>
      <c r="BH63" s="2675">
        <f t="shared" si="23"/>
        <v>0</v>
      </c>
      <c r="BI63" s="2675">
        <f t="shared" si="24"/>
        <v>0</v>
      </c>
      <c r="BJ63" s="2675">
        <f t="shared" si="25"/>
        <v>0</v>
      </c>
      <c r="BK63" s="2675">
        <f t="shared" si="26"/>
        <v>0</v>
      </c>
      <c r="BL63" s="2675">
        <f t="shared" si="27"/>
        <v>0</v>
      </c>
      <c r="BM63" s="2675">
        <f t="shared" si="28"/>
        <v>0</v>
      </c>
      <c r="BN63" s="2675">
        <f t="shared" si="29"/>
        <v>0</v>
      </c>
      <c r="BO63" s="2675">
        <f t="shared" si="30"/>
        <v>0</v>
      </c>
      <c r="BP63" s="2675">
        <f t="shared" si="31"/>
        <v>0</v>
      </c>
      <c r="BQ63" s="2675">
        <f t="shared" si="32"/>
        <v>0</v>
      </c>
      <c r="BR63" s="2675">
        <f t="shared" si="33"/>
        <v>0</v>
      </c>
      <c r="BS63" s="2675">
        <f t="shared" si="34"/>
        <v>0</v>
      </c>
      <c r="BT63" s="2722">
        <f t="shared" si="35"/>
        <v>0</v>
      </c>
    </row>
    <row r="64" spans="1:72">
      <c r="A64" s="2673"/>
      <c r="B64" s="2674"/>
      <c r="C64" s="2674"/>
      <c r="D64" s="2277"/>
      <c r="E64" s="2675">
        <f t="shared" si="7"/>
        <v>0</v>
      </c>
      <c r="F64" s="2676"/>
      <c r="G64" s="2677">
        <f t="shared" si="8"/>
        <v>0</v>
      </c>
      <c r="H64" s="2678">
        <f t="shared" si="9"/>
        <v>0</v>
      </c>
      <c r="I64" s="2685"/>
      <c r="J64" s="2685"/>
      <c r="K64" s="2685"/>
      <c r="L64" s="2685"/>
      <c r="M64" s="2685"/>
      <c r="N64" s="2685"/>
      <c r="O64" s="2685"/>
      <c r="P64" s="2685"/>
      <c r="Q64" s="2685"/>
      <c r="R64" s="2685"/>
      <c r="S64" s="2685"/>
      <c r="T64" s="2685"/>
      <c r="U64" s="2685"/>
      <c r="V64" s="2685"/>
      <c r="W64" s="2685"/>
      <c r="X64" s="2685"/>
      <c r="Y64" s="2685"/>
      <c r="Z64" s="2685"/>
      <c r="AA64" s="2685"/>
      <c r="AB64" s="2685"/>
      <c r="AC64" s="2675">
        <f t="shared" si="10"/>
        <v>0</v>
      </c>
      <c r="AD64" s="2695"/>
      <c r="AE64" s="2695"/>
      <c r="AF64" s="2695"/>
      <c r="AG64" s="2695"/>
      <c r="AH64" s="2695"/>
      <c r="AI64" s="2695"/>
      <c r="AJ64" s="2695"/>
      <c r="AK64" s="2695"/>
      <c r="AL64" s="2695"/>
      <c r="AM64" s="2695"/>
      <c r="AN64" s="2695"/>
      <c r="AO64" s="2695"/>
      <c r="AP64" s="2695"/>
      <c r="AQ64" s="2695"/>
      <c r="AR64" s="2695"/>
      <c r="AS64" s="2695"/>
      <c r="AT64" s="2703"/>
      <c r="AU64" s="2704"/>
      <c r="AV64" s="1074">
        <f t="shared" si="11"/>
        <v>0</v>
      </c>
      <c r="AW64" s="1074">
        <f t="shared" si="12"/>
        <v>0</v>
      </c>
      <c r="AX64" s="1074">
        <f t="shared" si="13"/>
        <v>0</v>
      </c>
      <c r="AY64" s="2279">
        <f t="shared" si="14"/>
        <v>0</v>
      </c>
      <c r="AZ64" s="2675">
        <f t="shared" si="15"/>
        <v>0</v>
      </c>
      <c r="BA64" s="2675">
        <f t="shared" si="16"/>
        <v>0</v>
      </c>
      <c r="BB64" s="2675">
        <f t="shared" si="17"/>
        <v>0</v>
      </c>
      <c r="BC64" s="2675">
        <f t="shared" si="18"/>
        <v>0</v>
      </c>
      <c r="BD64" s="2675">
        <f t="shared" si="19"/>
        <v>0</v>
      </c>
      <c r="BE64" s="2675">
        <f t="shared" si="20"/>
        <v>0</v>
      </c>
      <c r="BF64" s="2675">
        <f t="shared" si="21"/>
        <v>0</v>
      </c>
      <c r="BG64" s="2675">
        <f t="shared" si="22"/>
        <v>0</v>
      </c>
      <c r="BH64" s="2675">
        <f t="shared" si="23"/>
        <v>0</v>
      </c>
      <c r="BI64" s="2675">
        <f t="shared" si="24"/>
        <v>0</v>
      </c>
      <c r="BJ64" s="2675">
        <f t="shared" si="25"/>
        <v>0</v>
      </c>
      <c r="BK64" s="2675">
        <f t="shared" si="26"/>
        <v>0</v>
      </c>
      <c r="BL64" s="2675">
        <f t="shared" si="27"/>
        <v>0</v>
      </c>
      <c r="BM64" s="2675">
        <f t="shared" si="28"/>
        <v>0</v>
      </c>
      <c r="BN64" s="2675">
        <f t="shared" si="29"/>
        <v>0</v>
      </c>
      <c r="BO64" s="2675">
        <f t="shared" si="30"/>
        <v>0</v>
      </c>
      <c r="BP64" s="2675">
        <f t="shared" si="31"/>
        <v>0</v>
      </c>
      <c r="BQ64" s="2675">
        <f t="shared" si="32"/>
        <v>0</v>
      </c>
      <c r="BR64" s="2675">
        <f t="shared" si="33"/>
        <v>0</v>
      </c>
      <c r="BS64" s="2675">
        <f t="shared" si="34"/>
        <v>0</v>
      </c>
      <c r="BT64" s="2722">
        <f t="shared" si="35"/>
        <v>0</v>
      </c>
    </row>
    <row r="65" spans="1:72">
      <c r="A65" s="2673"/>
      <c r="B65" s="2674"/>
      <c r="C65" s="2674"/>
      <c r="D65" s="2277"/>
      <c r="E65" s="2675">
        <f t="shared" si="7"/>
        <v>0</v>
      </c>
      <c r="F65" s="2676"/>
      <c r="G65" s="2677">
        <f t="shared" si="8"/>
        <v>0</v>
      </c>
      <c r="H65" s="2678">
        <f t="shared" si="9"/>
        <v>0</v>
      </c>
      <c r="I65" s="2685"/>
      <c r="J65" s="2685"/>
      <c r="K65" s="2685"/>
      <c r="L65" s="2685"/>
      <c r="M65" s="2685"/>
      <c r="N65" s="2685"/>
      <c r="O65" s="2685"/>
      <c r="P65" s="2685"/>
      <c r="Q65" s="2685"/>
      <c r="R65" s="2685"/>
      <c r="S65" s="2685"/>
      <c r="T65" s="2685"/>
      <c r="U65" s="2685"/>
      <c r="V65" s="2685"/>
      <c r="W65" s="2685"/>
      <c r="X65" s="2685"/>
      <c r="Y65" s="2685"/>
      <c r="Z65" s="2685"/>
      <c r="AA65" s="2685"/>
      <c r="AB65" s="2685"/>
      <c r="AC65" s="2675">
        <f t="shared" si="10"/>
        <v>0</v>
      </c>
      <c r="AD65" s="2695"/>
      <c r="AE65" s="2695"/>
      <c r="AF65" s="2695"/>
      <c r="AG65" s="2695"/>
      <c r="AH65" s="2695"/>
      <c r="AI65" s="2695"/>
      <c r="AJ65" s="2695"/>
      <c r="AK65" s="2695"/>
      <c r="AL65" s="2695"/>
      <c r="AM65" s="2695"/>
      <c r="AN65" s="2695"/>
      <c r="AO65" s="2695"/>
      <c r="AP65" s="2695"/>
      <c r="AQ65" s="2695"/>
      <c r="AR65" s="2695"/>
      <c r="AS65" s="2695"/>
      <c r="AT65" s="2703"/>
      <c r="AU65" s="2704"/>
      <c r="AV65" s="1074">
        <f t="shared" si="11"/>
        <v>0</v>
      </c>
      <c r="AW65" s="1074">
        <f t="shared" si="12"/>
        <v>0</v>
      </c>
      <c r="AX65" s="1074">
        <f t="shared" si="13"/>
        <v>0</v>
      </c>
      <c r="AY65" s="2279">
        <f t="shared" si="14"/>
        <v>0</v>
      </c>
      <c r="AZ65" s="2675">
        <f t="shared" si="15"/>
        <v>0</v>
      </c>
      <c r="BA65" s="2675">
        <f t="shared" si="16"/>
        <v>0</v>
      </c>
      <c r="BB65" s="2675">
        <f t="shared" si="17"/>
        <v>0</v>
      </c>
      <c r="BC65" s="2675">
        <f t="shared" si="18"/>
        <v>0</v>
      </c>
      <c r="BD65" s="2675">
        <f t="shared" si="19"/>
        <v>0</v>
      </c>
      <c r="BE65" s="2675">
        <f t="shared" si="20"/>
        <v>0</v>
      </c>
      <c r="BF65" s="2675">
        <f t="shared" si="21"/>
        <v>0</v>
      </c>
      <c r="BG65" s="2675">
        <f t="shared" si="22"/>
        <v>0</v>
      </c>
      <c r="BH65" s="2675">
        <f t="shared" si="23"/>
        <v>0</v>
      </c>
      <c r="BI65" s="2675">
        <f t="shared" si="24"/>
        <v>0</v>
      </c>
      <c r="BJ65" s="2675">
        <f t="shared" si="25"/>
        <v>0</v>
      </c>
      <c r="BK65" s="2675">
        <f t="shared" si="26"/>
        <v>0</v>
      </c>
      <c r="BL65" s="2675">
        <f t="shared" si="27"/>
        <v>0</v>
      </c>
      <c r="BM65" s="2675">
        <f t="shared" si="28"/>
        <v>0</v>
      </c>
      <c r="BN65" s="2675">
        <f t="shared" si="29"/>
        <v>0</v>
      </c>
      <c r="BO65" s="2675">
        <f t="shared" si="30"/>
        <v>0</v>
      </c>
      <c r="BP65" s="2675">
        <f t="shared" si="31"/>
        <v>0</v>
      </c>
      <c r="BQ65" s="2675">
        <f t="shared" si="32"/>
        <v>0</v>
      </c>
      <c r="BR65" s="2675">
        <f t="shared" si="33"/>
        <v>0</v>
      </c>
      <c r="BS65" s="2675">
        <f t="shared" si="34"/>
        <v>0</v>
      </c>
      <c r="BT65" s="2722">
        <f t="shared" si="35"/>
        <v>0</v>
      </c>
    </row>
    <row r="66" spans="1:72">
      <c r="A66" s="2673"/>
      <c r="B66" s="2674"/>
      <c r="C66" s="2674"/>
      <c r="D66" s="2277"/>
      <c r="E66" s="2675">
        <f t="shared" si="7"/>
        <v>0</v>
      </c>
      <c r="F66" s="2676"/>
      <c r="G66" s="2677">
        <f t="shared" si="8"/>
        <v>0</v>
      </c>
      <c r="H66" s="2678">
        <f t="shared" si="9"/>
        <v>0</v>
      </c>
      <c r="I66" s="2685"/>
      <c r="J66" s="2685"/>
      <c r="K66" s="2685"/>
      <c r="L66" s="2685"/>
      <c r="M66" s="2685"/>
      <c r="N66" s="2685"/>
      <c r="O66" s="2685"/>
      <c r="P66" s="2685"/>
      <c r="Q66" s="2685"/>
      <c r="R66" s="2685"/>
      <c r="S66" s="2685"/>
      <c r="T66" s="2685"/>
      <c r="U66" s="2685"/>
      <c r="V66" s="2685"/>
      <c r="W66" s="2685"/>
      <c r="X66" s="2685"/>
      <c r="Y66" s="2685"/>
      <c r="Z66" s="2685"/>
      <c r="AA66" s="2685"/>
      <c r="AB66" s="2685"/>
      <c r="AC66" s="2675">
        <f t="shared" si="10"/>
        <v>0</v>
      </c>
      <c r="AD66" s="2695"/>
      <c r="AE66" s="2695"/>
      <c r="AF66" s="2695"/>
      <c r="AG66" s="2695"/>
      <c r="AH66" s="2695"/>
      <c r="AI66" s="2695"/>
      <c r="AJ66" s="2695"/>
      <c r="AK66" s="2695"/>
      <c r="AL66" s="2695"/>
      <c r="AM66" s="2695"/>
      <c r="AN66" s="2695"/>
      <c r="AO66" s="2695"/>
      <c r="AP66" s="2695"/>
      <c r="AQ66" s="2695"/>
      <c r="AR66" s="2695"/>
      <c r="AS66" s="2695"/>
      <c r="AT66" s="2703"/>
      <c r="AU66" s="2704"/>
      <c r="AV66" s="1074">
        <f t="shared" si="11"/>
        <v>0</v>
      </c>
      <c r="AW66" s="1074">
        <f t="shared" si="12"/>
        <v>0</v>
      </c>
      <c r="AX66" s="1074">
        <f t="shared" si="13"/>
        <v>0</v>
      </c>
      <c r="AY66" s="2279">
        <f t="shared" si="14"/>
        <v>0</v>
      </c>
      <c r="AZ66" s="2675">
        <f t="shared" si="15"/>
        <v>0</v>
      </c>
      <c r="BA66" s="2675">
        <f t="shared" si="16"/>
        <v>0</v>
      </c>
      <c r="BB66" s="2675">
        <f t="shared" si="17"/>
        <v>0</v>
      </c>
      <c r="BC66" s="2675">
        <f t="shared" si="18"/>
        <v>0</v>
      </c>
      <c r="BD66" s="2675">
        <f t="shared" si="19"/>
        <v>0</v>
      </c>
      <c r="BE66" s="2675">
        <f t="shared" si="20"/>
        <v>0</v>
      </c>
      <c r="BF66" s="2675">
        <f t="shared" si="21"/>
        <v>0</v>
      </c>
      <c r="BG66" s="2675">
        <f t="shared" si="22"/>
        <v>0</v>
      </c>
      <c r="BH66" s="2675">
        <f t="shared" si="23"/>
        <v>0</v>
      </c>
      <c r="BI66" s="2675">
        <f t="shared" si="24"/>
        <v>0</v>
      </c>
      <c r="BJ66" s="2675">
        <f t="shared" si="25"/>
        <v>0</v>
      </c>
      <c r="BK66" s="2675">
        <f t="shared" si="26"/>
        <v>0</v>
      </c>
      <c r="BL66" s="2675">
        <f t="shared" si="27"/>
        <v>0</v>
      </c>
      <c r="BM66" s="2675">
        <f t="shared" si="28"/>
        <v>0</v>
      </c>
      <c r="BN66" s="2675">
        <f t="shared" si="29"/>
        <v>0</v>
      </c>
      <c r="BO66" s="2675">
        <f t="shared" si="30"/>
        <v>0</v>
      </c>
      <c r="BP66" s="2675">
        <f t="shared" si="31"/>
        <v>0</v>
      </c>
      <c r="BQ66" s="2675">
        <f t="shared" si="32"/>
        <v>0</v>
      </c>
      <c r="BR66" s="2675">
        <f t="shared" si="33"/>
        <v>0</v>
      </c>
      <c r="BS66" s="2675">
        <f t="shared" si="34"/>
        <v>0</v>
      </c>
      <c r="BT66" s="2722">
        <f t="shared" si="35"/>
        <v>0</v>
      </c>
    </row>
    <row r="67" spans="1:72">
      <c r="A67" s="2673"/>
      <c r="B67" s="2674"/>
      <c r="C67" s="2674"/>
      <c r="D67" s="2277"/>
      <c r="E67" s="2675">
        <f t="shared" si="7"/>
        <v>0</v>
      </c>
      <c r="F67" s="2676"/>
      <c r="G67" s="2677">
        <f t="shared" si="8"/>
        <v>0</v>
      </c>
      <c r="H67" s="2678">
        <f t="shared" si="9"/>
        <v>0</v>
      </c>
      <c r="I67" s="2685"/>
      <c r="J67" s="2685"/>
      <c r="K67" s="2685"/>
      <c r="L67" s="2685"/>
      <c r="M67" s="2685"/>
      <c r="N67" s="2685"/>
      <c r="O67" s="2685"/>
      <c r="P67" s="2685"/>
      <c r="Q67" s="2685"/>
      <c r="R67" s="2685"/>
      <c r="S67" s="2685"/>
      <c r="T67" s="2685"/>
      <c r="U67" s="2685"/>
      <c r="V67" s="2685"/>
      <c r="W67" s="2685"/>
      <c r="X67" s="2685"/>
      <c r="Y67" s="2685"/>
      <c r="Z67" s="2685"/>
      <c r="AA67" s="2685"/>
      <c r="AB67" s="2685"/>
      <c r="AC67" s="2675">
        <f t="shared" si="10"/>
        <v>0</v>
      </c>
      <c r="AD67" s="2695"/>
      <c r="AE67" s="2695"/>
      <c r="AF67" s="2695"/>
      <c r="AG67" s="2695"/>
      <c r="AH67" s="2695"/>
      <c r="AI67" s="2695"/>
      <c r="AJ67" s="2695"/>
      <c r="AK67" s="2695"/>
      <c r="AL67" s="2695"/>
      <c r="AM67" s="2695"/>
      <c r="AN67" s="2695"/>
      <c r="AO67" s="2695"/>
      <c r="AP67" s="2695"/>
      <c r="AQ67" s="2695"/>
      <c r="AR67" s="2695"/>
      <c r="AS67" s="2695"/>
      <c r="AT67" s="2703"/>
      <c r="AU67" s="2704"/>
      <c r="AV67" s="1074">
        <f t="shared" si="11"/>
        <v>0</v>
      </c>
      <c r="AW67" s="1074">
        <f t="shared" si="12"/>
        <v>0</v>
      </c>
      <c r="AX67" s="1074">
        <f t="shared" si="13"/>
        <v>0</v>
      </c>
      <c r="AY67" s="2279">
        <f t="shared" si="14"/>
        <v>0</v>
      </c>
      <c r="AZ67" s="2675">
        <f t="shared" si="15"/>
        <v>0</v>
      </c>
      <c r="BA67" s="2675">
        <f t="shared" si="16"/>
        <v>0</v>
      </c>
      <c r="BB67" s="2675">
        <f t="shared" si="17"/>
        <v>0</v>
      </c>
      <c r="BC67" s="2675">
        <f t="shared" si="18"/>
        <v>0</v>
      </c>
      <c r="BD67" s="2675">
        <f t="shared" si="19"/>
        <v>0</v>
      </c>
      <c r="BE67" s="2675">
        <f t="shared" si="20"/>
        <v>0</v>
      </c>
      <c r="BF67" s="2675">
        <f t="shared" si="21"/>
        <v>0</v>
      </c>
      <c r="BG67" s="2675">
        <f t="shared" si="22"/>
        <v>0</v>
      </c>
      <c r="BH67" s="2675">
        <f t="shared" si="23"/>
        <v>0</v>
      </c>
      <c r="BI67" s="2675">
        <f t="shared" si="24"/>
        <v>0</v>
      </c>
      <c r="BJ67" s="2675">
        <f t="shared" si="25"/>
        <v>0</v>
      </c>
      <c r="BK67" s="2675">
        <f t="shared" si="26"/>
        <v>0</v>
      </c>
      <c r="BL67" s="2675">
        <f t="shared" si="27"/>
        <v>0</v>
      </c>
      <c r="BM67" s="2675">
        <f t="shared" si="28"/>
        <v>0</v>
      </c>
      <c r="BN67" s="2675">
        <f t="shared" si="29"/>
        <v>0</v>
      </c>
      <c r="BO67" s="2675">
        <f t="shared" si="30"/>
        <v>0</v>
      </c>
      <c r="BP67" s="2675">
        <f t="shared" si="31"/>
        <v>0</v>
      </c>
      <c r="BQ67" s="2675">
        <f t="shared" si="32"/>
        <v>0</v>
      </c>
      <c r="BR67" s="2675">
        <f t="shared" si="33"/>
        <v>0</v>
      </c>
      <c r="BS67" s="2675">
        <f t="shared" si="34"/>
        <v>0</v>
      </c>
      <c r="BT67" s="2722">
        <f t="shared" si="35"/>
        <v>0</v>
      </c>
    </row>
    <row r="68" spans="1:72">
      <c r="A68" s="2673"/>
      <c r="B68" s="2674"/>
      <c r="C68" s="2674"/>
      <c r="D68" s="2277"/>
      <c r="E68" s="2675">
        <f t="shared" si="7"/>
        <v>0</v>
      </c>
      <c r="F68" s="2676"/>
      <c r="G68" s="2677">
        <f t="shared" si="8"/>
        <v>0</v>
      </c>
      <c r="H68" s="2678">
        <f t="shared" si="9"/>
        <v>0</v>
      </c>
      <c r="I68" s="2685"/>
      <c r="J68" s="2685"/>
      <c r="K68" s="2685"/>
      <c r="L68" s="2685"/>
      <c r="M68" s="2685"/>
      <c r="N68" s="2685"/>
      <c r="O68" s="2685"/>
      <c r="P68" s="2685"/>
      <c r="Q68" s="2685"/>
      <c r="R68" s="2685"/>
      <c r="S68" s="2685"/>
      <c r="T68" s="2685"/>
      <c r="U68" s="2685"/>
      <c r="V68" s="2685"/>
      <c r="W68" s="2685"/>
      <c r="X68" s="2685"/>
      <c r="Y68" s="2685"/>
      <c r="Z68" s="2685"/>
      <c r="AA68" s="2685"/>
      <c r="AB68" s="2685"/>
      <c r="AC68" s="2675">
        <f t="shared" si="10"/>
        <v>0</v>
      </c>
      <c r="AD68" s="2695"/>
      <c r="AE68" s="2695"/>
      <c r="AF68" s="2695"/>
      <c r="AG68" s="2695"/>
      <c r="AH68" s="2695"/>
      <c r="AI68" s="2695"/>
      <c r="AJ68" s="2695"/>
      <c r="AK68" s="2695"/>
      <c r="AL68" s="2695"/>
      <c r="AM68" s="2695"/>
      <c r="AN68" s="2695"/>
      <c r="AO68" s="2695"/>
      <c r="AP68" s="2695"/>
      <c r="AQ68" s="2695"/>
      <c r="AR68" s="2695"/>
      <c r="AS68" s="2695"/>
      <c r="AT68" s="2703"/>
      <c r="AU68" s="2704"/>
      <c r="AV68" s="1074">
        <f t="shared" si="11"/>
        <v>0</v>
      </c>
      <c r="AW68" s="1074">
        <f t="shared" si="12"/>
        <v>0</v>
      </c>
      <c r="AX68" s="1074">
        <f t="shared" si="13"/>
        <v>0</v>
      </c>
      <c r="AY68" s="2279">
        <f t="shared" si="14"/>
        <v>0</v>
      </c>
      <c r="AZ68" s="2675">
        <f t="shared" si="15"/>
        <v>0</v>
      </c>
      <c r="BA68" s="2675">
        <f t="shared" si="16"/>
        <v>0</v>
      </c>
      <c r="BB68" s="2675">
        <f t="shared" si="17"/>
        <v>0</v>
      </c>
      <c r="BC68" s="2675">
        <f t="shared" si="18"/>
        <v>0</v>
      </c>
      <c r="BD68" s="2675">
        <f t="shared" si="19"/>
        <v>0</v>
      </c>
      <c r="BE68" s="2675">
        <f t="shared" si="20"/>
        <v>0</v>
      </c>
      <c r="BF68" s="2675">
        <f t="shared" si="21"/>
        <v>0</v>
      </c>
      <c r="BG68" s="2675">
        <f t="shared" si="22"/>
        <v>0</v>
      </c>
      <c r="BH68" s="2675">
        <f t="shared" si="23"/>
        <v>0</v>
      </c>
      <c r="BI68" s="2675">
        <f t="shared" si="24"/>
        <v>0</v>
      </c>
      <c r="BJ68" s="2675">
        <f t="shared" si="25"/>
        <v>0</v>
      </c>
      <c r="BK68" s="2675">
        <f t="shared" si="26"/>
        <v>0</v>
      </c>
      <c r="BL68" s="2675">
        <f t="shared" si="27"/>
        <v>0</v>
      </c>
      <c r="BM68" s="2675">
        <f t="shared" si="28"/>
        <v>0</v>
      </c>
      <c r="BN68" s="2675">
        <f t="shared" si="29"/>
        <v>0</v>
      </c>
      <c r="BO68" s="2675">
        <f t="shared" si="30"/>
        <v>0</v>
      </c>
      <c r="BP68" s="2675">
        <f t="shared" si="31"/>
        <v>0</v>
      </c>
      <c r="BQ68" s="2675">
        <f t="shared" si="32"/>
        <v>0</v>
      </c>
      <c r="BR68" s="2675">
        <f t="shared" si="33"/>
        <v>0</v>
      </c>
      <c r="BS68" s="2675">
        <f t="shared" si="34"/>
        <v>0</v>
      </c>
      <c r="BT68" s="2722">
        <f t="shared" si="35"/>
        <v>0</v>
      </c>
    </row>
    <row r="69" spans="1:72">
      <c r="A69" s="2673"/>
      <c r="B69" s="2674"/>
      <c r="C69" s="2674"/>
      <c r="D69" s="2277"/>
      <c r="E69" s="2675">
        <f t="shared" si="7"/>
        <v>0</v>
      </c>
      <c r="F69" s="2676"/>
      <c r="G69" s="2677">
        <f t="shared" si="8"/>
        <v>0</v>
      </c>
      <c r="H69" s="2678">
        <f t="shared" si="9"/>
        <v>0</v>
      </c>
      <c r="I69" s="2685"/>
      <c r="J69" s="2685"/>
      <c r="K69" s="2685"/>
      <c r="L69" s="2685"/>
      <c r="M69" s="2685"/>
      <c r="N69" s="2685"/>
      <c r="O69" s="2685"/>
      <c r="P69" s="2685"/>
      <c r="Q69" s="2685"/>
      <c r="R69" s="2685"/>
      <c r="S69" s="2685"/>
      <c r="T69" s="2685"/>
      <c r="U69" s="2685"/>
      <c r="V69" s="2685"/>
      <c r="W69" s="2685"/>
      <c r="X69" s="2685"/>
      <c r="Y69" s="2685"/>
      <c r="Z69" s="2685"/>
      <c r="AA69" s="2685"/>
      <c r="AB69" s="2685"/>
      <c r="AC69" s="2675">
        <f t="shared" si="10"/>
        <v>0</v>
      </c>
      <c r="AD69" s="2695"/>
      <c r="AE69" s="2695"/>
      <c r="AF69" s="2695"/>
      <c r="AG69" s="2695"/>
      <c r="AH69" s="2695"/>
      <c r="AI69" s="2695"/>
      <c r="AJ69" s="2695"/>
      <c r="AK69" s="2695"/>
      <c r="AL69" s="2695"/>
      <c r="AM69" s="2695"/>
      <c r="AN69" s="2695"/>
      <c r="AO69" s="2695"/>
      <c r="AP69" s="2695"/>
      <c r="AQ69" s="2695"/>
      <c r="AR69" s="2695"/>
      <c r="AS69" s="2695"/>
      <c r="AT69" s="2703"/>
      <c r="AU69" s="2704"/>
      <c r="AV69" s="1074">
        <f t="shared" si="11"/>
        <v>0</v>
      </c>
      <c r="AW69" s="1074">
        <f t="shared" si="12"/>
        <v>0</v>
      </c>
      <c r="AX69" s="1074">
        <f t="shared" si="13"/>
        <v>0</v>
      </c>
      <c r="AY69" s="2279">
        <f t="shared" si="14"/>
        <v>0</v>
      </c>
      <c r="AZ69" s="2675">
        <f t="shared" si="15"/>
        <v>0</v>
      </c>
      <c r="BA69" s="2675">
        <f t="shared" si="16"/>
        <v>0</v>
      </c>
      <c r="BB69" s="2675">
        <f t="shared" si="17"/>
        <v>0</v>
      </c>
      <c r="BC69" s="2675">
        <f t="shared" si="18"/>
        <v>0</v>
      </c>
      <c r="BD69" s="2675">
        <f t="shared" si="19"/>
        <v>0</v>
      </c>
      <c r="BE69" s="2675">
        <f t="shared" si="20"/>
        <v>0</v>
      </c>
      <c r="BF69" s="2675">
        <f t="shared" si="21"/>
        <v>0</v>
      </c>
      <c r="BG69" s="2675">
        <f t="shared" si="22"/>
        <v>0</v>
      </c>
      <c r="BH69" s="2675">
        <f t="shared" si="23"/>
        <v>0</v>
      </c>
      <c r="BI69" s="2675">
        <f t="shared" si="24"/>
        <v>0</v>
      </c>
      <c r="BJ69" s="2675">
        <f t="shared" si="25"/>
        <v>0</v>
      </c>
      <c r="BK69" s="2675">
        <f t="shared" si="26"/>
        <v>0</v>
      </c>
      <c r="BL69" s="2675">
        <f t="shared" si="27"/>
        <v>0</v>
      </c>
      <c r="BM69" s="2675">
        <f t="shared" si="28"/>
        <v>0</v>
      </c>
      <c r="BN69" s="2675">
        <f t="shared" si="29"/>
        <v>0</v>
      </c>
      <c r="BO69" s="2675">
        <f t="shared" si="30"/>
        <v>0</v>
      </c>
      <c r="BP69" s="2675">
        <f t="shared" si="31"/>
        <v>0</v>
      </c>
      <c r="BQ69" s="2675">
        <f t="shared" si="32"/>
        <v>0</v>
      </c>
      <c r="BR69" s="2675">
        <f t="shared" si="33"/>
        <v>0</v>
      </c>
      <c r="BS69" s="2675">
        <f t="shared" si="34"/>
        <v>0</v>
      </c>
      <c r="BT69" s="2722">
        <f t="shared" si="35"/>
        <v>0</v>
      </c>
    </row>
    <row r="70" spans="1:72">
      <c r="A70" s="2673"/>
      <c r="B70" s="2674"/>
      <c r="C70" s="2674"/>
      <c r="D70" s="2277"/>
      <c r="E70" s="2675">
        <f t="shared" si="7"/>
        <v>0</v>
      </c>
      <c r="F70" s="2676"/>
      <c r="G70" s="2677">
        <f t="shared" si="8"/>
        <v>0</v>
      </c>
      <c r="H70" s="2678">
        <f t="shared" si="9"/>
        <v>0</v>
      </c>
      <c r="I70" s="2685"/>
      <c r="J70" s="2685"/>
      <c r="K70" s="2685"/>
      <c r="L70" s="2685"/>
      <c r="M70" s="2685"/>
      <c r="N70" s="2685"/>
      <c r="O70" s="2685"/>
      <c r="P70" s="2685"/>
      <c r="Q70" s="2685"/>
      <c r="R70" s="2685"/>
      <c r="S70" s="2685"/>
      <c r="T70" s="2685"/>
      <c r="U70" s="2685"/>
      <c r="V70" s="2685"/>
      <c r="W70" s="2685"/>
      <c r="X70" s="2685"/>
      <c r="Y70" s="2685"/>
      <c r="Z70" s="2685"/>
      <c r="AA70" s="2685"/>
      <c r="AB70" s="2685"/>
      <c r="AC70" s="2675">
        <f t="shared" si="10"/>
        <v>0</v>
      </c>
      <c r="AD70" s="2695"/>
      <c r="AE70" s="2695"/>
      <c r="AF70" s="2695"/>
      <c r="AG70" s="2695"/>
      <c r="AH70" s="2695"/>
      <c r="AI70" s="2695"/>
      <c r="AJ70" s="2695"/>
      <c r="AK70" s="2695"/>
      <c r="AL70" s="2695"/>
      <c r="AM70" s="2695"/>
      <c r="AN70" s="2695"/>
      <c r="AO70" s="2695"/>
      <c r="AP70" s="2695"/>
      <c r="AQ70" s="2695"/>
      <c r="AR70" s="2695"/>
      <c r="AS70" s="2695"/>
      <c r="AT70" s="2703"/>
      <c r="AU70" s="2704"/>
      <c r="AV70" s="1074">
        <f t="shared" si="11"/>
        <v>0</v>
      </c>
      <c r="AW70" s="1074">
        <f t="shared" si="12"/>
        <v>0</v>
      </c>
      <c r="AX70" s="1074">
        <f t="shared" si="13"/>
        <v>0</v>
      </c>
      <c r="AY70" s="2279">
        <f t="shared" si="14"/>
        <v>0</v>
      </c>
      <c r="AZ70" s="2675">
        <f t="shared" si="15"/>
        <v>0</v>
      </c>
      <c r="BA70" s="2675">
        <f t="shared" si="16"/>
        <v>0</v>
      </c>
      <c r="BB70" s="2675">
        <f t="shared" si="17"/>
        <v>0</v>
      </c>
      <c r="BC70" s="2675">
        <f t="shared" si="18"/>
        <v>0</v>
      </c>
      <c r="BD70" s="2675">
        <f t="shared" si="19"/>
        <v>0</v>
      </c>
      <c r="BE70" s="2675">
        <f t="shared" si="20"/>
        <v>0</v>
      </c>
      <c r="BF70" s="2675">
        <f t="shared" si="21"/>
        <v>0</v>
      </c>
      <c r="BG70" s="2675">
        <f t="shared" si="22"/>
        <v>0</v>
      </c>
      <c r="BH70" s="2675">
        <f t="shared" si="23"/>
        <v>0</v>
      </c>
      <c r="BI70" s="2675">
        <f t="shared" si="24"/>
        <v>0</v>
      </c>
      <c r="BJ70" s="2675">
        <f t="shared" si="25"/>
        <v>0</v>
      </c>
      <c r="BK70" s="2675">
        <f t="shared" si="26"/>
        <v>0</v>
      </c>
      <c r="BL70" s="2675">
        <f t="shared" si="27"/>
        <v>0</v>
      </c>
      <c r="BM70" s="2675">
        <f t="shared" si="28"/>
        <v>0</v>
      </c>
      <c r="BN70" s="2675">
        <f t="shared" si="29"/>
        <v>0</v>
      </c>
      <c r="BO70" s="2675">
        <f t="shared" si="30"/>
        <v>0</v>
      </c>
      <c r="BP70" s="2675">
        <f t="shared" si="31"/>
        <v>0</v>
      </c>
      <c r="BQ70" s="2675">
        <f t="shared" si="32"/>
        <v>0</v>
      </c>
      <c r="BR70" s="2675">
        <f t="shared" si="33"/>
        <v>0</v>
      </c>
      <c r="BS70" s="2675">
        <f t="shared" si="34"/>
        <v>0</v>
      </c>
      <c r="BT70" s="2722">
        <f t="shared" si="35"/>
        <v>0</v>
      </c>
    </row>
    <row r="71" spans="1:72">
      <c r="A71" s="2673"/>
      <c r="B71" s="2674"/>
      <c r="C71" s="2674"/>
      <c r="D71" s="2277"/>
      <c r="E71" s="2675">
        <f t="shared" si="7"/>
        <v>0</v>
      </c>
      <c r="F71" s="2676"/>
      <c r="G71" s="2677">
        <f t="shared" si="8"/>
        <v>0</v>
      </c>
      <c r="H71" s="2678">
        <f t="shared" si="9"/>
        <v>0</v>
      </c>
      <c r="I71" s="2685"/>
      <c r="J71" s="2685"/>
      <c r="K71" s="2685"/>
      <c r="L71" s="2685"/>
      <c r="M71" s="2685"/>
      <c r="N71" s="2685"/>
      <c r="O71" s="2685"/>
      <c r="P71" s="2685"/>
      <c r="Q71" s="2685"/>
      <c r="R71" s="2685"/>
      <c r="S71" s="2685"/>
      <c r="T71" s="2685"/>
      <c r="U71" s="2685"/>
      <c r="V71" s="2685"/>
      <c r="W71" s="2685"/>
      <c r="X71" s="2685"/>
      <c r="Y71" s="2685"/>
      <c r="Z71" s="2685"/>
      <c r="AA71" s="2685"/>
      <c r="AB71" s="2685"/>
      <c r="AC71" s="2675">
        <f t="shared" si="10"/>
        <v>0</v>
      </c>
      <c r="AD71" s="2695"/>
      <c r="AE71" s="2695"/>
      <c r="AF71" s="2695"/>
      <c r="AG71" s="2695"/>
      <c r="AH71" s="2695"/>
      <c r="AI71" s="2695"/>
      <c r="AJ71" s="2695"/>
      <c r="AK71" s="2695"/>
      <c r="AL71" s="2695"/>
      <c r="AM71" s="2695"/>
      <c r="AN71" s="2695"/>
      <c r="AO71" s="2695"/>
      <c r="AP71" s="2695"/>
      <c r="AQ71" s="2695"/>
      <c r="AR71" s="2695"/>
      <c r="AS71" s="2695"/>
      <c r="AT71" s="2703"/>
      <c r="AU71" s="2704"/>
      <c r="AV71" s="1074">
        <f t="shared" si="11"/>
        <v>0</v>
      </c>
      <c r="AW71" s="1074">
        <f t="shared" si="12"/>
        <v>0</v>
      </c>
      <c r="AX71" s="1074">
        <f t="shared" si="13"/>
        <v>0</v>
      </c>
      <c r="AY71" s="2279">
        <f t="shared" si="14"/>
        <v>0</v>
      </c>
      <c r="AZ71" s="2675">
        <f t="shared" si="15"/>
        <v>0</v>
      </c>
      <c r="BA71" s="2675">
        <f t="shared" si="16"/>
        <v>0</v>
      </c>
      <c r="BB71" s="2675">
        <f t="shared" si="17"/>
        <v>0</v>
      </c>
      <c r="BC71" s="2675">
        <f t="shared" si="18"/>
        <v>0</v>
      </c>
      <c r="BD71" s="2675">
        <f t="shared" si="19"/>
        <v>0</v>
      </c>
      <c r="BE71" s="2675">
        <f t="shared" si="20"/>
        <v>0</v>
      </c>
      <c r="BF71" s="2675">
        <f t="shared" si="21"/>
        <v>0</v>
      </c>
      <c r="BG71" s="2675">
        <f t="shared" si="22"/>
        <v>0</v>
      </c>
      <c r="BH71" s="2675">
        <f t="shared" si="23"/>
        <v>0</v>
      </c>
      <c r="BI71" s="2675">
        <f t="shared" si="24"/>
        <v>0</v>
      </c>
      <c r="BJ71" s="2675">
        <f t="shared" si="25"/>
        <v>0</v>
      </c>
      <c r="BK71" s="2675">
        <f t="shared" si="26"/>
        <v>0</v>
      </c>
      <c r="BL71" s="2675">
        <f t="shared" si="27"/>
        <v>0</v>
      </c>
      <c r="BM71" s="2675">
        <f t="shared" si="28"/>
        <v>0</v>
      </c>
      <c r="BN71" s="2675">
        <f t="shared" si="29"/>
        <v>0</v>
      </c>
      <c r="BO71" s="2675">
        <f t="shared" si="30"/>
        <v>0</v>
      </c>
      <c r="BP71" s="2675">
        <f t="shared" si="31"/>
        <v>0</v>
      </c>
      <c r="BQ71" s="2675">
        <f t="shared" si="32"/>
        <v>0</v>
      </c>
      <c r="BR71" s="2675">
        <f t="shared" si="33"/>
        <v>0</v>
      </c>
      <c r="BS71" s="2675">
        <f t="shared" si="34"/>
        <v>0</v>
      </c>
      <c r="BT71" s="2722">
        <f t="shared" si="35"/>
        <v>0</v>
      </c>
    </row>
    <row r="72" spans="1:72">
      <c r="A72" s="2673"/>
      <c r="B72" s="2674"/>
      <c r="C72" s="2674"/>
      <c r="D72" s="2277"/>
      <c r="E72" s="2675">
        <f t="shared" si="7"/>
        <v>0</v>
      </c>
      <c r="F72" s="2676"/>
      <c r="G72" s="2677">
        <f t="shared" si="8"/>
        <v>0</v>
      </c>
      <c r="H72" s="2678">
        <f t="shared" si="9"/>
        <v>0</v>
      </c>
      <c r="I72" s="2685"/>
      <c r="J72" s="2685"/>
      <c r="K72" s="2685"/>
      <c r="L72" s="2685"/>
      <c r="M72" s="2685"/>
      <c r="N72" s="2685"/>
      <c r="O72" s="2685"/>
      <c r="P72" s="2685"/>
      <c r="Q72" s="2685"/>
      <c r="R72" s="2685"/>
      <c r="S72" s="2685"/>
      <c r="T72" s="2685"/>
      <c r="U72" s="2685"/>
      <c r="V72" s="2685"/>
      <c r="W72" s="2685"/>
      <c r="X72" s="2685"/>
      <c r="Y72" s="2685"/>
      <c r="Z72" s="2685"/>
      <c r="AA72" s="2685"/>
      <c r="AB72" s="2685"/>
      <c r="AC72" s="2675">
        <f t="shared" si="10"/>
        <v>0</v>
      </c>
      <c r="AD72" s="2695"/>
      <c r="AE72" s="2695"/>
      <c r="AF72" s="2695"/>
      <c r="AG72" s="2695"/>
      <c r="AH72" s="2695"/>
      <c r="AI72" s="2695"/>
      <c r="AJ72" s="2695"/>
      <c r="AK72" s="2695"/>
      <c r="AL72" s="2695"/>
      <c r="AM72" s="2695"/>
      <c r="AN72" s="2695"/>
      <c r="AO72" s="2695"/>
      <c r="AP72" s="2695"/>
      <c r="AQ72" s="2695"/>
      <c r="AR72" s="2695"/>
      <c r="AS72" s="2695"/>
      <c r="AT72" s="2703"/>
      <c r="AU72" s="2704"/>
      <c r="AV72" s="1074">
        <f t="shared" si="11"/>
        <v>0</v>
      </c>
      <c r="AW72" s="1074">
        <f t="shared" si="12"/>
        <v>0</v>
      </c>
      <c r="AX72" s="1074">
        <f t="shared" si="13"/>
        <v>0</v>
      </c>
      <c r="AY72" s="2279">
        <f t="shared" si="14"/>
        <v>0</v>
      </c>
      <c r="AZ72" s="2675">
        <f t="shared" si="15"/>
        <v>0</v>
      </c>
      <c r="BA72" s="2675">
        <f t="shared" si="16"/>
        <v>0</v>
      </c>
      <c r="BB72" s="2675">
        <f t="shared" si="17"/>
        <v>0</v>
      </c>
      <c r="BC72" s="2675">
        <f t="shared" si="18"/>
        <v>0</v>
      </c>
      <c r="BD72" s="2675">
        <f t="shared" si="19"/>
        <v>0</v>
      </c>
      <c r="BE72" s="2675">
        <f t="shared" si="20"/>
        <v>0</v>
      </c>
      <c r="BF72" s="2675">
        <f t="shared" si="21"/>
        <v>0</v>
      </c>
      <c r="BG72" s="2675">
        <f t="shared" si="22"/>
        <v>0</v>
      </c>
      <c r="BH72" s="2675">
        <f t="shared" si="23"/>
        <v>0</v>
      </c>
      <c r="BI72" s="2675">
        <f t="shared" si="24"/>
        <v>0</v>
      </c>
      <c r="BJ72" s="2675">
        <f t="shared" si="25"/>
        <v>0</v>
      </c>
      <c r="BK72" s="2675">
        <f t="shared" si="26"/>
        <v>0</v>
      </c>
      <c r="BL72" s="2675">
        <f t="shared" si="27"/>
        <v>0</v>
      </c>
      <c r="BM72" s="2675">
        <f t="shared" si="28"/>
        <v>0</v>
      </c>
      <c r="BN72" s="2675">
        <f t="shared" si="29"/>
        <v>0</v>
      </c>
      <c r="BO72" s="2675">
        <f t="shared" si="30"/>
        <v>0</v>
      </c>
      <c r="BP72" s="2675">
        <f t="shared" si="31"/>
        <v>0</v>
      </c>
      <c r="BQ72" s="2675">
        <f t="shared" si="32"/>
        <v>0</v>
      </c>
      <c r="BR72" s="2675">
        <f t="shared" si="33"/>
        <v>0</v>
      </c>
      <c r="BS72" s="2675">
        <f t="shared" si="34"/>
        <v>0</v>
      </c>
      <c r="BT72" s="2722">
        <f t="shared" si="35"/>
        <v>0</v>
      </c>
    </row>
    <row r="73" spans="1:72">
      <c r="A73" s="2673"/>
      <c r="B73" s="2674"/>
      <c r="C73" s="2674"/>
      <c r="D73" s="2277"/>
      <c r="E73" s="2675">
        <f t="shared" si="7"/>
        <v>0</v>
      </c>
      <c r="F73" s="2676"/>
      <c r="G73" s="2677">
        <f t="shared" si="8"/>
        <v>0</v>
      </c>
      <c r="H73" s="2678">
        <f t="shared" si="9"/>
        <v>0</v>
      </c>
      <c r="I73" s="2685"/>
      <c r="J73" s="2685"/>
      <c r="K73" s="2685"/>
      <c r="L73" s="2685"/>
      <c r="M73" s="2685"/>
      <c r="N73" s="2685"/>
      <c r="O73" s="2685"/>
      <c r="P73" s="2685"/>
      <c r="Q73" s="2685"/>
      <c r="R73" s="2685"/>
      <c r="S73" s="2685"/>
      <c r="T73" s="2685"/>
      <c r="U73" s="2685"/>
      <c r="V73" s="2685"/>
      <c r="W73" s="2685"/>
      <c r="X73" s="2685"/>
      <c r="Y73" s="2685"/>
      <c r="Z73" s="2685"/>
      <c r="AA73" s="2685"/>
      <c r="AB73" s="2685"/>
      <c r="AC73" s="2675">
        <f t="shared" si="10"/>
        <v>0</v>
      </c>
      <c r="AD73" s="2695"/>
      <c r="AE73" s="2695"/>
      <c r="AF73" s="2695"/>
      <c r="AG73" s="2695"/>
      <c r="AH73" s="2695"/>
      <c r="AI73" s="2695"/>
      <c r="AJ73" s="2695"/>
      <c r="AK73" s="2695"/>
      <c r="AL73" s="2695"/>
      <c r="AM73" s="2695"/>
      <c r="AN73" s="2695"/>
      <c r="AO73" s="2695"/>
      <c r="AP73" s="2695"/>
      <c r="AQ73" s="2695"/>
      <c r="AR73" s="2695"/>
      <c r="AS73" s="2695"/>
      <c r="AT73" s="2703"/>
      <c r="AU73" s="2704"/>
      <c r="AV73" s="1074">
        <f t="shared" si="11"/>
        <v>0</v>
      </c>
      <c r="AW73" s="1074">
        <f t="shared" si="12"/>
        <v>0</v>
      </c>
      <c r="AX73" s="1074">
        <f t="shared" si="13"/>
        <v>0</v>
      </c>
      <c r="AY73" s="2279">
        <f t="shared" si="14"/>
        <v>0</v>
      </c>
      <c r="AZ73" s="2675">
        <f t="shared" si="15"/>
        <v>0</v>
      </c>
      <c r="BA73" s="2675">
        <f t="shared" si="16"/>
        <v>0</v>
      </c>
      <c r="BB73" s="2675">
        <f t="shared" si="17"/>
        <v>0</v>
      </c>
      <c r="BC73" s="2675">
        <f t="shared" si="18"/>
        <v>0</v>
      </c>
      <c r="BD73" s="2675">
        <f t="shared" si="19"/>
        <v>0</v>
      </c>
      <c r="BE73" s="2675">
        <f t="shared" si="20"/>
        <v>0</v>
      </c>
      <c r="BF73" s="2675">
        <f t="shared" si="21"/>
        <v>0</v>
      </c>
      <c r="BG73" s="2675">
        <f t="shared" si="22"/>
        <v>0</v>
      </c>
      <c r="BH73" s="2675">
        <f t="shared" si="23"/>
        <v>0</v>
      </c>
      <c r="BI73" s="2675">
        <f t="shared" si="24"/>
        <v>0</v>
      </c>
      <c r="BJ73" s="2675">
        <f t="shared" si="25"/>
        <v>0</v>
      </c>
      <c r="BK73" s="2675">
        <f t="shared" si="26"/>
        <v>0</v>
      </c>
      <c r="BL73" s="2675">
        <f t="shared" si="27"/>
        <v>0</v>
      </c>
      <c r="BM73" s="2675">
        <f t="shared" si="28"/>
        <v>0</v>
      </c>
      <c r="BN73" s="2675">
        <f t="shared" si="29"/>
        <v>0</v>
      </c>
      <c r="BO73" s="2675">
        <f t="shared" si="30"/>
        <v>0</v>
      </c>
      <c r="BP73" s="2675">
        <f t="shared" si="31"/>
        <v>0</v>
      </c>
      <c r="BQ73" s="2675">
        <f t="shared" si="32"/>
        <v>0</v>
      </c>
      <c r="BR73" s="2675">
        <f t="shared" si="33"/>
        <v>0</v>
      </c>
      <c r="BS73" s="2675">
        <f t="shared" si="34"/>
        <v>0</v>
      </c>
      <c r="BT73" s="2722">
        <f t="shared" si="35"/>
        <v>0</v>
      </c>
    </row>
    <row r="74" spans="1:72">
      <c r="A74" s="2673"/>
      <c r="B74" s="2674"/>
      <c r="C74" s="2674"/>
      <c r="D74" s="2277"/>
      <c r="E74" s="2675">
        <f t="shared" si="7"/>
        <v>0</v>
      </c>
      <c r="F74" s="2676"/>
      <c r="G74" s="2677">
        <f t="shared" si="8"/>
        <v>0</v>
      </c>
      <c r="H74" s="2678">
        <f t="shared" si="9"/>
        <v>0</v>
      </c>
      <c r="I74" s="2685"/>
      <c r="J74" s="2685"/>
      <c r="K74" s="2685"/>
      <c r="L74" s="2685"/>
      <c r="M74" s="2685"/>
      <c r="N74" s="2685"/>
      <c r="O74" s="2685"/>
      <c r="P74" s="2685"/>
      <c r="Q74" s="2685"/>
      <c r="R74" s="2685"/>
      <c r="S74" s="2685"/>
      <c r="T74" s="2685"/>
      <c r="U74" s="2685"/>
      <c r="V74" s="2685"/>
      <c r="W74" s="2685"/>
      <c r="X74" s="2685"/>
      <c r="Y74" s="2685"/>
      <c r="Z74" s="2685"/>
      <c r="AA74" s="2685"/>
      <c r="AB74" s="2685"/>
      <c r="AC74" s="2675">
        <f t="shared" si="10"/>
        <v>0</v>
      </c>
      <c r="AD74" s="2695"/>
      <c r="AE74" s="2695"/>
      <c r="AF74" s="2695"/>
      <c r="AG74" s="2695"/>
      <c r="AH74" s="2695"/>
      <c r="AI74" s="2695"/>
      <c r="AJ74" s="2695"/>
      <c r="AK74" s="2695"/>
      <c r="AL74" s="2695"/>
      <c r="AM74" s="2695"/>
      <c r="AN74" s="2695"/>
      <c r="AO74" s="2695"/>
      <c r="AP74" s="2695"/>
      <c r="AQ74" s="2695"/>
      <c r="AR74" s="2695"/>
      <c r="AS74" s="2695"/>
      <c r="AT74" s="2703"/>
      <c r="AU74" s="2704"/>
      <c r="AV74" s="1074">
        <f t="shared" si="11"/>
        <v>0</v>
      </c>
      <c r="AW74" s="1074">
        <f t="shared" si="12"/>
        <v>0</v>
      </c>
      <c r="AX74" s="1074">
        <f t="shared" si="13"/>
        <v>0</v>
      </c>
      <c r="AY74" s="2279">
        <f t="shared" si="14"/>
        <v>0</v>
      </c>
      <c r="AZ74" s="2675">
        <f t="shared" si="15"/>
        <v>0</v>
      </c>
      <c r="BA74" s="2675">
        <f t="shared" si="16"/>
        <v>0</v>
      </c>
      <c r="BB74" s="2675">
        <f t="shared" si="17"/>
        <v>0</v>
      </c>
      <c r="BC74" s="2675">
        <f t="shared" si="18"/>
        <v>0</v>
      </c>
      <c r="BD74" s="2675">
        <f t="shared" si="19"/>
        <v>0</v>
      </c>
      <c r="BE74" s="2675">
        <f t="shared" si="20"/>
        <v>0</v>
      </c>
      <c r="BF74" s="2675">
        <f t="shared" si="21"/>
        <v>0</v>
      </c>
      <c r="BG74" s="2675">
        <f t="shared" si="22"/>
        <v>0</v>
      </c>
      <c r="BH74" s="2675">
        <f t="shared" si="23"/>
        <v>0</v>
      </c>
      <c r="BI74" s="2675">
        <f t="shared" si="24"/>
        <v>0</v>
      </c>
      <c r="BJ74" s="2675">
        <f t="shared" si="25"/>
        <v>0</v>
      </c>
      <c r="BK74" s="2675">
        <f t="shared" si="26"/>
        <v>0</v>
      </c>
      <c r="BL74" s="2675">
        <f t="shared" si="27"/>
        <v>0</v>
      </c>
      <c r="BM74" s="2675">
        <f t="shared" si="28"/>
        <v>0</v>
      </c>
      <c r="BN74" s="2675">
        <f t="shared" si="29"/>
        <v>0</v>
      </c>
      <c r="BO74" s="2675">
        <f t="shared" si="30"/>
        <v>0</v>
      </c>
      <c r="BP74" s="2675">
        <f t="shared" si="31"/>
        <v>0</v>
      </c>
      <c r="BQ74" s="2675">
        <f t="shared" si="32"/>
        <v>0</v>
      </c>
      <c r="BR74" s="2675">
        <f t="shared" si="33"/>
        <v>0</v>
      </c>
      <c r="BS74" s="2675">
        <f t="shared" si="34"/>
        <v>0</v>
      </c>
      <c r="BT74" s="2722">
        <f t="shared" si="35"/>
        <v>0</v>
      </c>
    </row>
    <row r="75" spans="1:72">
      <c r="A75" s="2673"/>
      <c r="B75" s="2674"/>
      <c r="C75" s="2674"/>
      <c r="D75" s="2277"/>
      <c r="E75" s="2675">
        <f t="shared" si="7"/>
        <v>0</v>
      </c>
      <c r="F75" s="2676"/>
      <c r="G75" s="2677">
        <f t="shared" si="8"/>
        <v>0</v>
      </c>
      <c r="H75" s="2678">
        <f t="shared" si="9"/>
        <v>0</v>
      </c>
      <c r="I75" s="2685"/>
      <c r="J75" s="2685"/>
      <c r="K75" s="2685"/>
      <c r="L75" s="2685"/>
      <c r="M75" s="2685"/>
      <c r="N75" s="2685"/>
      <c r="O75" s="2685"/>
      <c r="P75" s="2685"/>
      <c r="Q75" s="2685"/>
      <c r="R75" s="2685"/>
      <c r="S75" s="2685"/>
      <c r="T75" s="2685"/>
      <c r="U75" s="2685"/>
      <c r="V75" s="2685"/>
      <c r="W75" s="2685"/>
      <c r="X75" s="2685"/>
      <c r="Y75" s="2685"/>
      <c r="Z75" s="2685"/>
      <c r="AA75" s="2685"/>
      <c r="AB75" s="2685"/>
      <c r="AC75" s="2675">
        <f t="shared" si="10"/>
        <v>0</v>
      </c>
      <c r="AD75" s="2695"/>
      <c r="AE75" s="2695"/>
      <c r="AF75" s="2695"/>
      <c r="AG75" s="2695"/>
      <c r="AH75" s="2695"/>
      <c r="AI75" s="2695"/>
      <c r="AJ75" s="2695"/>
      <c r="AK75" s="2695"/>
      <c r="AL75" s="2695"/>
      <c r="AM75" s="2695"/>
      <c r="AN75" s="2695"/>
      <c r="AO75" s="2695"/>
      <c r="AP75" s="2695"/>
      <c r="AQ75" s="2695"/>
      <c r="AR75" s="2695"/>
      <c r="AS75" s="2695"/>
      <c r="AT75" s="2703"/>
      <c r="AU75" s="2704"/>
      <c r="AV75" s="1074">
        <f t="shared" si="11"/>
        <v>0</v>
      </c>
      <c r="AW75" s="1074">
        <f t="shared" si="12"/>
        <v>0</v>
      </c>
      <c r="AX75" s="1074">
        <f t="shared" si="13"/>
        <v>0</v>
      </c>
      <c r="AY75" s="2279">
        <f t="shared" si="14"/>
        <v>0</v>
      </c>
      <c r="AZ75" s="2675">
        <f t="shared" si="15"/>
        <v>0</v>
      </c>
      <c r="BA75" s="2675">
        <f t="shared" si="16"/>
        <v>0</v>
      </c>
      <c r="BB75" s="2675">
        <f t="shared" si="17"/>
        <v>0</v>
      </c>
      <c r="BC75" s="2675">
        <f t="shared" si="18"/>
        <v>0</v>
      </c>
      <c r="BD75" s="2675">
        <f t="shared" si="19"/>
        <v>0</v>
      </c>
      <c r="BE75" s="2675">
        <f t="shared" si="20"/>
        <v>0</v>
      </c>
      <c r="BF75" s="2675">
        <f t="shared" si="21"/>
        <v>0</v>
      </c>
      <c r="BG75" s="2675">
        <f t="shared" si="22"/>
        <v>0</v>
      </c>
      <c r="BH75" s="2675">
        <f t="shared" si="23"/>
        <v>0</v>
      </c>
      <c r="BI75" s="2675">
        <f t="shared" si="24"/>
        <v>0</v>
      </c>
      <c r="BJ75" s="2675">
        <f t="shared" si="25"/>
        <v>0</v>
      </c>
      <c r="BK75" s="2675">
        <f t="shared" si="26"/>
        <v>0</v>
      </c>
      <c r="BL75" s="2675">
        <f t="shared" si="27"/>
        <v>0</v>
      </c>
      <c r="BM75" s="2675">
        <f t="shared" si="28"/>
        <v>0</v>
      </c>
      <c r="BN75" s="2675">
        <f t="shared" si="29"/>
        <v>0</v>
      </c>
      <c r="BO75" s="2675">
        <f t="shared" si="30"/>
        <v>0</v>
      </c>
      <c r="BP75" s="2675">
        <f t="shared" si="31"/>
        <v>0</v>
      </c>
      <c r="BQ75" s="2675">
        <f t="shared" si="32"/>
        <v>0</v>
      </c>
      <c r="BR75" s="2675">
        <f t="shared" si="33"/>
        <v>0</v>
      </c>
      <c r="BS75" s="2675">
        <f t="shared" si="34"/>
        <v>0</v>
      </c>
      <c r="BT75" s="2722">
        <f t="shared" si="35"/>
        <v>0</v>
      </c>
    </row>
    <row r="76" spans="1:72">
      <c r="A76" s="2673"/>
      <c r="B76" s="2674"/>
      <c r="C76" s="2674"/>
      <c r="D76" s="2277"/>
      <c r="E76" s="2675">
        <f t="shared" si="7"/>
        <v>0</v>
      </c>
      <c r="F76" s="2676"/>
      <c r="G76" s="2677">
        <f t="shared" si="8"/>
        <v>0</v>
      </c>
      <c r="H76" s="2678">
        <f t="shared" si="9"/>
        <v>0</v>
      </c>
      <c r="I76" s="2685"/>
      <c r="J76" s="2685"/>
      <c r="K76" s="2685"/>
      <c r="L76" s="2685"/>
      <c r="M76" s="2685"/>
      <c r="N76" s="2685"/>
      <c r="O76" s="2685"/>
      <c r="P76" s="2685"/>
      <c r="Q76" s="2685"/>
      <c r="R76" s="2685"/>
      <c r="S76" s="2685"/>
      <c r="T76" s="2685"/>
      <c r="U76" s="2685"/>
      <c r="V76" s="2685"/>
      <c r="W76" s="2685"/>
      <c r="X76" s="2685"/>
      <c r="Y76" s="2685"/>
      <c r="Z76" s="2685"/>
      <c r="AA76" s="2685"/>
      <c r="AB76" s="2685"/>
      <c r="AC76" s="2675">
        <f t="shared" si="10"/>
        <v>0</v>
      </c>
      <c r="AD76" s="2695"/>
      <c r="AE76" s="2695"/>
      <c r="AF76" s="2695"/>
      <c r="AG76" s="2695"/>
      <c r="AH76" s="2695"/>
      <c r="AI76" s="2695"/>
      <c r="AJ76" s="2695"/>
      <c r="AK76" s="2695"/>
      <c r="AL76" s="2695"/>
      <c r="AM76" s="2695"/>
      <c r="AN76" s="2695"/>
      <c r="AO76" s="2695"/>
      <c r="AP76" s="2695"/>
      <c r="AQ76" s="2695"/>
      <c r="AR76" s="2695"/>
      <c r="AS76" s="2695"/>
      <c r="AT76" s="2703"/>
      <c r="AU76" s="2704"/>
      <c r="AV76" s="1074">
        <f t="shared" si="11"/>
        <v>0</v>
      </c>
      <c r="AW76" s="1074">
        <f t="shared" si="12"/>
        <v>0</v>
      </c>
      <c r="AX76" s="1074">
        <f t="shared" si="13"/>
        <v>0</v>
      </c>
      <c r="AY76" s="2279">
        <f t="shared" si="14"/>
        <v>0</v>
      </c>
      <c r="AZ76" s="2675">
        <f t="shared" si="15"/>
        <v>0</v>
      </c>
      <c r="BA76" s="2675">
        <f t="shared" si="16"/>
        <v>0</v>
      </c>
      <c r="BB76" s="2675">
        <f t="shared" si="17"/>
        <v>0</v>
      </c>
      <c r="BC76" s="2675">
        <f t="shared" si="18"/>
        <v>0</v>
      </c>
      <c r="BD76" s="2675">
        <f t="shared" si="19"/>
        <v>0</v>
      </c>
      <c r="BE76" s="2675">
        <f t="shared" si="20"/>
        <v>0</v>
      </c>
      <c r="BF76" s="2675">
        <f t="shared" si="21"/>
        <v>0</v>
      </c>
      <c r="BG76" s="2675">
        <f t="shared" si="22"/>
        <v>0</v>
      </c>
      <c r="BH76" s="2675">
        <f t="shared" si="23"/>
        <v>0</v>
      </c>
      <c r="BI76" s="2675">
        <f t="shared" si="24"/>
        <v>0</v>
      </c>
      <c r="BJ76" s="2675">
        <f t="shared" si="25"/>
        <v>0</v>
      </c>
      <c r="BK76" s="2675">
        <f t="shared" si="26"/>
        <v>0</v>
      </c>
      <c r="BL76" s="2675">
        <f t="shared" si="27"/>
        <v>0</v>
      </c>
      <c r="BM76" s="2675">
        <f t="shared" si="28"/>
        <v>0</v>
      </c>
      <c r="BN76" s="2675">
        <f t="shared" si="29"/>
        <v>0</v>
      </c>
      <c r="BO76" s="2675">
        <f t="shared" si="30"/>
        <v>0</v>
      </c>
      <c r="BP76" s="2675">
        <f t="shared" si="31"/>
        <v>0</v>
      </c>
      <c r="BQ76" s="2675">
        <f t="shared" si="32"/>
        <v>0</v>
      </c>
      <c r="BR76" s="2675">
        <f t="shared" si="33"/>
        <v>0</v>
      </c>
      <c r="BS76" s="2675">
        <f t="shared" si="34"/>
        <v>0</v>
      </c>
      <c r="BT76" s="2722">
        <f t="shared" si="35"/>
        <v>0</v>
      </c>
    </row>
    <row r="77" spans="1:72">
      <c r="A77" s="2673"/>
      <c r="B77" s="2674"/>
      <c r="C77" s="2674"/>
      <c r="D77" s="2277"/>
      <c r="E77" s="2675">
        <f t="shared" si="7"/>
        <v>0</v>
      </c>
      <c r="F77" s="2676"/>
      <c r="G77" s="2677">
        <f t="shared" si="8"/>
        <v>0</v>
      </c>
      <c r="H77" s="2678">
        <f t="shared" si="9"/>
        <v>0</v>
      </c>
      <c r="I77" s="2685"/>
      <c r="J77" s="2685"/>
      <c r="K77" s="2685"/>
      <c r="L77" s="2685"/>
      <c r="M77" s="2685"/>
      <c r="N77" s="2685"/>
      <c r="O77" s="2685"/>
      <c r="P77" s="2685"/>
      <c r="Q77" s="2685"/>
      <c r="R77" s="2685"/>
      <c r="S77" s="2685"/>
      <c r="T77" s="2685"/>
      <c r="U77" s="2685"/>
      <c r="V77" s="2685"/>
      <c r="W77" s="2685"/>
      <c r="X77" s="2685"/>
      <c r="Y77" s="2685"/>
      <c r="Z77" s="2685"/>
      <c r="AA77" s="2685"/>
      <c r="AB77" s="2685"/>
      <c r="AC77" s="2675">
        <f t="shared" si="10"/>
        <v>0</v>
      </c>
      <c r="AD77" s="2695"/>
      <c r="AE77" s="2695"/>
      <c r="AF77" s="2695"/>
      <c r="AG77" s="2695"/>
      <c r="AH77" s="2695"/>
      <c r="AI77" s="2695"/>
      <c r="AJ77" s="2695"/>
      <c r="AK77" s="2695"/>
      <c r="AL77" s="2695"/>
      <c r="AM77" s="2695"/>
      <c r="AN77" s="2695"/>
      <c r="AO77" s="2695"/>
      <c r="AP77" s="2695"/>
      <c r="AQ77" s="2695"/>
      <c r="AR77" s="2695"/>
      <c r="AS77" s="2695"/>
      <c r="AT77" s="2703"/>
      <c r="AU77" s="2704"/>
      <c r="AV77" s="1074">
        <f t="shared" si="11"/>
        <v>0</v>
      </c>
      <c r="AW77" s="1074">
        <f t="shared" si="12"/>
        <v>0</v>
      </c>
      <c r="AX77" s="1074">
        <f t="shared" si="13"/>
        <v>0</v>
      </c>
      <c r="AY77" s="2279">
        <f t="shared" si="14"/>
        <v>0</v>
      </c>
      <c r="AZ77" s="2675">
        <f t="shared" si="15"/>
        <v>0</v>
      </c>
      <c r="BA77" s="2675">
        <f t="shared" si="16"/>
        <v>0</v>
      </c>
      <c r="BB77" s="2675">
        <f t="shared" si="17"/>
        <v>0</v>
      </c>
      <c r="BC77" s="2675">
        <f t="shared" si="18"/>
        <v>0</v>
      </c>
      <c r="BD77" s="2675">
        <f t="shared" si="19"/>
        <v>0</v>
      </c>
      <c r="BE77" s="2675">
        <f t="shared" si="20"/>
        <v>0</v>
      </c>
      <c r="BF77" s="2675">
        <f t="shared" si="21"/>
        <v>0</v>
      </c>
      <c r="BG77" s="2675">
        <f t="shared" si="22"/>
        <v>0</v>
      </c>
      <c r="BH77" s="2675">
        <f t="shared" si="23"/>
        <v>0</v>
      </c>
      <c r="BI77" s="2675">
        <f t="shared" si="24"/>
        <v>0</v>
      </c>
      <c r="BJ77" s="2675">
        <f t="shared" si="25"/>
        <v>0</v>
      </c>
      <c r="BK77" s="2675">
        <f t="shared" si="26"/>
        <v>0</v>
      </c>
      <c r="BL77" s="2675">
        <f t="shared" si="27"/>
        <v>0</v>
      </c>
      <c r="BM77" s="2675">
        <f t="shared" si="28"/>
        <v>0</v>
      </c>
      <c r="BN77" s="2675">
        <f t="shared" si="29"/>
        <v>0</v>
      </c>
      <c r="BO77" s="2675">
        <f t="shared" si="30"/>
        <v>0</v>
      </c>
      <c r="BP77" s="2675">
        <f t="shared" si="31"/>
        <v>0</v>
      </c>
      <c r="BQ77" s="2675">
        <f t="shared" si="32"/>
        <v>0</v>
      </c>
      <c r="BR77" s="2675">
        <f t="shared" si="33"/>
        <v>0</v>
      </c>
      <c r="BS77" s="2675">
        <f t="shared" si="34"/>
        <v>0</v>
      </c>
      <c r="BT77" s="2722">
        <f t="shared" si="35"/>
        <v>0</v>
      </c>
    </row>
    <row r="78" spans="1:72">
      <c r="A78" s="2673"/>
      <c r="B78" s="2674"/>
      <c r="C78" s="2674"/>
      <c r="D78" s="2277"/>
      <c r="E78" s="2675">
        <f t="shared" si="7"/>
        <v>0</v>
      </c>
      <c r="F78" s="2676"/>
      <c r="G78" s="2677">
        <f t="shared" si="8"/>
        <v>0</v>
      </c>
      <c r="H78" s="2678">
        <f t="shared" si="9"/>
        <v>0</v>
      </c>
      <c r="I78" s="2685"/>
      <c r="J78" s="2685"/>
      <c r="K78" s="2685"/>
      <c r="L78" s="2685"/>
      <c r="M78" s="2685"/>
      <c r="N78" s="2685"/>
      <c r="O78" s="2685"/>
      <c r="P78" s="2685"/>
      <c r="Q78" s="2685"/>
      <c r="R78" s="2685"/>
      <c r="S78" s="2685"/>
      <c r="T78" s="2685"/>
      <c r="U78" s="2685"/>
      <c r="V78" s="2685"/>
      <c r="W78" s="2685"/>
      <c r="X78" s="2685"/>
      <c r="Y78" s="2685"/>
      <c r="Z78" s="2685"/>
      <c r="AA78" s="2685"/>
      <c r="AB78" s="2685"/>
      <c r="AC78" s="2675">
        <f t="shared" si="10"/>
        <v>0</v>
      </c>
      <c r="AD78" s="2695"/>
      <c r="AE78" s="2695"/>
      <c r="AF78" s="2695"/>
      <c r="AG78" s="2695"/>
      <c r="AH78" s="2695"/>
      <c r="AI78" s="2695"/>
      <c r="AJ78" s="2695"/>
      <c r="AK78" s="2695"/>
      <c r="AL78" s="2695"/>
      <c r="AM78" s="2695"/>
      <c r="AN78" s="2695"/>
      <c r="AO78" s="2695"/>
      <c r="AP78" s="2695"/>
      <c r="AQ78" s="2695"/>
      <c r="AR78" s="2695"/>
      <c r="AS78" s="2695"/>
      <c r="AT78" s="2703"/>
      <c r="AU78" s="2704"/>
      <c r="AV78" s="1074">
        <f t="shared" si="11"/>
        <v>0</v>
      </c>
      <c r="AW78" s="1074">
        <f t="shared" si="12"/>
        <v>0</v>
      </c>
      <c r="AX78" s="1074">
        <f t="shared" si="13"/>
        <v>0</v>
      </c>
      <c r="AY78" s="2279">
        <f t="shared" si="14"/>
        <v>0</v>
      </c>
      <c r="AZ78" s="2675">
        <f t="shared" si="15"/>
        <v>0</v>
      </c>
      <c r="BA78" s="2675">
        <f t="shared" si="16"/>
        <v>0</v>
      </c>
      <c r="BB78" s="2675">
        <f t="shared" si="17"/>
        <v>0</v>
      </c>
      <c r="BC78" s="2675">
        <f t="shared" si="18"/>
        <v>0</v>
      </c>
      <c r="BD78" s="2675">
        <f t="shared" si="19"/>
        <v>0</v>
      </c>
      <c r="BE78" s="2675">
        <f t="shared" si="20"/>
        <v>0</v>
      </c>
      <c r="BF78" s="2675">
        <f t="shared" si="21"/>
        <v>0</v>
      </c>
      <c r="BG78" s="2675">
        <f t="shared" si="22"/>
        <v>0</v>
      </c>
      <c r="BH78" s="2675">
        <f t="shared" si="23"/>
        <v>0</v>
      </c>
      <c r="BI78" s="2675">
        <f t="shared" si="24"/>
        <v>0</v>
      </c>
      <c r="BJ78" s="2675">
        <f t="shared" si="25"/>
        <v>0</v>
      </c>
      <c r="BK78" s="2675">
        <f t="shared" si="26"/>
        <v>0</v>
      </c>
      <c r="BL78" s="2675">
        <f t="shared" si="27"/>
        <v>0</v>
      </c>
      <c r="BM78" s="2675">
        <f t="shared" si="28"/>
        <v>0</v>
      </c>
      <c r="BN78" s="2675">
        <f t="shared" si="29"/>
        <v>0</v>
      </c>
      <c r="BO78" s="2675">
        <f t="shared" si="30"/>
        <v>0</v>
      </c>
      <c r="BP78" s="2675">
        <f t="shared" si="31"/>
        <v>0</v>
      </c>
      <c r="BQ78" s="2675">
        <f t="shared" si="32"/>
        <v>0</v>
      </c>
      <c r="BR78" s="2675">
        <f t="shared" si="33"/>
        <v>0</v>
      </c>
      <c r="BS78" s="2675">
        <f t="shared" si="34"/>
        <v>0</v>
      </c>
      <c r="BT78" s="2722">
        <f t="shared" si="35"/>
        <v>0</v>
      </c>
    </row>
    <row r="79" spans="1:72">
      <c r="A79" s="2673"/>
      <c r="B79" s="2674"/>
      <c r="C79" s="2674"/>
      <c r="D79" s="2277"/>
      <c r="E79" s="2675">
        <f t="shared" si="7"/>
        <v>0</v>
      </c>
      <c r="F79" s="2676"/>
      <c r="G79" s="2677">
        <f t="shared" si="8"/>
        <v>0</v>
      </c>
      <c r="H79" s="2678">
        <f t="shared" si="9"/>
        <v>0</v>
      </c>
      <c r="I79" s="2685"/>
      <c r="J79" s="2685"/>
      <c r="K79" s="2685"/>
      <c r="L79" s="2685"/>
      <c r="M79" s="2685"/>
      <c r="N79" s="2685"/>
      <c r="O79" s="2685"/>
      <c r="P79" s="2685"/>
      <c r="Q79" s="2685"/>
      <c r="R79" s="2685"/>
      <c r="S79" s="2685"/>
      <c r="T79" s="2685"/>
      <c r="U79" s="2685"/>
      <c r="V79" s="2685"/>
      <c r="W79" s="2685"/>
      <c r="X79" s="2685"/>
      <c r="Y79" s="2685"/>
      <c r="Z79" s="2685"/>
      <c r="AA79" s="2685"/>
      <c r="AB79" s="2685"/>
      <c r="AC79" s="2675">
        <f t="shared" si="10"/>
        <v>0</v>
      </c>
      <c r="AD79" s="2695"/>
      <c r="AE79" s="2695"/>
      <c r="AF79" s="2695"/>
      <c r="AG79" s="2695"/>
      <c r="AH79" s="2695"/>
      <c r="AI79" s="2695"/>
      <c r="AJ79" s="2695"/>
      <c r="AK79" s="2695"/>
      <c r="AL79" s="2695"/>
      <c r="AM79" s="2695"/>
      <c r="AN79" s="2695"/>
      <c r="AO79" s="2695"/>
      <c r="AP79" s="2695"/>
      <c r="AQ79" s="2695"/>
      <c r="AR79" s="2695"/>
      <c r="AS79" s="2695"/>
      <c r="AT79" s="2703"/>
      <c r="AU79" s="2704"/>
      <c r="AV79" s="1074">
        <f t="shared" si="11"/>
        <v>0</v>
      </c>
      <c r="AW79" s="1074">
        <f t="shared" si="12"/>
        <v>0</v>
      </c>
      <c r="AX79" s="1074">
        <f t="shared" si="13"/>
        <v>0</v>
      </c>
      <c r="AY79" s="2279">
        <f t="shared" si="14"/>
        <v>0</v>
      </c>
      <c r="AZ79" s="2675">
        <f t="shared" si="15"/>
        <v>0</v>
      </c>
      <c r="BA79" s="2675">
        <f t="shared" si="16"/>
        <v>0</v>
      </c>
      <c r="BB79" s="2675">
        <f t="shared" si="17"/>
        <v>0</v>
      </c>
      <c r="BC79" s="2675">
        <f t="shared" si="18"/>
        <v>0</v>
      </c>
      <c r="BD79" s="2675">
        <f t="shared" si="19"/>
        <v>0</v>
      </c>
      <c r="BE79" s="2675">
        <f t="shared" si="20"/>
        <v>0</v>
      </c>
      <c r="BF79" s="2675">
        <f t="shared" si="21"/>
        <v>0</v>
      </c>
      <c r="BG79" s="2675">
        <f t="shared" si="22"/>
        <v>0</v>
      </c>
      <c r="BH79" s="2675">
        <f t="shared" si="23"/>
        <v>0</v>
      </c>
      <c r="BI79" s="2675">
        <f t="shared" si="24"/>
        <v>0</v>
      </c>
      <c r="BJ79" s="2675">
        <f t="shared" si="25"/>
        <v>0</v>
      </c>
      <c r="BK79" s="2675">
        <f t="shared" si="26"/>
        <v>0</v>
      </c>
      <c r="BL79" s="2675">
        <f t="shared" si="27"/>
        <v>0</v>
      </c>
      <c r="BM79" s="2675">
        <f t="shared" si="28"/>
        <v>0</v>
      </c>
      <c r="BN79" s="2675">
        <f t="shared" si="29"/>
        <v>0</v>
      </c>
      <c r="BO79" s="2675">
        <f t="shared" si="30"/>
        <v>0</v>
      </c>
      <c r="BP79" s="2675">
        <f t="shared" si="31"/>
        <v>0</v>
      </c>
      <c r="BQ79" s="2675">
        <f t="shared" si="32"/>
        <v>0</v>
      </c>
      <c r="BR79" s="2675">
        <f t="shared" si="33"/>
        <v>0</v>
      </c>
      <c r="BS79" s="2675">
        <f t="shared" si="34"/>
        <v>0</v>
      </c>
      <c r="BT79" s="2722">
        <f t="shared" si="35"/>
        <v>0</v>
      </c>
    </row>
    <row r="80" spans="1:72">
      <c r="A80" s="2673"/>
      <c r="B80" s="2674"/>
      <c r="C80" s="2674"/>
      <c r="D80" s="2277"/>
      <c r="E80" s="2675">
        <f t="shared" si="7"/>
        <v>0</v>
      </c>
      <c r="F80" s="2676"/>
      <c r="G80" s="2677">
        <f t="shared" si="8"/>
        <v>0</v>
      </c>
      <c r="H80" s="2678">
        <f t="shared" si="9"/>
        <v>0</v>
      </c>
      <c r="I80" s="2685"/>
      <c r="J80" s="2685"/>
      <c r="K80" s="2685"/>
      <c r="L80" s="2685"/>
      <c r="M80" s="2685"/>
      <c r="N80" s="2685"/>
      <c r="O80" s="2685"/>
      <c r="P80" s="2685"/>
      <c r="Q80" s="2685"/>
      <c r="R80" s="2685"/>
      <c r="S80" s="2685"/>
      <c r="T80" s="2685"/>
      <c r="U80" s="2685"/>
      <c r="V80" s="2685"/>
      <c r="W80" s="2685"/>
      <c r="X80" s="2685"/>
      <c r="Y80" s="2685"/>
      <c r="Z80" s="2685"/>
      <c r="AA80" s="2685"/>
      <c r="AB80" s="2685"/>
      <c r="AC80" s="2675">
        <f t="shared" si="10"/>
        <v>0</v>
      </c>
      <c r="AD80" s="2695"/>
      <c r="AE80" s="2695"/>
      <c r="AF80" s="2695"/>
      <c r="AG80" s="2695"/>
      <c r="AH80" s="2695"/>
      <c r="AI80" s="2695"/>
      <c r="AJ80" s="2695"/>
      <c r="AK80" s="2695"/>
      <c r="AL80" s="2695"/>
      <c r="AM80" s="2695"/>
      <c r="AN80" s="2695"/>
      <c r="AO80" s="2695"/>
      <c r="AP80" s="2695"/>
      <c r="AQ80" s="2695"/>
      <c r="AR80" s="2695"/>
      <c r="AS80" s="2695"/>
      <c r="AT80" s="2703"/>
      <c r="AU80" s="2704"/>
      <c r="AV80" s="1074">
        <f t="shared" si="11"/>
        <v>0</v>
      </c>
      <c r="AW80" s="1074">
        <f t="shared" si="12"/>
        <v>0</v>
      </c>
      <c r="AX80" s="1074">
        <f t="shared" si="13"/>
        <v>0</v>
      </c>
      <c r="AY80" s="2279">
        <f t="shared" si="14"/>
        <v>0</v>
      </c>
      <c r="AZ80" s="2675">
        <f t="shared" si="15"/>
        <v>0</v>
      </c>
      <c r="BA80" s="2675">
        <f t="shared" si="16"/>
        <v>0</v>
      </c>
      <c r="BB80" s="2675">
        <f t="shared" si="17"/>
        <v>0</v>
      </c>
      <c r="BC80" s="2675">
        <f t="shared" si="18"/>
        <v>0</v>
      </c>
      <c r="BD80" s="2675">
        <f t="shared" si="19"/>
        <v>0</v>
      </c>
      <c r="BE80" s="2675">
        <f t="shared" si="20"/>
        <v>0</v>
      </c>
      <c r="BF80" s="2675">
        <f t="shared" si="21"/>
        <v>0</v>
      </c>
      <c r="BG80" s="2675">
        <f t="shared" si="22"/>
        <v>0</v>
      </c>
      <c r="BH80" s="2675">
        <f t="shared" si="23"/>
        <v>0</v>
      </c>
      <c r="BI80" s="2675">
        <f t="shared" si="24"/>
        <v>0</v>
      </c>
      <c r="BJ80" s="2675">
        <f t="shared" si="25"/>
        <v>0</v>
      </c>
      <c r="BK80" s="2675">
        <f t="shared" si="26"/>
        <v>0</v>
      </c>
      <c r="BL80" s="2675">
        <f t="shared" si="27"/>
        <v>0</v>
      </c>
      <c r="BM80" s="2675">
        <f t="shared" si="28"/>
        <v>0</v>
      </c>
      <c r="BN80" s="2675">
        <f t="shared" si="29"/>
        <v>0</v>
      </c>
      <c r="BO80" s="2675">
        <f t="shared" si="30"/>
        <v>0</v>
      </c>
      <c r="BP80" s="2675">
        <f t="shared" si="31"/>
        <v>0</v>
      </c>
      <c r="BQ80" s="2675">
        <f t="shared" si="32"/>
        <v>0</v>
      </c>
      <c r="BR80" s="2675">
        <f t="shared" si="33"/>
        <v>0</v>
      </c>
      <c r="BS80" s="2675">
        <f t="shared" si="34"/>
        <v>0</v>
      </c>
      <c r="BT80" s="2722">
        <f t="shared" si="35"/>
        <v>0</v>
      </c>
    </row>
    <row r="81" spans="1:72">
      <c r="A81" s="2673"/>
      <c r="B81" s="2674"/>
      <c r="C81" s="2674"/>
      <c r="D81" s="2277"/>
      <c r="E81" s="2675">
        <f t="shared" si="7"/>
        <v>0</v>
      </c>
      <c r="F81" s="2676"/>
      <c r="G81" s="2677">
        <f t="shared" si="8"/>
        <v>0</v>
      </c>
      <c r="H81" s="2678">
        <f t="shared" si="9"/>
        <v>0</v>
      </c>
      <c r="I81" s="2685"/>
      <c r="J81" s="2685"/>
      <c r="K81" s="2685"/>
      <c r="L81" s="2685"/>
      <c r="M81" s="2685"/>
      <c r="N81" s="2685"/>
      <c r="O81" s="2685"/>
      <c r="P81" s="2685"/>
      <c r="Q81" s="2685"/>
      <c r="R81" s="2685"/>
      <c r="S81" s="2685"/>
      <c r="T81" s="2685"/>
      <c r="U81" s="2685"/>
      <c r="V81" s="2685"/>
      <c r="W81" s="2685"/>
      <c r="X81" s="2685"/>
      <c r="Y81" s="2685"/>
      <c r="Z81" s="2685"/>
      <c r="AA81" s="2685"/>
      <c r="AB81" s="2685"/>
      <c r="AC81" s="2675">
        <f t="shared" si="10"/>
        <v>0</v>
      </c>
      <c r="AD81" s="2695"/>
      <c r="AE81" s="2695"/>
      <c r="AF81" s="2695"/>
      <c r="AG81" s="2695"/>
      <c r="AH81" s="2695"/>
      <c r="AI81" s="2695"/>
      <c r="AJ81" s="2695"/>
      <c r="AK81" s="2695"/>
      <c r="AL81" s="2695"/>
      <c r="AM81" s="2695"/>
      <c r="AN81" s="2695"/>
      <c r="AO81" s="2695"/>
      <c r="AP81" s="2695"/>
      <c r="AQ81" s="2695"/>
      <c r="AR81" s="2695"/>
      <c r="AS81" s="2695"/>
      <c r="AT81" s="2703"/>
      <c r="AU81" s="2704"/>
      <c r="AV81" s="1074">
        <f t="shared" si="11"/>
        <v>0</v>
      </c>
      <c r="AW81" s="1074">
        <f t="shared" si="12"/>
        <v>0</v>
      </c>
      <c r="AX81" s="1074">
        <f t="shared" si="13"/>
        <v>0</v>
      </c>
      <c r="AY81" s="2279">
        <f t="shared" si="14"/>
        <v>0</v>
      </c>
      <c r="AZ81" s="2675">
        <f t="shared" si="15"/>
        <v>0</v>
      </c>
      <c r="BA81" s="2675">
        <f t="shared" si="16"/>
        <v>0</v>
      </c>
      <c r="BB81" s="2675">
        <f t="shared" si="17"/>
        <v>0</v>
      </c>
      <c r="BC81" s="2675">
        <f t="shared" si="18"/>
        <v>0</v>
      </c>
      <c r="BD81" s="2675">
        <f t="shared" si="19"/>
        <v>0</v>
      </c>
      <c r="BE81" s="2675">
        <f t="shared" si="20"/>
        <v>0</v>
      </c>
      <c r="BF81" s="2675">
        <f t="shared" si="21"/>
        <v>0</v>
      </c>
      <c r="BG81" s="2675">
        <f t="shared" si="22"/>
        <v>0</v>
      </c>
      <c r="BH81" s="2675">
        <f t="shared" si="23"/>
        <v>0</v>
      </c>
      <c r="BI81" s="2675">
        <f t="shared" si="24"/>
        <v>0</v>
      </c>
      <c r="BJ81" s="2675">
        <f t="shared" si="25"/>
        <v>0</v>
      </c>
      <c r="BK81" s="2675">
        <f t="shared" si="26"/>
        <v>0</v>
      </c>
      <c r="BL81" s="2675">
        <f t="shared" si="27"/>
        <v>0</v>
      </c>
      <c r="BM81" s="2675">
        <f t="shared" si="28"/>
        <v>0</v>
      </c>
      <c r="BN81" s="2675">
        <f t="shared" si="29"/>
        <v>0</v>
      </c>
      <c r="BO81" s="2675">
        <f t="shared" si="30"/>
        <v>0</v>
      </c>
      <c r="BP81" s="2675">
        <f t="shared" si="31"/>
        <v>0</v>
      </c>
      <c r="BQ81" s="2675">
        <f t="shared" si="32"/>
        <v>0</v>
      </c>
      <c r="BR81" s="2675">
        <f t="shared" si="33"/>
        <v>0</v>
      </c>
      <c r="BS81" s="2675">
        <f t="shared" si="34"/>
        <v>0</v>
      </c>
      <c r="BT81" s="2722">
        <f t="shared" si="35"/>
        <v>0</v>
      </c>
    </row>
    <row r="82" spans="1:72">
      <c r="A82" s="2673"/>
      <c r="B82" s="2674"/>
      <c r="C82" s="2674"/>
      <c r="D82" s="2277"/>
      <c r="E82" s="2675">
        <f t="shared" si="7"/>
        <v>0</v>
      </c>
      <c r="F82" s="2676"/>
      <c r="G82" s="2677">
        <f t="shared" si="8"/>
        <v>0</v>
      </c>
      <c r="H82" s="2678">
        <f t="shared" si="9"/>
        <v>0</v>
      </c>
      <c r="I82" s="2685"/>
      <c r="J82" s="2685"/>
      <c r="K82" s="2685"/>
      <c r="L82" s="2685"/>
      <c r="M82" s="2685"/>
      <c r="N82" s="2685"/>
      <c r="O82" s="2685"/>
      <c r="P82" s="2685"/>
      <c r="Q82" s="2685"/>
      <c r="R82" s="2685"/>
      <c r="S82" s="2685"/>
      <c r="T82" s="2685"/>
      <c r="U82" s="2685"/>
      <c r="V82" s="2685"/>
      <c r="W82" s="2685"/>
      <c r="X82" s="2685"/>
      <c r="Y82" s="2685"/>
      <c r="Z82" s="2685"/>
      <c r="AA82" s="2685"/>
      <c r="AB82" s="2685"/>
      <c r="AC82" s="2675">
        <f t="shared" si="10"/>
        <v>0</v>
      </c>
      <c r="AD82" s="2695"/>
      <c r="AE82" s="2695"/>
      <c r="AF82" s="2695"/>
      <c r="AG82" s="2695"/>
      <c r="AH82" s="2695"/>
      <c r="AI82" s="2695"/>
      <c r="AJ82" s="2695"/>
      <c r="AK82" s="2695"/>
      <c r="AL82" s="2695"/>
      <c r="AM82" s="2695"/>
      <c r="AN82" s="2695"/>
      <c r="AO82" s="2695"/>
      <c r="AP82" s="2695"/>
      <c r="AQ82" s="2695"/>
      <c r="AR82" s="2695"/>
      <c r="AS82" s="2695"/>
      <c r="AT82" s="2703"/>
      <c r="AU82" s="2704"/>
      <c r="AV82" s="1074">
        <f t="shared" si="11"/>
        <v>0</v>
      </c>
      <c r="AW82" s="1074">
        <f t="shared" si="12"/>
        <v>0</v>
      </c>
      <c r="AX82" s="1074">
        <f t="shared" si="13"/>
        <v>0</v>
      </c>
      <c r="AY82" s="2279">
        <f t="shared" si="14"/>
        <v>0</v>
      </c>
      <c r="AZ82" s="2675">
        <f t="shared" si="15"/>
        <v>0</v>
      </c>
      <c r="BA82" s="2675">
        <f t="shared" si="16"/>
        <v>0</v>
      </c>
      <c r="BB82" s="2675">
        <f t="shared" si="17"/>
        <v>0</v>
      </c>
      <c r="BC82" s="2675">
        <f t="shared" si="18"/>
        <v>0</v>
      </c>
      <c r="BD82" s="2675">
        <f t="shared" si="19"/>
        <v>0</v>
      </c>
      <c r="BE82" s="2675">
        <f t="shared" si="20"/>
        <v>0</v>
      </c>
      <c r="BF82" s="2675">
        <f t="shared" si="21"/>
        <v>0</v>
      </c>
      <c r="BG82" s="2675">
        <f t="shared" si="22"/>
        <v>0</v>
      </c>
      <c r="BH82" s="2675">
        <f t="shared" si="23"/>
        <v>0</v>
      </c>
      <c r="BI82" s="2675">
        <f t="shared" si="24"/>
        <v>0</v>
      </c>
      <c r="BJ82" s="2675">
        <f t="shared" si="25"/>
        <v>0</v>
      </c>
      <c r="BK82" s="2675">
        <f t="shared" si="26"/>
        <v>0</v>
      </c>
      <c r="BL82" s="2675">
        <f t="shared" si="27"/>
        <v>0</v>
      </c>
      <c r="BM82" s="2675">
        <f t="shared" si="28"/>
        <v>0</v>
      </c>
      <c r="BN82" s="2675">
        <f t="shared" si="29"/>
        <v>0</v>
      </c>
      <c r="BO82" s="2675">
        <f t="shared" si="30"/>
        <v>0</v>
      </c>
      <c r="BP82" s="2675">
        <f t="shared" si="31"/>
        <v>0</v>
      </c>
      <c r="BQ82" s="2675">
        <f t="shared" si="32"/>
        <v>0</v>
      </c>
      <c r="BR82" s="2675">
        <f t="shared" si="33"/>
        <v>0</v>
      </c>
      <c r="BS82" s="2675">
        <f t="shared" si="34"/>
        <v>0</v>
      </c>
      <c r="BT82" s="2722">
        <f t="shared" si="35"/>
        <v>0</v>
      </c>
    </row>
    <row r="83" spans="1:72">
      <c r="A83" s="2673"/>
      <c r="B83" s="2674"/>
      <c r="C83" s="2674"/>
      <c r="D83" s="2277"/>
      <c r="E83" s="2675">
        <f t="shared" si="7"/>
        <v>0</v>
      </c>
      <c r="F83" s="2676"/>
      <c r="G83" s="2677">
        <f t="shared" si="8"/>
        <v>0</v>
      </c>
      <c r="H83" s="2678">
        <f t="shared" si="9"/>
        <v>0</v>
      </c>
      <c r="I83" s="2685"/>
      <c r="J83" s="2685"/>
      <c r="K83" s="2685"/>
      <c r="L83" s="2685"/>
      <c r="M83" s="2685"/>
      <c r="N83" s="2685"/>
      <c r="O83" s="2685"/>
      <c r="P83" s="2685"/>
      <c r="Q83" s="2685"/>
      <c r="R83" s="2685"/>
      <c r="S83" s="2685"/>
      <c r="T83" s="2685"/>
      <c r="U83" s="2685"/>
      <c r="V83" s="2685"/>
      <c r="W83" s="2685"/>
      <c r="X83" s="2685"/>
      <c r="Y83" s="2685"/>
      <c r="Z83" s="2685"/>
      <c r="AA83" s="2685"/>
      <c r="AB83" s="2685"/>
      <c r="AC83" s="2675">
        <f t="shared" si="10"/>
        <v>0</v>
      </c>
      <c r="AD83" s="2695"/>
      <c r="AE83" s="2695"/>
      <c r="AF83" s="2695"/>
      <c r="AG83" s="2695"/>
      <c r="AH83" s="2695"/>
      <c r="AI83" s="2695"/>
      <c r="AJ83" s="2695"/>
      <c r="AK83" s="2695"/>
      <c r="AL83" s="2695"/>
      <c r="AM83" s="2695"/>
      <c r="AN83" s="2695"/>
      <c r="AO83" s="2695"/>
      <c r="AP83" s="2695"/>
      <c r="AQ83" s="2695"/>
      <c r="AR83" s="2695"/>
      <c r="AS83" s="2695"/>
      <c r="AT83" s="2703"/>
      <c r="AU83" s="2704"/>
      <c r="AV83" s="1074">
        <f t="shared" si="11"/>
        <v>0</v>
      </c>
      <c r="AW83" s="1074">
        <f t="shared" si="12"/>
        <v>0</v>
      </c>
      <c r="AX83" s="1074">
        <f t="shared" si="13"/>
        <v>0</v>
      </c>
      <c r="AY83" s="2279">
        <f t="shared" si="14"/>
        <v>0</v>
      </c>
      <c r="AZ83" s="2675">
        <f t="shared" si="15"/>
        <v>0</v>
      </c>
      <c r="BA83" s="2675">
        <f t="shared" si="16"/>
        <v>0</v>
      </c>
      <c r="BB83" s="2675">
        <f t="shared" si="17"/>
        <v>0</v>
      </c>
      <c r="BC83" s="2675">
        <f t="shared" si="18"/>
        <v>0</v>
      </c>
      <c r="BD83" s="2675">
        <f t="shared" si="19"/>
        <v>0</v>
      </c>
      <c r="BE83" s="2675">
        <f t="shared" si="20"/>
        <v>0</v>
      </c>
      <c r="BF83" s="2675">
        <f t="shared" si="21"/>
        <v>0</v>
      </c>
      <c r="BG83" s="2675">
        <f t="shared" si="22"/>
        <v>0</v>
      </c>
      <c r="BH83" s="2675">
        <f t="shared" si="23"/>
        <v>0</v>
      </c>
      <c r="BI83" s="2675">
        <f t="shared" si="24"/>
        <v>0</v>
      </c>
      <c r="BJ83" s="2675">
        <f t="shared" si="25"/>
        <v>0</v>
      </c>
      <c r="BK83" s="2675">
        <f t="shared" si="26"/>
        <v>0</v>
      </c>
      <c r="BL83" s="2675">
        <f t="shared" si="27"/>
        <v>0</v>
      </c>
      <c r="BM83" s="2675">
        <f t="shared" si="28"/>
        <v>0</v>
      </c>
      <c r="BN83" s="2675">
        <f t="shared" si="29"/>
        <v>0</v>
      </c>
      <c r="BO83" s="2675">
        <f t="shared" si="30"/>
        <v>0</v>
      </c>
      <c r="BP83" s="2675">
        <f t="shared" si="31"/>
        <v>0</v>
      </c>
      <c r="BQ83" s="2675">
        <f t="shared" si="32"/>
        <v>0</v>
      </c>
      <c r="BR83" s="2675">
        <f t="shared" si="33"/>
        <v>0</v>
      </c>
      <c r="BS83" s="2675">
        <f t="shared" si="34"/>
        <v>0</v>
      </c>
      <c r="BT83" s="2722">
        <f t="shared" si="35"/>
        <v>0</v>
      </c>
    </row>
    <row r="84" spans="1:72">
      <c r="A84" s="2673"/>
      <c r="B84" s="2674"/>
      <c r="C84" s="2674"/>
      <c r="D84" s="2277"/>
      <c r="E84" s="2675">
        <f t="shared" si="7"/>
        <v>0</v>
      </c>
      <c r="F84" s="2676"/>
      <c r="G84" s="2677">
        <f t="shared" si="8"/>
        <v>0</v>
      </c>
      <c r="H84" s="2678">
        <f t="shared" si="9"/>
        <v>0</v>
      </c>
      <c r="I84" s="2685"/>
      <c r="J84" s="2685"/>
      <c r="K84" s="2685"/>
      <c r="L84" s="2685"/>
      <c r="M84" s="2685"/>
      <c r="N84" s="2685"/>
      <c r="O84" s="2685"/>
      <c r="P84" s="2685"/>
      <c r="Q84" s="2685"/>
      <c r="R84" s="2685"/>
      <c r="S84" s="2685"/>
      <c r="T84" s="2685"/>
      <c r="U84" s="2685"/>
      <c r="V84" s="2685"/>
      <c r="W84" s="2685"/>
      <c r="X84" s="2685"/>
      <c r="Y84" s="2685"/>
      <c r="Z84" s="2685"/>
      <c r="AA84" s="2685"/>
      <c r="AB84" s="2685"/>
      <c r="AC84" s="2675">
        <f t="shared" si="10"/>
        <v>0</v>
      </c>
      <c r="AD84" s="2695"/>
      <c r="AE84" s="2695"/>
      <c r="AF84" s="2695"/>
      <c r="AG84" s="2695"/>
      <c r="AH84" s="2695"/>
      <c r="AI84" s="2695"/>
      <c r="AJ84" s="2695"/>
      <c r="AK84" s="2695"/>
      <c r="AL84" s="2695"/>
      <c r="AM84" s="2695"/>
      <c r="AN84" s="2695"/>
      <c r="AO84" s="2695"/>
      <c r="AP84" s="2695"/>
      <c r="AQ84" s="2695"/>
      <c r="AR84" s="2695"/>
      <c r="AS84" s="2695"/>
      <c r="AT84" s="2703"/>
      <c r="AU84" s="2704"/>
      <c r="AV84" s="1074">
        <f t="shared" si="11"/>
        <v>0</v>
      </c>
      <c r="AW84" s="1074">
        <f t="shared" si="12"/>
        <v>0</v>
      </c>
      <c r="AX84" s="1074">
        <f t="shared" si="13"/>
        <v>0</v>
      </c>
      <c r="AY84" s="2279">
        <f t="shared" si="14"/>
        <v>0</v>
      </c>
      <c r="AZ84" s="2675">
        <f t="shared" si="15"/>
        <v>0</v>
      </c>
      <c r="BA84" s="2675">
        <f t="shared" si="16"/>
        <v>0</v>
      </c>
      <c r="BB84" s="2675">
        <f t="shared" si="17"/>
        <v>0</v>
      </c>
      <c r="BC84" s="2675">
        <f t="shared" si="18"/>
        <v>0</v>
      </c>
      <c r="BD84" s="2675">
        <f t="shared" si="19"/>
        <v>0</v>
      </c>
      <c r="BE84" s="2675">
        <f t="shared" si="20"/>
        <v>0</v>
      </c>
      <c r="BF84" s="2675">
        <f t="shared" si="21"/>
        <v>0</v>
      </c>
      <c r="BG84" s="2675">
        <f t="shared" si="22"/>
        <v>0</v>
      </c>
      <c r="BH84" s="2675">
        <f t="shared" si="23"/>
        <v>0</v>
      </c>
      <c r="BI84" s="2675">
        <f t="shared" si="24"/>
        <v>0</v>
      </c>
      <c r="BJ84" s="2675">
        <f t="shared" si="25"/>
        <v>0</v>
      </c>
      <c r="BK84" s="2675">
        <f t="shared" si="26"/>
        <v>0</v>
      </c>
      <c r="BL84" s="2675">
        <f t="shared" si="27"/>
        <v>0</v>
      </c>
      <c r="BM84" s="2675">
        <f t="shared" si="28"/>
        <v>0</v>
      </c>
      <c r="BN84" s="2675">
        <f t="shared" si="29"/>
        <v>0</v>
      </c>
      <c r="BO84" s="2675">
        <f t="shared" si="30"/>
        <v>0</v>
      </c>
      <c r="BP84" s="2675">
        <f t="shared" si="31"/>
        <v>0</v>
      </c>
      <c r="BQ84" s="2675">
        <f t="shared" si="32"/>
        <v>0</v>
      </c>
      <c r="BR84" s="2675">
        <f t="shared" si="33"/>
        <v>0</v>
      </c>
      <c r="BS84" s="2675">
        <f t="shared" si="34"/>
        <v>0</v>
      </c>
      <c r="BT84" s="2722">
        <f t="shared" si="35"/>
        <v>0</v>
      </c>
    </row>
    <row r="85" spans="1:72">
      <c r="A85" s="2673"/>
      <c r="B85" s="2674"/>
      <c r="C85" s="2674"/>
      <c r="D85" s="2277"/>
      <c r="E85" s="2675">
        <f t="shared" si="7"/>
        <v>0</v>
      </c>
      <c r="F85" s="2676"/>
      <c r="G85" s="2677">
        <f t="shared" si="8"/>
        <v>0</v>
      </c>
      <c r="H85" s="2678">
        <f t="shared" si="9"/>
        <v>0</v>
      </c>
      <c r="I85" s="2685"/>
      <c r="J85" s="2685"/>
      <c r="K85" s="2685"/>
      <c r="L85" s="2685"/>
      <c r="M85" s="2685"/>
      <c r="N85" s="2685"/>
      <c r="O85" s="2685"/>
      <c r="P85" s="2685"/>
      <c r="Q85" s="2685"/>
      <c r="R85" s="2685"/>
      <c r="S85" s="2685"/>
      <c r="T85" s="2685"/>
      <c r="U85" s="2685"/>
      <c r="V85" s="2685"/>
      <c r="W85" s="2685"/>
      <c r="X85" s="2685"/>
      <c r="Y85" s="2685"/>
      <c r="Z85" s="2685"/>
      <c r="AA85" s="2685"/>
      <c r="AB85" s="2685"/>
      <c r="AC85" s="2675">
        <f t="shared" si="10"/>
        <v>0</v>
      </c>
      <c r="AD85" s="2695"/>
      <c r="AE85" s="2695"/>
      <c r="AF85" s="2695"/>
      <c r="AG85" s="2695"/>
      <c r="AH85" s="2695"/>
      <c r="AI85" s="2695"/>
      <c r="AJ85" s="2695"/>
      <c r="AK85" s="2695"/>
      <c r="AL85" s="2695"/>
      <c r="AM85" s="2695"/>
      <c r="AN85" s="2695"/>
      <c r="AO85" s="2695"/>
      <c r="AP85" s="2695"/>
      <c r="AQ85" s="2695"/>
      <c r="AR85" s="2695"/>
      <c r="AS85" s="2695"/>
      <c r="AT85" s="2703"/>
      <c r="AU85" s="2704"/>
      <c r="AV85" s="1074">
        <f t="shared" si="11"/>
        <v>0</v>
      </c>
      <c r="AW85" s="1074">
        <f t="shared" si="12"/>
        <v>0</v>
      </c>
      <c r="AX85" s="1074">
        <f t="shared" si="13"/>
        <v>0</v>
      </c>
      <c r="AY85" s="2279">
        <f t="shared" si="14"/>
        <v>0</v>
      </c>
      <c r="AZ85" s="2675">
        <f t="shared" si="15"/>
        <v>0</v>
      </c>
      <c r="BA85" s="2675">
        <f t="shared" si="16"/>
        <v>0</v>
      </c>
      <c r="BB85" s="2675">
        <f t="shared" si="17"/>
        <v>0</v>
      </c>
      <c r="BC85" s="2675">
        <f t="shared" si="18"/>
        <v>0</v>
      </c>
      <c r="BD85" s="2675">
        <f t="shared" si="19"/>
        <v>0</v>
      </c>
      <c r="BE85" s="2675">
        <f t="shared" si="20"/>
        <v>0</v>
      </c>
      <c r="BF85" s="2675">
        <f t="shared" si="21"/>
        <v>0</v>
      </c>
      <c r="BG85" s="2675">
        <f t="shared" si="22"/>
        <v>0</v>
      </c>
      <c r="BH85" s="2675">
        <f t="shared" si="23"/>
        <v>0</v>
      </c>
      <c r="BI85" s="2675">
        <f t="shared" si="24"/>
        <v>0</v>
      </c>
      <c r="BJ85" s="2675">
        <f t="shared" si="25"/>
        <v>0</v>
      </c>
      <c r="BK85" s="2675">
        <f t="shared" si="26"/>
        <v>0</v>
      </c>
      <c r="BL85" s="2675">
        <f t="shared" si="27"/>
        <v>0</v>
      </c>
      <c r="BM85" s="2675">
        <f t="shared" si="28"/>
        <v>0</v>
      </c>
      <c r="BN85" s="2675">
        <f t="shared" si="29"/>
        <v>0</v>
      </c>
      <c r="BO85" s="2675">
        <f t="shared" si="30"/>
        <v>0</v>
      </c>
      <c r="BP85" s="2675">
        <f t="shared" si="31"/>
        <v>0</v>
      </c>
      <c r="BQ85" s="2675">
        <f t="shared" si="32"/>
        <v>0</v>
      </c>
      <c r="BR85" s="2675">
        <f t="shared" si="33"/>
        <v>0</v>
      </c>
      <c r="BS85" s="2675">
        <f t="shared" si="34"/>
        <v>0</v>
      </c>
      <c r="BT85" s="2722">
        <f t="shared" si="35"/>
        <v>0</v>
      </c>
    </row>
    <row r="86" spans="1:72">
      <c r="A86" s="2673"/>
      <c r="B86" s="2674"/>
      <c r="C86" s="2674"/>
      <c r="D86" s="2277"/>
      <c r="E86" s="2675">
        <f t="shared" si="7"/>
        <v>0</v>
      </c>
      <c r="F86" s="2676"/>
      <c r="G86" s="2677">
        <f t="shared" si="8"/>
        <v>0</v>
      </c>
      <c r="H86" s="2678">
        <f t="shared" si="9"/>
        <v>0</v>
      </c>
      <c r="I86" s="2685"/>
      <c r="J86" s="2685"/>
      <c r="K86" s="2685"/>
      <c r="L86" s="2685"/>
      <c r="M86" s="2685"/>
      <c r="N86" s="2685"/>
      <c r="O86" s="2685"/>
      <c r="P86" s="2685"/>
      <c r="Q86" s="2685"/>
      <c r="R86" s="2685"/>
      <c r="S86" s="2685"/>
      <c r="T86" s="2685"/>
      <c r="U86" s="2685"/>
      <c r="V86" s="2685"/>
      <c r="W86" s="2685"/>
      <c r="X86" s="2685"/>
      <c r="Y86" s="2685"/>
      <c r="Z86" s="2685"/>
      <c r="AA86" s="2685"/>
      <c r="AB86" s="2685"/>
      <c r="AC86" s="2675">
        <f t="shared" si="10"/>
        <v>0</v>
      </c>
      <c r="AD86" s="2695"/>
      <c r="AE86" s="2695"/>
      <c r="AF86" s="2695"/>
      <c r="AG86" s="2695"/>
      <c r="AH86" s="2695"/>
      <c r="AI86" s="2695"/>
      <c r="AJ86" s="2695"/>
      <c r="AK86" s="2695"/>
      <c r="AL86" s="2695"/>
      <c r="AM86" s="2695"/>
      <c r="AN86" s="2695"/>
      <c r="AO86" s="2695"/>
      <c r="AP86" s="2695"/>
      <c r="AQ86" s="2695"/>
      <c r="AR86" s="2695"/>
      <c r="AS86" s="2695"/>
      <c r="AT86" s="2703"/>
      <c r="AU86" s="2704"/>
      <c r="AV86" s="1074">
        <f t="shared" si="11"/>
        <v>0</v>
      </c>
      <c r="AW86" s="1074">
        <f t="shared" si="12"/>
        <v>0</v>
      </c>
      <c r="AX86" s="1074">
        <f t="shared" si="13"/>
        <v>0</v>
      </c>
      <c r="AY86" s="2279">
        <f t="shared" si="14"/>
        <v>0</v>
      </c>
      <c r="AZ86" s="2675">
        <f t="shared" si="15"/>
        <v>0</v>
      </c>
      <c r="BA86" s="2675">
        <f t="shared" si="16"/>
        <v>0</v>
      </c>
      <c r="BB86" s="2675">
        <f t="shared" si="17"/>
        <v>0</v>
      </c>
      <c r="BC86" s="2675">
        <f t="shared" si="18"/>
        <v>0</v>
      </c>
      <c r="BD86" s="2675">
        <f t="shared" si="19"/>
        <v>0</v>
      </c>
      <c r="BE86" s="2675">
        <f t="shared" si="20"/>
        <v>0</v>
      </c>
      <c r="BF86" s="2675">
        <f t="shared" si="21"/>
        <v>0</v>
      </c>
      <c r="BG86" s="2675">
        <f t="shared" si="22"/>
        <v>0</v>
      </c>
      <c r="BH86" s="2675">
        <f t="shared" si="23"/>
        <v>0</v>
      </c>
      <c r="BI86" s="2675">
        <f t="shared" si="24"/>
        <v>0</v>
      </c>
      <c r="BJ86" s="2675">
        <f t="shared" si="25"/>
        <v>0</v>
      </c>
      <c r="BK86" s="2675">
        <f t="shared" si="26"/>
        <v>0</v>
      </c>
      <c r="BL86" s="2675">
        <f t="shared" si="27"/>
        <v>0</v>
      </c>
      <c r="BM86" s="2675">
        <f t="shared" si="28"/>
        <v>0</v>
      </c>
      <c r="BN86" s="2675">
        <f t="shared" si="29"/>
        <v>0</v>
      </c>
      <c r="BO86" s="2675">
        <f t="shared" si="30"/>
        <v>0</v>
      </c>
      <c r="BP86" s="2675">
        <f t="shared" si="31"/>
        <v>0</v>
      </c>
      <c r="BQ86" s="2675">
        <f t="shared" si="32"/>
        <v>0</v>
      </c>
      <c r="BR86" s="2675">
        <f t="shared" si="33"/>
        <v>0</v>
      </c>
      <c r="BS86" s="2675">
        <f t="shared" si="34"/>
        <v>0</v>
      </c>
      <c r="BT86" s="2722">
        <f t="shared" si="35"/>
        <v>0</v>
      </c>
    </row>
    <row r="87" spans="1:72">
      <c r="A87" s="2673"/>
      <c r="B87" s="2674"/>
      <c r="C87" s="2674"/>
      <c r="D87" s="2277"/>
      <c r="E87" s="2675">
        <f t="shared" si="7"/>
        <v>0</v>
      </c>
      <c r="F87" s="2676"/>
      <c r="G87" s="2677">
        <f t="shared" si="8"/>
        <v>0</v>
      </c>
      <c r="H87" s="2678">
        <f t="shared" si="9"/>
        <v>0</v>
      </c>
      <c r="I87" s="2685"/>
      <c r="J87" s="2685"/>
      <c r="K87" s="2685"/>
      <c r="L87" s="2685"/>
      <c r="M87" s="2685"/>
      <c r="N87" s="2685"/>
      <c r="O87" s="2685"/>
      <c r="P87" s="2685"/>
      <c r="Q87" s="2685"/>
      <c r="R87" s="2685"/>
      <c r="S87" s="2685"/>
      <c r="T87" s="2685"/>
      <c r="U87" s="2685"/>
      <c r="V87" s="2685"/>
      <c r="W87" s="2685"/>
      <c r="X87" s="2685"/>
      <c r="Y87" s="2685"/>
      <c r="Z87" s="2685"/>
      <c r="AA87" s="2685"/>
      <c r="AB87" s="2685"/>
      <c r="AC87" s="2675">
        <f t="shared" si="10"/>
        <v>0</v>
      </c>
      <c r="AD87" s="2695"/>
      <c r="AE87" s="2695"/>
      <c r="AF87" s="2695"/>
      <c r="AG87" s="2695"/>
      <c r="AH87" s="2695"/>
      <c r="AI87" s="2695"/>
      <c r="AJ87" s="2695"/>
      <c r="AK87" s="2695"/>
      <c r="AL87" s="2695"/>
      <c r="AM87" s="2695"/>
      <c r="AN87" s="2695"/>
      <c r="AO87" s="2695"/>
      <c r="AP87" s="2695"/>
      <c r="AQ87" s="2695"/>
      <c r="AR87" s="2695"/>
      <c r="AS87" s="2695"/>
      <c r="AT87" s="2703"/>
      <c r="AU87" s="2704"/>
      <c r="AV87" s="1074">
        <f t="shared" si="11"/>
        <v>0</v>
      </c>
      <c r="AW87" s="1074">
        <f t="shared" si="12"/>
        <v>0</v>
      </c>
      <c r="AX87" s="1074">
        <f t="shared" si="13"/>
        <v>0</v>
      </c>
      <c r="AY87" s="2279">
        <f t="shared" si="14"/>
        <v>0</v>
      </c>
      <c r="AZ87" s="2675">
        <f t="shared" si="15"/>
        <v>0</v>
      </c>
      <c r="BA87" s="2675">
        <f t="shared" si="16"/>
        <v>0</v>
      </c>
      <c r="BB87" s="2675">
        <f t="shared" si="17"/>
        <v>0</v>
      </c>
      <c r="BC87" s="2675">
        <f t="shared" si="18"/>
        <v>0</v>
      </c>
      <c r="BD87" s="2675">
        <f t="shared" si="19"/>
        <v>0</v>
      </c>
      <c r="BE87" s="2675">
        <f t="shared" si="20"/>
        <v>0</v>
      </c>
      <c r="BF87" s="2675">
        <f t="shared" si="21"/>
        <v>0</v>
      </c>
      <c r="BG87" s="2675">
        <f t="shared" si="22"/>
        <v>0</v>
      </c>
      <c r="BH87" s="2675">
        <f t="shared" si="23"/>
        <v>0</v>
      </c>
      <c r="BI87" s="2675">
        <f t="shared" si="24"/>
        <v>0</v>
      </c>
      <c r="BJ87" s="2675">
        <f t="shared" si="25"/>
        <v>0</v>
      </c>
      <c r="BK87" s="2675">
        <f t="shared" si="26"/>
        <v>0</v>
      </c>
      <c r="BL87" s="2675">
        <f t="shared" si="27"/>
        <v>0</v>
      </c>
      <c r="BM87" s="2675">
        <f t="shared" si="28"/>
        <v>0</v>
      </c>
      <c r="BN87" s="2675">
        <f t="shared" si="29"/>
        <v>0</v>
      </c>
      <c r="BO87" s="2675">
        <f t="shared" si="30"/>
        <v>0</v>
      </c>
      <c r="BP87" s="2675">
        <f t="shared" si="31"/>
        <v>0</v>
      </c>
      <c r="BQ87" s="2675">
        <f t="shared" si="32"/>
        <v>0</v>
      </c>
      <c r="BR87" s="2675">
        <f t="shared" si="33"/>
        <v>0</v>
      </c>
      <c r="BS87" s="2675">
        <f t="shared" si="34"/>
        <v>0</v>
      </c>
      <c r="BT87" s="2722">
        <f t="shared" si="35"/>
        <v>0</v>
      </c>
    </row>
    <row r="88" spans="1:72">
      <c r="A88" s="2673"/>
      <c r="B88" s="2674"/>
      <c r="C88" s="2674"/>
      <c r="D88" s="2277"/>
      <c r="E88" s="2675">
        <f t="shared" si="7"/>
        <v>0</v>
      </c>
      <c r="F88" s="2676"/>
      <c r="G88" s="2677">
        <f t="shared" si="8"/>
        <v>0</v>
      </c>
      <c r="H88" s="2678">
        <f t="shared" si="9"/>
        <v>0</v>
      </c>
      <c r="I88" s="2685"/>
      <c r="J88" s="2685"/>
      <c r="K88" s="2685"/>
      <c r="L88" s="2685"/>
      <c r="M88" s="2685"/>
      <c r="N88" s="2685"/>
      <c r="O88" s="2685"/>
      <c r="P88" s="2685"/>
      <c r="Q88" s="2685"/>
      <c r="R88" s="2685"/>
      <c r="S88" s="2685"/>
      <c r="T88" s="2685"/>
      <c r="U88" s="2685"/>
      <c r="V88" s="2685"/>
      <c r="W88" s="2685"/>
      <c r="X88" s="2685"/>
      <c r="Y88" s="2685"/>
      <c r="Z88" s="2685"/>
      <c r="AA88" s="2685"/>
      <c r="AB88" s="2685"/>
      <c r="AC88" s="2675">
        <f t="shared" si="10"/>
        <v>0</v>
      </c>
      <c r="AD88" s="2695"/>
      <c r="AE88" s="2695"/>
      <c r="AF88" s="2695"/>
      <c r="AG88" s="2695"/>
      <c r="AH88" s="2695"/>
      <c r="AI88" s="2695"/>
      <c r="AJ88" s="2695"/>
      <c r="AK88" s="2695"/>
      <c r="AL88" s="2695"/>
      <c r="AM88" s="2695"/>
      <c r="AN88" s="2695"/>
      <c r="AO88" s="2695"/>
      <c r="AP88" s="2695"/>
      <c r="AQ88" s="2695"/>
      <c r="AR88" s="2695"/>
      <c r="AS88" s="2695"/>
      <c r="AT88" s="2703"/>
      <c r="AU88" s="2704"/>
      <c r="AV88" s="1074">
        <f t="shared" si="11"/>
        <v>0</v>
      </c>
      <c r="AW88" s="1074">
        <f t="shared" si="12"/>
        <v>0</v>
      </c>
      <c r="AX88" s="1074">
        <f t="shared" si="13"/>
        <v>0</v>
      </c>
      <c r="AY88" s="2279">
        <f t="shared" si="14"/>
        <v>0</v>
      </c>
      <c r="AZ88" s="2675">
        <f t="shared" si="15"/>
        <v>0</v>
      </c>
      <c r="BA88" s="2675">
        <f t="shared" si="16"/>
        <v>0</v>
      </c>
      <c r="BB88" s="2675">
        <f t="shared" si="17"/>
        <v>0</v>
      </c>
      <c r="BC88" s="2675">
        <f t="shared" si="18"/>
        <v>0</v>
      </c>
      <c r="BD88" s="2675">
        <f t="shared" si="19"/>
        <v>0</v>
      </c>
      <c r="BE88" s="2675">
        <f t="shared" si="20"/>
        <v>0</v>
      </c>
      <c r="BF88" s="2675">
        <f t="shared" si="21"/>
        <v>0</v>
      </c>
      <c r="BG88" s="2675">
        <f t="shared" si="22"/>
        <v>0</v>
      </c>
      <c r="BH88" s="2675">
        <f t="shared" si="23"/>
        <v>0</v>
      </c>
      <c r="BI88" s="2675">
        <f t="shared" si="24"/>
        <v>0</v>
      </c>
      <c r="BJ88" s="2675">
        <f t="shared" si="25"/>
        <v>0</v>
      </c>
      <c r="BK88" s="2675">
        <f t="shared" si="26"/>
        <v>0</v>
      </c>
      <c r="BL88" s="2675">
        <f t="shared" si="27"/>
        <v>0</v>
      </c>
      <c r="BM88" s="2675">
        <f t="shared" si="28"/>
        <v>0</v>
      </c>
      <c r="BN88" s="2675">
        <f t="shared" si="29"/>
        <v>0</v>
      </c>
      <c r="BO88" s="2675">
        <f t="shared" si="30"/>
        <v>0</v>
      </c>
      <c r="BP88" s="2675">
        <f t="shared" si="31"/>
        <v>0</v>
      </c>
      <c r="BQ88" s="2675">
        <f t="shared" si="32"/>
        <v>0</v>
      </c>
      <c r="BR88" s="2675">
        <f t="shared" si="33"/>
        <v>0</v>
      </c>
      <c r="BS88" s="2675">
        <f t="shared" si="34"/>
        <v>0</v>
      </c>
      <c r="BT88" s="2722">
        <f t="shared" si="35"/>
        <v>0</v>
      </c>
    </row>
    <row r="89" spans="1:72">
      <c r="A89" s="2673"/>
      <c r="B89" s="2674"/>
      <c r="C89" s="2674"/>
      <c r="D89" s="2277"/>
      <c r="E89" s="2675">
        <f t="shared" si="7"/>
        <v>0</v>
      </c>
      <c r="F89" s="2676"/>
      <c r="G89" s="2677">
        <f t="shared" si="8"/>
        <v>0</v>
      </c>
      <c r="H89" s="2678">
        <f t="shared" si="9"/>
        <v>0</v>
      </c>
      <c r="I89" s="2685"/>
      <c r="J89" s="2685"/>
      <c r="K89" s="2685"/>
      <c r="L89" s="2685"/>
      <c r="M89" s="2685"/>
      <c r="N89" s="2685"/>
      <c r="O89" s="2685"/>
      <c r="P89" s="2685"/>
      <c r="Q89" s="2685"/>
      <c r="R89" s="2685"/>
      <c r="S89" s="2685"/>
      <c r="T89" s="2685"/>
      <c r="U89" s="2685"/>
      <c r="V89" s="2685"/>
      <c r="W89" s="2685"/>
      <c r="X89" s="2685"/>
      <c r="Y89" s="2685"/>
      <c r="Z89" s="2685"/>
      <c r="AA89" s="2685"/>
      <c r="AB89" s="2685"/>
      <c r="AC89" s="2675">
        <f t="shared" si="10"/>
        <v>0</v>
      </c>
      <c r="AD89" s="2695"/>
      <c r="AE89" s="2695"/>
      <c r="AF89" s="2695"/>
      <c r="AG89" s="2695"/>
      <c r="AH89" s="2695"/>
      <c r="AI89" s="2695"/>
      <c r="AJ89" s="2695"/>
      <c r="AK89" s="2695"/>
      <c r="AL89" s="2695"/>
      <c r="AM89" s="2695"/>
      <c r="AN89" s="2695"/>
      <c r="AO89" s="2695"/>
      <c r="AP89" s="2695"/>
      <c r="AQ89" s="2695"/>
      <c r="AR89" s="2695"/>
      <c r="AS89" s="2695"/>
      <c r="AT89" s="2703"/>
      <c r="AU89" s="2704"/>
      <c r="AV89" s="1074">
        <f t="shared" si="11"/>
        <v>0</v>
      </c>
      <c r="AW89" s="1074">
        <f t="shared" si="12"/>
        <v>0</v>
      </c>
      <c r="AX89" s="1074">
        <f t="shared" si="13"/>
        <v>0</v>
      </c>
      <c r="AY89" s="2279">
        <f t="shared" si="14"/>
        <v>0</v>
      </c>
      <c r="AZ89" s="2675">
        <f t="shared" si="15"/>
        <v>0</v>
      </c>
      <c r="BA89" s="2675">
        <f t="shared" si="16"/>
        <v>0</v>
      </c>
      <c r="BB89" s="2675">
        <f t="shared" si="17"/>
        <v>0</v>
      </c>
      <c r="BC89" s="2675">
        <f t="shared" si="18"/>
        <v>0</v>
      </c>
      <c r="BD89" s="2675">
        <f t="shared" si="19"/>
        <v>0</v>
      </c>
      <c r="BE89" s="2675">
        <f t="shared" si="20"/>
        <v>0</v>
      </c>
      <c r="BF89" s="2675">
        <f t="shared" si="21"/>
        <v>0</v>
      </c>
      <c r="BG89" s="2675">
        <f t="shared" si="22"/>
        <v>0</v>
      </c>
      <c r="BH89" s="2675">
        <f t="shared" si="23"/>
        <v>0</v>
      </c>
      <c r="BI89" s="2675">
        <f t="shared" si="24"/>
        <v>0</v>
      </c>
      <c r="BJ89" s="2675">
        <f t="shared" si="25"/>
        <v>0</v>
      </c>
      <c r="BK89" s="2675">
        <f t="shared" si="26"/>
        <v>0</v>
      </c>
      <c r="BL89" s="2675">
        <f t="shared" si="27"/>
        <v>0</v>
      </c>
      <c r="BM89" s="2675">
        <f t="shared" si="28"/>
        <v>0</v>
      </c>
      <c r="BN89" s="2675">
        <f t="shared" si="29"/>
        <v>0</v>
      </c>
      <c r="BO89" s="2675">
        <f t="shared" si="30"/>
        <v>0</v>
      </c>
      <c r="BP89" s="2675">
        <f t="shared" si="31"/>
        <v>0</v>
      </c>
      <c r="BQ89" s="2675">
        <f t="shared" si="32"/>
        <v>0</v>
      </c>
      <c r="BR89" s="2675">
        <f t="shared" si="33"/>
        <v>0</v>
      </c>
      <c r="BS89" s="2675">
        <f t="shared" si="34"/>
        <v>0</v>
      </c>
      <c r="BT89" s="2722">
        <f t="shared" si="35"/>
        <v>0</v>
      </c>
    </row>
    <row r="90" spans="1:72">
      <c r="A90" s="2673"/>
      <c r="B90" s="2674"/>
      <c r="C90" s="2674"/>
      <c r="D90" s="2277"/>
      <c r="E90" s="2675">
        <f t="shared" si="7"/>
        <v>0</v>
      </c>
      <c r="F90" s="2676"/>
      <c r="G90" s="2677">
        <f t="shared" si="8"/>
        <v>0</v>
      </c>
      <c r="H90" s="2678">
        <f t="shared" si="9"/>
        <v>0</v>
      </c>
      <c r="I90" s="2685"/>
      <c r="J90" s="2685"/>
      <c r="K90" s="2685"/>
      <c r="L90" s="2685"/>
      <c r="M90" s="2685"/>
      <c r="N90" s="2685"/>
      <c r="O90" s="2685"/>
      <c r="P90" s="2685"/>
      <c r="Q90" s="2685"/>
      <c r="R90" s="2685"/>
      <c r="S90" s="2685"/>
      <c r="T90" s="2685"/>
      <c r="U90" s="2685"/>
      <c r="V90" s="2685"/>
      <c r="W90" s="2685"/>
      <c r="X90" s="2685"/>
      <c r="Y90" s="2685"/>
      <c r="Z90" s="2685"/>
      <c r="AA90" s="2685"/>
      <c r="AB90" s="2685"/>
      <c r="AC90" s="2675">
        <f t="shared" si="10"/>
        <v>0</v>
      </c>
      <c r="AD90" s="2695"/>
      <c r="AE90" s="2695"/>
      <c r="AF90" s="2695"/>
      <c r="AG90" s="2695"/>
      <c r="AH90" s="2695"/>
      <c r="AI90" s="2695"/>
      <c r="AJ90" s="2695"/>
      <c r="AK90" s="2695"/>
      <c r="AL90" s="2695"/>
      <c r="AM90" s="2695"/>
      <c r="AN90" s="2695"/>
      <c r="AO90" s="2695"/>
      <c r="AP90" s="2695"/>
      <c r="AQ90" s="2695"/>
      <c r="AR90" s="2695"/>
      <c r="AS90" s="2695"/>
      <c r="AT90" s="2703"/>
      <c r="AU90" s="2704"/>
      <c r="AV90" s="1074">
        <f t="shared" si="11"/>
        <v>0</v>
      </c>
      <c r="AW90" s="1074">
        <f t="shared" si="12"/>
        <v>0</v>
      </c>
      <c r="AX90" s="1074">
        <f t="shared" si="13"/>
        <v>0</v>
      </c>
      <c r="AY90" s="2279">
        <f t="shared" si="14"/>
        <v>0</v>
      </c>
      <c r="AZ90" s="2675">
        <f t="shared" si="15"/>
        <v>0</v>
      </c>
      <c r="BA90" s="2675">
        <f t="shared" si="16"/>
        <v>0</v>
      </c>
      <c r="BB90" s="2675">
        <f t="shared" si="17"/>
        <v>0</v>
      </c>
      <c r="BC90" s="2675">
        <f t="shared" si="18"/>
        <v>0</v>
      </c>
      <c r="BD90" s="2675">
        <f t="shared" si="19"/>
        <v>0</v>
      </c>
      <c r="BE90" s="2675">
        <f t="shared" si="20"/>
        <v>0</v>
      </c>
      <c r="BF90" s="2675">
        <f t="shared" si="21"/>
        <v>0</v>
      </c>
      <c r="BG90" s="2675">
        <f t="shared" si="22"/>
        <v>0</v>
      </c>
      <c r="BH90" s="2675">
        <f t="shared" si="23"/>
        <v>0</v>
      </c>
      <c r="BI90" s="2675">
        <f t="shared" si="24"/>
        <v>0</v>
      </c>
      <c r="BJ90" s="2675">
        <f t="shared" si="25"/>
        <v>0</v>
      </c>
      <c r="BK90" s="2675">
        <f t="shared" si="26"/>
        <v>0</v>
      </c>
      <c r="BL90" s="2675">
        <f t="shared" si="27"/>
        <v>0</v>
      </c>
      <c r="BM90" s="2675">
        <f t="shared" si="28"/>
        <v>0</v>
      </c>
      <c r="BN90" s="2675">
        <f t="shared" si="29"/>
        <v>0</v>
      </c>
      <c r="BO90" s="2675">
        <f t="shared" si="30"/>
        <v>0</v>
      </c>
      <c r="BP90" s="2675">
        <f t="shared" si="31"/>
        <v>0</v>
      </c>
      <c r="BQ90" s="2675">
        <f t="shared" si="32"/>
        <v>0</v>
      </c>
      <c r="BR90" s="2675">
        <f t="shared" si="33"/>
        <v>0</v>
      </c>
      <c r="BS90" s="2675">
        <f t="shared" si="34"/>
        <v>0</v>
      </c>
      <c r="BT90" s="2722">
        <f t="shared" si="35"/>
        <v>0</v>
      </c>
    </row>
    <row r="91" spans="1:72">
      <c r="A91" s="2673"/>
      <c r="B91" s="2674"/>
      <c r="C91" s="2674"/>
      <c r="D91" s="2277"/>
      <c r="E91" s="2675">
        <f t="shared" si="7"/>
        <v>0</v>
      </c>
      <c r="F91" s="2676"/>
      <c r="G91" s="2677">
        <f t="shared" si="8"/>
        <v>0</v>
      </c>
      <c r="H91" s="2678">
        <f t="shared" si="9"/>
        <v>0</v>
      </c>
      <c r="I91" s="2685"/>
      <c r="J91" s="2685"/>
      <c r="K91" s="2685"/>
      <c r="L91" s="2685"/>
      <c r="M91" s="2685"/>
      <c r="N91" s="2685"/>
      <c r="O91" s="2685"/>
      <c r="P91" s="2685"/>
      <c r="Q91" s="2685"/>
      <c r="R91" s="2685"/>
      <c r="S91" s="2685"/>
      <c r="T91" s="2685"/>
      <c r="U91" s="2685"/>
      <c r="V91" s="2685"/>
      <c r="W91" s="2685"/>
      <c r="X91" s="2685"/>
      <c r="Y91" s="2685"/>
      <c r="Z91" s="2685"/>
      <c r="AA91" s="2685"/>
      <c r="AB91" s="2685"/>
      <c r="AC91" s="2675">
        <f t="shared" si="10"/>
        <v>0</v>
      </c>
      <c r="AD91" s="2695"/>
      <c r="AE91" s="2695"/>
      <c r="AF91" s="2695"/>
      <c r="AG91" s="2695"/>
      <c r="AH91" s="2695"/>
      <c r="AI91" s="2695"/>
      <c r="AJ91" s="2695"/>
      <c r="AK91" s="2695"/>
      <c r="AL91" s="2695"/>
      <c r="AM91" s="2695"/>
      <c r="AN91" s="2695"/>
      <c r="AO91" s="2695"/>
      <c r="AP91" s="2695"/>
      <c r="AQ91" s="2695"/>
      <c r="AR91" s="2695"/>
      <c r="AS91" s="2695"/>
      <c r="AT91" s="2703"/>
      <c r="AU91" s="2704"/>
      <c r="AV91" s="1074">
        <f t="shared" si="11"/>
        <v>0</v>
      </c>
      <c r="AW91" s="1074">
        <f t="shared" si="12"/>
        <v>0</v>
      </c>
      <c r="AX91" s="1074">
        <f t="shared" si="13"/>
        <v>0</v>
      </c>
      <c r="AY91" s="2279">
        <f t="shared" si="14"/>
        <v>0</v>
      </c>
      <c r="AZ91" s="2675">
        <f t="shared" si="15"/>
        <v>0</v>
      </c>
      <c r="BA91" s="2675">
        <f t="shared" si="16"/>
        <v>0</v>
      </c>
      <c r="BB91" s="2675">
        <f t="shared" si="17"/>
        <v>0</v>
      </c>
      <c r="BC91" s="2675">
        <f t="shared" si="18"/>
        <v>0</v>
      </c>
      <c r="BD91" s="2675">
        <f t="shared" si="19"/>
        <v>0</v>
      </c>
      <c r="BE91" s="2675">
        <f t="shared" si="20"/>
        <v>0</v>
      </c>
      <c r="BF91" s="2675">
        <f t="shared" si="21"/>
        <v>0</v>
      </c>
      <c r="BG91" s="2675">
        <f t="shared" si="22"/>
        <v>0</v>
      </c>
      <c r="BH91" s="2675">
        <f t="shared" si="23"/>
        <v>0</v>
      </c>
      <c r="BI91" s="2675">
        <f t="shared" si="24"/>
        <v>0</v>
      </c>
      <c r="BJ91" s="2675">
        <f t="shared" si="25"/>
        <v>0</v>
      </c>
      <c r="BK91" s="2675">
        <f t="shared" si="26"/>
        <v>0</v>
      </c>
      <c r="BL91" s="2675">
        <f t="shared" si="27"/>
        <v>0</v>
      </c>
      <c r="BM91" s="2675">
        <f t="shared" si="28"/>
        <v>0</v>
      </c>
      <c r="BN91" s="2675">
        <f t="shared" si="29"/>
        <v>0</v>
      </c>
      <c r="BO91" s="2675">
        <f t="shared" si="30"/>
        <v>0</v>
      </c>
      <c r="BP91" s="2675">
        <f t="shared" si="31"/>
        <v>0</v>
      </c>
      <c r="BQ91" s="2675">
        <f t="shared" si="32"/>
        <v>0</v>
      </c>
      <c r="BR91" s="2675">
        <f t="shared" si="33"/>
        <v>0</v>
      </c>
      <c r="BS91" s="2675">
        <f t="shared" si="34"/>
        <v>0</v>
      </c>
      <c r="BT91" s="2722">
        <f t="shared" si="35"/>
        <v>0</v>
      </c>
    </row>
    <row r="92" spans="1:72">
      <c r="A92" s="2673"/>
      <c r="B92" s="2674"/>
      <c r="C92" s="2674"/>
      <c r="D92" s="2277"/>
      <c r="E92" s="2675">
        <f t="shared" si="7"/>
        <v>0</v>
      </c>
      <c r="F92" s="2676"/>
      <c r="G92" s="2677">
        <f t="shared" si="8"/>
        <v>0</v>
      </c>
      <c r="H92" s="2678">
        <f t="shared" si="9"/>
        <v>0</v>
      </c>
      <c r="I92" s="2685"/>
      <c r="J92" s="2685"/>
      <c r="K92" s="2685"/>
      <c r="L92" s="2685"/>
      <c r="M92" s="2685"/>
      <c r="N92" s="2685"/>
      <c r="O92" s="2685"/>
      <c r="P92" s="2685"/>
      <c r="Q92" s="2685"/>
      <c r="R92" s="2685"/>
      <c r="S92" s="2685"/>
      <c r="T92" s="2685"/>
      <c r="U92" s="2685"/>
      <c r="V92" s="2685"/>
      <c r="W92" s="2685"/>
      <c r="X92" s="2685"/>
      <c r="Y92" s="2685"/>
      <c r="Z92" s="2685"/>
      <c r="AA92" s="2685"/>
      <c r="AB92" s="2685"/>
      <c r="AC92" s="2675">
        <f t="shared" si="10"/>
        <v>0</v>
      </c>
      <c r="AD92" s="2695"/>
      <c r="AE92" s="2695"/>
      <c r="AF92" s="2695"/>
      <c r="AG92" s="2695"/>
      <c r="AH92" s="2695"/>
      <c r="AI92" s="2695"/>
      <c r="AJ92" s="2695"/>
      <c r="AK92" s="2695"/>
      <c r="AL92" s="2695"/>
      <c r="AM92" s="2695"/>
      <c r="AN92" s="2695"/>
      <c r="AO92" s="2695"/>
      <c r="AP92" s="2695"/>
      <c r="AQ92" s="2695"/>
      <c r="AR92" s="2695"/>
      <c r="AS92" s="2695"/>
      <c r="AT92" s="2703"/>
      <c r="AU92" s="2704"/>
      <c r="AV92" s="1074">
        <f t="shared" si="11"/>
        <v>0</v>
      </c>
      <c r="AW92" s="1074">
        <f t="shared" si="12"/>
        <v>0</v>
      </c>
      <c r="AX92" s="1074">
        <f t="shared" si="13"/>
        <v>0</v>
      </c>
      <c r="AY92" s="2279">
        <f t="shared" si="14"/>
        <v>0</v>
      </c>
      <c r="AZ92" s="2675">
        <f t="shared" si="15"/>
        <v>0</v>
      </c>
      <c r="BA92" s="2675">
        <f t="shared" si="16"/>
        <v>0</v>
      </c>
      <c r="BB92" s="2675">
        <f t="shared" si="17"/>
        <v>0</v>
      </c>
      <c r="BC92" s="2675">
        <f t="shared" si="18"/>
        <v>0</v>
      </c>
      <c r="BD92" s="2675">
        <f t="shared" si="19"/>
        <v>0</v>
      </c>
      <c r="BE92" s="2675">
        <f t="shared" si="20"/>
        <v>0</v>
      </c>
      <c r="BF92" s="2675">
        <f t="shared" si="21"/>
        <v>0</v>
      </c>
      <c r="BG92" s="2675">
        <f t="shared" si="22"/>
        <v>0</v>
      </c>
      <c r="BH92" s="2675">
        <f t="shared" si="23"/>
        <v>0</v>
      </c>
      <c r="BI92" s="2675">
        <f t="shared" si="24"/>
        <v>0</v>
      </c>
      <c r="BJ92" s="2675">
        <f t="shared" si="25"/>
        <v>0</v>
      </c>
      <c r="BK92" s="2675">
        <f t="shared" si="26"/>
        <v>0</v>
      </c>
      <c r="BL92" s="2675">
        <f t="shared" si="27"/>
        <v>0</v>
      </c>
      <c r="BM92" s="2675">
        <f t="shared" si="28"/>
        <v>0</v>
      </c>
      <c r="BN92" s="2675">
        <f t="shared" si="29"/>
        <v>0</v>
      </c>
      <c r="BO92" s="2675">
        <f t="shared" si="30"/>
        <v>0</v>
      </c>
      <c r="BP92" s="2675">
        <f t="shared" si="31"/>
        <v>0</v>
      </c>
      <c r="BQ92" s="2675">
        <f t="shared" si="32"/>
        <v>0</v>
      </c>
      <c r="BR92" s="2675">
        <f t="shared" si="33"/>
        <v>0</v>
      </c>
      <c r="BS92" s="2675">
        <f t="shared" si="34"/>
        <v>0</v>
      </c>
      <c r="BT92" s="2722">
        <f t="shared" si="35"/>
        <v>0</v>
      </c>
    </row>
    <row r="93" spans="1:72">
      <c r="A93" s="2673"/>
      <c r="B93" s="2674"/>
      <c r="C93" s="2674"/>
      <c r="D93" s="2277"/>
      <c r="E93" s="2675">
        <f t="shared" si="7"/>
        <v>0</v>
      </c>
      <c r="F93" s="2676"/>
      <c r="G93" s="2677">
        <f t="shared" si="8"/>
        <v>0</v>
      </c>
      <c r="H93" s="2678">
        <f t="shared" si="9"/>
        <v>0</v>
      </c>
      <c r="I93" s="2685"/>
      <c r="J93" s="2685"/>
      <c r="K93" s="2685"/>
      <c r="L93" s="2685"/>
      <c r="M93" s="2685"/>
      <c r="N93" s="2685"/>
      <c r="O93" s="2685"/>
      <c r="P93" s="2685"/>
      <c r="Q93" s="2685"/>
      <c r="R93" s="2685"/>
      <c r="S93" s="2685"/>
      <c r="T93" s="2685"/>
      <c r="U93" s="2685"/>
      <c r="V93" s="2685"/>
      <c r="W93" s="2685"/>
      <c r="X93" s="2685"/>
      <c r="Y93" s="2685"/>
      <c r="Z93" s="2685"/>
      <c r="AA93" s="2685"/>
      <c r="AB93" s="2685"/>
      <c r="AC93" s="2675">
        <f t="shared" si="10"/>
        <v>0</v>
      </c>
      <c r="AD93" s="2695"/>
      <c r="AE93" s="2695"/>
      <c r="AF93" s="2695"/>
      <c r="AG93" s="2695"/>
      <c r="AH93" s="2695"/>
      <c r="AI93" s="2695"/>
      <c r="AJ93" s="2695"/>
      <c r="AK93" s="2695"/>
      <c r="AL93" s="2695"/>
      <c r="AM93" s="2695"/>
      <c r="AN93" s="2695"/>
      <c r="AO93" s="2695"/>
      <c r="AP93" s="2695"/>
      <c r="AQ93" s="2695"/>
      <c r="AR93" s="2695"/>
      <c r="AS93" s="2695"/>
      <c r="AT93" s="2703"/>
      <c r="AU93" s="2704"/>
      <c r="AV93" s="1074">
        <f t="shared" si="11"/>
        <v>0</v>
      </c>
      <c r="AW93" s="1074">
        <f t="shared" si="12"/>
        <v>0</v>
      </c>
      <c r="AX93" s="1074">
        <f t="shared" si="13"/>
        <v>0</v>
      </c>
      <c r="AY93" s="2279">
        <f t="shared" si="14"/>
        <v>0</v>
      </c>
      <c r="AZ93" s="2675">
        <f t="shared" si="15"/>
        <v>0</v>
      </c>
      <c r="BA93" s="2675">
        <f t="shared" si="16"/>
        <v>0</v>
      </c>
      <c r="BB93" s="2675">
        <f t="shared" si="17"/>
        <v>0</v>
      </c>
      <c r="BC93" s="2675">
        <f t="shared" si="18"/>
        <v>0</v>
      </c>
      <c r="BD93" s="2675">
        <f t="shared" si="19"/>
        <v>0</v>
      </c>
      <c r="BE93" s="2675">
        <f t="shared" si="20"/>
        <v>0</v>
      </c>
      <c r="BF93" s="2675">
        <f t="shared" si="21"/>
        <v>0</v>
      </c>
      <c r="BG93" s="2675">
        <f t="shared" si="22"/>
        <v>0</v>
      </c>
      <c r="BH93" s="2675">
        <f t="shared" si="23"/>
        <v>0</v>
      </c>
      <c r="BI93" s="2675">
        <f t="shared" si="24"/>
        <v>0</v>
      </c>
      <c r="BJ93" s="2675">
        <f t="shared" si="25"/>
        <v>0</v>
      </c>
      <c r="BK93" s="2675">
        <f t="shared" si="26"/>
        <v>0</v>
      </c>
      <c r="BL93" s="2675">
        <f t="shared" si="27"/>
        <v>0</v>
      </c>
      <c r="BM93" s="2675">
        <f t="shared" si="28"/>
        <v>0</v>
      </c>
      <c r="BN93" s="2675">
        <f t="shared" si="29"/>
        <v>0</v>
      </c>
      <c r="BO93" s="2675">
        <f t="shared" si="30"/>
        <v>0</v>
      </c>
      <c r="BP93" s="2675">
        <f t="shared" si="31"/>
        <v>0</v>
      </c>
      <c r="BQ93" s="2675">
        <f t="shared" si="32"/>
        <v>0</v>
      </c>
      <c r="BR93" s="2675">
        <f t="shared" si="33"/>
        <v>0</v>
      </c>
      <c r="BS93" s="2675">
        <f t="shared" si="34"/>
        <v>0</v>
      </c>
      <c r="BT93" s="2722">
        <f t="shared" si="35"/>
        <v>0</v>
      </c>
    </row>
    <row r="94" spans="1:72">
      <c r="A94" s="2673"/>
      <c r="B94" s="2674"/>
      <c r="C94" s="2674"/>
      <c r="D94" s="2277"/>
      <c r="E94" s="2675">
        <f t="shared" si="7"/>
        <v>0</v>
      </c>
      <c r="F94" s="2676"/>
      <c r="G94" s="2677">
        <f t="shared" si="8"/>
        <v>0</v>
      </c>
      <c r="H94" s="2678">
        <f t="shared" si="9"/>
        <v>0</v>
      </c>
      <c r="I94" s="2685"/>
      <c r="J94" s="2685"/>
      <c r="K94" s="2685"/>
      <c r="L94" s="2685"/>
      <c r="M94" s="2685"/>
      <c r="N94" s="2685"/>
      <c r="O94" s="2685"/>
      <c r="P94" s="2685"/>
      <c r="Q94" s="2685"/>
      <c r="R94" s="2685"/>
      <c r="S94" s="2685"/>
      <c r="T94" s="2685"/>
      <c r="U94" s="2685"/>
      <c r="V94" s="2685"/>
      <c r="W94" s="2685"/>
      <c r="X94" s="2685"/>
      <c r="Y94" s="2685"/>
      <c r="Z94" s="2685"/>
      <c r="AA94" s="2685"/>
      <c r="AB94" s="2685"/>
      <c r="AC94" s="2675">
        <f t="shared" si="10"/>
        <v>0</v>
      </c>
      <c r="AD94" s="2695"/>
      <c r="AE94" s="2695"/>
      <c r="AF94" s="2695"/>
      <c r="AG94" s="2695"/>
      <c r="AH94" s="2695"/>
      <c r="AI94" s="2695"/>
      <c r="AJ94" s="2695"/>
      <c r="AK94" s="2695"/>
      <c r="AL94" s="2695"/>
      <c r="AM94" s="2695"/>
      <c r="AN94" s="2695"/>
      <c r="AO94" s="2695"/>
      <c r="AP94" s="2695"/>
      <c r="AQ94" s="2695"/>
      <c r="AR94" s="2695"/>
      <c r="AS94" s="2695"/>
      <c r="AT94" s="2703"/>
      <c r="AU94" s="2704"/>
      <c r="AV94" s="1074">
        <f t="shared" si="11"/>
        <v>0</v>
      </c>
      <c r="AW94" s="1074">
        <f t="shared" si="12"/>
        <v>0</v>
      </c>
      <c r="AX94" s="1074">
        <f t="shared" si="13"/>
        <v>0</v>
      </c>
      <c r="AY94" s="2279">
        <f t="shared" si="14"/>
        <v>0</v>
      </c>
      <c r="AZ94" s="2675">
        <f t="shared" si="15"/>
        <v>0</v>
      </c>
      <c r="BA94" s="2675">
        <f t="shared" si="16"/>
        <v>0</v>
      </c>
      <c r="BB94" s="2675">
        <f t="shared" si="17"/>
        <v>0</v>
      </c>
      <c r="BC94" s="2675">
        <f t="shared" si="18"/>
        <v>0</v>
      </c>
      <c r="BD94" s="2675">
        <f t="shared" si="19"/>
        <v>0</v>
      </c>
      <c r="BE94" s="2675">
        <f t="shared" si="20"/>
        <v>0</v>
      </c>
      <c r="BF94" s="2675">
        <f t="shared" si="21"/>
        <v>0</v>
      </c>
      <c r="BG94" s="2675">
        <f t="shared" si="22"/>
        <v>0</v>
      </c>
      <c r="BH94" s="2675">
        <f t="shared" si="23"/>
        <v>0</v>
      </c>
      <c r="BI94" s="2675">
        <f t="shared" si="24"/>
        <v>0</v>
      </c>
      <c r="BJ94" s="2675">
        <f t="shared" si="25"/>
        <v>0</v>
      </c>
      <c r="BK94" s="2675">
        <f t="shared" si="26"/>
        <v>0</v>
      </c>
      <c r="BL94" s="2675">
        <f t="shared" si="27"/>
        <v>0</v>
      </c>
      <c r="BM94" s="2675">
        <f t="shared" si="28"/>
        <v>0</v>
      </c>
      <c r="BN94" s="2675">
        <f t="shared" si="29"/>
        <v>0</v>
      </c>
      <c r="BO94" s="2675">
        <f t="shared" si="30"/>
        <v>0</v>
      </c>
      <c r="BP94" s="2675">
        <f t="shared" si="31"/>
        <v>0</v>
      </c>
      <c r="BQ94" s="2675">
        <f t="shared" si="32"/>
        <v>0</v>
      </c>
      <c r="BR94" s="2675">
        <f t="shared" si="33"/>
        <v>0</v>
      </c>
      <c r="BS94" s="2675">
        <f t="shared" si="34"/>
        <v>0</v>
      </c>
      <c r="BT94" s="2722">
        <f t="shared" si="35"/>
        <v>0</v>
      </c>
    </row>
    <row r="95" spans="1:72">
      <c r="A95" s="2673"/>
      <c r="B95" s="2674"/>
      <c r="C95" s="2674"/>
      <c r="D95" s="2277"/>
      <c r="E95" s="2675">
        <f t="shared" si="7"/>
        <v>0</v>
      </c>
      <c r="F95" s="2676"/>
      <c r="G95" s="2677">
        <f t="shared" si="8"/>
        <v>0</v>
      </c>
      <c r="H95" s="2678">
        <f t="shared" si="9"/>
        <v>0</v>
      </c>
      <c r="I95" s="2685"/>
      <c r="J95" s="2685"/>
      <c r="K95" s="2685"/>
      <c r="L95" s="2685"/>
      <c r="M95" s="2685"/>
      <c r="N95" s="2685"/>
      <c r="O95" s="2685"/>
      <c r="P95" s="2685"/>
      <c r="Q95" s="2685"/>
      <c r="R95" s="2685"/>
      <c r="S95" s="2685"/>
      <c r="T95" s="2685"/>
      <c r="U95" s="2685"/>
      <c r="V95" s="2685"/>
      <c r="W95" s="2685"/>
      <c r="X95" s="2685"/>
      <c r="Y95" s="2685"/>
      <c r="Z95" s="2685"/>
      <c r="AA95" s="2685"/>
      <c r="AB95" s="2685"/>
      <c r="AC95" s="2675">
        <f t="shared" si="10"/>
        <v>0</v>
      </c>
      <c r="AD95" s="2695"/>
      <c r="AE95" s="2695"/>
      <c r="AF95" s="2695"/>
      <c r="AG95" s="2695"/>
      <c r="AH95" s="2695"/>
      <c r="AI95" s="2695"/>
      <c r="AJ95" s="2695"/>
      <c r="AK95" s="2695"/>
      <c r="AL95" s="2695"/>
      <c r="AM95" s="2695"/>
      <c r="AN95" s="2695"/>
      <c r="AO95" s="2695"/>
      <c r="AP95" s="2695"/>
      <c r="AQ95" s="2695"/>
      <c r="AR95" s="2695"/>
      <c r="AS95" s="2695"/>
      <c r="AT95" s="2703"/>
      <c r="AU95" s="2704"/>
      <c r="AV95" s="1074">
        <f t="shared" si="11"/>
        <v>0</v>
      </c>
      <c r="AW95" s="1074">
        <f t="shared" si="12"/>
        <v>0</v>
      </c>
      <c r="AX95" s="1074">
        <f t="shared" si="13"/>
        <v>0</v>
      </c>
      <c r="AY95" s="2279">
        <f t="shared" si="14"/>
        <v>0</v>
      </c>
      <c r="AZ95" s="2675">
        <f t="shared" si="15"/>
        <v>0</v>
      </c>
      <c r="BA95" s="2675">
        <f t="shared" si="16"/>
        <v>0</v>
      </c>
      <c r="BB95" s="2675">
        <f t="shared" si="17"/>
        <v>0</v>
      </c>
      <c r="BC95" s="2675">
        <f t="shared" si="18"/>
        <v>0</v>
      </c>
      <c r="BD95" s="2675">
        <f t="shared" si="19"/>
        <v>0</v>
      </c>
      <c r="BE95" s="2675">
        <f t="shared" si="20"/>
        <v>0</v>
      </c>
      <c r="BF95" s="2675">
        <f t="shared" si="21"/>
        <v>0</v>
      </c>
      <c r="BG95" s="2675">
        <f t="shared" si="22"/>
        <v>0</v>
      </c>
      <c r="BH95" s="2675">
        <f t="shared" si="23"/>
        <v>0</v>
      </c>
      <c r="BI95" s="2675">
        <f t="shared" si="24"/>
        <v>0</v>
      </c>
      <c r="BJ95" s="2675">
        <f t="shared" si="25"/>
        <v>0</v>
      </c>
      <c r="BK95" s="2675">
        <f t="shared" si="26"/>
        <v>0</v>
      </c>
      <c r="BL95" s="2675">
        <f t="shared" si="27"/>
        <v>0</v>
      </c>
      <c r="BM95" s="2675">
        <f t="shared" si="28"/>
        <v>0</v>
      </c>
      <c r="BN95" s="2675">
        <f t="shared" si="29"/>
        <v>0</v>
      </c>
      <c r="BO95" s="2675">
        <f t="shared" si="30"/>
        <v>0</v>
      </c>
      <c r="BP95" s="2675">
        <f t="shared" si="31"/>
        <v>0</v>
      </c>
      <c r="BQ95" s="2675">
        <f t="shared" si="32"/>
        <v>0</v>
      </c>
      <c r="BR95" s="2675">
        <f t="shared" si="33"/>
        <v>0</v>
      </c>
      <c r="BS95" s="2675">
        <f t="shared" si="34"/>
        <v>0</v>
      </c>
      <c r="BT95" s="2722">
        <f t="shared" si="35"/>
        <v>0</v>
      </c>
    </row>
    <row r="96" spans="1:72">
      <c r="A96" s="2673"/>
      <c r="B96" s="2674"/>
      <c r="C96" s="2674"/>
      <c r="D96" s="2277"/>
      <c r="E96" s="2675">
        <f t="shared" si="7"/>
        <v>0</v>
      </c>
      <c r="F96" s="2676"/>
      <c r="G96" s="2677">
        <f t="shared" si="8"/>
        <v>0</v>
      </c>
      <c r="H96" s="2678">
        <f t="shared" si="9"/>
        <v>0</v>
      </c>
      <c r="I96" s="2685"/>
      <c r="J96" s="2685"/>
      <c r="K96" s="2685"/>
      <c r="L96" s="2685"/>
      <c r="M96" s="2685"/>
      <c r="N96" s="2685"/>
      <c r="O96" s="2685"/>
      <c r="P96" s="2685"/>
      <c r="Q96" s="2685"/>
      <c r="R96" s="2685"/>
      <c r="S96" s="2685"/>
      <c r="T96" s="2685"/>
      <c r="U96" s="2685"/>
      <c r="V96" s="2685"/>
      <c r="W96" s="2685"/>
      <c r="X96" s="2685"/>
      <c r="Y96" s="2685"/>
      <c r="Z96" s="2685"/>
      <c r="AA96" s="2685"/>
      <c r="AB96" s="2685"/>
      <c r="AC96" s="2675">
        <f t="shared" si="10"/>
        <v>0</v>
      </c>
      <c r="AD96" s="2695"/>
      <c r="AE96" s="2695"/>
      <c r="AF96" s="2695"/>
      <c r="AG96" s="2695"/>
      <c r="AH96" s="2695"/>
      <c r="AI96" s="2695"/>
      <c r="AJ96" s="2695"/>
      <c r="AK96" s="2695"/>
      <c r="AL96" s="2695"/>
      <c r="AM96" s="2695"/>
      <c r="AN96" s="2695"/>
      <c r="AO96" s="2695"/>
      <c r="AP96" s="2695"/>
      <c r="AQ96" s="2695"/>
      <c r="AR96" s="2695"/>
      <c r="AS96" s="2695"/>
      <c r="AT96" s="2703"/>
      <c r="AU96" s="2704"/>
      <c r="AV96" s="1074">
        <f t="shared" si="11"/>
        <v>0</v>
      </c>
      <c r="AW96" s="1074">
        <f t="shared" si="12"/>
        <v>0</v>
      </c>
      <c r="AX96" s="1074">
        <f t="shared" si="13"/>
        <v>0</v>
      </c>
      <c r="AY96" s="2279">
        <f t="shared" si="14"/>
        <v>0</v>
      </c>
      <c r="AZ96" s="2675">
        <f t="shared" si="15"/>
        <v>0</v>
      </c>
      <c r="BA96" s="2675">
        <f t="shared" si="16"/>
        <v>0</v>
      </c>
      <c r="BB96" s="2675">
        <f t="shared" si="17"/>
        <v>0</v>
      </c>
      <c r="BC96" s="2675">
        <f t="shared" si="18"/>
        <v>0</v>
      </c>
      <c r="BD96" s="2675">
        <f t="shared" si="19"/>
        <v>0</v>
      </c>
      <c r="BE96" s="2675">
        <f t="shared" si="20"/>
        <v>0</v>
      </c>
      <c r="BF96" s="2675">
        <f t="shared" si="21"/>
        <v>0</v>
      </c>
      <c r="BG96" s="2675">
        <f t="shared" si="22"/>
        <v>0</v>
      </c>
      <c r="BH96" s="2675">
        <f t="shared" si="23"/>
        <v>0</v>
      </c>
      <c r="BI96" s="2675">
        <f t="shared" si="24"/>
        <v>0</v>
      </c>
      <c r="BJ96" s="2675">
        <f t="shared" si="25"/>
        <v>0</v>
      </c>
      <c r="BK96" s="2675">
        <f t="shared" si="26"/>
        <v>0</v>
      </c>
      <c r="BL96" s="2675">
        <f t="shared" si="27"/>
        <v>0</v>
      </c>
      <c r="BM96" s="2675">
        <f t="shared" si="28"/>
        <v>0</v>
      </c>
      <c r="BN96" s="2675">
        <f t="shared" si="29"/>
        <v>0</v>
      </c>
      <c r="BO96" s="2675">
        <f t="shared" si="30"/>
        <v>0</v>
      </c>
      <c r="BP96" s="2675">
        <f t="shared" si="31"/>
        <v>0</v>
      </c>
      <c r="BQ96" s="2675">
        <f t="shared" si="32"/>
        <v>0</v>
      </c>
      <c r="BR96" s="2675">
        <f t="shared" si="33"/>
        <v>0</v>
      </c>
      <c r="BS96" s="2675">
        <f t="shared" si="34"/>
        <v>0</v>
      </c>
      <c r="BT96" s="2722">
        <f t="shared" si="35"/>
        <v>0</v>
      </c>
    </row>
    <row r="97" spans="1:72">
      <c r="A97" s="2673"/>
      <c r="B97" s="2674"/>
      <c r="C97" s="2674"/>
      <c r="D97" s="2277"/>
      <c r="E97" s="2675">
        <f t="shared" si="7"/>
        <v>0</v>
      </c>
      <c r="F97" s="2676"/>
      <c r="G97" s="2677">
        <f t="shared" si="8"/>
        <v>0</v>
      </c>
      <c r="H97" s="2678">
        <f t="shared" si="9"/>
        <v>0</v>
      </c>
      <c r="I97" s="2685"/>
      <c r="J97" s="2685"/>
      <c r="K97" s="2685"/>
      <c r="L97" s="2685"/>
      <c r="M97" s="2685"/>
      <c r="N97" s="2685"/>
      <c r="O97" s="2685"/>
      <c r="P97" s="2685"/>
      <c r="Q97" s="2685"/>
      <c r="R97" s="2685"/>
      <c r="S97" s="2685"/>
      <c r="T97" s="2685"/>
      <c r="U97" s="2685"/>
      <c r="V97" s="2685"/>
      <c r="W97" s="2685"/>
      <c r="X97" s="2685"/>
      <c r="Y97" s="2685"/>
      <c r="Z97" s="2685"/>
      <c r="AA97" s="2685"/>
      <c r="AB97" s="2685"/>
      <c r="AC97" s="2675">
        <f t="shared" si="10"/>
        <v>0</v>
      </c>
      <c r="AD97" s="2695"/>
      <c r="AE97" s="2695"/>
      <c r="AF97" s="2695"/>
      <c r="AG97" s="2695"/>
      <c r="AH97" s="2695"/>
      <c r="AI97" s="2695"/>
      <c r="AJ97" s="2695"/>
      <c r="AK97" s="2695"/>
      <c r="AL97" s="2695"/>
      <c r="AM97" s="2695"/>
      <c r="AN97" s="2695"/>
      <c r="AO97" s="2695"/>
      <c r="AP97" s="2695"/>
      <c r="AQ97" s="2695"/>
      <c r="AR97" s="2695"/>
      <c r="AS97" s="2695"/>
      <c r="AT97" s="2703"/>
      <c r="AU97" s="2704"/>
      <c r="AV97" s="1074">
        <f t="shared" si="11"/>
        <v>0</v>
      </c>
      <c r="AW97" s="1074">
        <f t="shared" si="12"/>
        <v>0</v>
      </c>
      <c r="AX97" s="1074">
        <f t="shared" si="13"/>
        <v>0</v>
      </c>
      <c r="AY97" s="2279">
        <f t="shared" si="14"/>
        <v>0</v>
      </c>
      <c r="AZ97" s="2675">
        <f t="shared" si="15"/>
        <v>0</v>
      </c>
      <c r="BA97" s="2675">
        <f t="shared" si="16"/>
        <v>0</v>
      </c>
      <c r="BB97" s="2675">
        <f t="shared" si="17"/>
        <v>0</v>
      </c>
      <c r="BC97" s="2675">
        <f t="shared" si="18"/>
        <v>0</v>
      </c>
      <c r="BD97" s="2675">
        <f t="shared" si="19"/>
        <v>0</v>
      </c>
      <c r="BE97" s="2675">
        <f t="shared" si="20"/>
        <v>0</v>
      </c>
      <c r="BF97" s="2675">
        <f t="shared" si="21"/>
        <v>0</v>
      </c>
      <c r="BG97" s="2675">
        <f t="shared" si="22"/>
        <v>0</v>
      </c>
      <c r="BH97" s="2675">
        <f t="shared" si="23"/>
        <v>0</v>
      </c>
      <c r="BI97" s="2675">
        <f t="shared" si="24"/>
        <v>0</v>
      </c>
      <c r="BJ97" s="2675">
        <f t="shared" si="25"/>
        <v>0</v>
      </c>
      <c r="BK97" s="2675">
        <f t="shared" si="26"/>
        <v>0</v>
      </c>
      <c r="BL97" s="2675">
        <f t="shared" si="27"/>
        <v>0</v>
      </c>
      <c r="BM97" s="2675">
        <f t="shared" si="28"/>
        <v>0</v>
      </c>
      <c r="BN97" s="2675">
        <f t="shared" si="29"/>
        <v>0</v>
      </c>
      <c r="BO97" s="2675">
        <f t="shared" si="30"/>
        <v>0</v>
      </c>
      <c r="BP97" s="2675">
        <f t="shared" si="31"/>
        <v>0</v>
      </c>
      <c r="BQ97" s="2675">
        <f t="shared" si="32"/>
        <v>0</v>
      </c>
      <c r="BR97" s="2675">
        <f t="shared" si="33"/>
        <v>0</v>
      </c>
      <c r="BS97" s="2675">
        <f t="shared" si="34"/>
        <v>0</v>
      </c>
      <c r="BT97" s="2722">
        <f t="shared" si="35"/>
        <v>0</v>
      </c>
    </row>
    <row r="98" spans="1:72">
      <c r="A98" s="2673"/>
      <c r="B98" s="2674"/>
      <c r="C98" s="2674"/>
      <c r="D98" s="2277"/>
      <c r="E98" s="2675">
        <f t="shared" si="7"/>
        <v>0</v>
      </c>
      <c r="F98" s="2676"/>
      <c r="G98" s="2677">
        <f t="shared" si="8"/>
        <v>0</v>
      </c>
      <c r="H98" s="2678">
        <f t="shared" si="9"/>
        <v>0</v>
      </c>
      <c r="I98" s="2685"/>
      <c r="J98" s="2685"/>
      <c r="K98" s="2685"/>
      <c r="L98" s="2685"/>
      <c r="M98" s="2685"/>
      <c r="N98" s="2685"/>
      <c r="O98" s="2685"/>
      <c r="P98" s="2685"/>
      <c r="Q98" s="2685"/>
      <c r="R98" s="2685"/>
      <c r="S98" s="2685"/>
      <c r="T98" s="2685"/>
      <c r="U98" s="2685"/>
      <c r="V98" s="2685"/>
      <c r="W98" s="2685"/>
      <c r="X98" s="2685"/>
      <c r="Y98" s="2685"/>
      <c r="Z98" s="2685"/>
      <c r="AA98" s="2685"/>
      <c r="AB98" s="2685"/>
      <c r="AC98" s="2675">
        <f t="shared" si="10"/>
        <v>0</v>
      </c>
      <c r="AD98" s="2695"/>
      <c r="AE98" s="2695"/>
      <c r="AF98" s="2695"/>
      <c r="AG98" s="2695"/>
      <c r="AH98" s="2695"/>
      <c r="AI98" s="2695"/>
      <c r="AJ98" s="2695"/>
      <c r="AK98" s="2695"/>
      <c r="AL98" s="2695"/>
      <c r="AM98" s="2695"/>
      <c r="AN98" s="2695"/>
      <c r="AO98" s="2695"/>
      <c r="AP98" s="2695"/>
      <c r="AQ98" s="2695"/>
      <c r="AR98" s="2695"/>
      <c r="AS98" s="2695"/>
      <c r="AT98" s="2703"/>
      <c r="AU98" s="2704"/>
      <c r="AV98" s="1074">
        <f t="shared" si="11"/>
        <v>0</v>
      </c>
      <c r="AW98" s="1074">
        <f t="shared" si="12"/>
        <v>0</v>
      </c>
      <c r="AX98" s="1074">
        <f t="shared" si="13"/>
        <v>0</v>
      </c>
      <c r="AY98" s="2279">
        <f t="shared" si="14"/>
        <v>0</v>
      </c>
      <c r="AZ98" s="2675">
        <f t="shared" si="15"/>
        <v>0</v>
      </c>
      <c r="BA98" s="2675">
        <f t="shared" si="16"/>
        <v>0</v>
      </c>
      <c r="BB98" s="2675">
        <f t="shared" si="17"/>
        <v>0</v>
      </c>
      <c r="BC98" s="2675">
        <f t="shared" si="18"/>
        <v>0</v>
      </c>
      <c r="BD98" s="2675">
        <f t="shared" si="19"/>
        <v>0</v>
      </c>
      <c r="BE98" s="2675">
        <f t="shared" si="20"/>
        <v>0</v>
      </c>
      <c r="BF98" s="2675">
        <f t="shared" si="21"/>
        <v>0</v>
      </c>
      <c r="BG98" s="2675">
        <f t="shared" si="22"/>
        <v>0</v>
      </c>
      <c r="BH98" s="2675">
        <f t="shared" si="23"/>
        <v>0</v>
      </c>
      <c r="BI98" s="2675">
        <f t="shared" si="24"/>
        <v>0</v>
      </c>
      <c r="BJ98" s="2675">
        <f t="shared" si="25"/>
        <v>0</v>
      </c>
      <c r="BK98" s="2675">
        <f t="shared" si="26"/>
        <v>0</v>
      </c>
      <c r="BL98" s="2675">
        <f t="shared" si="27"/>
        <v>0</v>
      </c>
      <c r="BM98" s="2675">
        <f t="shared" si="28"/>
        <v>0</v>
      </c>
      <c r="BN98" s="2675">
        <f t="shared" si="29"/>
        <v>0</v>
      </c>
      <c r="BO98" s="2675">
        <f t="shared" si="30"/>
        <v>0</v>
      </c>
      <c r="BP98" s="2675">
        <f t="shared" si="31"/>
        <v>0</v>
      </c>
      <c r="BQ98" s="2675">
        <f t="shared" si="32"/>
        <v>0</v>
      </c>
      <c r="BR98" s="2675">
        <f t="shared" si="33"/>
        <v>0</v>
      </c>
      <c r="BS98" s="2675">
        <f t="shared" si="34"/>
        <v>0</v>
      </c>
      <c r="BT98" s="2722">
        <f t="shared" si="35"/>
        <v>0</v>
      </c>
    </row>
    <row r="99" spans="1:72">
      <c r="A99" s="2673"/>
      <c r="B99" s="2674"/>
      <c r="C99" s="2674"/>
      <c r="D99" s="2277"/>
      <c r="E99" s="2675">
        <f t="shared" si="7"/>
        <v>0</v>
      </c>
      <c r="F99" s="2676"/>
      <c r="G99" s="2677">
        <f t="shared" si="8"/>
        <v>0</v>
      </c>
      <c r="H99" s="2678">
        <f t="shared" si="9"/>
        <v>0</v>
      </c>
      <c r="I99" s="2685"/>
      <c r="J99" s="2685"/>
      <c r="K99" s="2685"/>
      <c r="L99" s="2685"/>
      <c r="M99" s="2685"/>
      <c r="N99" s="2685"/>
      <c r="O99" s="2685"/>
      <c r="P99" s="2685"/>
      <c r="Q99" s="2685"/>
      <c r="R99" s="2685"/>
      <c r="S99" s="2685"/>
      <c r="T99" s="2685"/>
      <c r="U99" s="2685"/>
      <c r="V99" s="2685"/>
      <c r="W99" s="2685"/>
      <c r="X99" s="2685"/>
      <c r="Y99" s="2685"/>
      <c r="Z99" s="2685"/>
      <c r="AA99" s="2685"/>
      <c r="AB99" s="2685"/>
      <c r="AC99" s="2675">
        <f t="shared" si="10"/>
        <v>0</v>
      </c>
      <c r="AD99" s="2695"/>
      <c r="AE99" s="2695"/>
      <c r="AF99" s="2695"/>
      <c r="AG99" s="2695"/>
      <c r="AH99" s="2695"/>
      <c r="AI99" s="2695"/>
      <c r="AJ99" s="2695"/>
      <c r="AK99" s="2695"/>
      <c r="AL99" s="2695"/>
      <c r="AM99" s="2695"/>
      <c r="AN99" s="2695"/>
      <c r="AO99" s="2695"/>
      <c r="AP99" s="2695"/>
      <c r="AQ99" s="2695"/>
      <c r="AR99" s="2695"/>
      <c r="AS99" s="2695"/>
      <c r="AT99" s="2703"/>
      <c r="AU99" s="2704"/>
      <c r="AV99" s="1074">
        <f t="shared" si="11"/>
        <v>0</v>
      </c>
      <c r="AW99" s="1074">
        <f t="shared" si="12"/>
        <v>0</v>
      </c>
      <c r="AX99" s="1074">
        <f t="shared" si="13"/>
        <v>0</v>
      </c>
      <c r="AY99" s="2279">
        <f t="shared" si="14"/>
        <v>0</v>
      </c>
      <c r="AZ99" s="2675">
        <f t="shared" si="15"/>
        <v>0</v>
      </c>
      <c r="BA99" s="2675">
        <f t="shared" si="16"/>
        <v>0</v>
      </c>
      <c r="BB99" s="2675">
        <f t="shared" si="17"/>
        <v>0</v>
      </c>
      <c r="BC99" s="2675">
        <f t="shared" si="18"/>
        <v>0</v>
      </c>
      <c r="BD99" s="2675">
        <f t="shared" si="19"/>
        <v>0</v>
      </c>
      <c r="BE99" s="2675">
        <f t="shared" si="20"/>
        <v>0</v>
      </c>
      <c r="BF99" s="2675">
        <f t="shared" si="21"/>
        <v>0</v>
      </c>
      <c r="BG99" s="2675">
        <f t="shared" si="22"/>
        <v>0</v>
      </c>
      <c r="BH99" s="2675">
        <f t="shared" si="23"/>
        <v>0</v>
      </c>
      <c r="BI99" s="2675">
        <f t="shared" si="24"/>
        <v>0</v>
      </c>
      <c r="BJ99" s="2675">
        <f t="shared" si="25"/>
        <v>0</v>
      </c>
      <c r="BK99" s="2675">
        <f t="shared" si="26"/>
        <v>0</v>
      </c>
      <c r="BL99" s="2675">
        <f t="shared" si="27"/>
        <v>0</v>
      </c>
      <c r="BM99" s="2675">
        <f t="shared" si="28"/>
        <v>0</v>
      </c>
      <c r="BN99" s="2675">
        <f t="shared" si="29"/>
        <v>0</v>
      </c>
      <c r="BO99" s="2675">
        <f t="shared" si="30"/>
        <v>0</v>
      </c>
      <c r="BP99" s="2675">
        <f t="shared" si="31"/>
        <v>0</v>
      </c>
      <c r="BQ99" s="2675">
        <f t="shared" si="32"/>
        <v>0</v>
      </c>
      <c r="BR99" s="2675">
        <f t="shared" si="33"/>
        <v>0</v>
      </c>
      <c r="BS99" s="2675">
        <f t="shared" si="34"/>
        <v>0</v>
      </c>
      <c r="BT99" s="2722">
        <f t="shared" si="35"/>
        <v>0</v>
      </c>
    </row>
    <row r="100" spans="1:72">
      <c r="A100" s="2673"/>
      <c r="B100" s="2674"/>
      <c r="C100" s="2674"/>
      <c r="D100" s="2277"/>
      <c r="E100" s="2675">
        <f t="shared" si="7"/>
        <v>0</v>
      </c>
      <c r="F100" s="2676"/>
      <c r="G100" s="2677">
        <f t="shared" si="8"/>
        <v>0</v>
      </c>
      <c r="H100" s="2678">
        <f t="shared" si="9"/>
        <v>0</v>
      </c>
      <c r="I100" s="2685"/>
      <c r="J100" s="2685"/>
      <c r="K100" s="2685"/>
      <c r="L100" s="2685"/>
      <c r="M100" s="2685"/>
      <c r="N100" s="2685"/>
      <c r="O100" s="2685"/>
      <c r="P100" s="2685"/>
      <c r="Q100" s="2685"/>
      <c r="R100" s="2685"/>
      <c r="S100" s="2685"/>
      <c r="T100" s="2685"/>
      <c r="U100" s="2685"/>
      <c r="V100" s="2685"/>
      <c r="W100" s="2685"/>
      <c r="X100" s="2685"/>
      <c r="Y100" s="2685"/>
      <c r="Z100" s="2685"/>
      <c r="AA100" s="2685"/>
      <c r="AB100" s="2685"/>
      <c r="AC100" s="2675">
        <f t="shared" si="10"/>
        <v>0</v>
      </c>
      <c r="AD100" s="2695"/>
      <c r="AE100" s="2695"/>
      <c r="AF100" s="2695"/>
      <c r="AG100" s="2695"/>
      <c r="AH100" s="2695"/>
      <c r="AI100" s="2695"/>
      <c r="AJ100" s="2695"/>
      <c r="AK100" s="2695"/>
      <c r="AL100" s="2695"/>
      <c r="AM100" s="2695"/>
      <c r="AN100" s="2695"/>
      <c r="AO100" s="2695"/>
      <c r="AP100" s="2695"/>
      <c r="AQ100" s="2695"/>
      <c r="AR100" s="2695"/>
      <c r="AS100" s="2695"/>
      <c r="AT100" s="2703"/>
      <c r="AU100" s="2704"/>
      <c r="AV100" s="1074">
        <f t="shared" si="11"/>
        <v>0</v>
      </c>
      <c r="AW100" s="1074">
        <f t="shared" si="12"/>
        <v>0</v>
      </c>
      <c r="AX100" s="1074">
        <f t="shared" si="13"/>
        <v>0</v>
      </c>
      <c r="AY100" s="2279">
        <f t="shared" si="14"/>
        <v>0</v>
      </c>
      <c r="AZ100" s="2675">
        <f t="shared" si="15"/>
        <v>0</v>
      </c>
      <c r="BA100" s="2675">
        <f t="shared" si="16"/>
        <v>0</v>
      </c>
      <c r="BB100" s="2675">
        <f t="shared" si="17"/>
        <v>0</v>
      </c>
      <c r="BC100" s="2675">
        <f t="shared" si="18"/>
        <v>0</v>
      </c>
      <c r="BD100" s="2675">
        <f t="shared" si="19"/>
        <v>0</v>
      </c>
      <c r="BE100" s="2675">
        <f t="shared" si="20"/>
        <v>0</v>
      </c>
      <c r="BF100" s="2675">
        <f t="shared" si="21"/>
        <v>0</v>
      </c>
      <c r="BG100" s="2675">
        <f t="shared" si="22"/>
        <v>0</v>
      </c>
      <c r="BH100" s="2675">
        <f t="shared" si="23"/>
        <v>0</v>
      </c>
      <c r="BI100" s="2675">
        <f t="shared" si="24"/>
        <v>0</v>
      </c>
      <c r="BJ100" s="2675">
        <f t="shared" si="25"/>
        <v>0</v>
      </c>
      <c r="BK100" s="2675">
        <f t="shared" si="26"/>
        <v>0</v>
      </c>
      <c r="BL100" s="2675">
        <f t="shared" si="27"/>
        <v>0</v>
      </c>
      <c r="BM100" s="2675">
        <f t="shared" si="28"/>
        <v>0</v>
      </c>
      <c r="BN100" s="2675">
        <f t="shared" si="29"/>
        <v>0</v>
      </c>
      <c r="BO100" s="2675">
        <f t="shared" si="30"/>
        <v>0</v>
      </c>
      <c r="BP100" s="2675">
        <f t="shared" si="31"/>
        <v>0</v>
      </c>
      <c r="BQ100" s="2675">
        <f t="shared" si="32"/>
        <v>0</v>
      </c>
      <c r="BR100" s="2675">
        <f t="shared" si="33"/>
        <v>0</v>
      </c>
      <c r="BS100" s="2675">
        <f t="shared" si="34"/>
        <v>0</v>
      </c>
      <c r="BT100" s="2722">
        <f t="shared" si="35"/>
        <v>0</v>
      </c>
    </row>
    <row r="101" spans="1:72">
      <c r="A101" s="2673"/>
      <c r="B101" s="2674"/>
      <c r="C101" s="2674"/>
      <c r="D101" s="2277"/>
      <c r="E101" s="2675">
        <f t="shared" si="7"/>
        <v>0</v>
      </c>
      <c r="F101" s="2676"/>
      <c r="G101" s="2677">
        <f t="shared" si="8"/>
        <v>0</v>
      </c>
      <c r="H101" s="2678">
        <f t="shared" si="9"/>
        <v>0</v>
      </c>
      <c r="I101" s="2685"/>
      <c r="J101" s="2685"/>
      <c r="K101" s="2685"/>
      <c r="L101" s="2685"/>
      <c r="M101" s="2685"/>
      <c r="N101" s="2685"/>
      <c r="O101" s="2685"/>
      <c r="P101" s="2685"/>
      <c r="Q101" s="2685"/>
      <c r="R101" s="2685"/>
      <c r="S101" s="2685"/>
      <c r="T101" s="2685"/>
      <c r="U101" s="2685"/>
      <c r="V101" s="2685"/>
      <c r="W101" s="2685"/>
      <c r="X101" s="2685"/>
      <c r="Y101" s="2685"/>
      <c r="Z101" s="2685"/>
      <c r="AA101" s="2685"/>
      <c r="AB101" s="2685"/>
      <c r="AC101" s="2675">
        <f t="shared" si="10"/>
        <v>0</v>
      </c>
      <c r="AD101" s="2695"/>
      <c r="AE101" s="2695"/>
      <c r="AF101" s="2695"/>
      <c r="AG101" s="2695"/>
      <c r="AH101" s="2695"/>
      <c r="AI101" s="2695"/>
      <c r="AJ101" s="2695"/>
      <c r="AK101" s="2695"/>
      <c r="AL101" s="2695"/>
      <c r="AM101" s="2695"/>
      <c r="AN101" s="2695"/>
      <c r="AO101" s="2695"/>
      <c r="AP101" s="2695"/>
      <c r="AQ101" s="2695"/>
      <c r="AR101" s="2695"/>
      <c r="AS101" s="2695"/>
      <c r="AT101" s="2703"/>
      <c r="AU101" s="2704"/>
      <c r="AV101" s="1074">
        <f t="shared" si="11"/>
        <v>0</v>
      </c>
      <c r="AW101" s="1074">
        <f t="shared" si="12"/>
        <v>0</v>
      </c>
      <c r="AX101" s="1074">
        <f t="shared" si="13"/>
        <v>0</v>
      </c>
      <c r="AY101" s="2279">
        <f t="shared" si="14"/>
        <v>0</v>
      </c>
      <c r="AZ101" s="2675">
        <f t="shared" si="15"/>
        <v>0</v>
      </c>
      <c r="BA101" s="2675">
        <f t="shared" si="16"/>
        <v>0</v>
      </c>
      <c r="BB101" s="2675">
        <f t="shared" si="17"/>
        <v>0</v>
      </c>
      <c r="BC101" s="2675">
        <f t="shared" si="18"/>
        <v>0</v>
      </c>
      <c r="BD101" s="2675">
        <f t="shared" si="19"/>
        <v>0</v>
      </c>
      <c r="BE101" s="2675">
        <f t="shared" si="20"/>
        <v>0</v>
      </c>
      <c r="BF101" s="2675">
        <f t="shared" si="21"/>
        <v>0</v>
      </c>
      <c r="BG101" s="2675">
        <f t="shared" si="22"/>
        <v>0</v>
      </c>
      <c r="BH101" s="2675">
        <f t="shared" si="23"/>
        <v>0</v>
      </c>
      <c r="BI101" s="2675">
        <f t="shared" si="24"/>
        <v>0</v>
      </c>
      <c r="BJ101" s="2675">
        <f t="shared" si="25"/>
        <v>0</v>
      </c>
      <c r="BK101" s="2675">
        <f t="shared" si="26"/>
        <v>0</v>
      </c>
      <c r="BL101" s="2675">
        <f t="shared" si="27"/>
        <v>0</v>
      </c>
      <c r="BM101" s="2675">
        <f t="shared" si="28"/>
        <v>0</v>
      </c>
      <c r="BN101" s="2675">
        <f t="shared" si="29"/>
        <v>0</v>
      </c>
      <c r="BO101" s="2675">
        <f t="shared" si="30"/>
        <v>0</v>
      </c>
      <c r="BP101" s="2675">
        <f t="shared" si="31"/>
        <v>0</v>
      </c>
      <c r="BQ101" s="2675">
        <f t="shared" si="32"/>
        <v>0</v>
      </c>
      <c r="BR101" s="2675">
        <f t="shared" si="33"/>
        <v>0</v>
      </c>
      <c r="BS101" s="2675">
        <f t="shared" si="34"/>
        <v>0</v>
      </c>
      <c r="BT101" s="2722">
        <f t="shared" si="35"/>
        <v>0</v>
      </c>
    </row>
    <row r="102" spans="1:72">
      <c r="A102" s="2673"/>
      <c r="B102" s="2674"/>
      <c r="C102" s="2674"/>
      <c r="D102" s="2277"/>
      <c r="E102" s="2675">
        <f t="shared" si="7"/>
        <v>0</v>
      </c>
      <c r="F102" s="2676"/>
      <c r="G102" s="2677">
        <f t="shared" si="8"/>
        <v>0</v>
      </c>
      <c r="H102" s="2678">
        <f t="shared" si="9"/>
        <v>0</v>
      </c>
      <c r="I102" s="2685"/>
      <c r="J102" s="2685"/>
      <c r="K102" s="2685"/>
      <c r="L102" s="2685"/>
      <c r="M102" s="2685"/>
      <c r="N102" s="2685"/>
      <c r="O102" s="2685"/>
      <c r="P102" s="2685"/>
      <c r="Q102" s="2685"/>
      <c r="R102" s="2685"/>
      <c r="S102" s="2685"/>
      <c r="T102" s="2685"/>
      <c r="U102" s="2685"/>
      <c r="V102" s="2685"/>
      <c r="W102" s="2685"/>
      <c r="X102" s="2685"/>
      <c r="Y102" s="2685"/>
      <c r="Z102" s="2685"/>
      <c r="AA102" s="2685"/>
      <c r="AB102" s="2685"/>
      <c r="AC102" s="2675">
        <f t="shared" si="10"/>
        <v>0</v>
      </c>
      <c r="AD102" s="2695"/>
      <c r="AE102" s="2695"/>
      <c r="AF102" s="2695"/>
      <c r="AG102" s="2695"/>
      <c r="AH102" s="2695"/>
      <c r="AI102" s="2695"/>
      <c r="AJ102" s="2695"/>
      <c r="AK102" s="2695"/>
      <c r="AL102" s="2695"/>
      <c r="AM102" s="2695"/>
      <c r="AN102" s="2695"/>
      <c r="AO102" s="2695"/>
      <c r="AP102" s="2695"/>
      <c r="AQ102" s="2695"/>
      <c r="AR102" s="2695"/>
      <c r="AS102" s="2695"/>
      <c r="AT102" s="2703"/>
      <c r="AU102" s="2704"/>
      <c r="AV102" s="1074">
        <f t="shared" si="11"/>
        <v>0</v>
      </c>
      <c r="AW102" s="1074">
        <f t="shared" si="12"/>
        <v>0</v>
      </c>
      <c r="AX102" s="1074">
        <f t="shared" si="13"/>
        <v>0</v>
      </c>
      <c r="AY102" s="2279">
        <f t="shared" si="14"/>
        <v>0</v>
      </c>
      <c r="AZ102" s="2675">
        <f t="shared" si="15"/>
        <v>0</v>
      </c>
      <c r="BA102" s="2675">
        <f t="shared" si="16"/>
        <v>0</v>
      </c>
      <c r="BB102" s="2675">
        <f t="shared" si="17"/>
        <v>0</v>
      </c>
      <c r="BC102" s="2675">
        <f t="shared" si="18"/>
        <v>0</v>
      </c>
      <c r="BD102" s="2675">
        <f t="shared" si="19"/>
        <v>0</v>
      </c>
      <c r="BE102" s="2675">
        <f t="shared" si="20"/>
        <v>0</v>
      </c>
      <c r="BF102" s="2675">
        <f t="shared" si="21"/>
        <v>0</v>
      </c>
      <c r="BG102" s="2675">
        <f t="shared" si="22"/>
        <v>0</v>
      </c>
      <c r="BH102" s="2675">
        <f t="shared" si="23"/>
        <v>0</v>
      </c>
      <c r="BI102" s="2675">
        <f t="shared" si="24"/>
        <v>0</v>
      </c>
      <c r="BJ102" s="2675">
        <f t="shared" si="25"/>
        <v>0</v>
      </c>
      <c r="BK102" s="2675">
        <f t="shared" si="26"/>
        <v>0</v>
      </c>
      <c r="BL102" s="2675">
        <f t="shared" si="27"/>
        <v>0</v>
      </c>
      <c r="BM102" s="2675">
        <f t="shared" si="28"/>
        <v>0</v>
      </c>
      <c r="BN102" s="2675">
        <f t="shared" si="29"/>
        <v>0</v>
      </c>
      <c r="BO102" s="2675">
        <f t="shared" si="30"/>
        <v>0</v>
      </c>
      <c r="BP102" s="2675">
        <f t="shared" si="31"/>
        <v>0</v>
      </c>
      <c r="BQ102" s="2675">
        <f t="shared" si="32"/>
        <v>0</v>
      </c>
      <c r="BR102" s="2675">
        <f t="shared" si="33"/>
        <v>0</v>
      </c>
      <c r="BS102" s="2675">
        <f t="shared" si="34"/>
        <v>0</v>
      </c>
      <c r="BT102" s="2722">
        <f t="shared" si="35"/>
        <v>0</v>
      </c>
    </row>
    <row r="103" spans="1:72">
      <c r="A103" s="2673"/>
      <c r="B103" s="2674"/>
      <c r="C103" s="2674"/>
      <c r="D103" s="2277"/>
      <c r="E103" s="2675">
        <f t="shared" si="7"/>
        <v>0</v>
      </c>
      <c r="F103" s="2676"/>
      <c r="G103" s="2677">
        <f t="shared" si="8"/>
        <v>0</v>
      </c>
      <c r="H103" s="2678">
        <f t="shared" si="9"/>
        <v>0</v>
      </c>
      <c r="I103" s="2685"/>
      <c r="J103" s="2685"/>
      <c r="K103" s="2685"/>
      <c r="L103" s="2685"/>
      <c r="M103" s="2685"/>
      <c r="N103" s="2685"/>
      <c r="O103" s="2685"/>
      <c r="P103" s="2685"/>
      <c r="Q103" s="2685"/>
      <c r="R103" s="2685"/>
      <c r="S103" s="2685"/>
      <c r="T103" s="2685"/>
      <c r="U103" s="2685"/>
      <c r="V103" s="2685"/>
      <c r="W103" s="2685"/>
      <c r="X103" s="2685"/>
      <c r="Y103" s="2685"/>
      <c r="Z103" s="2685"/>
      <c r="AA103" s="2685"/>
      <c r="AB103" s="2685"/>
      <c r="AC103" s="2675">
        <f t="shared" si="10"/>
        <v>0</v>
      </c>
      <c r="AD103" s="2695"/>
      <c r="AE103" s="2695"/>
      <c r="AF103" s="2695"/>
      <c r="AG103" s="2695"/>
      <c r="AH103" s="2695"/>
      <c r="AI103" s="2695"/>
      <c r="AJ103" s="2695"/>
      <c r="AK103" s="2695"/>
      <c r="AL103" s="2695"/>
      <c r="AM103" s="2695"/>
      <c r="AN103" s="2695"/>
      <c r="AO103" s="2695"/>
      <c r="AP103" s="2695"/>
      <c r="AQ103" s="2695"/>
      <c r="AR103" s="2695"/>
      <c r="AS103" s="2695"/>
      <c r="AT103" s="2703"/>
      <c r="AU103" s="2704"/>
      <c r="AV103" s="1074">
        <f t="shared" si="11"/>
        <v>0</v>
      </c>
      <c r="AW103" s="1074">
        <f t="shared" si="12"/>
        <v>0</v>
      </c>
      <c r="AX103" s="1074">
        <f t="shared" si="13"/>
        <v>0</v>
      </c>
      <c r="AY103" s="2279">
        <f t="shared" si="14"/>
        <v>0</v>
      </c>
      <c r="AZ103" s="2675">
        <f t="shared" si="15"/>
        <v>0</v>
      </c>
      <c r="BA103" s="2675">
        <f t="shared" si="16"/>
        <v>0</v>
      </c>
      <c r="BB103" s="2675">
        <f t="shared" si="17"/>
        <v>0</v>
      </c>
      <c r="BC103" s="2675">
        <f t="shared" si="18"/>
        <v>0</v>
      </c>
      <c r="BD103" s="2675">
        <f t="shared" si="19"/>
        <v>0</v>
      </c>
      <c r="BE103" s="2675">
        <f t="shared" si="20"/>
        <v>0</v>
      </c>
      <c r="BF103" s="2675">
        <f t="shared" si="21"/>
        <v>0</v>
      </c>
      <c r="BG103" s="2675">
        <f t="shared" si="22"/>
        <v>0</v>
      </c>
      <c r="BH103" s="2675">
        <f t="shared" si="23"/>
        <v>0</v>
      </c>
      <c r="BI103" s="2675">
        <f t="shared" si="24"/>
        <v>0</v>
      </c>
      <c r="BJ103" s="2675">
        <f t="shared" si="25"/>
        <v>0</v>
      </c>
      <c r="BK103" s="2675">
        <f t="shared" si="26"/>
        <v>0</v>
      </c>
      <c r="BL103" s="2675">
        <f t="shared" si="27"/>
        <v>0</v>
      </c>
      <c r="BM103" s="2675">
        <f t="shared" si="28"/>
        <v>0</v>
      </c>
      <c r="BN103" s="2675">
        <f t="shared" si="29"/>
        <v>0</v>
      </c>
      <c r="BO103" s="2675">
        <f t="shared" si="30"/>
        <v>0</v>
      </c>
      <c r="BP103" s="2675">
        <f t="shared" si="31"/>
        <v>0</v>
      </c>
      <c r="BQ103" s="2675">
        <f t="shared" si="32"/>
        <v>0</v>
      </c>
      <c r="BR103" s="2675">
        <f t="shared" si="33"/>
        <v>0</v>
      </c>
      <c r="BS103" s="2675">
        <f t="shared" si="34"/>
        <v>0</v>
      </c>
      <c r="BT103" s="2722">
        <f t="shared" si="35"/>
        <v>0</v>
      </c>
    </row>
    <row r="104" spans="1:72">
      <c r="A104" s="2673"/>
      <c r="B104" s="2674"/>
      <c r="C104" s="2674"/>
      <c r="D104" s="2277"/>
      <c r="E104" s="2675">
        <f t="shared" si="7"/>
        <v>0</v>
      </c>
      <c r="F104" s="2676"/>
      <c r="G104" s="2677">
        <f t="shared" si="8"/>
        <v>0</v>
      </c>
      <c r="H104" s="2678">
        <f t="shared" si="9"/>
        <v>0</v>
      </c>
      <c r="I104" s="2685"/>
      <c r="J104" s="2685"/>
      <c r="K104" s="2685"/>
      <c r="L104" s="2685"/>
      <c r="M104" s="2685"/>
      <c r="N104" s="2685"/>
      <c r="O104" s="2685"/>
      <c r="P104" s="2685"/>
      <c r="Q104" s="2685"/>
      <c r="R104" s="2685"/>
      <c r="S104" s="2685"/>
      <c r="T104" s="2685"/>
      <c r="U104" s="2685"/>
      <c r="V104" s="2685"/>
      <c r="W104" s="2685"/>
      <c r="X104" s="2685"/>
      <c r="Y104" s="2685"/>
      <c r="Z104" s="2685"/>
      <c r="AA104" s="2685"/>
      <c r="AB104" s="2685"/>
      <c r="AC104" s="2675">
        <f t="shared" si="10"/>
        <v>0</v>
      </c>
      <c r="AD104" s="2695"/>
      <c r="AE104" s="2695"/>
      <c r="AF104" s="2695"/>
      <c r="AG104" s="2695"/>
      <c r="AH104" s="2695"/>
      <c r="AI104" s="2695"/>
      <c r="AJ104" s="2695"/>
      <c r="AK104" s="2695"/>
      <c r="AL104" s="2695"/>
      <c r="AM104" s="2695"/>
      <c r="AN104" s="2695"/>
      <c r="AO104" s="2695"/>
      <c r="AP104" s="2695"/>
      <c r="AQ104" s="2695"/>
      <c r="AR104" s="2695"/>
      <c r="AS104" s="2695"/>
      <c r="AT104" s="2703"/>
      <c r="AU104" s="2704"/>
      <c r="AV104" s="1074">
        <f t="shared" si="11"/>
        <v>0</v>
      </c>
      <c r="AW104" s="1074">
        <f t="shared" si="12"/>
        <v>0</v>
      </c>
      <c r="AX104" s="1074">
        <f t="shared" si="13"/>
        <v>0</v>
      </c>
      <c r="AY104" s="2279">
        <f t="shared" si="14"/>
        <v>0</v>
      </c>
      <c r="AZ104" s="2675">
        <f t="shared" si="15"/>
        <v>0</v>
      </c>
      <c r="BA104" s="2675">
        <f t="shared" si="16"/>
        <v>0</v>
      </c>
      <c r="BB104" s="2675">
        <f t="shared" si="17"/>
        <v>0</v>
      </c>
      <c r="BC104" s="2675">
        <f t="shared" si="18"/>
        <v>0</v>
      </c>
      <c r="BD104" s="2675">
        <f t="shared" si="19"/>
        <v>0</v>
      </c>
      <c r="BE104" s="2675">
        <f t="shared" si="20"/>
        <v>0</v>
      </c>
      <c r="BF104" s="2675">
        <f t="shared" si="21"/>
        <v>0</v>
      </c>
      <c r="BG104" s="2675">
        <f t="shared" si="22"/>
        <v>0</v>
      </c>
      <c r="BH104" s="2675">
        <f t="shared" si="23"/>
        <v>0</v>
      </c>
      <c r="BI104" s="2675">
        <f t="shared" si="24"/>
        <v>0</v>
      </c>
      <c r="BJ104" s="2675">
        <f t="shared" si="25"/>
        <v>0</v>
      </c>
      <c r="BK104" s="2675">
        <f t="shared" si="26"/>
        <v>0</v>
      </c>
      <c r="BL104" s="2675">
        <f t="shared" si="27"/>
        <v>0</v>
      </c>
      <c r="BM104" s="2675">
        <f t="shared" si="28"/>
        <v>0</v>
      </c>
      <c r="BN104" s="2675">
        <f t="shared" si="29"/>
        <v>0</v>
      </c>
      <c r="BO104" s="2675">
        <f t="shared" si="30"/>
        <v>0</v>
      </c>
      <c r="BP104" s="2675">
        <f t="shared" si="31"/>
        <v>0</v>
      </c>
      <c r="BQ104" s="2675">
        <f t="shared" si="32"/>
        <v>0</v>
      </c>
      <c r="BR104" s="2675">
        <f t="shared" si="33"/>
        <v>0</v>
      </c>
      <c r="BS104" s="2675">
        <f t="shared" si="34"/>
        <v>0</v>
      </c>
      <c r="BT104" s="2722">
        <f t="shared" si="35"/>
        <v>0</v>
      </c>
    </row>
    <row r="105" spans="1:72">
      <c r="A105" s="2673"/>
      <c r="B105" s="2674"/>
      <c r="C105" s="2674"/>
      <c r="D105" s="2277"/>
      <c r="E105" s="2675">
        <f t="shared" si="7"/>
        <v>0</v>
      </c>
      <c r="F105" s="2676"/>
      <c r="G105" s="2677">
        <f t="shared" si="8"/>
        <v>0</v>
      </c>
      <c r="H105" s="2678">
        <f t="shared" si="9"/>
        <v>0</v>
      </c>
      <c r="I105" s="2685"/>
      <c r="J105" s="2685"/>
      <c r="K105" s="2685"/>
      <c r="L105" s="2685"/>
      <c r="M105" s="2685"/>
      <c r="N105" s="2685"/>
      <c r="O105" s="2685"/>
      <c r="P105" s="2685"/>
      <c r="Q105" s="2685"/>
      <c r="R105" s="2685"/>
      <c r="S105" s="2685"/>
      <c r="T105" s="2685"/>
      <c r="U105" s="2685"/>
      <c r="V105" s="2685"/>
      <c r="W105" s="2685"/>
      <c r="X105" s="2685"/>
      <c r="Y105" s="2685"/>
      <c r="Z105" s="2685"/>
      <c r="AA105" s="2685"/>
      <c r="AB105" s="2685"/>
      <c r="AC105" s="2675">
        <f t="shared" si="10"/>
        <v>0</v>
      </c>
      <c r="AD105" s="2695"/>
      <c r="AE105" s="2695"/>
      <c r="AF105" s="2695"/>
      <c r="AG105" s="2695"/>
      <c r="AH105" s="2695"/>
      <c r="AI105" s="2695"/>
      <c r="AJ105" s="2695"/>
      <c r="AK105" s="2695"/>
      <c r="AL105" s="2695"/>
      <c r="AM105" s="2695"/>
      <c r="AN105" s="2695"/>
      <c r="AO105" s="2695"/>
      <c r="AP105" s="2695"/>
      <c r="AQ105" s="2695"/>
      <c r="AR105" s="2695"/>
      <c r="AS105" s="2695"/>
      <c r="AT105" s="2703"/>
      <c r="AU105" s="2704"/>
      <c r="AV105" s="1074">
        <f t="shared" si="11"/>
        <v>0</v>
      </c>
      <c r="AW105" s="1074">
        <f t="shared" si="12"/>
        <v>0</v>
      </c>
      <c r="AX105" s="1074">
        <f t="shared" si="13"/>
        <v>0</v>
      </c>
      <c r="AY105" s="2279">
        <f t="shared" si="14"/>
        <v>0</v>
      </c>
      <c r="AZ105" s="2675">
        <f t="shared" si="15"/>
        <v>0</v>
      </c>
      <c r="BA105" s="2675">
        <f t="shared" si="16"/>
        <v>0</v>
      </c>
      <c r="BB105" s="2675">
        <f t="shared" si="17"/>
        <v>0</v>
      </c>
      <c r="BC105" s="2675">
        <f t="shared" si="18"/>
        <v>0</v>
      </c>
      <c r="BD105" s="2675">
        <f t="shared" si="19"/>
        <v>0</v>
      </c>
      <c r="BE105" s="2675">
        <f t="shared" si="20"/>
        <v>0</v>
      </c>
      <c r="BF105" s="2675">
        <f t="shared" si="21"/>
        <v>0</v>
      </c>
      <c r="BG105" s="2675">
        <f t="shared" si="22"/>
        <v>0</v>
      </c>
      <c r="BH105" s="2675">
        <f t="shared" si="23"/>
        <v>0</v>
      </c>
      <c r="BI105" s="2675">
        <f t="shared" si="24"/>
        <v>0</v>
      </c>
      <c r="BJ105" s="2675">
        <f t="shared" si="25"/>
        <v>0</v>
      </c>
      <c r="BK105" s="2675">
        <f t="shared" si="26"/>
        <v>0</v>
      </c>
      <c r="BL105" s="2675">
        <f t="shared" si="27"/>
        <v>0</v>
      </c>
      <c r="BM105" s="2675">
        <f t="shared" si="28"/>
        <v>0</v>
      </c>
      <c r="BN105" s="2675">
        <f t="shared" si="29"/>
        <v>0</v>
      </c>
      <c r="BO105" s="2675">
        <f t="shared" si="30"/>
        <v>0</v>
      </c>
      <c r="BP105" s="2675">
        <f t="shared" si="31"/>
        <v>0</v>
      </c>
      <c r="BQ105" s="2675">
        <f t="shared" si="32"/>
        <v>0</v>
      </c>
      <c r="BR105" s="2675">
        <f t="shared" si="33"/>
        <v>0</v>
      </c>
      <c r="BS105" s="2675">
        <f t="shared" si="34"/>
        <v>0</v>
      </c>
      <c r="BT105" s="2722">
        <f t="shared" si="35"/>
        <v>0</v>
      </c>
    </row>
    <row r="106" spans="1:72">
      <c r="A106" s="2673"/>
      <c r="B106" s="2674"/>
      <c r="C106" s="2674"/>
      <c r="D106" s="2277"/>
      <c r="E106" s="2675">
        <f t="shared" si="7"/>
        <v>0</v>
      </c>
      <c r="F106" s="2676"/>
      <c r="G106" s="2677">
        <f t="shared" si="8"/>
        <v>0</v>
      </c>
      <c r="H106" s="2678">
        <f t="shared" si="9"/>
        <v>0</v>
      </c>
      <c r="I106" s="2685"/>
      <c r="J106" s="2685"/>
      <c r="K106" s="2685"/>
      <c r="L106" s="2685"/>
      <c r="M106" s="2685"/>
      <c r="N106" s="2685"/>
      <c r="O106" s="2685"/>
      <c r="P106" s="2685"/>
      <c r="Q106" s="2685"/>
      <c r="R106" s="2685"/>
      <c r="S106" s="2685"/>
      <c r="T106" s="2685"/>
      <c r="U106" s="2685"/>
      <c r="V106" s="2685"/>
      <c r="W106" s="2685"/>
      <c r="X106" s="2685"/>
      <c r="Y106" s="2685"/>
      <c r="Z106" s="2685"/>
      <c r="AA106" s="2685"/>
      <c r="AB106" s="2685"/>
      <c r="AC106" s="2675">
        <f t="shared" si="10"/>
        <v>0</v>
      </c>
      <c r="AD106" s="2695"/>
      <c r="AE106" s="2695"/>
      <c r="AF106" s="2695"/>
      <c r="AG106" s="2695"/>
      <c r="AH106" s="2695"/>
      <c r="AI106" s="2695"/>
      <c r="AJ106" s="2695"/>
      <c r="AK106" s="2695"/>
      <c r="AL106" s="2695"/>
      <c r="AM106" s="2695"/>
      <c r="AN106" s="2695"/>
      <c r="AO106" s="2695"/>
      <c r="AP106" s="2695"/>
      <c r="AQ106" s="2695"/>
      <c r="AR106" s="2695"/>
      <c r="AS106" s="2695"/>
      <c r="AT106" s="2703"/>
      <c r="AU106" s="2704"/>
      <c r="AV106" s="1074">
        <f t="shared" si="11"/>
        <v>0</v>
      </c>
      <c r="AW106" s="1074">
        <f t="shared" si="12"/>
        <v>0</v>
      </c>
      <c r="AX106" s="1074">
        <f t="shared" si="13"/>
        <v>0</v>
      </c>
      <c r="AY106" s="2279">
        <f t="shared" si="14"/>
        <v>0</v>
      </c>
      <c r="AZ106" s="2675">
        <f t="shared" si="15"/>
        <v>0</v>
      </c>
      <c r="BA106" s="2675">
        <f t="shared" si="16"/>
        <v>0</v>
      </c>
      <c r="BB106" s="2675">
        <f t="shared" si="17"/>
        <v>0</v>
      </c>
      <c r="BC106" s="2675">
        <f t="shared" si="18"/>
        <v>0</v>
      </c>
      <c r="BD106" s="2675">
        <f t="shared" si="19"/>
        <v>0</v>
      </c>
      <c r="BE106" s="2675">
        <f t="shared" si="20"/>
        <v>0</v>
      </c>
      <c r="BF106" s="2675">
        <f t="shared" si="21"/>
        <v>0</v>
      </c>
      <c r="BG106" s="2675">
        <f t="shared" si="22"/>
        <v>0</v>
      </c>
      <c r="BH106" s="2675">
        <f t="shared" si="23"/>
        <v>0</v>
      </c>
      <c r="BI106" s="2675">
        <f t="shared" si="24"/>
        <v>0</v>
      </c>
      <c r="BJ106" s="2675">
        <f t="shared" si="25"/>
        <v>0</v>
      </c>
      <c r="BK106" s="2675">
        <f t="shared" si="26"/>
        <v>0</v>
      </c>
      <c r="BL106" s="2675">
        <f t="shared" si="27"/>
        <v>0</v>
      </c>
      <c r="BM106" s="2675">
        <f t="shared" si="28"/>
        <v>0</v>
      </c>
      <c r="BN106" s="2675">
        <f t="shared" si="29"/>
        <v>0</v>
      </c>
      <c r="BO106" s="2675">
        <f t="shared" si="30"/>
        <v>0</v>
      </c>
      <c r="BP106" s="2675">
        <f t="shared" si="31"/>
        <v>0</v>
      </c>
      <c r="BQ106" s="2675">
        <f t="shared" si="32"/>
        <v>0</v>
      </c>
      <c r="BR106" s="2675">
        <f t="shared" si="33"/>
        <v>0</v>
      </c>
      <c r="BS106" s="2675">
        <f t="shared" si="34"/>
        <v>0</v>
      </c>
      <c r="BT106" s="2722">
        <f t="shared" si="35"/>
        <v>0</v>
      </c>
    </row>
    <row r="107" spans="1:72">
      <c r="A107" s="2673"/>
      <c r="B107" s="2674"/>
      <c r="C107" s="2674"/>
      <c r="D107" s="2277"/>
      <c r="E107" s="2675">
        <f t="shared" si="7"/>
        <v>0</v>
      </c>
      <c r="F107" s="2676"/>
      <c r="G107" s="2677">
        <f t="shared" si="8"/>
        <v>0</v>
      </c>
      <c r="H107" s="2678">
        <f t="shared" si="9"/>
        <v>0</v>
      </c>
      <c r="I107" s="2685"/>
      <c r="J107" s="2685"/>
      <c r="K107" s="2685"/>
      <c r="L107" s="2685"/>
      <c r="M107" s="2685"/>
      <c r="N107" s="2685"/>
      <c r="O107" s="2685"/>
      <c r="P107" s="2685"/>
      <c r="Q107" s="2685"/>
      <c r="R107" s="2685"/>
      <c r="S107" s="2685"/>
      <c r="T107" s="2685"/>
      <c r="U107" s="2685"/>
      <c r="V107" s="2685"/>
      <c r="W107" s="2685"/>
      <c r="X107" s="2685"/>
      <c r="Y107" s="2685"/>
      <c r="Z107" s="2685"/>
      <c r="AA107" s="2685"/>
      <c r="AB107" s="2685"/>
      <c r="AC107" s="2675">
        <f t="shared" si="10"/>
        <v>0</v>
      </c>
      <c r="AD107" s="2695"/>
      <c r="AE107" s="2695"/>
      <c r="AF107" s="2695"/>
      <c r="AG107" s="2695"/>
      <c r="AH107" s="2695"/>
      <c r="AI107" s="2695"/>
      <c r="AJ107" s="2695"/>
      <c r="AK107" s="2695"/>
      <c r="AL107" s="2695"/>
      <c r="AM107" s="2695"/>
      <c r="AN107" s="2695"/>
      <c r="AO107" s="2695"/>
      <c r="AP107" s="2695"/>
      <c r="AQ107" s="2695"/>
      <c r="AR107" s="2695"/>
      <c r="AS107" s="2695"/>
      <c r="AT107" s="2703"/>
      <c r="AU107" s="2704"/>
      <c r="AV107" s="1074">
        <f t="shared" si="11"/>
        <v>0</v>
      </c>
      <c r="AW107" s="1074">
        <f t="shared" si="12"/>
        <v>0</v>
      </c>
      <c r="AX107" s="1074">
        <f t="shared" si="13"/>
        <v>0</v>
      </c>
      <c r="AY107" s="2279">
        <f t="shared" si="14"/>
        <v>0</v>
      </c>
      <c r="AZ107" s="2675">
        <f t="shared" si="15"/>
        <v>0</v>
      </c>
      <c r="BA107" s="2675">
        <f t="shared" si="16"/>
        <v>0</v>
      </c>
      <c r="BB107" s="2675">
        <f t="shared" si="17"/>
        <v>0</v>
      </c>
      <c r="BC107" s="2675">
        <f t="shared" si="18"/>
        <v>0</v>
      </c>
      <c r="BD107" s="2675">
        <f t="shared" si="19"/>
        <v>0</v>
      </c>
      <c r="BE107" s="2675">
        <f t="shared" si="20"/>
        <v>0</v>
      </c>
      <c r="BF107" s="2675">
        <f t="shared" si="21"/>
        <v>0</v>
      </c>
      <c r="BG107" s="2675">
        <f t="shared" si="22"/>
        <v>0</v>
      </c>
      <c r="BH107" s="2675">
        <f t="shared" si="23"/>
        <v>0</v>
      </c>
      <c r="BI107" s="2675">
        <f t="shared" si="24"/>
        <v>0</v>
      </c>
      <c r="BJ107" s="2675">
        <f t="shared" si="25"/>
        <v>0</v>
      </c>
      <c r="BK107" s="2675">
        <f t="shared" si="26"/>
        <v>0</v>
      </c>
      <c r="BL107" s="2675">
        <f t="shared" si="27"/>
        <v>0</v>
      </c>
      <c r="BM107" s="2675">
        <f t="shared" si="28"/>
        <v>0</v>
      </c>
      <c r="BN107" s="2675">
        <f t="shared" si="29"/>
        <v>0</v>
      </c>
      <c r="BO107" s="2675">
        <f t="shared" si="30"/>
        <v>0</v>
      </c>
      <c r="BP107" s="2675">
        <f t="shared" si="31"/>
        <v>0</v>
      </c>
      <c r="BQ107" s="2675">
        <f t="shared" si="32"/>
        <v>0</v>
      </c>
      <c r="BR107" s="2675">
        <f t="shared" si="33"/>
        <v>0</v>
      </c>
      <c r="BS107" s="2675">
        <f t="shared" si="34"/>
        <v>0</v>
      </c>
      <c r="BT107" s="2722">
        <f t="shared" si="35"/>
        <v>0</v>
      </c>
    </row>
    <row r="108" spans="1:72">
      <c r="A108" s="2673"/>
      <c r="B108" s="2674"/>
      <c r="C108" s="2674"/>
      <c r="D108" s="2277"/>
      <c r="E108" s="2675">
        <f t="shared" si="7"/>
        <v>0</v>
      </c>
      <c r="F108" s="2676"/>
      <c r="G108" s="2677">
        <f t="shared" si="8"/>
        <v>0</v>
      </c>
      <c r="H108" s="2678">
        <f t="shared" si="9"/>
        <v>0</v>
      </c>
      <c r="I108" s="2685"/>
      <c r="J108" s="2685"/>
      <c r="K108" s="2685"/>
      <c r="L108" s="2685"/>
      <c r="M108" s="2685"/>
      <c r="N108" s="2685"/>
      <c r="O108" s="2685"/>
      <c r="P108" s="2685"/>
      <c r="Q108" s="2685"/>
      <c r="R108" s="2685"/>
      <c r="S108" s="2685"/>
      <c r="T108" s="2685"/>
      <c r="U108" s="2685"/>
      <c r="V108" s="2685"/>
      <c r="W108" s="2685"/>
      <c r="X108" s="2685"/>
      <c r="Y108" s="2685"/>
      <c r="Z108" s="2685"/>
      <c r="AA108" s="2685"/>
      <c r="AB108" s="2685"/>
      <c r="AC108" s="2675">
        <f t="shared" si="10"/>
        <v>0</v>
      </c>
      <c r="AD108" s="2695"/>
      <c r="AE108" s="2695"/>
      <c r="AF108" s="2695"/>
      <c r="AG108" s="2695"/>
      <c r="AH108" s="2695"/>
      <c r="AI108" s="2695"/>
      <c r="AJ108" s="2695"/>
      <c r="AK108" s="2695"/>
      <c r="AL108" s="2695"/>
      <c r="AM108" s="2695"/>
      <c r="AN108" s="2695"/>
      <c r="AO108" s="2695"/>
      <c r="AP108" s="2695"/>
      <c r="AQ108" s="2695"/>
      <c r="AR108" s="2695"/>
      <c r="AS108" s="2695"/>
      <c r="AT108" s="2703"/>
      <c r="AU108" s="2704"/>
      <c r="AV108" s="1074">
        <f t="shared" si="11"/>
        <v>0</v>
      </c>
      <c r="AW108" s="1074">
        <f t="shared" si="12"/>
        <v>0</v>
      </c>
      <c r="AX108" s="1074">
        <f t="shared" si="13"/>
        <v>0</v>
      </c>
      <c r="AY108" s="2279">
        <f t="shared" si="14"/>
        <v>0</v>
      </c>
      <c r="AZ108" s="2675">
        <f t="shared" si="15"/>
        <v>0</v>
      </c>
      <c r="BA108" s="2675">
        <f t="shared" si="16"/>
        <v>0</v>
      </c>
      <c r="BB108" s="2675">
        <f t="shared" si="17"/>
        <v>0</v>
      </c>
      <c r="BC108" s="2675">
        <f t="shared" si="18"/>
        <v>0</v>
      </c>
      <c r="BD108" s="2675">
        <f t="shared" si="19"/>
        <v>0</v>
      </c>
      <c r="BE108" s="2675">
        <f t="shared" si="20"/>
        <v>0</v>
      </c>
      <c r="BF108" s="2675">
        <f t="shared" si="21"/>
        <v>0</v>
      </c>
      <c r="BG108" s="2675">
        <f t="shared" si="22"/>
        <v>0</v>
      </c>
      <c r="BH108" s="2675">
        <f t="shared" si="23"/>
        <v>0</v>
      </c>
      <c r="BI108" s="2675">
        <f t="shared" si="24"/>
        <v>0</v>
      </c>
      <c r="BJ108" s="2675">
        <f t="shared" si="25"/>
        <v>0</v>
      </c>
      <c r="BK108" s="2675">
        <f t="shared" si="26"/>
        <v>0</v>
      </c>
      <c r="BL108" s="2675">
        <f t="shared" si="27"/>
        <v>0</v>
      </c>
      <c r="BM108" s="2675">
        <f t="shared" si="28"/>
        <v>0</v>
      </c>
      <c r="BN108" s="2675">
        <f t="shared" si="29"/>
        <v>0</v>
      </c>
      <c r="BO108" s="2675">
        <f t="shared" si="30"/>
        <v>0</v>
      </c>
      <c r="BP108" s="2675">
        <f t="shared" si="31"/>
        <v>0</v>
      </c>
      <c r="BQ108" s="2675">
        <f t="shared" si="32"/>
        <v>0</v>
      </c>
      <c r="BR108" s="2675">
        <f t="shared" si="33"/>
        <v>0</v>
      </c>
      <c r="BS108" s="2675">
        <f t="shared" si="34"/>
        <v>0</v>
      </c>
      <c r="BT108" s="2722">
        <f t="shared" si="35"/>
        <v>0</v>
      </c>
    </row>
    <row r="109" spans="1:72">
      <c r="A109" s="2673"/>
      <c r="B109" s="2674"/>
      <c r="C109" s="2674"/>
      <c r="D109" s="2277"/>
      <c r="E109" s="2675">
        <f t="shared" si="7"/>
        <v>0</v>
      </c>
      <c r="F109" s="2676"/>
      <c r="G109" s="2677">
        <f t="shared" si="8"/>
        <v>0</v>
      </c>
      <c r="H109" s="2678">
        <f t="shared" si="9"/>
        <v>0</v>
      </c>
      <c r="I109" s="2685"/>
      <c r="J109" s="2685"/>
      <c r="K109" s="2685"/>
      <c r="L109" s="2685"/>
      <c r="M109" s="2685"/>
      <c r="N109" s="2685"/>
      <c r="O109" s="2685"/>
      <c r="P109" s="2685"/>
      <c r="Q109" s="2685"/>
      <c r="R109" s="2685"/>
      <c r="S109" s="2685"/>
      <c r="T109" s="2685"/>
      <c r="U109" s="2685"/>
      <c r="V109" s="2685"/>
      <c r="W109" s="2685"/>
      <c r="X109" s="2685"/>
      <c r="Y109" s="2685"/>
      <c r="Z109" s="2685"/>
      <c r="AA109" s="2685"/>
      <c r="AB109" s="2685"/>
      <c r="AC109" s="2675">
        <f t="shared" si="10"/>
        <v>0</v>
      </c>
      <c r="AD109" s="2695"/>
      <c r="AE109" s="2695"/>
      <c r="AF109" s="2695"/>
      <c r="AG109" s="2695"/>
      <c r="AH109" s="2695"/>
      <c r="AI109" s="2695"/>
      <c r="AJ109" s="2695"/>
      <c r="AK109" s="2695"/>
      <c r="AL109" s="2695"/>
      <c r="AM109" s="2695"/>
      <c r="AN109" s="2695"/>
      <c r="AO109" s="2695"/>
      <c r="AP109" s="2695"/>
      <c r="AQ109" s="2695"/>
      <c r="AR109" s="2695"/>
      <c r="AS109" s="2695"/>
      <c r="AT109" s="2703"/>
      <c r="AU109" s="2704"/>
      <c r="AV109" s="1074">
        <f t="shared" si="11"/>
        <v>0</v>
      </c>
      <c r="AW109" s="1074">
        <f t="shared" si="12"/>
        <v>0</v>
      </c>
      <c r="AX109" s="1074">
        <f t="shared" si="13"/>
        <v>0</v>
      </c>
      <c r="AY109" s="2279">
        <f t="shared" si="14"/>
        <v>0</v>
      </c>
      <c r="AZ109" s="2675">
        <f t="shared" si="15"/>
        <v>0</v>
      </c>
      <c r="BA109" s="2675">
        <f t="shared" si="16"/>
        <v>0</v>
      </c>
      <c r="BB109" s="2675">
        <f t="shared" si="17"/>
        <v>0</v>
      </c>
      <c r="BC109" s="2675">
        <f t="shared" si="18"/>
        <v>0</v>
      </c>
      <c r="BD109" s="2675">
        <f t="shared" si="19"/>
        <v>0</v>
      </c>
      <c r="BE109" s="2675">
        <f t="shared" si="20"/>
        <v>0</v>
      </c>
      <c r="BF109" s="2675">
        <f t="shared" si="21"/>
        <v>0</v>
      </c>
      <c r="BG109" s="2675">
        <f t="shared" si="22"/>
        <v>0</v>
      </c>
      <c r="BH109" s="2675">
        <f t="shared" si="23"/>
        <v>0</v>
      </c>
      <c r="BI109" s="2675">
        <f t="shared" si="24"/>
        <v>0</v>
      </c>
      <c r="BJ109" s="2675">
        <f t="shared" si="25"/>
        <v>0</v>
      </c>
      <c r="BK109" s="2675">
        <f t="shared" si="26"/>
        <v>0</v>
      </c>
      <c r="BL109" s="2675">
        <f t="shared" si="27"/>
        <v>0</v>
      </c>
      <c r="BM109" s="2675">
        <f t="shared" si="28"/>
        <v>0</v>
      </c>
      <c r="BN109" s="2675">
        <f t="shared" si="29"/>
        <v>0</v>
      </c>
      <c r="BO109" s="2675">
        <f t="shared" si="30"/>
        <v>0</v>
      </c>
      <c r="BP109" s="2675">
        <f t="shared" si="31"/>
        <v>0</v>
      </c>
      <c r="BQ109" s="2675">
        <f t="shared" si="32"/>
        <v>0</v>
      </c>
      <c r="BR109" s="2675">
        <f t="shared" si="33"/>
        <v>0</v>
      </c>
      <c r="BS109" s="2675">
        <f t="shared" si="34"/>
        <v>0</v>
      </c>
      <c r="BT109" s="2722">
        <f t="shared" si="35"/>
        <v>0</v>
      </c>
    </row>
    <row r="110" spans="1:72">
      <c r="A110" s="2673"/>
      <c r="B110" s="2673"/>
      <c r="C110" s="2673"/>
      <c r="D110" s="2277"/>
      <c r="E110" s="2675">
        <f t="shared" si="7"/>
        <v>0</v>
      </c>
      <c r="F110" s="2723"/>
      <c r="G110" s="2677">
        <f t="shared" ref="G110:G141" si="38">H110+AC110+AT110</f>
        <v>0</v>
      </c>
      <c r="H110" s="2678">
        <f t="shared" ref="H110:H141" si="39">SUMIF(I$12:AB$12,"总值",I110:AB110)</f>
        <v>0</v>
      </c>
      <c r="I110" s="2724"/>
      <c r="J110" s="2724"/>
      <c r="K110" s="2685"/>
      <c r="L110" s="2685"/>
      <c r="M110" s="2685"/>
      <c r="N110" s="2685"/>
      <c r="O110" s="2685"/>
      <c r="P110" s="2685"/>
      <c r="Q110" s="2685"/>
      <c r="R110" s="2685"/>
      <c r="S110" s="2685"/>
      <c r="T110" s="2685"/>
      <c r="U110" s="2685"/>
      <c r="V110" s="2685"/>
      <c r="W110" s="2685"/>
      <c r="X110" s="2685"/>
      <c r="Y110" s="2685"/>
      <c r="Z110" s="2685"/>
      <c r="AA110" s="2685"/>
      <c r="AB110" s="2685"/>
      <c r="AC110" s="2675">
        <f t="shared" ref="AC110:AC141" si="40">SUMIF(AD$12:AS$12,"总值",AD110:AS110)</f>
        <v>0</v>
      </c>
      <c r="AD110" s="2695"/>
      <c r="AE110" s="2695"/>
      <c r="AF110" s="2695"/>
      <c r="AG110" s="2695"/>
      <c r="AH110" s="2695"/>
      <c r="AI110" s="2695"/>
      <c r="AJ110" s="2695"/>
      <c r="AK110" s="2695"/>
      <c r="AL110" s="2695"/>
      <c r="AM110" s="2695"/>
      <c r="AN110" s="2695"/>
      <c r="AO110" s="2695"/>
      <c r="AP110" s="2695"/>
      <c r="AQ110" s="2695"/>
      <c r="AR110" s="2695"/>
      <c r="AS110" s="2695"/>
      <c r="AT110" s="2695"/>
      <c r="AU110" s="2725"/>
      <c r="AV110" s="1074">
        <f t="shared" si="11"/>
        <v>0</v>
      </c>
      <c r="AW110" s="1074">
        <f t="shared" si="12"/>
        <v>0</v>
      </c>
      <c r="AX110" s="1074">
        <f t="shared" si="13"/>
        <v>0</v>
      </c>
      <c r="AY110" s="2279">
        <f t="shared" ref="AY110:AY141" si="41">ROUND($AY$6*AZ110/$AZ$5,2)</f>
        <v>0</v>
      </c>
      <c r="AZ110" s="2675">
        <f t="shared" ref="AZ110:AZ141" si="42">BA110+BL110</f>
        <v>0</v>
      </c>
      <c r="BA110" s="2675">
        <f t="shared" ref="BA110:BA141" si="43">SUM(BB110:BK110)</f>
        <v>0</v>
      </c>
      <c r="BB110" s="2675">
        <f t="shared" ref="BB110:BB141" si="44">IF($D110="是",I110-J110,0)</f>
        <v>0</v>
      </c>
      <c r="BC110" s="2675">
        <f t="shared" ref="BC110:BC141" si="45">IF($D110="是",K110-L110,0)</f>
        <v>0</v>
      </c>
      <c r="BD110" s="2675">
        <f t="shared" ref="BD110:BD141" si="46">IF($D110="是",M110-N110,0)</f>
        <v>0</v>
      </c>
      <c r="BE110" s="2675">
        <f t="shared" ref="BE110:BE141" si="47">IF($D110="是",O110-P110,0)</f>
        <v>0</v>
      </c>
      <c r="BF110" s="2675">
        <f t="shared" ref="BF110:BF141" si="48">IF($D110="是",Q110-R110,0)</f>
        <v>0</v>
      </c>
      <c r="BG110" s="2675">
        <f t="shared" ref="BG110:BG141" si="49">IF($D110="是",S110-T110,0)</f>
        <v>0</v>
      </c>
      <c r="BH110" s="2675">
        <f t="shared" ref="BH110:BH141" si="50">IF($D110="是",U110-V110,0)</f>
        <v>0</v>
      </c>
      <c r="BI110" s="2675">
        <f t="shared" ref="BI110:BI141" si="51">IF($D110="是",W110-X110,0)</f>
        <v>0</v>
      </c>
      <c r="BJ110" s="2675">
        <f t="shared" ref="BJ110:BJ141" si="52">IF($D110="是",Y110-Z110,0)</f>
        <v>0</v>
      </c>
      <c r="BK110" s="2675">
        <f t="shared" ref="BK110:BK141" si="53">IF($D110="是",AA110-AB110,0)</f>
        <v>0</v>
      </c>
      <c r="BL110" s="2675">
        <f t="shared" ref="BL110:BL141" si="54">SUM(BM110:BT110)</f>
        <v>0</v>
      </c>
      <c r="BM110" s="2675">
        <f t="shared" ref="BM110:BM141" si="55">IF($D110="是",AD110-AE110,0)</f>
        <v>0</v>
      </c>
      <c r="BN110" s="2675">
        <f t="shared" ref="BN110:BN141" si="56">IF($D110="是",AF110-AG110,0)</f>
        <v>0</v>
      </c>
      <c r="BO110" s="2675">
        <f t="shared" ref="BO110:BO141" si="57">IF($D110="是",AH110-AI110,0)</f>
        <v>0</v>
      </c>
      <c r="BP110" s="2675">
        <f t="shared" ref="BP110:BP141" si="58">IF($D110="是",AJ110-AK110,0)</f>
        <v>0</v>
      </c>
      <c r="BQ110" s="2675">
        <f t="shared" ref="BQ110:BQ141" si="59">IF($D110="是",AL110-AM110,0)</f>
        <v>0</v>
      </c>
      <c r="BR110" s="2675">
        <f t="shared" ref="BR110:BR141" si="60">IF($D110="是",AN110-AO110,0)</f>
        <v>0</v>
      </c>
      <c r="BS110" s="2675">
        <f t="shared" ref="BS110:BS141" si="61">IF($D110="是",AP110-AQ110,0)</f>
        <v>0</v>
      </c>
      <c r="BT110" s="2722">
        <f t="shared" ref="BT110:BT141" si="62">IF($D110="是",AR110-AS110,0)</f>
        <v>0</v>
      </c>
    </row>
    <row r="111" spans="1:72">
      <c r="A111" s="2673"/>
      <c r="B111" s="2673"/>
      <c r="C111" s="2673"/>
      <c r="D111" s="2277"/>
      <c r="E111" s="2675">
        <f t="shared" si="7"/>
        <v>0</v>
      </c>
      <c r="F111" s="2723"/>
      <c r="G111" s="2677">
        <f t="shared" si="38"/>
        <v>0</v>
      </c>
      <c r="H111" s="2678">
        <f t="shared" si="39"/>
        <v>0</v>
      </c>
      <c r="I111" s="2685"/>
      <c r="J111" s="2685"/>
      <c r="K111" s="2685"/>
      <c r="L111" s="2685"/>
      <c r="M111" s="2685"/>
      <c r="N111" s="2685"/>
      <c r="O111" s="2685"/>
      <c r="P111" s="2685"/>
      <c r="Q111" s="2685"/>
      <c r="R111" s="2685"/>
      <c r="S111" s="2685"/>
      <c r="T111" s="2685"/>
      <c r="U111" s="2685"/>
      <c r="V111" s="2685"/>
      <c r="W111" s="2685"/>
      <c r="X111" s="2685"/>
      <c r="Y111" s="2685"/>
      <c r="Z111" s="2685"/>
      <c r="AA111" s="2685"/>
      <c r="AB111" s="2685"/>
      <c r="AC111" s="2675">
        <f t="shared" si="40"/>
        <v>0</v>
      </c>
      <c r="AD111" s="2695"/>
      <c r="AE111" s="2695"/>
      <c r="AF111" s="2695"/>
      <c r="AG111" s="2695"/>
      <c r="AH111" s="2695"/>
      <c r="AI111" s="2695"/>
      <c r="AJ111" s="2695"/>
      <c r="AK111" s="2695"/>
      <c r="AL111" s="2695"/>
      <c r="AM111" s="2695"/>
      <c r="AN111" s="2695"/>
      <c r="AO111" s="2695"/>
      <c r="AP111" s="2695"/>
      <c r="AQ111" s="2695"/>
      <c r="AR111" s="2695"/>
      <c r="AS111" s="2695"/>
      <c r="AT111" s="2695"/>
      <c r="AU111" s="2725"/>
      <c r="AV111" s="1074">
        <f t="shared" si="11"/>
        <v>0</v>
      </c>
      <c r="AW111" s="1074">
        <f t="shared" si="12"/>
        <v>0</v>
      </c>
      <c r="AX111" s="1074">
        <f t="shared" si="13"/>
        <v>0</v>
      </c>
      <c r="AY111" s="2279">
        <f t="shared" si="41"/>
        <v>0</v>
      </c>
      <c r="AZ111" s="2675">
        <f t="shared" si="42"/>
        <v>0</v>
      </c>
      <c r="BA111" s="2675">
        <f t="shared" si="43"/>
        <v>0</v>
      </c>
      <c r="BB111" s="2675">
        <f t="shared" si="44"/>
        <v>0</v>
      </c>
      <c r="BC111" s="2675">
        <f t="shared" si="45"/>
        <v>0</v>
      </c>
      <c r="BD111" s="2675">
        <f t="shared" si="46"/>
        <v>0</v>
      </c>
      <c r="BE111" s="2675">
        <f t="shared" si="47"/>
        <v>0</v>
      </c>
      <c r="BF111" s="2675">
        <f t="shared" si="48"/>
        <v>0</v>
      </c>
      <c r="BG111" s="2675">
        <f t="shared" si="49"/>
        <v>0</v>
      </c>
      <c r="BH111" s="2675">
        <f t="shared" si="50"/>
        <v>0</v>
      </c>
      <c r="BI111" s="2675">
        <f t="shared" si="51"/>
        <v>0</v>
      </c>
      <c r="BJ111" s="2675">
        <f t="shared" si="52"/>
        <v>0</v>
      </c>
      <c r="BK111" s="2675">
        <f t="shared" si="53"/>
        <v>0</v>
      </c>
      <c r="BL111" s="2675">
        <f t="shared" si="54"/>
        <v>0</v>
      </c>
      <c r="BM111" s="2675">
        <f t="shared" si="55"/>
        <v>0</v>
      </c>
      <c r="BN111" s="2675">
        <f t="shared" si="56"/>
        <v>0</v>
      </c>
      <c r="BO111" s="2675">
        <f t="shared" si="57"/>
        <v>0</v>
      </c>
      <c r="BP111" s="2675">
        <f t="shared" si="58"/>
        <v>0</v>
      </c>
      <c r="BQ111" s="2675">
        <f t="shared" si="59"/>
        <v>0</v>
      </c>
      <c r="BR111" s="2675">
        <f t="shared" si="60"/>
        <v>0</v>
      </c>
      <c r="BS111" s="2675">
        <f t="shared" si="61"/>
        <v>0</v>
      </c>
      <c r="BT111" s="2722">
        <f t="shared" si="62"/>
        <v>0</v>
      </c>
    </row>
    <row r="112" spans="1:72">
      <c r="A112" s="2673"/>
      <c r="B112" s="2673"/>
      <c r="C112" s="2673"/>
      <c r="D112" s="2277"/>
      <c r="E112" s="2675">
        <f t="shared" si="7"/>
        <v>0</v>
      </c>
      <c r="F112" s="2723"/>
      <c r="G112" s="2677">
        <f t="shared" si="38"/>
        <v>0</v>
      </c>
      <c r="H112" s="2678">
        <f t="shared" si="39"/>
        <v>0</v>
      </c>
      <c r="I112" s="2685"/>
      <c r="J112" s="2685"/>
      <c r="K112" s="2685"/>
      <c r="L112" s="2685"/>
      <c r="M112" s="2685"/>
      <c r="N112" s="2685"/>
      <c r="O112" s="2685"/>
      <c r="P112" s="2685"/>
      <c r="Q112" s="2685"/>
      <c r="R112" s="2685"/>
      <c r="S112" s="2685"/>
      <c r="T112" s="2685"/>
      <c r="U112" s="2685"/>
      <c r="V112" s="2685"/>
      <c r="W112" s="2685"/>
      <c r="X112" s="2685"/>
      <c r="Y112" s="2685"/>
      <c r="Z112" s="2685"/>
      <c r="AA112" s="2685"/>
      <c r="AB112" s="2685"/>
      <c r="AC112" s="2675">
        <f t="shared" si="40"/>
        <v>0</v>
      </c>
      <c r="AD112" s="2695"/>
      <c r="AE112" s="2695"/>
      <c r="AF112" s="2695"/>
      <c r="AG112" s="2695"/>
      <c r="AH112" s="2695"/>
      <c r="AI112" s="2695"/>
      <c r="AJ112" s="2695"/>
      <c r="AK112" s="2695"/>
      <c r="AL112" s="2695"/>
      <c r="AM112" s="2695"/>
      <c r="AN112" s="2695"/>
      <c r="AO112" s="2695"/>
      <c r="AP112" s="2695"/>
      <c r="AQ112" s="2695"/>
      <c r="AR112" s="2695"/>
      <c r="AS112" s="2695"/>
      <c r="AT112" s="2695"/>
      <c r="AU112" s="2725"/>
      <c r="AV112" s="1074">
        <f t="shared" si="11"/>
        <v>0</v>
      </c>
      <c r="AW112" s="1074">
        <f t="shared" si="12"/>
        <v>0</v>
      </c>
      <c r="AX112" s="1074">
        <f t="shared" si="13"/>
        <v>0</v>
      </c>
      <c r="AY112" s="2279">
        <f t="shared" si="41"/>
        <v>0</v>
      </c>
      <c r="AZ112" s="2675">
        <f t="shared" si="42"/>
        <v>0</v>
      </c>
      <c r="BA112" s="2675">
        <f t="shared" si="43"/>
        <v>0</v>
      </c>
      <c r="BB112" s="2675">
        <f t="shared" si="44"/>
        <v>0</v>
      </c>
      <c r="BC112" s="2675">
        <f t="shared" si="45"/>
        <v>0</v>
      </c>
      <c r="BD112" s="2675">
        <f t="shared" si="46"/>
        <v>0</v>
      </c>
      <c r="BE112" s="2675">
        <f t="shared" si="47"/>
        <v>0</v>
      </c>
      <c r="BF112" s="2675">
        <f t="shared" si="48"/>
        <v>0</v>
      </c>
      <c r="BG112" s="2675">
        <f t="shared" si="49"/>
        <v>0</v>
      </c>
      <c r="BH112" s="2675">
        <f t="shared" si="50"/>
        <v>0</v>
      </c>
      <c r="BI112" s="2675">
        <f t="shared" si="51"/>
        <v>0</v>
      </c>
      <c r="BJ112" s="2675">
        <f t="shared" si="52"/>
        <v>0</v>
      </c>
      <c r="BK112" s="2675">
        <f t="shared" si="53"/>
        <v>0</v>
      </c>
      <c r="BL112" s="2675">
        <f t="shared" si="54"/>
        <v>0</v>
      </c>
      <c r="BM112" s="2675">
        <f t="shared" si="55"/>
        <v>0</v>
      </c>
      <c r="BN112" s="2675">
        <f t="shared" si="56"/>
        <v>0</v>
      </c>
      <c r="BO112" s="2675">
        <f t="shared" si="57"/>
        <v>0</v>
      </c>
      <c r="BP112" s="2675">
        <f t="shared" si="58"/>
        <v>0</v>
      </c>
      <c r="BQ112" s="2675">
        <f t="shared" si="59"/>
        <v>0</v>
      </c>
      <c r="BR112" s="2675">
        <f t="shared" si="60"/>
        <v>0</v>
      </c>
      <c r="BS112" s="2675">
        <f t="shared" si="61"/>
        <v>0</v>
      </c>
      <c r="BT112" s="2722">
        <f t="shared" si="62"/>
        <v>0</v>
      </c>
    </row>
    <row r="113" spans="1:72">
      <c r="A113" s="2673"/>
      <c r="B113" s="2674"/>
      <c r="C113" s="2674"/>
      <c r="D113" s="2277"/>
      <c r="E113" s="2675">
        <f t="shared" ref="E113:E144" si="63">IF($C$3="是",ROUND($A$3*G113/$B$3,2),ROUND($A$3*(G113-AT113)/$B$3,2))</f>
        <v>0</v>
      </c>
      <c r="F113" s="2676"/>
      <c r="G113" s="2677">
        <f t="shared" si="38"/>
        <v>0</v>
      </c>
      <c r="H113" s="2678">
        <f t="shared" si="39"/>
        <v>0</v>
      </c>
      <c r="I113" s="2685"/>
      <c r="J113" s="2685"/>
      <c r="K113" s="2685"/>
      <c r="L113" s="2685"/>
      <c r="M113" s="2685"/>
      <c r="N113" s="2685"/>
      <c r="O113" s="2685"/>
      <c r="P113" s="2685"/>
      <c r="Q113" s="2685"/>
      <c r="R113" s="2685"/>
      <c r="S113" s="2685"/>
      <c r="T113" s="2685"/>
      <c r="U113" s="2685"/>
      <c r="V113" s="2685"/>
      <c r="W113" s="2685"/>
      <c r="X113" s="2685"/>
      <c r="Y113" s="2685"/>
      <c r="Z113" s="2685"/>
      <c r="AA113" s="2685"/>
      <c r="AB113" s="2685"/>
      <c r="AC113" s="2675">
        <f t="shared" si="40"/>
        <v>0</v>
      </c>
      <c r="AD113" s="2695"/>
      <c r="AE113" s="2695"/>
      <c r="AF113" s="2695"/>
      <c r="AG113" s="2695"/>
      <c r="AH113" s="2695"/>
      <c r="AI113" s="2695"/>
      <c r="AJ113" s="2695"/>
      <c r="AK113" s="2695"/>
      <c r="AL113" s="2695"/>
      <c r="AM113" s="2695"/>
      <c r="AN113" s="2695"/>
      <c r="AO113" s="2695"/>
      <c r="AP113" s="2695"/>
      <c r="AQ113" s="2695"/>
      <c r="AR113" s="2695"/>
      <c r="AS113" s="2695"/>
      <c r="AT113" s="2703"/>
      <c r="AU113" s="2704"/>
      <c r="AV113" s="1074">
        <f t="shared" ref="AV113:AV144" si="64">A113</f>
        <v>0</v>
      </c>
      <c r="AW113" s="1074">
        <f t="shared" ref="AW113:AW144" si="65">B113</f>
        <v>0</v>
      </c>
      <c r="AX113" s="1074">
        <f t="shared" ref="AX113:AX144" si="66">C113</f>
        <v>0</v>
      </c>
      <c r="AY113" s="2279">
        <f t="shared" si="41"/>
        <v>0</v>
      </c>
      <c r="AZ113" s="2675">
        <f t="shared" si="42"/>
        <v>0</v>
      </c>
      <c r="BA113" s="2675">
        <f t="shared" si="43"/>
        <v>0</v>
      </c>
      <c r="BB113" s="2675">
        <f t="shared" si="44"/>
        <v>0</v>
      </c>
      <c r="BC113" s="2675">
        <f t="shared" si="45"/>
        <v>0</v>
      </c>
      <c r="BD113" s="2675">
        <f t="shared" si="46"/>
        <v>0</v>
      </c>
      <c r="BE113" s="2675">
        <f t="shared" si="47"/>
        <v>0</v>
      </c>
      <c r="BF113" s="2675">
        <f t="shared" si="48"/>
        <v>0</v>
      </c>
      <c r="BG113" s="2675">
        <f t="shared" si="49"/>
        <v>0</v>
      </c>
      <c r="BH113" s="2675">
        <f t="shared" si="50"/>
        <v>0</v>
      </c>
      <c r="BI113" s="2675">
        <f t="shared" si="51"/>
        <v>0</v>
      </c>
      <c r="BJ113" s="2675">
        <f t="shared" si="52"/>
        <v>0</v>
      </c>
      <c r="BK113" s="2675">
        <f t="shared" si="53"/>
        <v>0</v>
      </c>
      <c r="BL113" s="2675">
        <f t="shared" si="54"/>
        <v>0</v>
      </c>
      <c r="BM113" s="2675">
        <f t="shared" si="55"/>
        <v>0</v>
      </c>
      <c r="BN113" s="2675">
        <f t="shared" si="56"/>
        <v>0</v>
      </c>
      <c r="BO113" s="2675">
        <f t="shared" si="57"/>
        <v>0</v>
      </c>
      <c r="BP113" s="2675">
        <f t="shared" si="58"/>
        <v>0</v>
      </c>
      <c r="BQ113" s="2675">
        <f t="shared" si="59"/>
        <v>0</v>
      </c>
      <c r="BR113" s="2675">
        <f t="shared" si="60"/>
        <v>0</v>
      </c>
      <c r="BS113" s="2675">
        <f t="shared" si="61"/>
        <v>0</v>
      </c>
      <c r="BT113" s="2722">
        <f t="shared" si="62"/>
        <v>0</v>
      </c>
    </row>
    <row r="114" spans="1:72">
      <c r="A114" s="2673"/>
      <c r="B114" s="2674"/>
      <c r="C114" s="2674"/>
      <c r="D114" s="2277"/>
      <c r="E114" s="2675">
        <f t="shared" si="63"/>
        <v>0</v>
      </c>
      <c r="F114" s="2676"/>
      <c r="G114" s="2677">
        <f t="shared" si="38"/>
        <v>0</v>
      </c>
      <c r="H114" s="2678">
        <f t="shared" si="39"/>
        <v>0</v>
      </c>
      <c r="I114" s="2685"/>
      <c r="J114" s="2685"/>
      <c r="K114" s="2685"/>
      <c r="L114" s="2685"/>
      <c r="M114" s="2685"/>
      <c r="N114" s="2685"/>
      <c r="O114" s="2685"/>
      <c r="P114" s="2685"/>
      <c r="Q114" s="2685"/>
      <c r="R114" s="2685"/>
      <c r="S114" s="2685"/>
      <c r="T114" s="2685"/>
      <c r="U114" s="2685"/>
      <c r="V114" s="2685"/>
      <c r="W114" s="2685"/>
      <c r="X114" s="2685"/>
      <c r="Y114" s="2685"/>
      <c r="Z114" s="2685"/>
      <c r="AA114" s="2685"/>
      <c r="AB114" s="2685"/>
      <c r="AC114" s="2675">
        <f t="shared" si="40"/>
        <v>0</v>
      </c>
      <c r="AD114" s="2695"/>
      <c r="AE114" s="2695"/>
      <c r="AF114" s="2695"/>
      <c r="AG114" s="2695"/>
      <c r="AH114" s="2695"/>
      <c r="AI114" s="2695"/>
      <c r="AJ114" s="2695"/>
      <c r="AK114" s="2695"/>
      <c r="AL114" s="2695"/>
      <c r="AM114" s="2695"/>
      <c r="AN114" s="2695"/>
      <c r="AO114" s="2695"/>
      <c r="AP114" s="2695"/>
      <c r="AQ114" s="2695"/>
      <c r="AR114" s="2695"/>
      <c r="AS114" s="2695"/>
      <c r="AT114" s="2703"/>
      <c r="AU114" s="2704"/>
      <c r="AV114" s="1074">
        <f t="shared" si="64"/>
        <v>0</v>
      </c>
      <c r="AW114" s="1074">
        <f t="shared" si="65"/>
        <v>0</v>
      </c>
      <c r="AX114" s="1074">
        <f t="shared" si="66"/>
        <v>0</v>
      </c>
      <c r="AY114" s="2279">
        <f t="shared" si="41"/>
        <v>0</v>
      </c>
      <c r="AZ114" s="2675">
        <f t="shared" si="42"/>
        <v>0</v>
      </c>
      <c r="BA114" s="2675">
        <f t="shared" si="43"/>
        <v>0</v>
      </c>
      <c r="BB114" s="2675">
        <f t="shared" si="44"/>
        <v>0</v>
      </c>
      <c r="BC114" s="2675">
        <f t="shared" si="45"/>
        <v>0</v>
      </c>
      <c r="BD114" s="2675">
        <f t="shared" si="46"/>
        <v>0</v>
      </c>
      <c r="BE114" s="2675">
        <f t="shared" si="47"/>
        <v>0</v>
      </c>
      <c r="BF114" s="2675">
        <f t="shared" si="48"/>
        <v>0</v>
      </c>
      <c r="BG114" s="2675">
        <f t="shared" si="49"/>
        <v>0</v>
      </c>
      <c r="BH114" s="2675">
        <f t="shared" si="50"/>
        <v>0</v>
      </c>
      <c r="BI114" s="2675">
        <f t="shared" si="51"/>
        <v>0</v>
      </c>
      <c r="BJ114" s="2675">
        <f t="shared" si="52"/>
        <v>0</v>
      </c>
      <c r="BK114" s="2675">
        <f t="shared" si="53"/>
        <v>0</v>
      </c>
      <c r="BL114" s="2675">
        <f t="shared" si="54"/>
        <v>0</v>
      </c>
      <c r="BM114" s="2675">
        <f t="shared" si="55"/>
        <v>0</v>
      </c>
      <c r="BN114" s="2675">
        <f t="shared" si="56"/>
        <v>0</v>
      </c>
      <c r="BO114" s="2675">
        <f t="shared" si="57"/>
        <v>0</v>
      </c>
      <c r="BP114" s="2675">
        <f t="shared" si="58"/>
        <v>0</v>
      </c>
      <c r="BQ114" s="2675">
        <f t="shared" si="59"/>
        <v>0</v>
      </c>
      <c r="BR114" s="2675">
        <f t="shared" si="60"/>
        <v>0</v>
      </c>
      <c r="BS114" s="2675">
        <f t="shared" si="61"/>
        <v>0</v>
      </c>
      <c r="BT114" s="2722">
        <f t="shared" si="62"/>
        <v>0</v>
      </c>
    </row>
    <row r="115" spans="1:72">
      <c r="A115" s="2673"/>
      <c r="B115" s="2674"/>
      <c r="C115" s="2674"/>
      <c r="D115" s="2277"/>
      <c r="E115" s="2675">
        <f t="shared" si="63"/>
        <v>0</v>
      </c>
      <c r="F115" s="2676"/>
      <c r="G115" s="2677">
        <f t="shared" si="38"/>
        <v>0</v>
      </c>
      <c r="H115" s="2678">
        <f t="shared" si="39"/>
        <v>0</v>
      </c>
      <c r="I115" s="2685"/>
      <c r="J115" s="2685"/>
      <c r="K115" s="2685"/>
      <c r="L115" s="2685"/>
      <c r="M115" s="2685"/>
      <c r="N115" s="2685"/>
      <c r="O115" s="2685"/>
      <c r="P115" s="2685"/>
      <c r="Q115" s="2685"/>
      <c r="R115" s="2685"/>
      <c r="S115" s="2685"/>
      <c r="T115" s="2685"/>
      <c r="U115" s="2685"/>
      <c r="V115" s="2685"/>
      <c r="W115" s="2685"/>
      <c r="X115" s="2685"/>
      <c r="Y115" s="2685"/>
      <c r="Z115" s="2685"/>
      <c r="AA115" s="2685"/>
      <c r="AB115" s="2685"/>
      <c r="AC115" s="2675">
        <f t="shared" si="40"/>
        <v>0</v>
      </c>
      <c r="AD115" s="2695"/>
      <c r="AE115" s="2695"/>
      <c r="AF115" s="2695"/>
      <c r="AG115" s="2695"/>
      <c r="AH115" s="2695"/>
      <c r="AI115" s="2695"/>
      <c r="AJ115" s="2695"/>
      <c r="AK115" s="2695"/>
      <c r="AL115" s="2695"/>
      <c r="AM115" s="2695"/>
      <c r="AN115" s="2695"/>
      <c r="AO115" s="2695"/>
      <c r="AP115" s="2695"/>
      <c r="AQ115" s="2695"/>
      <c r="AR115" s="2695"/>
      <c r="AS115" s="2695"/>
      <c r="AT115" s="2703"/>
      <c r="AU115" s="2704"/>
      <c r="AV115" s="1074">
        <f t="shared" si="64"/>
        <v>0</v>
      </c>
      <c r="AW115" s="1074">
        <f t="shared" si="65"/>
        <v>0</v>
      </c>
      <c r="AX115" s="1074">
        <f t="shared" si="66"/>
        <v>0</v>
      </c>
      <c r="AY115" s="2279">
        <f t="shared" si="41"/>
        <v>0</v>
      </c>
      <c r="AZ115" s="2675">
        <f t="shared" si="42"/>
        <v>0</v>
      </c>
      <c r="BA115" s="2675">
        <f t="shared" si="43"/>
        <v>0</v>
      </c>
      <c r="BB115" s="2675">
        <f t="shared" si="44"/>
        <v>0</v>
      </c>
      <c r="BC115" s="2675">
        <f t="shared" si="45"/>
        <v>0</v>
      </c>
      <c r="BD115" s="2675">
        <f t="shared" si="46"/>
        <v>0</v>
      </c>
      <c r="BE115" s="2675">
        <f t="shared" si="47"/>
        <v>0</v>
      </c>
      <c r="BF115" s="2675">
        <f t="shared" si="48"/>
        <v>0</v>
      </c>
      <c r="BG115" s="2675">
        <f t="shared" si="49"/>
        <v>0</v>
      </c>
      <c r="BH115" s="2675">
        <f t="shared" si="50"/>
        <v>0</v>
      </c>
      <c r="BI115" s="2675">
        <f t="shared" si="51"/>
        <v>0</v>
      </c>
      <c r="BJ115" s="2675">
        <f t="shared" si="52"/>
        <v>0</v>
      </c>
      <c r="BK115" s="2675">
        <f t="shared" si="53"/>
        <v>0</v>
      </c>
      <c r="BL115" s="2675">
        <f t="shared" si="54"/>
        <v>0</v>
      </c>
      <c r="BM115" s="2675">
        <f t="shared" si="55"/>
        <v>0</v>
      </c>
      <c r="BN115" s="2675">
        <f t="shared" si="56"/>
        <v>0</v>
      </c>
      <c r="BO115" s="2675">
        <f t="shared" si="57"/>
        <v>0</v>
      </c>
      <c r="BP115" s="2675">
        <f t="shared" si="58"/>
        <v>0</v>
      </c>
      <c r="BQ115" s="2675">
        <f t="shared" si="59"/>
        <v>0</v>
      </c>
      <c r="BR115" s="2675">
        <f t="shared" si="60"/>
        <v>0</v>
      </c>
      <c r="BS115" s="2675">
        <f t="shared" si="61"/>
        <v>0</v>
      </c>
      <c r="BT115" s="2722">
        <f t="shared" si="62"/>
        <v>0</v>
      </c>
    </row>
    <row r="116" spans="1:72">
      <c r="A116" s="2673"/>
      <c r="B116" s="2674"/>
      <c r="C116" s="2674"/>
      <c r="D116" s="2277"/>
      <c r="E116" s="2675">
        <f t="shared" si="63"/>
        <v>0</v>
      </c>
      <c r="F116" s="2676"/>
      <c r="G116" s="2677">
        <f t="shared" si="38"/>
        <v>0</v>
      </c>
      <c r="H116" s="2678">
        <f t="shared" si="39"/>
        <v>0</v>
      </c>
      <c r="I116" s="2685"/>
      <c r="J116" s="2685"/>
      <c r="K116" s="2685"/>
      <c r="L116" s="2685"/>
      <c r="M116" s="2685"/>
      <c r="N116" s="2685"/>
      <c r="O116" s="2685"/>
      <c r="P116" s="2685"/>
      <c r="Q116" s="2685"/>
      <c r="R116" s="2685"/>
      <c r="S116" s="2685"/>
      <c r="T116" s="2685"/>
      <c r="U116" s="2685"/>
      <c r="V116" s="2685"/>
      <c r="W116" s="2685"/>
      <c r="X116" s="2685"/>
      <c r="Y116" s="2685"/>
      <c r="Z116" s="2685"/>
      <c r="AA116" s="2685"/>
      <c r="AB116" s="2685"/>
      <c r="AC116" s="2675">
        <f t="shared" si="40"/>
        <v>0</v>
      </c>
      <c r="AD116" s="2695"/>
      <c r="AE116" s="2695"/>
      <c r="AF116" s="2695"/>
      <c r="AG116" s="2695"/>
      <c r="AH116" s="2695"/>
      <c r="AI116" s="2695"/>
      <c r="AJ116" s="2695"/>
      <c r="AK116" s="2695"/>
      <c r="AL116" s="2695"/>
      <c r="AM116" s="2695"/>
      <c r="AN116" s="2695"/>
      <c r="AO116" s="2695"/>
      <c r="AP116" s="2695"/>
      <c r="AQ116" s="2695"/>
      <c r="AR116" s="2695"/>
      <c r="AS116" s="2695"/>
      <c r="AT116" s="2703"/>
      <c r="AU116" s="2704"/>
      <c r="AV116" s="1074">
        <f t="shared" si="64"/>
        <v>0</v>
      </c>
      <c r="AW116" s="1074">
        <f t="shared" si="65"/>
        <v>0</v>
      </c>
      <c r="AX116" s="1074">
        <f t="shared" si="66"/>
        <v>0</v>
      </c>
      <c r="AY116" s="2279">
        <f t="shared" si="41"/>
        <v>0</v>
      </c>
      <c r="AZ116" s="2675">
        <f t="shared" si="42"/>
        <v>0</v>
      </c>
      <c r="BA116" s="2675">
        <f t="shared" si="43"/>
        <v>0</v>
      </c>
      <c r="BB116" s="2675">
        <f t="shared" si="44"/>
        <v>0</v>
      </c>
      <c r="BC116" s="2675">
        <f t="shared" si="45"/>
        <v>0</v>
      </c>
      <c r="BD116" s="2675">
        <f t="shared" si="46"/>
        <v>0</v>
      </c>
      <c r="BE116" s="2675">
        <f t="shared" si="47"/>
        <v>0</v>
      </c>
      <c r="BF116" s="2675">
        <f t="shared" si="48"/>
        <v>0</v>
      </c>
      <c r="BG116" s="2675">
        <f t="shared" si="49"/>
        <v>0</v>
      </c>
      <c r="BH116" s="2675">
        <f t="shared" si="50"/>
        <v>0</v>
      </c>
      <c r="BI116" s="2675">
        <f t="shared" si="51"/>
        <v>0</v>
      </c>
      <c r="BJ116" s="2675">
        <f t="shared" si="52"/>
        <v>0</v>
      </c>
      <c r="BK116" s="2675">
        <f t="shared" si="53"/>
        <v>0</v>
      </c>
      <c r="BL116" s="2675">
        <f t="shared" si="54"/>
        <v>0</v>
      </c>
      <c r="BM116" s="2675">
        <f t="shared" si="55"/>
        <v>0</v>
      </c>
      <c r="BN116" s="2675">
        <f t="shared" si="56"/>
        <v>0</v>
      </c>
      <c r="BO116" s="2675">
        <f t="shared" si="57"/>
        <v>0</v>
      </c>
      <c r="BP116" s="2675">
        <f t="shared" si="58"/>
        <v>0</v>
      </c>
      <c r="BQ116" s="2675">
        <f t="shared" si="59"/>
        <v>0</v>
      </c>
      <c r="BR116" s="2675">
        <f t="shared" si="60"/>
        <v>0</v>
      </c>
      <c r="BS116" s="2675">
        <f t="shared" si="61"/>
        <v>0</v>
      </c>
      <c r="BT116" s="2722">
        <f t="shared" si="62"/>
        <v>0</v>
      </c>
    </row>
    <row r="117" spans="1:72">
      <c r="A117" s="2673"/>
      <c r="B117" s="2674"/>
      <c r="C117" s="2674"/>
      <c r="D117" s="2277"/>
      <c r="E117" s="2675">
        <f t="shared" si="63"/>
        <v>0</v>
      </c>
      <c r="F117" s="2676"/>
      <c r="G117" s="2677">
        <f t="shared" si="38"/>
        <v>0</v>
      </c>
      <c r="H117" s="2678">
        <f t="shared" si="39"/>
        <v>0</v>
      </c>
      <c r="I117" s="2685"/>
      <c r="J117" s="2685"/>
      <c r="K117" s="2685"/>
      <c r="L117" s="2685"/>
      <c r="M117" s="2685"/>
      <c r="N117" s="2685"/>
      <c r="O117" s="2685"/>
      <c r="P117" s="2685"/>
      <c r="Q117" s="2685"/>
      <c r="R117" s="2685"/>
      <c r="S117" s="2685"/>
      <c r="T117" s="2685"/>
      <c r="U117" s="2685"/>
      <c r="V117" s="2685"/>
      <c r="W117" s="2685"/>
      <c r="X117" s="2685"/>
      <c r="Y117" s="2685"/>
      <c r="Z117" s="2685"/>
      <c r="AA117" s="2685"/>
      <c r="AB117" s="2685"/>
      <c r="AC117" s="2675">
        <f t="shared" si="40"/>
        <v>0</v>
      </c>
      <c r="AD117" s="2695"/>
      <c r="AE117" s="2695"/>
      <c r="AF117" s="2695"/>
      <c r="AG117" s="2695"/>
      <c r="AH117" s="2695"/>
      <c r="AI117" s="2695"/>
      <c r="AJ117" s="2695"/>
      <c r="AK117" s="2695"/>
      <c r="AL117" s="2695"/>
      <c r="AM117" s="2695"/>
      <c r="AN117" s="2695"/>
      <c r="AO117" s="2695"/>
      <c r="AP117" s="2695"/>
      <c r="AQ117" s="2695"/>
      <c r="AR117" s="2695"/>
      <c r="AS117" s="2695"/>
      <c r="AT117" s="2703"/>
      <c r="AU117" s="2704"/>
      <c r="AV117" s="1074">
        <f t="shared" si="64"/>
        <v>0</v>
      </c>
      <c r="AW117" s="1074">
        <f t="shared" si="65"/>
        <v>0</v>
      </c>
      <c r="AX117" s="1074">
        <f t="shared" si="66"/>
        <v>0</v>
      </c>
      <c r="AY117" s="2279">
        <f t="shared" si="41"/>
        <v>0</v>
      </c>
      <c r="AZ117" s="2675">
        <f t="shared" si="42"/>
        <v>0</v>
      </c>
      <c r="BA117" s="2675">
        <f t="shared" si="43"/>
        <v>0</v>
      </c>
      <c r="BB117" s="2675">
        <f t="shared" si="44"/>
        <v>0</v>
      </c>
      <c r="BC117" s="2675">
        <f t="shared" si="45"/>
        <v>0</v>
      </c>
      <c r="BD117" s="2675">
        <f t="shared" si="46"/>
        <v>0</v>
      </c>
      <c r="BE117" s="2675">
        <f t="shared" si="47"/>
        <v>0</v>
      </c>
      <c r="BF117" s="2675">
        <f t="shared" si="48"/>
        <v>0</v>
      </c>
      <c r="BG117" s="2675">
        <f t="shared" si="49"/>
        <v>0</v>
      </c>
      <c r="BH117" s="2675">
        <f t="shared" si="50"/>
        <v>0</v>
      </c>
      <c r="BI117" s="2675">
        <f t="shared" si="51"/>
        <v>0</v>
      </c>
      <c r="BJ117" s="2675">
        <f t="shared" si="52"/>
        <v>0</v>
      </c>
      <c r="BK117" s="2675">
        <f t="shared" si="53"/>
        <v>0</v>
      </c>
      <c r="BL117" s="2675">
        <f t="shared" si="54"/>
        <v>0</v>
      </c>
      <c r="BM117" s="2675">
        <f t="shared" si="55"/>
        <v>0</v>
      </c>
      <c r="BN117" s="2675">
        <f t="shared" si="56"/>
        <v>0</v>
      </c>
      <c r="BO117" s="2675">
        <f t="shared" si="57"/>
        <v>0</v>
      </c>
      <c r="BP117" s="2675">
        <f t="shared" si="58"/>
        <v>0</v>
      </c>
      <c r="BQ117" s="2675">
        <f t="shared" si="59"/>
        <v>0</v>
      </c>
      <c r="BR117" s="2675">
        <f t="shared" si="60"/>
        <v>0</v>
      </c>
      <c r="BS117" s="2675">
        <f t="shared" si="61"/>
        <v>0</v>
      </c>
      <c r="BT117" s="2722">
        <f t="shared" si="62"/>
        <v>0</v>
      </c>
    </row>
    <row r="118" spans="1:72">
      <c r="A118" s="2673"/>
      <c r="B118" s="2674"/>
      <c r="C118" s="2674"/>
      <c r="D118" s="2277"/>
      <c r="E118" s="2675">
        <f t="shared" si="63"/>
        <v>0</v>
      </c>
      <c r="F118" s="2676"/>
      <c r="G118" s="2677">
        <f t="shared" si="38"/>
        <v>0</v>
      </c>
      <c r="H118" s="2678">
        <f t="shared" si="39"/>
        <v>0</v>
      </c>
      <c r="I118" s="2685"/>
      <c r="J118" s="2685"/>
      <c r="K118" s="2685"/>
      <c r="L118" s="2685"/>
      <c r="M118" s="2685"/>
      <c r="N118" s="2685"/>
      <c r="O118" s="2685"/>
      <c r="P118" s="2685"/>
      <c r="Q118" s="2685"/>
      <c r="R118" s="2685"/>
      <c r="S118" s="2685"/>
      <c r="T118" s="2685"/>
      <c r="U118" s="2685"/>
      <c r="V118" s="2685"/>
      <c r="W118" s="2685"/>
      <c r="X118" s="2685"/>
      <c r="Y118" s="2685"/>
      <c r="Z118" s="2685"/>
      <c r="AA118" s="2685"/>
      <c r="AB118" s="2685"/>
      <c r="AC118" s="2675">
        <f t="shared" si="40"/>
        <v>0</v>
      </c>
      <c r="AD118" s="2695"/>
      <c r="AE118" s="2695"/>
      <c r="AF118" s="2695"/>
      <c r="AG118" s="2695"/>
      <c r="AH118" s="2695"/>
      <c r="AI118" s="2695"/>
      <c r="AJ118" s="2695"/>
      <c r="AK118" s="2695"/>
      <c r="AL118" s="2695"/>
      <c r="AM118" s="2695"/>
      <c r="AN118" s="2695"/>
      <c r="AO118" s="2695"/>
      <c r="AP118" s="2695"/>
      <c r="AQ118" s="2695"/>
      <c r="AR118" s="2695"/>
      <c r="AS118" s="2695"/>
      <c r="AT118" s="2703"/>
      <c r="AU118" s="2704"/>
      <c r="AV118" s="1074">
        <f t="shared" si="64"/>
        <v>0</v>
      </c>
      <c r="AW118" s="1074">
        <f t="shared" si="65"/>
        <v>0</v>
      </c>
      <c r="AX118" s="1074">
        <f t="shared" si="66"/>
        <v>0</v>
      </c>
      <c r="AY118" s="2279">
        <f t="shared" si="41"/>
        <v>0</v>
      </c>
      <c r="AZ118" s="2675">
        <f t="shared" si="42"/>
        <v>0</v>
      </c>
      <c r="BA118" s="2675">
        <f t="shared" si="43"/>
        <v>0</v>
      </c>
      <c r="BB118" s="2675">
        <f t="shared" si="44"/>
        <v>0</v>
      </c>
      <c r="BC118" s="2675">
        <f t="shared" si="45"/>
        <v>0</v>
      </c>
      <c r="BD118" s="2675">
        <f t="shared" si="46"/>
        <v>0</v>
      </c>
      <c r="BE118" s="2675">
        <f t="shared" si="47"/>
        <v>0</v>
      </c>
      <c r="BF118" s="2675">
        <f t="shared" si="48"/>
        <v>0</v>
      </c>
      <c r="BG118" s="2675">
        <f t="shared" si="49"/>
        <v>0</v>
      </c>
      <c r="BH118" s="2675">
        <f t="shared" si="50"/>
        <v>0</v>
      </c>
      <c r="BI118" s="2675">
        <f t="shared" si="51"/>
        <v>0</v>
      </c>
      <c r="BJ118" s="2675">
        <f t="shared" si="52"/>
        <v>0</v>
      </c>
      <c r="BK118" s="2675">
        <f t="shared" si="53"/>
        <v>0</v>
      </c>
      <c r="BL118" s="2675">
        <f t="shared" si="54"/>
        <v>0</v>
      </c>
      <c r="BM118" s="2675">
        <f t="shared" si="55"/>
        <v>0</v>
      </c>
      <c r="BN118" s="2675">
        <f t="shared" si="56"/>
        <v>0</v>
      </c>
      <c r="BO118" s="2675">
        <f t="shared" si="57"/>
        <v>0</v>
      </c>
      <c r="BP118" s="2675">
        <f t="shared" si="58"/>
        <v>0</v>
      </c>
      <c r="BQ118" s="2675">
        <f t="shared" si="59"/>
        <v>0</v>
      </c>
      <c r="BR118" s="2675">
        <f t="shared" si="60"/>
        <v>0</v>
      </c>
      <c r="BS118" s="2675">
        <f t="shared" si="61"/>
        <v>0</v>
      </c>
      <c r="BT118" s="2722">
        <f t="shared" si="62"/>
        <v>0</v>
      </c>
    </row>
    <row r="119" spans="1:72">
      <c r="A119" s="2673"/>
      <c r="B119" s="2674"/>
      <c r="C119" s="2674"/>
      <c r="D119" s="2277"/>
      <c r="E119" s="2675">
        <f t="shared" si="63"/>
        <v>0</v>
      </c>
      <c r="F119" s="2676"/>
      <c r="G119" s="2677">
        <f t="shared" si="38"/>
        <v>0</v>
      </c>
      <c r="H119" s="2678">
        <f t="shared" si="39"/>
        <v>0</v>
      </c>
      <c r="I119" s="2685"/>
      <c r="J119" s="2685"/>
      <c r="K119" s="2685"/>
      <c r="L119" s="2685"/>
      <c r="M119" s="2685"/>
      <c r="N119" s="2685"/>
      <c r="O119" s="2685"/>
      <c r="P119" s="2685"/>
      <c r="Q119" s="2685"/>
      <c r="R119" s="2685"/>
      <c r="S119" s="2685"/>
      <c r="T119" s="2685"/>
      <c r="U119" s="2685"/>
      <c r="V119" s="2685"/>
      <c r="W119" s="2685"/>
      <c r="X119" s="2685"/>
      <c r="Y119" s="2685"/>
      <c r="Z119" s="2685"/>
      <c r="AA119" s="2685"/>
      <c r="AB119" s="2685"/>
      <c r="AC119" s="2675">
        <f t="shared" si="40"/>
        <v>0</v>
      </c>
      <c r="AD119" s="2695"/>
      <c r="AE119" s="2695"/>
      <c r="AF119" s="2695"/>
      <c r="AG119" s="2695"/>
      <c r="AH119" s="2695"/>
      <c r="AI119" s="2695"/>
      <c r="AJ119" s="2695"/>
      <c r="AK119" s="2695"/>
      <c r="AL119" s="2695"/>
      <c r="AM119" s="2695"/>
      <c r="AN119" s="2695"/>
      <c r="AO119" s="2695"/>
      <c r="AP119" s="2695"/>
      <c r="AQ119" s="2695"/>
      <c r="AR119" s="2695"/>
      <c r="AS119" s="2695"/>
      <c r="AT119" s="2703"/>
      <c r="AU119" s="2704"/>
      <c r="AV119" s="1074">
        <f t="shared" si="64"/>
        <v>0</v>
      </c>
      <c r="AW119" s="1074">
        <f t="shared" si="65"/>
        <v>0</v>
      </c>
      <c r="AX119" s="1074">
        <f t="shared" si="66"/>
        <v>0</v>
      </c>
      <c r="AY119" s="2279">
        <f t="shared" si="41"/>
        <v>0</v>
      </c>
      <c r="AZ119" s="2675">
        <f t="shared" si="42"/>
        <v>0</v>
      </c>
      <c r="BA119" s="2675">
        <f t="shared" si="43"/>
        <v>0</v>
      </c>
      <c r="BB119" s="2675">
        <f t="shared" si="44"/>
        <v>0</v>
      </c>
      <c r="BC119" s="2675">
        <f t="shared" si="45"/>
        <v>0</v>
      </c>
      <c r="BD119" s="2675">
        <f t="shared" si="46"/>
        <v>0</v>
      </c>
      <c r="BE119" s="2675">
        <f t="shared" si="47"/>
        <v>0</v>
      </c>
      <c r="BF119" s="2675">
        <f t="shared" si="48"/>
        <v>0</v>
      </c>
      <c r="BG119" s="2675">
        <f t="shared" si="49"/>
        <v>0</v>
      </c>
      <c r="BH119" s="2675">
        <f t="shared" si="50"/>
        <v>0</v>
      </c>
      <c r="BI119" s="2675">
        <f t="shared" si="51"/>
        <v>0</v>
      </c>
      <c r="BJ119" s="2675">
        <f t="shared" si="52"/>
        <v>0</v>
      </c>
      <c r="BK119" s="2675">
        <f t="shared" si="53"/>
        <v>0</v>
      </c>
      <c r="BL119" s="2675">
        <f t="shared" si="54"/>
        <v>0</v>
      </c>
      <c r="BM119" s="2675">
        <f t="shared" si="55"/>
        <v>0</v>
      </c>
      <c r="BN119" s="2675">
        <f t="shared" si="56"/>
        <v>0</v>
      </c>
      <c r="BO119" s="2675">
        <f t="shared" si="57"/>
        <v>0</v>
      </c>
      <c r="BP119" s="2675">
        <f t="shared" si="58"/>
        <v>0</v>
      </c>
      <c r="BQ119" s="2675">
        <f t="shared" si="59"/>
        <v>0</v>
      </c>
      <c r="BR119" s="2675">
        <f t="shared" si="60"/>
        <v>0</v>
      </c>
      <c r="BS119" s="2675">
        <f t="shared" si="61"/>
        <v>0</v>
      </c>
      <c r="BT119" s="2722">
        <f t="shared" si="62"/>
        <v>0</v>
      </c>
    </row>
    <row r="120" spans="1:72">
      <c r="A120" s="2673"/>
      <c r="B120" s="2674"/>
      <c r="C120" s="2674"/>
      <c r="D120" s="2277"/>
      <c r="E120" s="2675">
        <f t="shared" si="63"/>
        <v>0</v>
      </c>
      <c r="F120" s="2676"/>
      <c r="G120" s="2677">
        <f t="shared" si="38"/>
        <v>0</v>
      </c>
      <c r="H120" s="2678">
        <f t="shared" si="39"/>
        <v>0</v>
      </c>
      <c r="I120" s="2685"/>
      <c r="J120" s="2685"/>
      <c r="K120" s="2685"/>
      <c r="L120" s="2685"/>
      <c r="M120" s="2685"/>
      <c r="N120" s="2685"/>
      <c r="O120" s="2685"/>
      <c r="P120" s="2685"/>
      <c r="Q120" s="2685"/>
      <c r="R120" s="2685"/>
      <c r="S120" s="2685"/>
      <c r="T120" s="2685"/>
      <c r="U120" s="2685"/>
      <c r="V120" s="2685"/>
      <c r="W120" s="2685"/>
      <c r="X120" s="2685"/>
      <c r="Y120" s="2685"/>
      <c r="Z120" s="2685"/>
      <c r="AA120" s="2685"/>
      <c r="AB120" s="2685"/>
      <c r="AC120" s="2675">
        <f t="shared" si="40"/>
        <v>0</v>
      </c>
      <c r="AD120" s="2695"/>
      <c r="AE120" s="2695"/>
      <c r="AF120" s="2695"/>
      <c r="AG120" s="2695"/>
      <c r="AH120" s="2695"/>
      <c r="AI120" s="2695"/>
      <c r="AJ120" s="2695"/>
      <c r="AK120" s="2695"/>
      <c r="AL120" s="2695"/>
      <c r="AM120" s="2695"/>
      <c r="AN120" s="2695"/>
      <c r="AO120" s="2695"/>
      <c r="AP120" s="2695"/>
      <c r="AQ120" s="2695"/>
      <c r="AR120" s="2695"/>
      <c r="AS120" s="2695"/>
      <c r="AT120" s="2703"/>
      <c r="AU120" s="2704"/>
      <c r="AV120" s="1074">
        <f t="shared" si="64"/>
        <v>0</v>
      </c>
      <c r="AW120" s="1074">
        <f t="shared" si="65"/>
        <v>0</v>
      </c>
      <c r="AX120" s="1074">
        <f t="shared" si="66"/>
        <v>0</v>
      </c>
      <c r="AY120" s="2279">
        <f t="shared" si="41"/>
        <v>0</v>
      </c>
      <c r="AZ120" s="2675">
        <f t="shared" si="42"/>
        <v>0</v>
      </c>
      <c r="BA120" s="2675">
        <f t="shared" si="43"/>
        <v>0</v>
      </c>
      <c r="BB120" s="2675">
        <f t="shared" si="44"/>
        <v>0</v>
      </c>
      <c r="BC120" s="2675">
        <f t="shared" si="45"/>
        <v>0</v>
      </c>
      <c r="BD120" s="2675">
        <f t="shared" si="46"/>
        <v>0</v>
      </c>
      <c r="BE120" s="2675">
        <f t="shared" si="47"/>
        <v>0</v>
      </c>
      <c r="BF120" s="2675">
        <f t="shared" si="48"/>
        <v>0</v>
      </c>
      <c r="BG120" s="2675">
        <f t="shared" si="49"/>
        <v>0</v>
      </c>
      <c r="BH120" s="2675">
        <f t="shared" si="50"/>
        <v>0</v>
      </c>
      <c r="BI120" s="2675">
        <f t="shared" si="51"/>
        <v>0</v>
      </c>
      <c r="BJ120" s="2675">
        <f t="shared" si="52"/>
        <v>0</v>
      </c>
      <c r="BK120" s="2675">
        <f t="shared" si="53"/>
        <v>0</v>
      </c>
      <c r="BL120" s="2675">
        <f t="shared" si="54"/>
        <v>0</v>
      </c>
      <c r="BM120" s="2675">
        <f t="shared" si="55"/>
        <v>0</v>
      </c>
      <c r="BN120" s="2675">
        <f t="shared" si="56"/>
        <v>0</v>
      </c>
      <c r="BO120" s="2675">
        <f t="shared" si="57"/>
        <v>0</v>
      </c>
      <c r="BP120" s="2675">
        <f t="shared" si="58"/>
        <v>0</v>
      </c>
      <c r="BQ120" s="2675">
        <f t="shared" si="59"/>
        <v>0</v>
      </c>
      <c r="BR120" s="2675">
        <f t="shared" si="60"/>
        <v>0</v>
      </c>
      <c r="BS120" s="2675">
        <f t="shared" si="61"/>
        <v>0</v>
      </c>
      <c r="BT120" s="2722">
        <f t="shared" si="62"/>
        <v>0</v>
      </c>
    </row>
    <row r="121" spans="1:72">
      <c r="A121" s="2673"/>
      <c r="B121" s="2674"/>
      <c r="C121" s="2674"/>
      <c r="D121" s="2277"/>
      <c r="E121" s="2675">
        <f t="shared" si="63"/>
        <v>0</v>
      </c>
      <c r="F121" s="2676"/>
      <c r="G121" s="2677">
        <f t="shared" si="38"/>
        <v>0</v>
      </c>
      <c r="H121" s="2678">
        <f t="shared" si="39"/>
        <v>0</v>
      </c>
      <c r="I121" s="2685"/>
      <c r="J121" s="2685"/>
      <c r="K121" s="2685"/>
      <c r="L121" s="2685"/>
      <c r="M121" s="2685"/>
      <c r="N121" s="2685"/>
      <c r="O121" s="2685"/>
      <c r="P121" s="2685"/>
      <c r="Q121" s="2685"/>
      <c r="R121" s="2685"/>
      <c r="S121" s="2685"/>
      <c r="T121" s="2685"/>
      <c r="U121" s="2685"/>
      <c r="V121" s="2685"/>
      <c r="W121" s="2685"/>
      <c r="X121" s="2685"/>
      <c r="Y121" s="2685"/>
      <c r="Z121" s="2685"/>
      <c r="AA121" s="2685"/>
      <c r="AB121" s="2685"/>
      <c r="AC121" s="2675">
        <f t="shared" si="40"/>
        <v>0</v>
      </c>
      <c r="AD121" s="2695"/>
      <c r="AE121" s="2695"/>
      <c r="AF121" s="2695"/>
      <c r="AG121" s="2695"/>
      <c r="AH121" s="2695"/>
      <c r="AI121" s="2695"/>
      <c r="AJ121" s="2695"/>
      <c r="AK121" s="2695"/>
      <c r="AL121" s="2695"/>
      <c r="AM121" s="2695"/>
      <c r="AN121" s="2695"/>
      <c r="AO121" s="2695"/>
      <c r="AP121" s="2695"/>
      <c r="AQ121" s="2695"/>
      <c r="AR121" s="2695"/>
      <c r="AS121" s="2695"/>
      <c r="AT121" s="2703"/>
      <c r="AU121" s="2704"/>
      <c r="AV121" s="1074">
        <f t="shared" si="64"/>
        <v>0</v>
      </c>
      <c r="AW121" s="1074">
        <f t="shared" si="65"/>
        <v>0</v>
      </c>
      <c r="AX121" s="1074">
        <f t="shared" si="66"/>
        <v>0</v>
      </c>
      <c r="AY121" s="2279">
        <f t="shared" si="41"/>
        <v>0</v>
      </c>
      <c r="AZ121" s="2675">
        <f t="shared" si="42"/>
        <v>0</v>
      </c>
      <c r="BA121" s="2675">
        <f t="shared" si="43"/>
        <v>0</v>
      </c>
      <c r="BB121" s="2675">
        <f t="shared" si="44"/>
        <v>0</v>
      </c>
      <c r="BC121" s="2675">
        <f t="shared" si="45"/>
        <v>0</v>
      </c>
      <c r="BD121" s="2675">
        <f t="shared" si="46"/>
        <v>0</v>
      </c>
      <c r="BE121" s="2675">
        <f t="shared" si="47"/>
        <v>0</v>
      </c>
      <c r="BF121" s="2675">
        <f t="shared" si="48"/>
        <v>0</v>
      </c>
      <c r="BG121" s="2675">
        <f t="shared" si="49"/>
        <v>0</v>
      </c>
      <c r="BH121" s="2675">
        <f t="shared" si="50"/>
        <v>0</v>
      </c>
      <c r="BI121" s="2675">
        <f t="shared" si="51"/>
        <v>0</v>
      </c>
      <c r="BJ121" s="2675">
        <f t="shared" si="52"/>
        <v>0</v>
      </c>
      <c r="BK121" s="2675">
        <f t="shared" si="53"/>
        <v>0</v>
      </c>
      <c r="BL121" s="2675">
        <f t="shared" si="54"/>
        <v>0</v>
      </c>
      <c r="BM121" s="2675">
        <f t="shared" si="55"/>
        <v>0</v>
      </c>
      <c r="BN121" s="2675">
        <f t="shared" si="56"/>
        <v>0</v>
      </c>
      <c r="BO121" s="2675">
        <f t="shared" si="57"/>
        <v>0</v>
      </c>
      <c r="BP121" s="2675">
        <f t="shared" si="58"/>
        <v>0</v>
      </c>
      <c r="BQ121" s="2675">
        <f t="shared" si="59"/>
        <v>0</v>
      </c>
      <c r="BR121" s="2675">
        <f t="shared" si="60"/>
        <v>0</v>
      </c>
      <c r="BS121" s="2675">
        <f t="shared" si="61"/>
        <v>0</v>
      </c>
      <c r="BT121" s="2722">
        <f t="shared" si="62"/>
        <v>0</v>
      </c>
    </row>
    <row r="122" spans="1:72">
      <c r="A122" s="2673"/>
      <c r="B122" s="2674"/>
      <c r="C122" s="2674"/>
      <c r="D122" s="2277"/>
      <c r="E122" s="2675">
        <f t="shared" si="63"/>
        <v>0</v>
      </c>
      <c r="F122" s="2676"/>
      <c r="G122" s="2677">
        <f t="shared" si="38"/>
        <v>0</v>
      </c>
      <c r="H122" s="2678">
        <f t="shared" si="39"/>
        <v>0</v>
      </c>
      <c r="I122" s="2685"/>
      <c r="J122" s="2685"/>
      <c r="K122" s="2685"/>
      <c r="L122" s="2685"/>
      <c r="M122" s="2685"/>
      <c r="N122" s="2685"/>
      <c r="O122" s="2685"/>
      <c r="P122" s="2685"/>
      <c r="Q122" s="2685"/>
      <c r="R122" s="2685"/>
      <c r="S122" s="2685"/>
      <c r="T122" s="2685"/>
      <c r="U122" s="2685"/>
      <c r="V122" s="2685"/>
      <c r="W122" s="2685"/>
      <c r="X122" s="2685"/>
      <c r="Y122" s="2685"/>
      <c r="Z122" s="2685"/>
      <c r="AA122" s="2685"/>
      <c r="AB122" s="2685"/>
      <c r="AC122" s="2675">
        <f t="shared" si="40"/>
        <v>0</v>
      </c>
      <c r="AD122" s="2695"/>
      <c r="AE122" s="2695"/>
      <c r="AF122" s="2695"/>
      <c r="AG122" s="2695"/>
      <c r="AH122" s="2695"/>
      <c r="AI122" s="2695"/>
      <c r="AJ122" s="2695"/>
      <c r="AK122" s="2695"/>
      <c r="AL122" s="2695"/>
      <c r="AM122" s="2695"/>
      <c r="AN122" s="2695"/>
      <c r="AO122" s="2695"/>
      <c r="AP122" s="2695"/>
      <c r="AQ122" s="2695"/>
      <c r="AR122" s="2695"/>
      <c r="AS122" s="2695"/>
      <c r="AT122" s="2703"/>
      <c r="AU122" s="2704"/>
      <c r="AV122" s="1074">
        <f t="shared" si="64"/>
        <v>0</v>
      </c>
      <c r="AW122" s="1074">
        <f t="shared" si="65"/>
        <v>0</v>
      </c>
      <c r="AX122" s="1074">
        <f t="shared" si="66"/>
        <v>0</v>
      </c>
      <c r="AY122" s="2279">
        <f t="shared" si="41"/>
        <v>0</v>
      </c>
      <c r="AZ122" s="2675">
        <f t="shared" si="42"/>
        <v>0</v>
      </c>
      <c r="BA122" s="2675">
        <f t="shared" si="43"/>
        <v>0</v>
      </c>
      <c r="BB122" s="2675">
        <f t="shared" si="44"/>
        <v>0</v>
      </c>
      <c r="BC122" s="2675">
        <f t="shared" si="45"/>
        <v>0</v>
      </c>
      <c r="BD122" s="2675">
        <f t="shared" si="46"/>
        <v>0</v>
      </c>
      <c r="BE122" s="2675">
        <f t="shared" si="47"/>
        <v>0</v>
      </c>
      <c r="BF122" s="2675">
        <f t="shared" si="48"/>
        <v>0</v>
      </c>
      <c r="BG122" s="2675">
        <f t="shared" si="49"/>
        <v>0</v>
      </c>
      <c r="BH122" s="2675">
        <f t="shared" si="50"/>
        <v>0</v>
      </c>
      <c r="BI122" s="2675">
        <f t="shared" si="51"/>
        <v>0</v>
      </c>
      <c r="BJ122" s="2675">
        <f t="shared" si="52"/>
        <v>0</v>
      </c>
      <c r="BK122" s="2675">
        <f t="shared" si="53"/>
        <v>0</v>
      </c>
      <c r="BL122" s="2675">
        <f t="shared" si="54"/>
        <v>0</v>
      </c>
      <c r="BM122" s="2675">
        <f t="shared" si="55"/>
        <v>0</v>
      </c>
      <c r="BN122" s="2675">
        <f t="shared" si="56"/>
        <v>0</v>
      </c>
      <c r="BO122" s="2675">
        <f t="shared" si="57"/>
        <v>0</v>
      </c>
      <c r="BP122" s="2675">
        <f t="shared" si="58"/>
        <v>0</v>
      </c>
      <c r="BQ122" s="2675">
        <f t="shared" si="59"/>
        <v>0</v>
      </c>
      <c r="BR122" s="2675">
        <f t="shared" si="60"/>
        <v>0</v>
      </c>
      <c r="BS122" s="2675">
        <f t="shared" si="61"/>
        <v>0</v>
      </c>
      <c r="BT122" s="2722">
        <f t="shared" si="62"/>
        <v>0</v>
      </c>
    </row>
    <row r="123" spans="1:72">
      <c r="A123" s="2673"/>
      <c r="B123" s="2674"/>
      <c r="C123" s="2674"/>
      <c r="D123" s="2277"/>
      <c r="E123" s="2675">
        <f t="shared" si="63"/>
        <v>0</v>
      </c>
      <c r="F123" s="2676"/>
      <c r="G123" s="2677">
        <f t="shared" si="38"/>
        <v>0</v>
      </c>
      <c r="H123" s="2678">
        <f t="shared" si="39"/>
        <v>0</v>
      </c>
      <c r="I123" s="2685"/>
      <c r="J123" s="2685"/>
      <c r="K123" s="2685"/>
      <c r="L123" s="2685"/>
      <c r="M123" s="2685"/>
      <c r="N123" s="2685"/>
      <c r="O123" s="2685"/>
      <c r="P123" s="2685"/>
      <c r="Q123" s="2685"/>
      <c r="R123" s="2685"/>
      <c r="S123" s="2685"/>
      <c r="T123" s="2685"/>
      <c r="U123" s="2685"/>
      <c r="V123" s="2685"/>
      <c r="W123" s="2685"/>
      <c r="X123" s="2685"/>
      <c r="Y123" s="2685"/>
      <c r="Z123" s="2685"/>
      <c r="AA123" s="2685"/>
      <c r="AB123" s="2685"/>
      <c r="AC123" s="2675">
        <f t="shared" si="40"/>
        <v>0</v>
      </c>
      <c r="AD123" s="2695"/>
      <c r="AE123" s="2695"/>
      <c r="AF123" s="2695"/>
      <c r="AG123" s="2695"/>
      <c r="AH123" s="2695"/>
      <c r="AI123" s="2695"/>
      <c r="AJ123" s="2695"/>
      <c r="AK123" s="2695"/>
      <c r="AL123" s="2695"/>
      <c r="AM123" s="2695"/>
      <c r="AN123" s="2695"/>
      <c r="AO123" s="2695"/>
      <c r="AP123" s="2695"/>
      <c r="AQ123" s="2695"/>
      <c r="AR123" s="2695"/>
      <c r="AS123" s="2695"/>
      <c r="AT123" s="2703"/>
      <c r="AU123" s="2704"/>
      <c r="AV123" s="1074">
        <f t="shared" si="64"/>
        <v>0</v>
      </c>
      <c r="AW123" s="1074">
        <f t="shared" si="65"/>
        <v>0</v>
      </c>
      <c r="AX123" s="1074">
        <f t="shared" si="66"/>
        <v>0</v>
      </c>
      <c r="AY123" s="2279">
        <f t="shared" si="41"/>
        <v>0</v>
      </c>
      <c r="AZ123" s="2675">
        <f t="shared" si="42"/>
        <v>0</v>
      </c>
      <c r="BA123" s="2675">
        <f t="shared" si="43"/>
        <v>0</v>
      </c>
      <c r="BB123" s="2675">
        <f t="shared" si="44"/>
        <v>0</v>
      </c>
      <c r="BC123" s="2675">
        <f t="shared" si="45"/>
        <v>0</v>
      </c>
      <c r="BD123" s="2675">
        <f t="shared" si="46"/>
        <v>0</v>
      </c>
      <c r="BE123" s="2675">
        <f t="shared" si="47"/>
        <v>0</v>
      </c>
      <c r="BF123" s="2675">
        <f t="shared" si="48"/>
        <v>0</v>
      </c>
      <c r="BG123" s="2675">
        <f t="shared" si="49"/>
        <v>0</v>
      </c>
      <c r="BH123" s="2675">
        <f t="shared" si="50"/>
        <v>0</v>
      </c>
      <c r="BI123" s="2675">
        <f t="shared" si="51"/>
        <v>0</v>
      </c>
      <c r="BJ123" s="2675">
        <f t="shared" si="52"/>
        <v>0</v>
      </c>
      <c r="BK123" s="2675">
        <f t="shared" si="53"/>
        <v>0</v>
      </c>
      <c r="BL123" s="2675">
        <f t="shared" si="54"/>
        <v>0</v>
      </c>
      <c r="BM123" s="2675">
        <f t="shared" si="55"/>
        <v>0</v>
      </c>
      <c r="BN123" s="2675">
        <f t="shared" si="56"/>
        <v>0</v>
      </c>
      <c r="BO123" s="2675">
        <f t="shared" si="57"/>
        <v>0</v>
      </c>
      <c r="BP123" s="2675">
        <f t="shared" si="58"/>
        <v>0</v>
      </c>
      <c r="BQ123" s="2675">
        <f t="shared" si="59"/>
        <v>0</v>
      </c>
      <c r="BR123" s="2675">
        <f t="shared" si="60"/>
        <v>0</v>
      </c>
      <c r="BS123" s="2675">
        <f t="shared" si="61"/>
        <v>0</v>
      </c>
      <c r="BT123" s="2722">
        <f t="shared" si="62"/>
        <v>0</v>
      </c>
    </row>
    <row r="124" spans="1:72">
      <c r="A124" s="2673"/>
      <c r="B124" s="2674"/>
      <c r="C124" s="2674"/>
      <c r="D124" s="2277"/>
      <c r="E124" s="2675">
        <f t="shared" si="63"/>
        <v>0</v>
      </c>
      <c r="F124" s="2676"/>
      <c r="G124" s="2677">
        <f t="shared" si="38"/>
        <v>0</v>
      </c>
      <c r="H124" s="2678">
        <f t="shared" si="39"/>
        <v>0</v>
      </c>
      <c r="I124" s="2685"/>
      <c r="J124" s="2685"/>
      <c r="K124" s="2685"/>
      <c r="L124" s="2685"/>
      <c r="M124" s="2685"/>
      <c r="N124" s="2685"/>
      <c r="O124" s="2685"/>
      <c r="P124" s="2685"/>
      <c r="Q124" s="2685"/>
      <c r="R124" s="2685"/>
      <c r="S124" s="2685"/>
      <c r="T124" s="2685"/>
      <c r="U124" s="2685"/>
      <c r="V124" s="2685"/>
      <c r="W124" s="2685"/>
      <c r="X124" s="2685"/>
      <c r="Y124" s="2685"/>
      <c r="Z124" s="2685"/>
      <c r="AA124" s="2685"/>
      <c r="AB124" s="2685"/>
      <c r="AC124" s="2675">
        <f t="shared" si="40"/>
        <v>0</v>
      </c>
      <c r="AD124" s="2695"/>
      <c r="AE124" s="2695"/>
      <c r="AF124" s="2695"/>
      <c r="AG124" s="2695"/>
      <c r="AH124" s="2695"/>
      <c r="AI124" s="2695"/>
      <c r="AJ124" s="2695"/>
      <c r="AK124" s="2695"/>
      <c r="AL124" s="2695"/>
      <c r="AM124" s="2695"/>
      <c r="AN124" s="2695"/>
      <c r="AO124" s="2695"/>
      <c r="AP124" s="2695"/>
      <c r="AQ124" s="2695"/>
      <c r="AR124" s="2695"/>
      <c r="AS124" s="2695"/>
      <c r="AT124" s="2703"/>
      <c r="AU124" s="2704"/>
      <c r="AV124" s="1074">
        <f t="shared" si="64"/>
        <v>0</v>
      </c>
      <c r="AW124" s="1074">
        <f t="shared" si="65"/>
        <v>0</v>
      </c>
      <c r="AX124" s="1074">
        <f t="shared" si="66"/>
        <v>0</v>
      </c>
      <c r="AY124" s="2279">
        <f t="shared" si="41"/>
        <v>0</v>
      </c>
      <c r="AZ124" s="2675">
        <f t="shared" si="42"/>
        <v>0</v>
      </c>
      <c r="BA124" s="2675">
        <f t="shared" si="43"/>
        <v>0</v>
      </c>
      <c r="BB124" s="2675">
        <f t="shared" si="44"/>
        <v>0</v>
      </c>
      <c r="BC124" s="2675">
        <f t="shared" si="45"/>
        <v>0</v>
      </c>
      <c r="BD124" s="2675">
        <f t="shared" si="46"/>
        <v>0</v>
      </c>
      <c r="BE124" s="2675">
        <f t="shared" si="47"/>
        <v>0</v>
      </c>
      <c r="BF124" s="2675">
        <f t="shared" si="48"/>
        <v>0</v>
      </c>
      <c r="BG124" s="2675">
        <f t="shared" si="49"/>
        <v>0</v>
      </c>
      <c r="BH124" s="2675">
        <f t="shared" si="50"/>
        <v>0</v>
      </c>
      <c r="BI124" s="2675">
        <f t="shared" si="51"/>
        <v>0</v>
      </c>
      <c r="BJ124" s="2675">
        <f t="shared" si="52"/>
        <v>0</v>
      </c>
      <c r="BK124" s="2675">
        <f t="shared" si="53"/>
        <v>0</v>
      </c>
      <c r="BL124" s="2675">
        <f t="shared" si="54"/>
        <v>0</v>
      </c>
      <c r="BM124" s="2675">
        <f t="shared" si="55"/>
        <v>0</v>
      </c>
      <c r="BN124" s="2675">
        <f t="shared" si="56"/>
        <v>0</v>
      </c>
      <c r="BO124" s="2675">
        <f t="shared" si="57"/>
        <v>0</v>
      </c>
      <c r="BP124" s="2675">
        <f t="shared" si="58"/>
        <v>0</v>
      </c>
      <c r="BQ124" s="2675">
        <f t="shared" si="59"/>
        <v>0</v>
      </c>
      <c r="BR124" s="2675">
        <f t="shared" si="60"/>
        <v>0</v>
      </c>
      <c r="BS124" s="2675">
        <f t="shared" si="61"/>
        <v>0</v>
      </c>
      <c r="BT124" s="2722">
        <f t="shared" si="62"/>
        <v>0</v>
      </c>
    </row>
    <row r="125" spans="1:72">
      <c r="A125" s="2673"/>
      <c r="B125" s="2674"/>
      <c r="C125" s="2674"/>
      <c r="D125" s="2277"/>
      <c r="E125" s="2675">
        <f t="shared" si="63"/>
        <v>0</v>
      </c>
      <c r="F125" s="2676"/>
      <c r="G125" s="2677">
        <f t="shared" si="38"/>
        <v>0</v>
      </c>
      <c r="H125" s="2678">
        <f t="shared" si="39"/>
        <v>0</v>
      </c>
      <c r="I125" s="2685"/>
      <c r="J125" s="2685"/>
      <c r="K125" s="2685"/>
      <c r="L125" s="2685"/>
      <c r="M125" s="2685"/>
      <c r="N125" s="2685"/>
      <c r="O125" s="2685"/>
      <c r="P125" s="2685"/>
      <c r="Q125" s="2685"/>
      <c r="R125" s="2685"/>
      <c r="S125" s="2685"/>
      <c r="T125" s="2685"/>
      <c r="U125" s="2685"/>
      <c r="V125" s="2685"/>
      <c r="W125" s="2685"/>
      <c r="X125" s="2685"/>
      <c r="Y125" s="2685"/>
      <c r="Z125" s="2685"/>
      <c r="AA125" s="2685"/>
      <c r="AB125" s="2685"/>
      <c r="AC125" s="2675">
        <f t="shared" si="40"/>
        <v>0</v>
      </c>
      <c r="AD125" s="2695"/>
      <c r="AE125" s="2695"/>
      <c r="AF125" s="2695"/>
      <c r="AG125" s="2695"/>
      <c r="AH125" s="2695"/>
      <c r="AI125" s="2695"/>
      <c r="AJ125" s="2695"/>
      <c r="AK125" s="2695"/>
      <c r="AL125" s="2695"/>
      <c r="AM125" s="2695"/>
      <c r="AN125" s="2695"/>
      <c r="AO125" s="2695"/>
      <c r="AP125" s="2695"/>
      <c r="AQ125" s="2695"/>
      <c r="AR125" s="2695"/>
      <c r="AS125" s="2695"/>
      <c r="AT125" s="2703"/>
      <c r="AU125" s="2704"/>
      <c r="AV125" s="1074">
        <f t="shared" si="64"/>
        <v>0</v>
      </c>
      <c r="AW125" s="1074">
        <f t="shared" si="65"/>
        <v>0</v>
      </c>
      <c r="AX125" s="1074">
        <f t="shared" si="66"/>
        <v>0</v>
      </c>
      <c r="AY125" s="2279">
        <f t="shared" si="41"/>
        <v>0</v>
      </c>
      <c r="AZ125" s="2675">
        <f t="shared" si="42"/>
        <v>0</v>
      </c>
      <c r="BA125" s="2675">
        <f t="shared" si="43"/>
        <v>0</v>
      </c>
      <c r="BB125" s="2675">
        <f t="shared" si="44"/>
        <v>0</v>
      </c>
      <c r="BC125" s="2675">
        <f t="shared" si="45"/>
        <v>0</v>
      </c>
      <c r="BD125" s="2675">
        <f t="shared" si="46"/>
        <v>0</v>
      </c>
      <c r="BE125" s="2675">
        <f t="shared" si="47"/>
        <v>0</v>
      </c>
      <c r="BF125" s="2675">
        <f t="shared" si="48"/>
        <v>0</v>
      </c>
      <c r="BG125" s="2675">
        <f t="shared" si="49"/>
        <v>0</v>
      </c>
      <c r="BH125" s="2675">
        <f t="shared" si="50"/>
        <v>0</v>
      </c>
      <c r="BI125" s="2675">
        <f t="shared" si="51"/>
        <v>0</v>
      </c>
      <c r="BJ125" s="2675">
        <f t="shared" si="52"/>
        <v>0</v>
      </c>
      <c r="BK125" s="2675">
        <f t="shared" si="53"/>
        <v>0</v>
      </c>
      <c r="BL125" s="2675">
        <f t="shared" si="54"/>
        <v>0</v>
      </c>
      <c r="BM125" s="2675">
        <f t="shared" si="55"/>
        <v>0</v>
      </c>
      <c r="BN125" s="2675">
        <f t="shared" si="56"/>
        <v>0</v>
      </c>
      <c r="BO125" s="2675">
        <f t="shared" si="57"/>
        <v>0</v>
      </c>
      <c r="BP125" s="2675">
        <f t="shared" si="58"/>
        <v>0</v>
      </c>
      <c r="BQ125" s="2675">
        <f t="shared" si="59"/>
        <v>0</v>
      </c>
      <c r="BR125" s="2675">
        <f t="shared" si="60"/>
        <v>0</v>
      </c>
      <c r="BS125" s="2675">
        <f t="shared" si="61"/>
        <v>0</v>
      </c>
      <c r="BT125" s="2722">
        <f t="shared" si="62"/>
        <v>0</v>
      </c>
    </row>
    <row r="126" spans="1:72">
      <c r="A126" s="2673"/>
      <c r="B126" s="2674"/>
      <c r="C126" s="2674"/>
      <c r="D126" s="2277"/>
      <c r="E126" s="2675">
        <f t="shared" si="63"/>
        <v>0</v>
      </c>
      <c r="F126" s="2676"/>
      <c r="G126" s="2677">
        <f t="shared" si="38"/>
        <v>0</v>
      </c>
      <c r="H126" s="2678">
        <f t="shared" si="39"/>
        <v>0</v>
      </c>
      <c r="I126" s="2685"/>
      <c r="J126" s="2685"/>
      <c r="K126" s="2685"/>
      <c r="L126" s="2685"/>
      <c r="M126" s="2685"/>
      <c r="N126" s="2685"/>
      <c r="O126" s="2685"/>
      <c r="P126" s="2685"/>
      <c r="Q126" s="2685"/>
      <c r="R126" s="2685"/>
      <c r="S126" s="2685"/>
      <c r="T126" s="2685"/>
      <c r="U126" s="2685"/>
      <c r="V126" s="2685"/>
      <c r="W126" s="2685"/>
      <c r="X126" s="2685"/>
      <c r="Y126" s="2685"/>
      <c r="Z126" s="2685"/>
      <c r="AA126" s="2685"/>
      <c r="AB126" s="2685"/>
      <c r="AC126" s="2675">
        <f t="shared" si="40"/>
        <v>0</v>
      </c>
      <c r="AD126" s="2695"/>
      <c r="AE126" s="2695"/>
      <c r="AF126" s="2695"/>
      <c r="AG126" s="2695"/>
      <c r="AH126" s="2695"/>
      <c r="AI126" s="2695"/>
      <c r="AJ126" s="2695"/>
      <c r="AK126" s="2695"/>
      <c r="AL126" s="2695"/>
      <c r="AM126" s="2695"/>
      <c r="AN126" s="2695"/>
      <c r="AO126" s="2695"/>
      <c r="AP126" s="2695"/>
      <c r="AQ126" s="2695"/>
      <c r="AR126" s="2695"/>
      <c r="AS126" s="2695"/>
      <c r="AT126" s="2703"/>
      <c r="AU126" s="2704"/>
      <c r="AV126" s="1074">
        <f t="shared" si="64"/>
        <v>0</v>
      </c>
      <c r="AW126" s="1074">
        <f t="shared" si="65"/>
        <v>0</v>
      </c>
      <c r="AX126" s="1074">
        <f t="shared" si="66"/>
        <v>0</v>
      </c>
      <c r="AY126" s="2279">
        <f t="shared" si="41"/>
        <v>0</v>
      </c>
      <c r="AZ126" s="2675">
        <f t="shared" si="42"/>
        <v>0</v>
      </c>
      <c r="BA126" s="2675">
        <f t="shared" si="43"/>
        <v>0</v>
      </c>
      <c r="BB126" s="2675">
        <f t="shared" si="44"/>
        <v>0</v>
      </c>
      <c r="BC126" s="2675">
        <f t="shared" si="45"/>
        <v>0</v>
      </c>
      <c r="BD126" s="2675">
        <f t="shared" si="46"/>
        <v>0</v>
      </c>
      <c r="BE126" s="2675">
        <f t="shared" si="47"/>
        <v>0</v>
      </c>
      <c r="BF126" s="2675">
        <f t="shared" si="48"/>
        <v>0</v>
      </c>
      <c r="BG126" s="2675">
        <f t="shared" si="49"/>
        <v>0</v>
      </c>
      <c r="BH126" s="2675">
        <f t="shared" si="50"/>
        <v>0</v>
      </c>
      <c r="BI126" s="2675">
        <f t="shared" si="51"/>
        <v>0</v>
      </c>
      <c r="BJ126" s="2675">
        <f t="shared" si="52"/>
        <v>0</v>
      </c>
      <c r="BK126" s="2675">
        <f t="shared" si="53"/>
        <v>0</v>
      </c>
      <c r="BL126" s="2675">
        <f t="shared" si="54"/>
        <v>0</v>
      </c>
      <c r="BM126" s="2675">
        <f t="shared" si="55"/>
        <v>0</v>
      </c>
      <c r="BN126" s="2675">
        <f t="shared" si="56"/>
        <v>0</v>
      </c>
      <c r="BO126" s="2675">
        <f t="shared" si="57"/>
        <v>0</v>
      </c>
      <c r="BP126" s="2675">
        <f t="shared" si="58"/>
        <v>0</v>
      </c>
      <c r="BQ126" s="2675">
        <f t="shared" si="59"/>
        <v>0</v>
      </c>
      <c r="BR126" s="2675">
        <f t="shared" si="60"/>
        <v>0</v>
      </c>
      <c r="BS126" s="2675">
        <f t="shared" si="61"/>
        <v>0</v>
      </c>
      <c r="BT126" s="2722">
        <f t="shared" si="62"/>
        <v>0</v>
      </c>
    </row>
    <row r="127" spans="1:72">
      <c r="A127" s="2673"/>
      <c r="B127" s="2674"/>
      <c r="C127" s="2674"/>
      <c r="D127" s="2277"/>
      <c r="E127" s="2675">
        <f t="shared" si="63"/>
        <v>0</v>
      </c>
      <c r="F127" s="2676"/>
      <c r="G127" s="2677">
        <f t="shared" si="38"/>
        <v>0</v>
      </c>
      <c r="H127" s="2678">
        <f t="shared" si="39"/>
        <v>0</v>
      </c>
      <c r="I127" s="2685"/>
      <c r="J127" s="2685"/>
      <c r="K127" s="2685"/>
      <c r="L127" s="2685"/>
      <c r="M127" s="2685"/>
      <c r="N127" s="2685"/>
      <c r="O127" s="2685"/>
      <c r="P127" s="2685"/>
      <c r="Q127" s="2685"/>
      <c r="R127" s="2685"/>
      <c r="S127" s="2685"/>
      <c r="T127" s="2685"/>
      <c r="U127" s="2685"/>
      <c r="V127" s="2685"/>
      <c r="W127" s="2685"/>
      <c r="X127" s="2685"/>
      <c r="Y127" s="2685"/>
      <c r="Z127" s="2685"/>
      <c r="AA127" s="2685"/>
      <c r="AB127" s="2685"/>
      <c r="AC127" s="2675">
        <f t="shared" si="40"/>
        <v>0</v>
      </c>
      <c r="AD127" s="2695"/>
      <c r="AE127" s="2695"/>
      <c r="AF127" s="2695"/>
      <c r="AG127" s="2695"/>
      <c r="AH127" s="2695"/>
      <c r="AI127" s="2695"/>
      <c r="AJ127" s="2695"/>
      <c r="AK127" s="2695"/>
      <c r="AL127" s="2695"/>
      <c r="AM127" s="2695"/>
      <c r="AN127" s="2695"/>
      <c r="AO127" s="2695"/>
      <c r="AP127" s="2695"/>
      <c r="AQ127" s="2695"/>
      <c r="AR127" s="2695"/>
      <c r="AS127" s="2695"/>
      <c r="AT127" s="2703"/>
      <c r="AU127" s="2704"/>
      <c r="AV127" s="1074">
        <f t="shared" si="64"/>
        <v>0</v>
      </c>
      <c r="AW127" s="1074">
        <f t="shared" si="65"/>
        <v>0</v>
      </c>
      <c r="AX127" s="1074">
        <f t="shared" si="66"/>
        <v>0</v>
      </c>
      <c r="AY127" s="2279">
        <f t="shared" si="41"/>
        <v>0</v>
      </c>
      <c r="AZ127" s="2675">
        <f t="shared" si="42"/>
        <v>0</v>
      </c>
      <c r="BA127" s="2675">
        <f t="shared" si="43"/>
        <v>0</v>
      </c>
      <c r="BB127" s="2675">
        <f t="shared" si="44"/>
        <v>0</v>
      </c>
      <c r="BC127" s="2675">
        <f t="shared" si="45"/>
        <v>0</v>
      </c>
      <c r="BD127" s="2675">
        <f t="shared" si="46"/>
        <v>0</v>
      </c>
      <c r="BE127" s="2675">
        <f t="shared" si="47"/>
        <v>0</v>
      </c>
      <c r="BF127" s="2675">
        <f t="shared" si="48"/>
        <v>0</v>
      </c>
      <c r="BG127" s="2675">
        <f t="shared" si="49"/>
        <v>0</v>
      </c>
      <c r="BH127" s="2675">
        <f t="shared" si="50"/>
        <v>0</v>
      </c>
      <c r="BI127" s="2675">
        <f t="shared" si="51"/>
        <v>0</v>
      </c>
      <c r="BJ127" s="2675">
        <f t="shared" si="52"/>
        <v>0</v>
      </c>
      <c r="BK127" s="2675">
        <f t="shared" si="53"/>
        <v>0</v>
      </c>
      <c r="BL127" s="2675">
        <f t="shared" si="54"/>
        <v>0</v>
      </c>
      <c r="BM127" s="2675">
        <f t="shared" si="55"/>
        <v>0</v>
      </c>
      <c r="BN127" s="2675">
        <f t="shared" si="56"/>
        <v>0</v>
      </c>
      <c r="BO127" s="2675">
        <f t="shared" si="57"/>
        <v>0</v>
      </c>
      <c r="BP127" s="2675">
        <f t="shared" si="58"/>
        <v>0</v>
      </c>
      <c r="BQ127" s="2675">
        <f t="shared" si="59"/>
        <v>0</v>
      </c>
      <c r="BR127" s="2675">
        <f t="shared" si="60"/>
        <v>0</v>
      </c>
      <c r="BS127" s="2675">
        <f t="shared" si="61"/>
        <v>0</v>
      </c>
      <c r="BT127" s="2722">
        <f t="shared" si="62"/>
        <v>0</v>
      </c>
    </row>
    <row r="128" spans="1:72">
      <c r="A128" s="2673"/>
      <c r="B128" s="2674"/>
      <c r="C128" s="2674"/>
      <c r="D128" s="2277"/>
      <c r="E128" s="2675">
        <f t="shared" si="63"/>
        <v>0</v>
      </c>
      <c r="F128" s="2676"/>
      <c r="G128" s="2677">
        <f t="shared" si="38"/>
        <v>0</v>
      </c>
      <c r="H128" s="2678">
        <f t="shared" si="39"/>
        <v>0</v>
      </c>
      <c r="I128" s="2685"/>
      <c r="J128" s="2685"/>
      <c r="K128" s="2685"/>
      <c r="L128" s="2685"/>
      <c r="M128" s="2685"/>
      <c r="N128" s="2685"/>
      <c r="O128" s="2685"/>
      <c r="P128" s="2685"/>
      <c r="Q128" s="2685"/>
      <c r="R128" s="2685"/>
      <c r="S128" s="2685"/>
      <c r="T128" s="2685"/>
      <c r="U128" s="2685"/>
      <c r="V128" s="2685"/>
      <c r="W128" s="2685"/>
      <c r="X128" s="2685"/>
      <c r="Y128" s="2685"/>
      <c r="Z128" s="2685"/>
      <c r="AA128" s="2685"/>
      <c r="AB128" s="2685"/>
      <c r="AC128" s="2675">
        <f t="shared" si="40"/>
        <v>0</v>
      </c>
      <c r="AD128" s="2695"/>
      <c r="AE128" s="2695"/>
      <c r="AF128" s="2695"/>
      <c r="AG128" s="2695"/>
      <c r="AH128" s="2695"/>
      <c r="AI128" s="2695"/>
      <c r="AJ128" s="2695"/>
      <c r="AK128" s="2695"/>
      <c r="AL128" s="2695"/>
      <c r="AM128" s="2695"/>
      <c r="AN128" s="2695"/>
      <c r="AO128" s="2695"/>
      <c r="AP128" s="2695"/>
      <c r="AQ128" s="2695"/>
      <c r="AR128" s="2695"/>
      <c r="AS128" s="2695"/>
      <c r="AT128" s="2703"/>
      <c r="AU128" s="2704"/>
      <c r="AV128" s="1074">
        <f t="shared" si="64"/>
        <v>0</v>
      </c>
      <c r="AW128" s="1074">
        <f t="shared" si="65"/>
        <v>0</v>
      </c>
      <c r="AX128" s="1074">
        <f t="shared" si="66"/>
        <v>0</v>
      </c>
      <c r="AY128" s="2279">
        <f t="shared" si="41"/>
        <v>0</v>
      </c>
      <c r="AZ128" s="2675">
        <f t="shared" si="42"/>
        <v>0</v>
      </c>
      <c r="BA128" s="2675">
        <f t="shared" si="43"/>
        <v>0</v>
      </c>
      <c r="BB128" s="2675">
        <f t="shared" si="44"/>
        <v>0</v>
      </c>
      <c r="BC128" s="2675">
        <f t="shared" si="45"/>
        <v>0</v>
      </c>
      <c r="BD128" s="2675">
        <f t="shared" si="46"/>
        <v>0</v>
      </c>
      <c r="BE128" s="2675">
        <f t="shared" si="47"/>
        <v>0</v>
      </c>
      <c r="BF128" s="2675">
        <f t="shared" si="48"/>
        <v>0</v>
      </c>
      <c r="BG128" s="2675">
        <f t="shared" si="49"/>
        <v>0</v>
      </c>
      <c r="BH128" s="2675">
        <f t="shared" si="50"/>
        <v>0</v>
      </c>
      <c r="BI128" s="2675">
        <f t="shared" si="51"/>
        <v>0</v>
      </c>
      <c r="BJ128" s="2675">
        <f t="shared" si="52"/>
        <v>0</v>
      </c>
      <c r="BK128" s="2675">
        <f t="shared" si="53"/>
        <v>0</v>
      </c>
      <c r="BL128" s="2675">
        <f t="shared" si="54"/>
        <v>0</v>
      </c>
      <c r="BM128" s="2675">
        <f t="shared" si="55"/>
        <v>0</v>
      </c>
      <c r="BN128" s="2675">
        <f t="shared" si="56"/>
        <v>0</v>
      </c>
      <c r="BO128" s="2675">
        <f t="shared" si="57"/>
        <v>0</v>
      </c>
      <c r="BP128" s="2675">
        <f t="shared" si="58"/>
        <v>0</v>
      </c>
      <c r="BQ128" s="2675">
        <f t="shared" si="59"/>
        <v>0</v>
      </c>
      <c r="BR128" s="2675">
        <f t="shared" si="60"/>
        <v>0</v>
      </c>
      <c r="BS128" s="2675">
        <f t="shared" si="61"/>
        <v>0</v>
      </c>
      <c r="BT128" s="2722">
        <f t="shared" si="62"/>
        <v>0</v>
      </c>
    </row>
    <row r="129" spans="1:72">
      <c r="A129" s="2673"/>
      <c r="B129" s="2674"/>
      <c r="C129" s="2674"/>
      <c r="D129" s="2277"/>
      <c r="E129" s="2675">
        <f t="shared" si="63"/>
        <v>0</v>
      </c>
      <c r="F129" s="2676"/>
      <c r="G129" s="2677">
        <f t="shared" si="38"/>
        <v>0</v>
      </c>
      <c r="H129" s="2678">
        <f t="shared" si="39"/>
        <v>0</v>
      </c>
      <c r="I129" s="2685"/>
      <c r="J129" s="2685"/>
      <c r="K129" s="2685"/>
      <c r="L129" s="2685"/>
      <c r="M129" s="2685"/>
      <c r="N129" s="2685"/>
      <c r="O129" s="2685"/>
      <c r="P129" s="2685"/>
      <c r="Q129" s="2685"/>
      <c r="R129" s="2685"/>
      <c r="S129" s="2685"/>
      <c r="T129" s="2685"/>
      <c r="U129" s="2685"/>
      <c r="V129" s="2685"/>
      <c r="W129" s="2685"/>
      <c r="X129" s="2685"/>
      <c r="Y129" s="2685"/>
      <c r="Z129" s="2685"/>
      <c r="AA129" s="2685"/>
      <c r="AB129" s="2685"/>
      <c r="AC129" s="2675">
        <f t="shared" si="40"/>
        <v>0</v>
      </c>
      <c r="AD129" s="2695"/>
      <c r="AE129" s="2695"/>
      <c r="AF129" s="2695"/>
      <c r="AG129" s="2695"/>
      <c r="AH129" s="2695"/>
      <c r="AI129" s="2695"/>
      <c r="AJ129" s="2695"/>
      <c r="AK129" s="2695"/>
      <c r="AL129" s="2695"/>
      <c r="AM129" s="2695"/>
      <c r="AN129" s="2695"/>
      <c r="AO129" s="2695"/>
      <c r="AP129" s="2695"/>
      <c r="AQ129" s="2695"/>
      <c r="AR129" s="2695"/>
      <c r="AS129" s="2695"/>
      <c r="AT129" s="2703"/>
      <c r="AU129" s="2704"/>
      <c r="AV129" s="1074">
        <f t="shared" si="64"/>
        <v>0</v>
      </c>
      <c r="AW129" s="1074">
        <f t="shared" si="65"/>
        <v>0</v>
      </c>
      <c r="AX129" s="1074">
        <f t="shared" si="66"/>
        <v>0</v>
      </c>
      <c r="AY129" s="2279">
        <f t="shared" si="41"/>
        <v>0</v>
      </c>
      <c r="AZ129" s="2675">
        <f t="shared" si="42"/>
        <v>0</v>
      </c>
      <c r="BA129" s="2675">
        <f t="shared" si="43"/>
        <v>0</v>
      </c>
      <c r="BB129" s="2675">
        <f t="shared" si="44"/>
        <v>0</v>
      </c>
      <c r="BC129" s="2675">
        <f t="shared" si="45"/>
        <v>0</v>
      </c>
      <c r="BD129" s="2675">
        <f t="shared" si="46"/>
        <v>0</v>
      </c>
      <c r="BE129" s="2675">
        <f t="shared" si="47"/>
        <v>0</v>
      </c>
      <c r="BF129" s="2675">
        <f t="shared" si="48"/>
        <v>0</v>
      </c>
      <c r="BG129" s="2675">
        <f t="shared" si="49"/>
        <v>0</v>
      </c>
      <c r="BH129" s="2675">
        <f t="shared" si="50"/>
        <v>0</v>
      </c>
      <c r="BI129" s="2675">
        <f t="shared" si="51"/>
        <v>0</v>
      </c>
      <c r="BJ129" s="2675">
        <f t="shared" si="52"/>
        <v>0</v>
      </c>
      <c r="BK129" s="2675">
        <f t="shared" si="53"/>
        <v>0</v>
      </c>
      <c r="BL129" s="2675">
        <f t="shared" si="54"/>
        <v>0</v>
      </c>
      <c r="BM129" s="2675">
        <f t="shared" si="55"/>
        <v>0</v>
      </c>
      <c r="BN129" s="2675">
        <f t="shared" si="56"/>
        <v>0</v>
      </c>
      <c r="BO129" s="2675">
        <f t="shared" si="57"/>
        <v>0</v>
      </c>
      <c r="BP129" s="2675">
        <f t="shared" si="58"/>
        <v>0</v>
      </c>
      <c r="BQ129" s="2675">
        <f t="shared" si="59"/>
        <v>0</v>
      </c>
      <c r="BR129" s="2675">
        <f t="shared" si="60"/>
        <v>0</v>
      </c>
      <c r="BS129" s="2675">
        <f t="shared" si="61"/>
        <v>0</v>
      </c>
      <c r="BT129" s="2722">
        <f t="shared" si="62"/>
        <v>0</v>
      </c>
    </row>
    <row r="130" spans="1:72">
      <c r="A130" s="2673"/>
      <c r="B130" s="2674"/>
      <c r="C130" s="2674"/>
      <c r="D130" s="2277"/>
      <c r="E130" s="2675">
        <f t="shared" si="63"/>
        <v>0</v>
      </c>
      <c r="F130" s="2676"/>
      <c r="G130" s="2677">
        <f t="shared" si="38"/>
        <v>0</v>
      </c>
      <c r="H130" s="2678">
        <f t="shared" si="39"/>
        <v>0</v>
      </c>
      <c r="I130" s="2685"/>
      <c r="J130" s="2685"/>
      <c r="K130" s="2685"/>
      <c r="L130" s="2685"/>
      <c r="M130" s="2685"/>
      <c r="N130" s="2685"/>
      <c r="O130" s="2685"/>
      <c r="P130" s="2685"/>
      <c r="Q130" s="2685"/>
      <c r="R130" s="2685"/>
      <c r="S130" s="2685"/>
      <c r="T130" s="2685"/>
      <c r="U130" s="2685"/>
      <c r="V130" s="2685"/>
      <c r="W130" s="2685"/>
      <c r="X130" s="2685"/>
      <c r="Y130" s="2685"/>
      <c r="Z130" s="2685"/>
      <c r="AA130" s="2685"/>
      <c r="AB130" s="2685"/>
      <c r="AC130" s="2675">
        <f t="shared" si="40"/>
        <v>0</v>
      </c>
      <c r="AD130" s="2695"/>
      <c r="AE130" s="2695"/>
      <c r="AF130" s="2695"/>
      <c r="AG130" s="2695"/>
      <c r="AH130" s="2695"/>
      <c r="AI130" s="2695"/>
      <c r="AJ130" s="2695"/>
      <c r="AK130" s="2695"/>
      <c r="AL130" s="2695"/>
      <c r="AM130" s="2695"/>
      <c r="AN130" s="2695"/>
      <c r="AO130" s="2695"/>
      <c r="AP130" s="2695"/>
      <c r="AQ130" s="2695"/>
      <c r="AR130" s="2695"/>
      <c r="AS130" s="2695"/>
      <c r="AT130" s="2703"/>
      <c r="AU130" s="2704"/>
      <c r="AV130" s="1074">
        <f t="shared" si="64"/>
        <v>0</v>
      </c>
      <c r="AW130" s="1074">
        <f t="shared" si="65"/>
        <v>0</v>
      </c>
      <c r="AX130" s="1074">
        <f t="shared" si="66"/>
        <v>0</v>
      </c>
      <c r="AY130" s="2279">
        <f t="shared" si="41"/>
        <v>0</v>
      </c>
      <c r="AZ130" s="2675">
        <f t="shared" si="42"/>
        <v>0</v>
      </c>
      <c r="BA130" s="2675">
        <f t="shared" si="43"/>
        <v>0</v>
      </c>
      <c r="BB130" s="2675">
        <f t="shared" si="44"/>
        <v>0</v>
      </c>
      <c r="BC130" s="2675">
        <f t="shared" si="45"/>
        <v>0</v>
      </c>
      <c r="BD130" s="2675">
        <f t="shared" si="46"/>
        <v>0</v>
      </c>
      <c r="BE130" s="2675">
        <f t="shared" si="47"/>
        <v>0</v>
      </c>
      <c r="BF130" s="2675">
        <f t="shared" si="48"/>
        <v>0</v>
      </c>
      <c r="BG130" s="2675">
        <f t="shared" si="49"/>
        <v>0</v>
      </c>
      <c r="BH130" s="2675">
        <f t="shared" si="50"/>
        <v>0</v>
      </c>
      <c r="BI130" s="2675">
        <f t="shared" si="51"/>
        <v>0</v>
      </c>
      <c r="BJ130" s="2675">
        <f t="shared" si="52"/>
        <v>0</v>
      </c>
      <c r="BK130" s="2675">
        <f t="shared" si="53"/>
        <v>0</v>
      </c>
      <c r="BL130" s="2675">
        <f t="shared" si="54"/>
        <v>0</v>
      </c>
      <c r="BM130" s="2675">
        <f t="shared" si="55"/>
        <v>0</v>
      </c>
      <c r="BN130" s="2675">
        <f t="shared" si="56"/>
        <v>0</v>
      </c>
      <c r="BO130" s="2675">
        <f t="shared" si="57"/>
        <v>0</v>
      </c>
      <c r="BP130" s="2675">
        <f t="shared" si="58"/>
        <v>0</v>
      </c>
      <c r="BQ130" s="2675">
        <f t="shared" si="59"/>
        <v>0</v>
      </c>
      <c r="BR130" s="2675">
        <f t="shared" si="60"/>
        <v>0</v>
      </c>
      <c r="BS130" s="2675">
        <f t="shared" si="61"/>
        <v>0</v>
      </c>
      <c r="BT130" s="2722">
        <f t="shared" si="62"/>
        <v>0</v>
      </c>
    </row>
    <row r="131" spans="1:72">
      <c r="A131" s="2673"/>
      <c r="B131" s="2674"/>
      <c r="C131" s="2674"/>
      <c r="D131" s="2277"/>
      <c r="E131" s="2675">
        <f t="shared" si="63"/>
        <v>0</v>
      </c>
      <c r="F131" s="2676"/>
      <c r="G131" s="2677">
        <f t="shared" si="38"/>
        <v>0</v>
      </c>
      <c r="H131" s="2678">
        <f t="shared" si="39"/>
        <v>0</v>
      </c>
      <c r="I131" s="2685"/>
      <c r="J131" s="2685"/>
      <c r="K131" s="2685"/>
      <c r="L131" s="2685"/>
      <c r="M131" s="2685"/>
      <c r="N131" s="2685"/>
      <c r="O131" s="2685"/>
      <c r="P131" s="2685"/>
      <c r="Q131" s="2685"/>
      <c r="R131" s="2685"/>
      <c r="S131" s="2685"/>
      <c r="T131" s="2685"/>
      <c r="U131" s="2685"/>
      <c r="V131" s="2685"/>
      <c r="W131" s="2685"/>
      <c r="X131" s="2685"/>
      <c r="Y131" s="2685"/>
      <c r="Z131" s="2685"/>
      <c r="AA131" s="2685"/>
      <c r="AB131" s="2685"/>
      <c r="AC131" s="2675">
        <f t="shared" si="40"/>
        <v>0</v>
      </c>
      <c r="AD131" s="2695"/>
      <c r="AE131" s="2695"/>
      <c r="AF131" s="2695"/>
      <c r="AG131" s="2695"/>
      <c r="AH131" s="2695"/>
      <c r="AI131" s="2695"/>
      <c r="AJ131" s="2695"/>
      <c r="AK131" s="2695"/>
      <c r="AL131" s="2695"/>
      <c r="AM131" s="2695"/>
      <c r="AN131" s="2695"/>
      <c r="AO131" s="2695"/>
      <c r="AP131" s="2695"/>
      <c r="AQ131" s="2695"/>
      <c r="AR131" s="2695"/>
      <c r="AS131" s="2695"/>
      <c r="AT131" s="2703"/>
      <c r="AU131" s="2704"/>
      <c r="AV131" s="1074">
        <f t="shared" si="64"/>
        <v>0</v>
      </c>
      <c r="AW131" s="1074">
        <f t="shared" si="65"/>
        <v>0</v>
      </c>
      <c r="AX131" s="1074">
        <f t="shared" si="66"/>
        <v>0</v>
      </c>
      <c r="AY131" s="2279">
        <f t="shared" si="41"/>
        <v>0</v>
      </c>
      <c r="AZ131" s="2675">
        <f t="shared" si="42"/>
        <v>0</v>
      </c>
      <c r="BA131" s="2675">
        <f t="shared" si="43"/>
        <v>0</v>
      </c>
      <c r="BB131" s="2675">
        <f t="shared" si="44"/>
        <v>0</v>
      </c>
      <c r="BC131" s="2675">
        <f t="shared" si="45"/>
        <v>0</v>
      </c>
      <c r="BD131" s="2675">
        <f t="shared" si="46"/>
        <v>0</v>
      </c>
      <c r="BE131" s="2675">
        <f t="shared" si="47"/>
        <v>0</v>
      </c>
      <c r="BF131" s="2675">
        <f t="shared" si="48"/>
        <v>0</v>
      </c>
      <c r="BG131" s="2675">
        <f t="shared" si="49"/>
        <v>0</v>
      </c>
      <c r="BH131" s="2675">
        <f t="shared" si="50"/>
        <v>0</v>
      </c>
      <c r="BI131" s="2675">
        <f t="shared" si="51"/>
        <v>0</v>
      </c>
      <c r="BJ131" s="2675">
        <f t="shared" si="52"/>
        <v>0</v>
      </c>
      <c r="BK131" s="2675">
        <f t="shared" si="53"/>
        <v>0</v>
      </c>
      <c r="BL131" s="2675">
        <f t="shared" si="54"/>
        <v>0</v>
      </c>
      <c r="BM131" s="2675">
        <f t="shared" si="55"/>
        <v>0</v>
      </c>
      <c r="BN131" s="2675">
        <f t="shared" si="56"/>
        <v>0</v>
      </c>
      <c r="BO131" s="2675">
        <f t="shared" si="57"/>
        <v>0</v>
      </c>
      <c r="BP131" s="2675">
        <f t="shared" si="58"/>
        <v>0</v>
      </c>
      <c r="BQ131" s="2675">
        <f t="shared" si="59"/>
        <v>0</v>
      </c>
      <c r="BR131" s="2675">
        <f t="shared" si="60"/>
        <v>0</v>
      </c>
      <c r="BS131" s="2675">
        <f t="shared" si="61"/>
        <v>0</v>
      </c>
      <c r="BT131" s="2722">
        <f t="shared" si="62"/>
        <v>0</v>
      </c>
    </row>
    <row r="132" spans="1:72">
      <c r="A132" s="2673"/>
      <c r="B132" s="2674"/>
      <c r="C132" s="2674"/>
      <c r="D132" s="2277"/>
      <c r="E132" s="2675">
        <f t="shared" si="63"/>
        <v>0</v>
      </c>
      <c r="F132" s="2676"/>
      <c r="G132" s="2677">
        <f t="shared" si="38"/>
        <v>0</v>
      </c>
      <c r="H132" s="2678">
        <f t="shared" si="39"/>
        <v>0</v>
      </c>
      <c r="I132" s="2685"/>
      <c r="J132" s="2685"/>
      <c r="K132" s="2685"/>
      <c r="L132" s="2685"/>
      <c r="M132" s="2685"/>
      <c r="N132" s="2685"/>
      <c r="O132" s="2685"/>
      <c r="P132" s="2685"/>
      <c r="Q132" s="2685"/>
      <c r="R132" s="2685"/>
      <c r="S132" s="2685"/>
      <c r="T132" s="2685"/>
      <c r="U132" s="2685"/>
      <c r="V132" s="2685"/>
      <c r="W132" s="2685"/>
      <c r="X132" s="2685"/>
      <c r="Y132" s="2685"/>
      <c r="Z132" s="2685"/>
      <c r="AA132" s="2685"/>
      <c r="AB132" s="2685"/>
      <c r="AC132" s="2675">
        <f t="shared" si="40"/>
        <v>0</v>
      </c>
      <c r="AD132" s="2695"/>
      <c r="AE132" s="2695"/>
      <c r="AF132" s="2695"/>
      <c r="AG132" s="2695"/>
      <c r="AH132" s="2695"/>
      <c r="AI132" s="2695"/>
      <c r="AJ132" s="2695"/>
      <c r="AK132" s="2695"/>
      <c r="AL132" s="2695"/>
      <c r="AM132" s="2695"/>
      <c r="AN132" s="2695"/>
      <c r="AO132" s="2695"/>
      <c r="AP132" s="2695"/>
      <c r="AQ132" s="2695"/>
      <c r="AR132" s="2695"/>
      <c r="AS132" s="2695"/>
      <c r="AT132" s="2703"/>
      <c r="AU132" s="2704"/>
      <c r="AV132" s="1074">
        <f t="shared" si="64"/>
        <v>0</v>
      </c>
      <c r="AW132" s="1074">
        <f t="shared" si="65"/>
        <v>0</v>
      </c>
      <c r="AX132" s="1074">
        <f t="shared" si="66"/>
        <v>0</v>
      </c>
      <c r="AY132" s="2279">
        <f t="shared" si="41"/>
        <v>0</v>
      </c>
      <c r="AZ132" s="2675">
        <f t="shared" si="42"/>
        <v>0</v>
      </c>
      <c r="BA132" s="2675">
        <f t="shared" si="43"/>
        <v>0</v>
      </c>
      <c r="BB132" s="2675">
        <f t="shared" si="44"/>
        <v>0</v>
      </c>
      <c r="BC132" s="2675">
        <f t="shared" si="45"/>
        <v>0</v>
      </c>
      <c r="BD132" s="2675">
        <f t="shared" si="46"/>
        <v>0</v>
      </c>
      <c r="BE132" s="2675">
        <f t="shared" si="47"/>
        <v>0</v>
      </c>
      <c r="BF132" s="2675">
        <f t="shared" si="48"/>
        <v>0</v>
      </c>
      <c r="BG132" s="2675">
        <f t="shared" si="49"/>
        <v>0</v>
      </c>
      <c r="BH132" s="2675">
        <f t="shared" si="50"/>
        <v>0</v>
      </c>
      <c r="BI132" s="2675">
        <f t="shared" si="51"/>
        <v>0</v>
      </c>
      <c r="BJ132" s="2675">
        <f t="shared" si="52"/>
        <v>0</v>
      </c>
      <c r="BK132" s="2675">
        <f t="shared" si="53"/>
        <v>0</v>
      </c>
      <c r="BL132" s="2675">
        <f t="shared" si="54"/>
        <v>0</v>
      </c>
      <c r="BM132" s="2675">
        <f t="shared" si="55"/>
        <v>0</v>
      </c>
      <c r="BN132" s="2675">
        <f t="shared" si="56"/>
        <v>0</v>
      </c>
      <c r="BO132" s="2675">
        <f t="shared" si="57"/>
        <v>0</v>
      </c>
      <c r="BP132" s="2675">
        <f t="shared" si="58"/>
        <v>0</v>
      </c>
      <c r="BQ132" s="2675">
        <f t="shared" si="59"/>
        <v>0</v>
      </c>
      <c r="BR132" s="2675">
        <f t="shared" si="60"/>
        <v>0</v>
      </c>
      <c r="BS132" s="2675">
        <f t="shared" si="61"/>
        <v>0</v>
      </c>
      <c r="BT132" s="2722">
        <f t="shared" si="62"/>
        <v>0</v>
      </c>
    </row>
    <row r="133" spans="1:72">
      <c r="A133" s="2673"/>
      <c r="B133" s="2674"/>
      <c r="C133" s="2674"/>
      <c r="D133" s="2277"/>
      <c r="E133" s="2675">
        <f t="shared" si="63"/>
        <v>0</v>
      </c>
      <c r="F133" s="2676"/>
      <c r="G133" s="2677">
        <f t="shared" si="38"/>
        <v>0</v>
      </c>
      <c r="H133" s="2678">
        <f t="shared" si="39"/>
        <v>0</v>
      </c>
      <c r="I133" s="2685"/>
      <c r="J133" s="2685"/>
      <c r="K133" s="2685"/>
      <c r="L133" s="2685"/>
      <c r="M133" s="2685"/>
      <c r="N133" s="2685"/>
      <c r="O133" s="2685"/>
      <c r="P133" s="2685"/>
      <c r="Q133" s="2685"/>
      <c r="R133" s="2685"/>
      <c r="S133" s="2685"/>
      <c r="T133" s="2685"/>
      <c r="U133" s="2685"/>
      <c r="V133" s="2685"/>
      <c r="W133" s="2685"/>
      <c r="X133" s="2685"/>
      <c r="Y133" s="2685"/>
      <c r="Z133" s="2685"/>
      <c r="AA133" s="2685"/>
      <c r="AB133" s="2685"/>
      <c r="AC133" s="2675">
        <f t="shared" si="40"/>
        <v>0</v>
      </c>
      <c r="AD133" s="2695"/>
      <c r="AE133" s="2695"/>
      <c r="AF133" s="2695"/>
      <c r="AG133" s="2695"/>
      <c r="AH133" s="2695"/>
      <c r="AI133" s="2695"/>
      <c r="AJ133" s="2695"/>
      <c r="AK133" s="2695"/>
      <c r="AL133" s="2695"/>
      <c r="AM133" s="2695"/>
      <c r="AN133" s="2695"/>
      <c r="AO133" s="2695"/>
      <c r="AP133" s="2695"/>
      <c r="AQ133" s="2695"/>
      <c r="AR133" s="2695"/>
      <c r="AS133" s="2695"/>
      <c r="AT133" s="2703"/>
      <c r="AU133" s="2704"/>
      <c r="AV133" s="1074">
        <f t="shared" si="64"/>
        <v>0</v>
      </c>
      <c r="AW133" s="1074">
        <f t="shared" si="65"/>
        <v>0</v>
      </c>
      <c r="AX133" s="1074">
        <f t="shared" si="66"/>
        <v>0</v>
      </c>
      <c r="AY133" s="2279">
        <f t="shared" si="41"/>
        <v>0</v>
      </c>
      <c r="AZ133" s="2675">
        <f t="shared" si="42"/>
        <v>0</v>
      </c>
      <c r="BA133" s="2675">
        <f t="shared" si="43"/>
        <v>0</v>
      </c>
      <c r="BB133" s="2675">
        <f t="shared" si="44"/>
        <v>0</v>
      </c>
      <c r="BC133" s="2675">
        <f t="shared" si="45"/>
        <v>0</v>
      </c>
      <c r="BD133" s="2675">
        <f t="shared" si="46"/>
        <v>0</v>
      </c>
      <c r="BE133" s="2675">
        <f t="shared" si="47"/>
        <v>0</v>
      </c>
      <c r="BF133" s="2675">
        <f t="shared" si="48"/>
        <v>0</v>
      </c>
      <c r="BG133" s="2675">
        <f t="shared" si="49"/>
        <v>0</v>
      </c>
      <c r="BH133" s="2675">
        <f t="shared" si="50"/>
        <v>0</v>
      </c>
      <c r="BI133" s="2675">
        <f t="shared" si="51"/>
        <v>0</v>
      </c>
      <c r="BJ133" s="2675">
        <f t="shared" si="52"/>
        <v>0</v>
      </c>
      <c r="BK133" s="2675">
        <f t="shared" si="53"/>
        <v>0</v>
      </c>
      <c r="BL133" s="2675">
        <f t="shared" si="54"/>
        <v>0</v>
      </c>
      <c r="BM133" s="2675">
        <f t="shared" si="55"/>
        <v>0</v>
      </c>
      <c r="BN133" s="2675">
        <f t="shared" si="56"/>
        <v>0</v>
      </c>
      <c r="BO133" s="2675">
        <f t="shared" si="57"/>
        <v>0</v>
      </c>
      <c r="BP133" s="2675">
        <f t="shared" si="58"/>
        <v>0</v>
      </c>
      <c r="BQ133" s="2675">
        <f t="shared" si="59"/>
        <v>0</v>
      </c>
      <c r="BR133" s="2675">
        <f t="shared" si="60"/>
        <v>0</v>
      </c>
      <c r="BS133" s="2675">
        <f t="shared" si="61"/>
        <v>0</v>
      </c>
      <c r="BT133" s="2722">
        <f t="shared" si="62"/>
        <v>0</v>
      </c>
    </row>
    <row r="134" spans="1:72">
      <c r="A134" s="2673"/>
      <c r="B134" s="2674"/>
      <c r="C134" s="2674"/>
      <c r="D134" s="2277"/>
      <c r="E134" s="2675">
        <f t="shared" si="63"/>
        <v>0</v>
      </c>
      <c r="F134" s="2676"/>
      <c r="G134" s="2677">
        <f t="shared" si="38"/>
        <v>0</v>
      </c>
      <c r="H134" s="2678">
        <f t="shared" si="39"/>
        <v>0</v>
      </c>
      <c r="I134" s="2685"/>
      <c r="J134" s="2685"/>
      <c r="K134" s="2685"/>
      <c r="L134" s="2685"/>
      <c r="M134" s="2685"/>
      <c r="N134" s="2685"/>
      <c r="O134" s="2685"/>
      <c r="P134" s="2685"/>
      <c r="Q134" s="2685"/>
      <c r="R134" s="2685"/>
      <c r="S134" s="2685"/>
      <c r="T134" s="2685"/>
      <c r="U134" s="2685"/>
      <c r="V134" s="2685"/>
      <c r="W134" s="2685"/>
      <c r="X134" s="2685"/>
      <c r="Y134" s="2685"/>
      <c r="Z134" s="2685"/>
      <c r="AA134" s="2685"/>
      <c r="AB134" s="2685"/>
      <c r="AC134" s="2675">
        <f t="shared" si="40"/>
        <v>0</v>
      </c>
      <c r="AD134" s="2695"/>
      <c r="AE134" s="2695"/>
      <c r="AF134" s="2695"/>
      <c r="AG134" s="2695"/>
      <c r="AH134" s="2695"/>
      <c r="AI134" s="2695"/>
      <c r="AJ134" s="2695"/>
      <c r="AK134" s="2695"/>
      <c r="AL134" s="2695"/>
      <c r="AM134" s="2695"/>
      <c r="AN134" s="2695"/>
      <c r="AO134" s="2695"/>
      <c r="AP134" s="2695"/>
      <c r="AQ134" s="2695"/>
      <c r="AR134" s="2695"/>
      <c r="AS134" s="2695"/>
      <c r="AT134" s="2703"/>
      <c r="AU134" s="2704"/>
      <c r="AV134" s="1074">
        <f t="shared" si="64"/>
        <v>0</v>
      </c>
      <c r="AW134" s="1074">
        <f t="shared" si="65"/>
        <v>0</v>
      </c>
      <c r="AX134" s="1074">
        <f t="shared" si="66"/>
        <v>0</v>
      </c>
      <c r="AY134" s="2279">
        <f t="shared" si="41"/>
        <v>0</v>
      </c>
      <c r="AZ134" s="2675">
        <f t="shared" si="42"/>
        <v>0</v>
      </c>
      <c r="BA134" s="2675">
        <f t="shared" si="43"/>
        <v>0</v>
      </c>
      <c r="BB134" s="2675">
        <f t="shared" si="44"/>
        <v>0</v>
      </c>
      <c r="BC134" s="2675">
        <f t="shared" si="45"/>
        <v>0</v>
      </c>
      <c r="BD134" s="2675">
        <f t="shared" si="46"/>
        <v>0</v>
      </c>
      <c r="BE134" s="2675">
        <f t="shared" si="47"/>
        <v>0</v>
      </c>
      <c r="BF134" s="2675">
        <f t="shared" si="48"/>
        <v>0</v>
      </c>
      <c r="BG134" s="2675">
        <f t="shared" si="49"/>
        <v>0</v>
      </c>
      <c r="BH134" s="2675">
        <f t="shared" si="50"/>
        <v>0</v>
      </c>
      <c r="BI134" s="2675">
        <f t="shared" si="51"/>
        <v>0</v>
      </c>
      <c r="BJ134" s="2675">
        <f t="shared" si="52"/>
        <v>0</v>
      </c>
      <c r="BK134" s="2675">
        <f t="shared" si="53"/>
        <v>0</v>
      </c>
      <c r="BL134" s="2675">
        <f t="shared" si="54"/>
        <v>0</v>
      </c>
      <c r="BM134" s="2675">
        <f t="shared" si="55"/>
        <v>0</v>
      </c>
      <c r="BN134" s="2675">
        <f t="shared" si="56"/>
        <v>0</v>
      </c>
      <c r="BO134" s="2675">
        <f t="shared" si="57"/>
        <v>0</v>
      </c>
      <c r="BP134" s="2675">
        <f t="shared" si="58"/>
        <v>0</v>
      </c>
      <c r="BQ134" s="2675">
        <f t="shared" si="59"/>
        <v>0</v>
      </c>
      <c r="BR134" s="2675">
        <f t="shared" si="60"/>
        <v>0</v>
      </c>
      <c r="BS134" s="2675">
        <f t="shared" si="61"/>
        <v>0</v>
      </c>
      <c r="BT134" s="2722">
        <f t="shared" si="62"/>
        <v>0</v>
      </c>
    </row>
    <row r="135" spans="1:72">
      <c r="A135" s="2673"/>
      <c r="B135" s="2674"/>
      <c r="C135" s="2674"/>
      <c r="D135" s="2277"/>
      <c r="E135" s="2675">
        <f t="shared" si="63"/>
        <v>0</v>
      </c>
      <c r="F135" s="2676"/>
      <c r="G135" s="2677">
        <f t="shared" si="38"/>
        <v>0</v>
      </c>
      <c r="H135" s="2678">
        <f t="shared" si="39"/>
        <v>0</v>
      </c>
      <c r="I135" s="2685"/>
      <c r="J135" s="2685"/>
      <c r="K135" s="2685"/>
      <c r="L135" s="2685"/>
      <c r="M135" s="2685"/>
      <c r="N135" s="2685"/>
      <c r="O135" s="2685"/>
      <c r="P135" s="2685"/>
      <c r="Q135" s="2685"/>
      <c r="R135" s="2685"/>
      <c r="S135" s="2685"/>
      <c r="T135" s="2685"/>
      <c r="U135" s="2685"/>
      <c r="V135" s="2685"/>
      <c r="W135" s="2685"/>
      <c r="X135" s="2685"/>
      <c r="Y135" s="2685"/>
      <c r="Z135" s="2685"/>
      <c r="AA135" s="2685"/>
      <c r="AB135" s="2685"/>
      <c r="AC135" s="2675">
        <f t="shared" si="40"/>
        <v>0</v>
      </c>
      <c r="AD135" s="2695"/>
      <c r="AE135" s="2695"/>
      <c r="AF135" s="2695"/>
      <c r="AG135" s="2695"/>
      <c r="AH135" s="2695"/>
      <c r="AI135" s="2695"/>
      <c r="AJ135" s="2695"/>
      <c r="AK135" s="2695"/>
      <c r="AL135" s="2695"/>
      <c r="AM135" s="2695"/>
      <c r="AN135" s="2695"/>
      <c r="AO135" s="2695"/>
      <c r="AP135" s="2695"/>
      <c r="AQ135" s="2695"/>
      <c r="AR135" s="2695"/>
      <c r="AS135" s="2695"/>
      <c r="AT135" s="2703"/>
      <c r="AU135" s="2704"/>
      <c r="AV135" s="1074">
        <f t="shared" si="64"/>
        <v>0</v>
      </c>
      <c r="AW135" s="1074">
        <f t="shared" si="65"/>
        <v>0</v>
      </c>
      <c r="AX135" s="1074">
        <f t="shared" si="66"/>
        <v>0</v>
      </c>
      <c r="AY135" s="2279">
        <f t="shared" si="41"/>
        <v>0</v>
      </c>
      <c r="AZ135" s="2675">
        <f t="shared" si="42"/>
        <v>0</v>
      </c>
      <c r="BA135" s="2675">
        <f t="shared" si="43"/>
        <v>0</v>
      </c>
      <c r="BB135" s="2675">
        <f t="shared" si="44"/>
        <v>0</v>
      </c>
      <c r="BC135" s="2675">
        <f t="shared" si="45"/>
        <v>0</v>
      </c>
      <c r="BD135" s="2675">
        <f t="shared" si="46"/>
        <v>0</v>
      </c>
      <c r="BE135" s="2675">
        <f t="shared" si="47"/>
        <v>0</v>
      </c>
      <c r="BF135" s="2675">
        <f t="shared" si="48"/>
        <v>0</v>
      </c>
      <c r="BG135" s="2675">
        <f t="shared" si="49"/>
        <v>0</v>
      </c>
      <c r="BH135" s="2675">
        <f t="shared" si="50"/>
        <v>0</v>
      </c>
      <c r="BI135" s="2675">
        <f t="shared" si="51"/>
        <v>0</v>
      </c>
      <c r="BJ135" s="2675">
        <f t="shared" si="52"/>
        <v>0</v>
      </c>
      <c r="BK135" s="2675">
        <f t="shared" si="53"/>
        <v>0</v>
      </c>
      <c r="BL135" s="2675">
        <f t="shared" si="54"/>
        <v>0</v>
      </c>
      <c r="BM135" s="2675">
        <f t="shared" si="55"/>
        <v>0</v>
      </c>
      <c r="BN135" s="2675">
        <f t="shared" si="56"/>
        <v>0</v>
      </c>
      <c r="BO135" s="2675">
        <f t="shared" si="57"/>
        <v>0</v>
      </c>
      <c r="BP135" s="2675">
        <f t="shared" si="58"/>
        <v>0</v>
      </c>
      <c r="BQ135" s="2675">
        <f t="shared" si="59"/>
        <v>0</v>
      </c>
      <c r="BR135" s="2675">
        <f t="shared" si="60"/>
        <v>0</v>
      </c>
      <c r="BS135" s="2675">
        <f t="shared" si="61"/>
        <v>0</v>
      </c>
      <c r="BT135" s="2722">
        <f t="shared" si="62"/>
        <v>0</v>
      </c>
    </row>
    <row r="136" spans="1:72">
      <c r="A136" s="2673"/>
      <c r="B136" s="2674"/>
      <c r="C136" s="2674"/>
      <c r="D136" s="2277"/>
      <c r="E136" s="2675">
        <f t="shared" si="63"/>
        <v>0</v>
      </c>
      <c r="F136" s="2676"/>
      <c r="G136" s="2677">
        <f t="shared" si="38"/>
        <v>0</v>
      </c>
      <c r="H136" s="2678">
        <f t="shared" si="39"/>
        <v>0</v>
      </c>
      <c r="I136" s="2685"/>
      <c r="J136" s="2685"/>
      <c r="K136" s="2685"/>
      <c r="L136" s="2685"/>
      <c r="M136" s="2685"/>
      <c r="N136" s="2685"/>
      <c r="O136" s="2685"/>
      <c r="P136" s="2685"/>
      <c r="Q136" s="2685"/>
      <c r="R136" s="2685"/>
      <c r="S136" s="2685"/>
      <c r="T136" s="2685"/>
      <c r="U136" s="2685"/>
      <c r="V136" s="2685"/>
      <c r="W136" s="2685"/>
      <c r="X136" s="2685"/>
      <c r="Y136" s="2685"/>
      <c r="Z136" s="2685"/>
      <c r="AA136" s="2685"/>
      <c r="AB136" s="2685"/>
      <c r="AC136" s="2675">
        <f t="shared" si="40"/>
        <v>0</v>
      </c>
      <c r="AD136" s="2695"/>
      <c r="AE136" s="2695"/>
      <c r="AF136" s="2695"/>
      <c r="AG136" s="2695"/>
      <c r="AH136" s="2695"/>
      <c r="AI136" s="2695"/>
      <c r="AJ136" s="2695"/>
      <c r="AK136" s="2695"/>
      <c r="AL136" s="2695"/>
      <c r="AM136" s="2695"/>
      <c r="AN136" s="2695"/>
      <c r="AO136" s="2695"/>
      <c r="AP136" s="2695"/>
      <c r="AQ136" s="2695"/>
      <c r="AR136" s="2695"/>
      <c r="AS136" s="2695"/>
      <c r="AT136" s="2703"/>
      <c r="AU136" s="2704"/>
      <c r="AV136" s="1074">
        <f t="shared" si="64"/>
        <v>0</v>
      </c>
      <c r="AW136" s="1074">
        <f t="shared" si="65"/>
        <v>0</v>
      </c>
      <c r="AX136" s="1074">
        <f t="shared" si="66"/>
        <v>0</v>
      </c>
      <c r="AY136" s="2279">
        <f t="shared" si="41"/>
        <v>0</v>
      </c>
      <c r="AZ136" s="2675">
        <f t="shared" si="42"/>
        <v>0</v>
      </c>
      <c r="BA136" s="2675">
        <f t="shared" si="43"/>
        <v>0</v>
      </c>
      <c r="BB136" s="2675">
        <f t="shared" si="44"/>
        <v>0</v>
      </c>
      <c r="BC136" s="2675">
        <f t="shared" si="45"/>
        <v>0</v>
      </c>
      <c r="BD136" s="2675">
        <f t="shared" si="46"/>
        <v>0</v>
      </c>
      <c r="BE136" s="2675">
        <f t="shared" si="47"/>
        <v>0</v>
      </c>
      <c r="BF136" s="2675">
        <f t="shared" si="48"/>
        <v>0</v>
      </c>
      <c r="BG136" s="2675">
        <f t="shared" si="49"/>
        <v>0</v>
      </c>
      <c r="BH136" s="2675">
        <f t="shared" si="50"/>
        <v>0</v>
      </c>
      <c r="BI136" s="2675">
        <f t="shared" si="51"/>
        <v>0</v>
      </c>
      <c r="BJ136" s="2675">
        <f t="shared" si="52"/>
        <v>0</v>
      </c>
      <c r="BK136" s="2675">
        <f t="shared" si="53"/>
        <v>0</v>
      </c>
      <c r="BL136" s="2675">
        <f t="shared" si="54"/>
        <v>0</v>
      </c>
      <c r="BM136" s="2675">
        <f t="shared" si="55"/>
        <v>0</v>
      </c>
      <c r="BN136" s="2675">
        <f t="shared" si="56"/>
        <v>0</v>
      </c>
      <c r="BO136" s="2675">
        <f t="shared" si="57"/>
        <v>0</v>
      </c>
      <c r="BP136" s="2675">
        <f t="shared" si="58"/>
        <v>0</v>
      </c>
      <c r="BQ136" s="2675">
        <f t="shared" si="59"/>
        <v>0</v>
      </c>
      <c r="BR136" s="2675">
        <f t="shared" si="60"/>
        <v>0</v>
      </c>
      <c r="BS136" s="2675">
        <f t="shared" si="61"/>
        <v>0</v>
      </c>
      <c r="BT136" s="2722">
        <f t="shared" si="62"/>
        <v>0</v>
      </c>
    </row>
    <row r="137" spans="1:72">
      <c r="A137" s="2673"/>
      <c r="B137" s="2674"/>
      <c r="C137" s="2674"/>
      <c r="D137" s="2277"/>
      <c r="E137" s="2675">
        <f t="shared" si="63"/>
        <v>0</v>
      </c>
      <c r="F137" s="2676"/>
      <c r="G137" s="2677">
        <f t="shared" si="38"/>
        <v>0</v>
      </c>
      <c r="H137" s="2678">
        <f t="shared" si="39"/>
        <v>0</v>
      </c>
      <c r="I137" s="2685"/>
      <c r="J137" s="2685"/>
      <c r="K137" s="2685"/>
      <c r="L137" s="2685"/>
      <c r="M137" s="2685"/>
      <c r="N137" s="2685"/>
      <c r="O137" s="2685"/>
      <c r="P137" s="2685"/>
      <c r="Q137" s="2685"/>
      <c r="R137" s="2685"/>
      <c r="S137" s="2685"/>
      <c r="T137" s="2685"/>
      <c r="U137" s="2685"/>
      <c r="V137" s="2685"/>
      <c r="W137" s="2685"/>
      <c r="X137" s="2685"/>
      <c r="Y137" s="2685"/>
      <c r="Z137" s="2685"/>
      <c r="AA137" s="2685"/>
      <c r="AB137" s="2685"/>
      <c r="AC137" s="2675">
        <f t="shared" si="40"/>
        <v>0</v>
      </c>
      <c r="AD137" s="2695"/>
      <c r="AE137" s="2695"/>
      <c r="AF137" s="2695"/>
      <c r="AG137" s="2695"/>
      <c r="AH137" s="2695"/>
      <c r="AI137" s="2695"/>
      <c r="AJ137" s="2695"/>
      <c r="AK137" s="2695"/>
      <c r="AL137" s="2695"/>
      <c r="AM137" s="2695"/>
      <c r="AN137" s="2695"/>
      <c r="AO137" s="2695"/>
      <c r="AP137" s="2695"/>
      <c r="AQ137" s="2695"/>
      <c r="AR137" s="2695"/>
      <c r="AS137" s="2695"/>
      <c r="AT137" s="2703"/>
      <c r="AU137" s="2704"/>
      <c r="AV137" s="1074">
        <f t="shared" si="64"/>
        <v>0</v>
      </c>
      <c r="AW137" s="1074">
        <f t="shared" si="65"/>
        <v>0</v>
      </c>
      <c r="AX137" s="1074">
        <f t="shared" si="66"/>
        <v>0</v>
      </c>
      <c r="AY137" s="2279">
        <f t="shared" si="41"/>
        <v>0</v>
      </c>
      <c r="AZ137" s="2675">
        <f t="shared" si="42"/>
        <v>0</v>
      </c>
      <c r="BA137" s="2675">
        <f t="shared" si="43"/>
        <v>0</v>
      </c>
      <c r="BB137" s="2675">
        <f t="shared" si="44"/>
        <v>0</v>
      </c>
      <c r="BC137" s="2675">
        <f t="shared" si="45"/>
        <v>0</v>
      </c>
      <c r="BD137" s="2675">
        <f t="shared" si="46"/>
        <v>0</v>
      </c>
      <c r="BE137" s="2675">
        <f t="shared" si="47"/>
        <v>0</v>
      </c>
      <c r="BF137" s="2675">
        <f t="shared" si="48"/>
        <v>0</v>
      </c>
      <c r="BG137" s="2675">
        <f t="shared" si="49"/>
        <v>0</v>
      </c>
      <c r="BH137" s="2675">
        <f t="shared" si="50"/>
        <v>0</v>
      </c>
      <c r="BI137" s="2675">
        <f t="shared" si="51"/>
        <v>0</v>
      </c>
      <c r="BJ137" s="2675">
        <f t="shared" si="52"/>
        <v>0</v>
      </c>
      <c r="BK137" s="2675">
        <f t="shared" si="53"/>
        <v>0</v>
      </c>
      <c r="BL137" s="2675">
        <f t="shared" si="54"/>
        <v>0</v>
      </c>
      <c r="BM137" s="2675">
        <f t="shared" si="55"/>
        <v>0</v>
      </c>
      <c r="BN137" s="2675">
        <f t="shared" si="56"/>
        <v>0</v>
      </c>
      <c r="BO137" s="2675">
        <f t="shared" si="57"/>
        <v>0</v>
      </c>
      <c r="BP137" s="2675">
        <f t="shared" si="58"/>
        <v>0</v>
      </c>
      <c r="BQ137" s="2675">
        <f t="shared" si="59"/>
        <v>0</v>
      </c>
      <c r="BR137" s="2675">
        <f t="shared" si="60"/>
        <v>0</v>
      </c>
      <c r="BS137" s="2675">
        <f t="shared" si="61"/>
        <v>0</v>
      </c>
      <c r="BT137" s="2722">
        <f t="shared" si="62"/>
        <v>0</v>
      </c>
    </row>
    <row r="138" spans="1:72">
      <c r="A138" s="2673"/>
      <c r="B138" s="2674"/>
      <c r="C138" s="2674"/>
      <c r="D138" s="2277"/>
      <c r="E138" s="2675">
        <f t="shared" si="63"/>
        <v>0</v>
      </c>
      <c r="F138" s="2676"/>
      <c r="G138" s="2677">
        <f t="shared" si="38"/>
        <v>0</v>
      </c>
      <c r="H138" s="2678">
        <f t="shared" si="39"/>
        <v>0</v>
      </c>
      <c r="I138" s="2685"/>
      <c r="J138" s="2685"/>
      <c r="K138" s="2685"/>
      <c r="L138" s="2685"/>
      <c r="M138" s="2685"/>
      <c r="N138" s="2685"/>
      <c r="O138" s="2685"/>
      <c r="P138" s="2685"/>
      <c r="Q138" s="2685"/>
      <c r="R138" s="2685"/>
      <c r="S138" s="2685"/>
      <c r="T138" s="2685"/>
      <c r="U138" s="2685"/>
      <c r="V138" s="2685"/>
      <c r="W138" s="2685"/>
      <c r="X138" s="2685"/>
      <c r="Y138" s="2685"/>
      <c r="Z138" s="2685"/>
      <c r="AA138" s="2685"/>
      <c r="AB138" s="2685"/>
      <c r="AC138" s="2675">
        <f t="shared" si="40"/>
        <v>0</v>
      </c>
      <c r="AD138" s="2695"/>
      <c r="AE138" s="2695"/>
      <c r="AF138" s="2695"/>
      <c r="AG138" s="2695"/>
      <c r="AH138" s="2695"/>
      <c r="AI138" s="2695"/>
      <c r="AJ138" s="2695"/>
      <c r="AK138" s="2695"/>
      <c r="AL138" s="2695"/>
      <c r="AM138" s="2695"/>
      <c r="AN138" s="2695"/>
      <c r="AO138" s="2695"/>
      <c r="AP138" s="2695"/>
      <c r="AQ138" s="2695"/>
      <c r="AR138" s="2695"/>
      <c r="AS138" s="2695"/>
      <c r="AT138" s="2703"/>
      <c r="AU138" s="2704"/>
      <c r="AV138" s="1074">
        <f t="shared" si="64"/>
        <v>0</v>
      </c>
      <c r="AW138" s="1074">
        <f t="shared" si="65"/>
        <v>0</v>
      </c>
      <c r="AX138" s="1074">
        <f t="shared" si="66"/>
        <v>0</v>
      </c>
      <c r="AY138" s="2279">
        <f t="shared" si="41"/>
        <v>0</v>
      </c>
      <c r="AZ138" s="2675">
        <f t="shared" si="42"/>
        <v>0</v>
      </c>
      <c r="BA138" s="2675">
        <f t="shared" si="43"/>
        <v>0</v>
      </c>
      <c r="BB138" s="2675">
        <f t="shared" si="44"/>
        <v>0</v>
      </c>
      <c r="BC138" s="2675">
        <f t="shared" si="45"/>
        <v>0</v>
      </c>
      <c r="BD138" s="2675">
        <f t="shared" si="46"/>
        <v>0</v>
      </c>
      <c r="BE138" s="2675">
        <f t="shared" si="47"/>
        <v>0</v>
      </c>
      <c r="BF138" s="2675">
        <f t="shared" si="48"/>
        <v>0</v>
      </c>
      <c r="BG138" s="2675">
        <f t="shared" si="49"/>
        <v>0</v>
      </c>
      <c r="BH138" s="2675">
        <f t="shared" si="50"/>
        <v>0</v>
      </c>
      <c r="BI138" s="2675">
        <f t="shared" si="51"/>
        <v>0</v>
      </c>
      <c r="BJ138" s="2675">
        <f t="shared" si="52"/>
        <v>0</v>
      </c>
      <c r="BK138" s="2675">
        <f t="shared" si="53"/>
        <v>0</v>
      </c>
      <c r="BL138" s="2675">
        <f t="shared" si="54"/>
        <v>0</v>
      </c>
      <c r="BM138" s="2675">
        <f t="shared" si="55"/>
        <v>0</v>
      </c>
      <c r="BN138" s="2675">
        <f t="shared" si="56"/>
        <v>0</v>
      </c>
      <c r="BO138" s="2675">
        <f t="shared" si="57"/>
        <v>0</v>
      </c>
      <c r="BP138" s="2675">
        <f t="shared" si="58"/>
        <v>0</v>
      </c>
      <c r="BQ138" s="2675">
        <f t="shared" si="59"/>
        <v>0</v>
      </c>
      <c r="BR138" s="2675">
        <f t="shared" si="60"/>
        <v>0</v>
      </c>
      <c r="BS138" s="2675">
        <f t="shared" si="61"/>
        <v>0</v>
      </c>
      <c r="BT138" s="2722">
        <f t="shared" si="62"/>
        <v>0</v>
      </c>
    </row>
    <row r="139" spans="1:72">
      <c r="A139" s="2673"/>
      <c r="B139" s="2674"/>
      <c r="C139" s="2674"/>
      <c r="D139" s="2277"/>
      <c r="E139" s="2675">
        <f t="shared" si="63"/>
        <v>0</v>
      </c>
      <c r="F139" s="2676"/>
      <c r="G139" s="2677">
        <f t="shared" si="38"/>
        <v>0</v>
      </c>
      <c r="H139" s="2678">
        <f t="shared" si="39"/>
        <v>0</v>
      </c>
      <c r="I139" s="2685"/>
      <c r="J139" s="2685"/>
      <c r="K139" s="2685"/>
      <c r="L139" s="2685"/>
      <c r="M139" s="2685"/>
      <c r="N139" s="2685"/>
      <c r="O139" s="2685"/>
      <c r="P139" s="2685"/>
      <c r="Q139" s="2685"/>
      <c r="R139" s="2685"/>
      <c r="S139" s="2685"/>
      <c r="T139" s="2685"/>
      <c r="U139" s="2685"/>
      <c r="V139" s="2685"/>
      <c r="W139" s="2685"/>
      <c r="X139" s="2685"/>
      <c r="Y139" s="2685"/>
      <c r="Z139" s="2685"/>
      <c r="AA139" s="2685"/>
      <c r="AB139" s="2685"/>
      <c r="AC139" s="2675">
        <f t="shared" si="40"/>
        <v>0</v>
      </c>
      <c r="AD139" s="2695"/>
      <c r="AE139" s="2695"/>
      <c r="AF139" s="2695"/>
      <c r="AG139" s="2695"/>
      <c r="AH139" s="2695"/>
      <c r="AI139" s="2695"/>
      <c r="AJ139" s="2695"/>
      <c r="AK139" s="2695"/>
      <c r="AL139" s="2695"/>
      <c r="AM139" s="2695"/>
      <c r="AN139" s="2695"/>
      <c r="AO139" s="2695"/>
      <c r="AP139" s="2695"/>
      <c r="AQ139" s="2695"/>
      <c r="AR139" s="2695"/>
      <c r="AS139" s="2695"/>
      <c r="AT139" s="2703"/>
      <c r="AU139" s="2704"/>
      <c r="AV139" s="1074">
        <f t="shared" si="64"/>
        <v>0</v>
      </c>
      <c r="AW139" s="1074">
        <f t="shared" si="65"/>
        <v>0</v>
      </c>
      <c r="AX139" s="1074">
        <f t="shared" si="66"/>
        <v>0</v>
      </c>
      <c r="AY139" s="2279">
        <f t="shared" si="41"/>
        <v>0</v>
      </c>
      <c r="AZ139" s="2675">
        <f t="shared" si="42"/>
        <v>0</v>
      </c>
      <c r="BA139" s="2675">
        <f t="shared" si="43"/>
        <v>0</v>
      </c>
      <c r="BB139" s="2675">
        <f t="shared" si="44"/>
        <v>0</v>
      </c>
      <c r="BC139" s="2675">
        <f t="shared" si="45"/>
        <v>0</v>
      </c>
      <c r="BD139" s="2675">
        <f t="shared" si="46"/>
        <v>0</v>
      </c>
      <c r="BE139" s="2675">
        <f t="shared" si="47"/>
        <v>0</v>
      </c>
      <c r="BF139" s="2675">
        <f t="shared" si="48"/>
        <v>0</v>
      </c>
      <c r="BG139" s="2675">
        <f t="shared" si="49"/>
        <v>0</v>
      </c>
      <c r="BH139" s="2675">
        <f t="shared" si="50"/>
        <v>0</v>
      </c>
      <c r="BI139" s="2675">
        <f t="shared" si="51"/>
        <v>0</v>
      </c>
      <c r="BJ139" s="2675">
        <f t="shared" si="52"/>
        <v>0</v>
      </c>
      <c r="BK139" s="2675">
        <f t="shared" si="53"/>
        <v>0</v>
      </c>
      <c r="BL139" s="2675">
        <f t="shared" si="54"/>
        <v>0</v>
      </c>
      <c r="BM139" s="2675">
        <f t="shared" si="55"/>
        <v>0</v>
      </c>
      <c r="BN139" s="2675">
        <f t="shared" si="56"/>
        <v>0</v>
      </c>
      <c r="BO139" s="2675">
        <f t="shared" si="57"/>
        <v>0</v>
      </c>
      <c r="BP139" s="2675">
        <f t="shared" si="58"/>
        <v>0</v>
      </c>
      <c r="BQ139" s="2675">
        <f t="shared" si="59"/>
        <v>0</v>
      </c>
      <c r="BR139" s="2675">
        <f t="shared" si="60"/>
        <v>0</v>
      </c>
      <c r="BS139" s="2675">
        <f t="shared" si="61"/>
        <v>0</v>
      </c>
      <c r="BT139" s="2722">
        <f t="shared" si="62"/>
        <v>0</v>
      </c>
    </row>
    <row r="140" spans="1:72">
      <c r="A140" s="2673"/>
      <c r="B140" s="2674"/>
      <c r="C140" s="2674"/>
      <c r="D140" s="2277"/>
      <c r="E140" s="2675">
        <f t="shared" si="63"/>
        <v>0</v>
      </c>
      <c r="F140" s="2676"/>
      <c r="G140" s="2677">
        <f t="shared" si="38"/>
        <v>0</v>
      </c>
      <c r="H140" s="2678">
        <f t="shared" si="39"/>
        <v>0</v>
      </c>
      <c r="I140" s="2685"/>
      <c r="J140" s="2685"/>
      <c r="K140" s="2685"/>
      <c r="L140" s="2685"/>
      <c r="M140" s="2685"/>
      <c r="N140" s="2685"/>
      <c r="O140" s="2685"/>
      <c r="P140" s="2685"/>
      <c r="Q140" s="2685"/>
      <c r="R140" s="2685"/>
      <c r="S140" s="2685"/>
      <c r="T140" s="2685"/>
      <c r="U140" s="2685"/>
      <c r="V140" s="2685"/>
      <c r="W140" s="2685"/>
      <c r="X140" s="2685"/>
      <c r="Y140" s="2685"/>
      <c r="Z140" s="2685"/>
      <c r="AA140" s="2685"/>
      <c r="AB140" s="2685"/>
      <c r="AC140" s="2675">
        <f t="shared" si="40"/>
        <v>0</v>
      </c>
      <c r="AD140" s="2695"/>
      <c r="AE140" s="2695"/>
      <c r="AF140" s="2695"/>
      <c r="AG140" s="2695"/>
      <c r="AH140" s="2695"/>
      <c r="AI140" s="2695"/>
      <c r="AJ140" s="2695"/>
      <c r="AK140" s="2695"/>
      <c r="AL140" s="2695"/>
      <c r="AM140" s="2695"/>
      <c r="AN140" s="2695"/>
      <c r="AO140" s="2695"/>
      <c r="AP140" s="2695"/>
      <c r="AQ140" s="2695"/>
      <c r="AR140" s="2695"/>
      <c r="AS140" s="2695"/>
      <c r="AT140" s="2703"/>
      <c r="AU140" s="2704"/>
      <c r="AV140" s="1074">
        <f t="shared" si="64"/>
        <v>0</v>
      </c>
      <c r="AW140" s="1074">
        <f t="shared" si="65"/>
        <v>0</v>
      </c>
      <c r="AX140" s="1074">
        <f t="shared" si="66"/>
        <v>0</v>
      </c>
      <c r="AY140" s="2279">
        <f t="shared" si="41"/>
        <v>0</v>
      </c>
      <c r="AZ140" s="2675">
        <f t="shared" si="42"/>
        <v>0</v>
      </c>
      <c r="BA140" s="2675">
        <f t="shared" si="43"/>
        <v>0</v>
      </c>
      <c r="BB140" s="2675">
        <f t="shared" si="44"/>
        <v>0</v>
      </c>
      <c r="BC140" s="2675">
        <f t="shared" si="45"/>
        <v>0</v>
      </c>
      <c r="BD140" s="2675">
        <f t="shared" si="46"/>
        <v>0</v>
      </c>
      <c r="BE140" s="2675">
        <f t="shared" si="47"/>
        <v>0</v>
      </c>
      <c r="BF140" s="2675">
        <f t="shared" si="48"/>
        <v>0</v>
      </c>
      <c r="BG140" s="2675">
        <f t="shared" si="49"/>
        <v>0</v>
      </c>
      <c r="BH140" s="2675">
        <f t="shared" si="50"/>
        <v>0</v>
      </c>
      <c r="BI140" s="2675">
        <f t="shared" si="51"/>
        <v>0</v>
      </c>
      <c r="BJ140" s="2675">
        <f t="shared" si="52"/>
        <v>0</v>
      </c>
      <c r="BK140" s="2675">
        <f t="shared" si="53"/>
        <v>0</v>
      </c>
      <c r="BL140" s="2675">
        <f t="shared" si="54"/>
        <v>0</v>
      </c>
      <c r="BM140" s="2675">
        <f t="shared" si="55"/>
        <v>0</v>
      </c>
      <c r="BN140" s="2675">
        <f t="shared" si="56"/>
        <v>0</v>
      </c>
      <c r="BO140" s="2675">
        <f t="shared" si="57"/>
        <v>0</v>
      </c>
      <c r="BP140" s="2675">
        <f t="shared" si="58"/>
        <v>0</v>
      </c>
      <c r="BQ140" s="2675">
        <f t="shared" si="59"/>
        <v>0</v>
      </c>
      <c r="BR140" s="2675">
        <f t="shared" si="60"/>
        <v>0</v>
      </c>
      <c r="BS140" s="2675">
        <f t="shared" si="61"/>
        <v>0</v>
      </c>
      <c r="BT140" s="2722">
        <f t="shared" si="62"/>
        <v>0</v>
      </c>
    </row>
    <row r="141" spans="1:72">
      <c r="A141" s="2673"/>
      <c r="B141" s="2674"/>
      <c r="C141" s="2674"/>
      <c r="D141" s="2277"/>
      <c r="E141" s="2675">
        <f t="shared" si="63"/>
        <v>0</v>
      </c>
      <c r="F141" s="2676"/>
      <c r="G141" s="2677">
        <f t="shared" si="38"/>
        <v>0</v>
      </c>
      <c r="H141" s="2678">
        <f t="shared" si="39"/>
        <v>0</v>
      </c>
      <c r="I141" s="2685"/>
      <c r="J141" s="2685"/>
      <c r="K141" s="2685"/>
      <c r="L141" s="2685"/>
      <c r="M141" s="2685"/>
      <c r="N141" s="2685"/>
      <c r="O141" s="2685"/>
      <c r="P141" s="2685"/>
      <c r="Q141" s="2685"/>
      <c r="R141" s="2685"/>
      <c r="S141" s="2685"/>
      <c r="T141" s="2685"/>
      <c r="U141" s="2685"/>
      <c r="V141" s="2685"/>
      <c r="W141" s="2685"/>
      <c r="X141" s="2685"/>
      <c r="Y141" s="2685"/>
      <c r="Z141" s="2685"/>
      <c r="AA141" s="2685"/>
      <c r="AB141" s="2685"/>
      <c r="AC141" s="2675">
        <f t="shared" si="40"/>
        <v>0</v>
      </c>
      <c r="AD141" s="2695"/>
      <c r="AE141" s="2695"/>
      <c r="AF141" s="2695"/>
      <c r="AG141" s="2695"/>
      <c r="AH141" s="2695"/>
      <c r="AI141" s="2695"/>
      <c r="AJ141" s="2695"/>
      <c r="AK141" s="2695"/>
      <c r="AL141" s="2695"/>
      <c r="AM141" s="2695"/>
      <c r="AN141" s="2695"/>
      <c r="AO141" s="2695"/>
      <c r="AP141" s="2695"/>
      <c r="AQ141" s="2695"/>
      <c r="AR141" s="2695"/>
      <c r="AS141" s="2695"/>
      <c r="AT141" s="2703"/>
      <c r="AU141" s="2704"/>
      <c r="AV141" s="1074">
        <f t="shared" si="64"/>
        <v>0</v>
      </c>
      <c r="AW141" s="1074">
        <f t="shared" si="65"/>
        <v>0</v>
      </c>
      <c r="AX141" s="1074">
        <f t="shared" si="66"/>
        <v>0</v>
      </c>
      <c r="AY141" s="2279">
        <f t="shared" si="41"/>
        <v>0</v>
      </c>
      <c r="AZ141" s="2675">
        <f t="shared" si="42"/>
        <v>0</v>
      </c>
      <c r="BA141" s="2675">
        <f t="shared" si="43"/>
        <v>0</v>
      </c>
      <c r="BB141" s="2675">
        <f t="shared" si="44"/>
        <v>0</v>
      </c>
      <c r="BC141" s="2675">
        <f t="shared" si="45"/>
        <v>0</v>
      </c>
      <c r="BD141" s="2675">
        <f t="shared" si="46"/>
        <v>0</v>
      </c>
      <c r="BE141" s="2675">
        <f t="shared" si="47"/>
        <v>0</v>
      </c>
      <c r="BF141" s="2675">
        <f t="shared" si="48"/>
        <v>0</v>
      </c>
      <c r="BG141" s="2675">
        <f t="shared" si="49"/>
        <v>0</v>
      </c>
      <c r="BH141" s="2675">
        <f t="shared" si="50"/>
        <v>0</v>
      </c>
      <c r="BI141" s="2675">
        <f t="shared" si="51"/>
        <v>0</v>
      </c>
      <c r="BJ141" s="2675">
        <f t="shared" si="52"/>
        <v>0</v>
      </c>
      <c r="BK141" s="2675">
        <f t="shared" si="53"/>
        <v>0</v>
      </c>
      <c r="BL141" s="2675">
        <f t="shared" si="54"/>
        <v>0</v>
      </c>
      <c r="BM141" s="2675">
        <f t="shared" si="55"/>
        <v>0</v>
      </c>
      <c r="BN141" s="2675">
        <f t="shared" si="56"/>
        <v>0</v>
      </c>
      <c r="BO141" s="2675">
        <f t="shared" si="57"/>
        <v>0</v>
      </c>
      <c r="BP141" s="2675">
        <f t="shared" si="58"/>
        <v>0</v>
      </c>
      <c r="BQ141" s="2675">
        <f t="shared" si="59"/>
        <v>0</v>
      </c>
      <c r="BR141" s="2675">
        <f t="shared" si="60"/>
        <v>0</v>
      </c>
      <c r="BS141" s="2675">
        <f t="shared" si="61"/>
        <v>0</v>
      </c>
      <c r="BT141" s="2722">
        <f t="shared" si="62"/>
        <v>0</v>
      </c>
    </row>
    <row r="142" spans="1:72">
      <c r="A142" s="2673"/>
      <c r="B142" s="2674"/>
      <c r="C142" s="2674"/>
      <c r="D142" s="2277"/>
      <c r="E142" s="2675">
        <f t="shared" si="63"/>
        <v>0</v>
      </c>
      <c r="F142" s="2676"/>
      <c r="G142" s="2677">
        <f t="shared" ref="G142:G173" si="67">H142+AC142+AT142</f>
        <v>0</v>
      </c>
      <c r="H142" s="2678">
        <f t="shared" ref="H142:H173" si="68">SUMIF(I$12:AB$12,"总值",I142:AB142)</f>
        <v>0</v>
      </c>
      <c r="I142" s="2685"/>
      <c r="J142" s="2685"/>
      <c r="K142" s="2685"/>
      <c r="L142" s="2685"/>
      <c r="M142" s="2685"/>
      <c r="N142" s="2685"/>
      <c r="O142" s="2685"/>
      <c r="P142" s="2685"/>
      <c r="Q142" s="2685"/>
      <c r="R142" s="2685"/>
      <c r="S142" s="2685"/>
      <c r="T142" s="2685"/>
      <c r="U142" s="2685"/>
      <c r="V142" s="2685"/>
      <c r="W142" s="2685"/>
      <c r="X142" s="2685"/>
      <c r="Y142" s="2685"/>
      <c r="Z142" s="2685"/>
      <c r="AA142" s="2685"/>
      <c r="AB142" s="2685"/>
      <c r="AC142" s="2675">
        <f t="shared" ref="AC142:AC173" si="69">SUMIF(AD$12:AS$12,"总值",AD142:AS142)</f>
        <v>0</v>
      </c>
      <c r="AD142" s="2695"/>
      <c r="AE142" s="2695"/>
      <c r="AF142" s="2695"/>
      <c r="AG142" s="2695"/>
      <c r="AH142" s="2695"/>
      <c r="AI142" s="2695"/>
      <c r="AJ142" s="2695"/>
      <c r="AK142" s="2695"/>
      <c r="AL142" s="2695"/>
      <c r="AM142" s="2695"/>
      <c r="AN142" s="2695"/>
      <c r="AO142" s="2695"/>
      <c r="AP142" s="2695"/>
      <c r="AQ142" s="2695"/>
      <c r="AR142" s="2695"/>
      <c r="AS142" s="2695"/>
      <c r="AT142" s="2703"/>
      <c r="AU142" s="2704"/>
      <c r="AV142" s="1074">
        <f t="shared" si="64"/>
        <v>0</v>
      </c>
      <c r="AW142" s="1074">
        <f t="shared" si="65"/>
        <v>0</v>
      </c>
      <c r="AX142" s="1074">
        <f t="shared" si="66"/>
        <v>0</v>
      </c>
      <c r="AY142" s="2279">
        <f t="shared" ref="AY142:AY173" si="70">ROUND($AY$6*AZ142/$AZ$5,2)</f>
        <v>0</v>
      </c>
      <c r="AZ142" s="2675">
        <f t="shared" ref="AZ142:AZ173" si="71">BA142+BL142</f>
        <v>0</v>
      </c>
      <c r="BA142" s="2675">
        <f t="shared" ref="BA142:BA173" si="72">SUM(BB142:BK142)</f>
        <v>0</v>
      </c>
      <c r="BB142" s="2675">
        <f t="shared" ref="BB142:BB173" si="73">IF($D142="是",I142-J142,0)</f>
        <v>0</v>
      </c>
      <c r="BC142" s="2675">
        <f t="shared" ref="BC142:BC173" si="74">IF($D142="是",K142-L142,0)</f>
        <v>0</v>
      </c>
      <c r="BD142" s="2675">
        <f t="shared" ref="BD142:BD173" si="75">IF($D142="是",M142-N142,0)</f>
        <v>0</v>
      </c>
      <c r="BE142" s="2675">
        <f t="shared" ref="BE142:BE173" si="76">IF($D142="是",O142-P142,0)</f>
        <v>0</v>
      </c>
      <c r="BF142" s="2675">
        <f t="shared" ref="BF142:BF173" si="77">IF($D142="是",Q142-R142,0)</f>
        <v>0</v>
      </c>
      <c r="BG142" s="2675">
        <f t="shared" ref="BG142:BG173" si="78">IF($D142="是",S142-T142,0)</f>
        <v>0</v>
      </c>
      <c r="BH142" s="2675">
        <f t="shared" ref="BH142:BH173" si="79">IF($D142="是",U142-V142,0)</f>
        <v>0</v>
      </c>
      <c r="BI142" s="2675">
        <f t="shared" ref="BI142:BI173" si="80">IF($D142="是",W142-X142,0)</f>
        <v>0</v>
      </c>
      <c r="BJ142" s="2675">
        <f t="shared" ref="BJ142:BJ173" si="81">IF($D142="是",Y142-Z142,0)</f>
        <v>0</v>
      </c>
      <c r="BK142" s="2675">
        <f t="shared" ref="BK142:BK173" si="82">IF($D142="是",AA142-AB142,0)</f>
        <v>0</v>
      </c>
      <c r="BL142" s="2675">
        <f t="shared" ref="BL142:BL173" si="83">SUM(BM142:BT142)</f>
        <v>0</v>
      </c>
      <c r="BM142" s="2675">
        <f t="shared" ref="BM142:BM173" si="84">IF($D142="是",AD142-AE142,0)</f>
        <v>0</v>
      </c>
      <c r="BN142" s="2675">
        <f t="shared" ref="BN142:BN173" si="85">IF($D142="是",AF142-AG142,0)</f>
        <v>0</v>
      </c>
      <c r="BO142" s="2675">
        <f t="shared" ref="BO142:BO173" si="86">IF($D142="是",AH142-AI142,0)</f>
        <v>0</v>
      </c>
      <c r="BP142" s="2675">
        <f t="shared" ref="BP142:BP173" si="87">IF($D142="是",AJ142-AK142,0)</f>
        <v>0</v>
      </c>
      <c r="BQ142" s="2675">
        <f t="shared" ref="BQ142:BQ173" si="88">IF($D142="是",AL142-AM142,0)</f>
        <v>0</v>
      </c>
      <c r="BR142" s="2675">
        <f t="shared" ref="BR142:BR173" si="89">IF($D142="是",AN142-AO142,0)</f>
        <v>0</v>
      </c>
      <c r="BS142" s="2675">
        <f t="shared" ref="BS142:BS173" si="90">IF($D142="是",AP142-AQ142,0)</f>
        <v>0</v>
      </c>
      <c r="BT142" s="2722">
        <f t="shared" ref="BT142:BT173" si="91">IF($D142="是",AR142-AS142,0)</f>
        <v>0</v>
      </c>
    </row>
    <row r="143" spans="1:72">
      <c r="A143" s="2673"/>
      <c r="B143" s="2674"/>
      <c r="C143" s="2674"/>
      <c r="D143" s="2277"/>
      <c r="E143" s="2675">
        <f t="shared" si="63"/>
        <v>0</v>
      </c>
      <c r="F143" s="2676"/>
      <c r="G143" s="2677">
        <f t="shared" si="67"/>
        <v>0</v>
      </c>
      <c r="H143" s="2678">
        <f t="shared" si="68"/>
        <v>0</v>
      </c>
      <c r="I143" s="2685"/>
      <c r="J143" s="2685"/>
      <c r="K143" s="2685"/>
      <c r="L143" s="2685"/>
      <c r="M143" s="2685"/>
      <c r="N143" s="2685"/>
      <c r="O143" s="2685"/>
      <c r="P143" s="2685"/>
      <c r="Q143" s="2685"/>
      <c r="R143" s="2685"/>
      <c r="S143" s="2685"/>
      <c r="T143" s="2685"/>
      <c r="U143" s="2685"/>
      <c r="V143" s="2685"/>
      <c r="W143" s="2685"/>
      <c r="X143" s="2685"/>
      <c r="Y143" s="2685"/>
      <c r="Z143" s="2685"/>
      <c r="AA143" s="2685"/>
      <c r="AB143" s="2685"/>
      <c r="AC143" s="2675">
        <f t="shared" si="69"/>
        <v>0</v>
      </c>
      <c r="AD143" s="2695"/>
      <c r="AE143" s="2695"/>
      <c r="AF143" s="2695"/>
      <c r="AG143" s="2695"/>
      <c r="AH143" s="2695"/>
      <c r="AI143" s="2695"/>
      <c r="AJ143" s="2695"/>
      <c r="AK143" s="2695"/>
      <c r="AL143" s="2695"/>
      <c r="AM143" s="2695"/>
      <c r="AN143" s="2695"/>
      <c r="AO143" s="2695"/>
      <c r="AP143" s="2695"/>
      <c r="AQ143" s="2695"/>
      <c r="AR143" s="2695"/>
      <c r="AS143" s="2695"/>
      <c r="AT143" s="2703"/>
      <c r="AU143" s="2704"/>
      <c r="AV143" s="1074">
        <f t="shared" si="64"/>
        <v>0</v>
      </c>
      <c r="AW143" s="1074">
        <f t="shared" si="65"/>
        <v>0</v>
      </c>
      <c r="AX143" s="1074">
        <f t="shared" si="66"/>
        <v>0</v>
      </c>
      <c r="AY143" s="2279">
        <f t="shared" si="70"/>
        <v>0</v>
      </c>
      <c r="AZ143" s="2675">
        <f t="shared" si="71"/>
        <v>0</v>
      </c>
      <c r="BA143" s="2675">
        <f t="shared" si="72"/>
        <v>0</v>
      </c>
      <c r="BB143" s="2675">
        <f t="shared" si="73"/>
        <v>0</v>
      </c>
      <c r="BC143" s="2675">
        <f t="shared" si="74"/>
        <v>0</v>
      </c>
      <c r="BD143" s="2675">
        <f t="shared" si="75"/>
        <v>0</v>
      </c>
      <c r="BE143" s="2675">
        <f t="shared" si="76"/>
        <v>0</v>
      </c>
      <c r="BF143" s="2675">
        <f t="shared" si="77"/>
        <v>0</v>
      </c>
      <c r="BG143" s="2675">
        <f t="shared" si="78"/>
        <v>0</v>
      </c>
      <c r="BH143" s="2675">
        <f t="shared" si="79"/>
        <v>0</v>
      </c>
      <c r="BI143" s="2675">
        <f t="shared" si="80"/>
        <v>0</v>
      </c>
      <c r="BJ143" s="2675">
        <f t="shared" si="81"/>
        <v>0</v>
      </c>
      <c r="BK143" s="2675">
        <f t="shared" si="82"/>
        <v>0</v>
      </c>
      <c r="BL143" s="2675">
        <f t="shared" si="83"/>
        <v>0</v>
      </c>
      <c r="BM143" s="2675">
        <f t="shared" si="84"/>
        <v>0</v>
      </c>
      <c r="BN143" s="2675">
        <f t="shared" si="85"/>
        <v>0</v>
      </c>
      <c r="BO143" s="2675">
        <f t="shared" si="86"/>
        <v>0</v>
      </c>
      <c r="BP143" s="2675">
        <f t="shared" si="87"/>
        <v>0</v>
      </c>
      <c r="BQ143" s="2675">
        <f t="shared" si="88"/>
        <v>0</v>
      </c>
      <c r="BR143" s="2675">
        <f t="shared" si="89"/>
        <v>0</v>
      </c>
      <c r="BS143" s="2675">
        <f t="shared" si="90"/>
        <v>0</v>
      </c>
      <c r="BT143" s="2722">
        <f t="shared" si="91"/>
        <v>0</v>
      </c>
    </row>
    <row r="144" spans="1:72">
      <c r="A144" s="2673"/>
      <c r="B144" s="2674"/>
      <c r="C144" s="2674"/>
      <c r="D144" s="2277"/>
      <c r="E144" s="2675">
        <f t="shared" si="63"/>
        <v>0</v>
      </c>
      <c r="F144" s="2676"/>
      <c r="G144" s="2677">
        <f t="shared" si="67"/>
        <v>0</v>
      </c>
      <c r="H144" s="2678">
        <f t="shared" si="68"/>
        <v>0</v>
      </c>
      <c r="I144" s="2685"/>
      <c r="J144" s="2685"/>
      <c r="K144" s="2685"/>
      <c r="L144" s="2685"/>
      <c r="M144" s="2685"/>
      <c r="N144" s="2685"/>
      <c r="O144" s="2685"/>
      <c r="P144" s="2685"/>
      <c r="Q144" s="2685"/>
      <c r="R144" s="2685"/>
      <c r="S144" s="2685"/>
      <c r="T144" s="2685"/>
      <c r="U144" s="2685"/>
      <c r="V144" s="2685"/>
      <c r="W144" s="2685"/>
      <c r="X144" s="2685"/>
      <c r="Y144" s="2685"/>
      <c r="Z144" s="2685"/>
      <c r="AA144" s="2685"/>
      <c r="AB144" s="2685"/>
      <c r="AC144" s="2675">
        <f t="shared" si="69"/>
        <v>0</v>
      </c>
      <c r="AD144" s="2695"/>
      <c r="AE144" s="2695"/>
      <c r="AF144" s="2695"/>
      <c r="AG144" s="2695"/>
      <c r="AH144" s="2695"/>
      <c r="AI144" s="2695"/>
      <c r="AJ144" s="2695"/>
      <c r="AK144" s="2695"/>
      <c r="AL144" s="2695"/>
      <c r="AM144" s="2695"/>
      <c r="AN144" s="2695"/>
      <c r="AO144" s="2695"/>
      <c r="AP144" s="2695"/>
      <c r="AQ144" s="2695"/>
      <c r="AR144" s="2695"/>
      <c r="AS144" s="2695"/>
      <c r="AT144" s="2703"/>
      <c r="AU144" s="2704"/>
      <c r="AV144" s="1074">
        <f t="shared" si="64"/>
        <v>0</v>
      </c>
      <c r="AW144" s="1074">
        <f t="shared" si="65"/>
        <v>0</v>
      </c>
      <c r="AX144" s="1074">
        <f t="shared" si="66"/>
        <v>0</v>
      </c>
      <c r="AY144" s="2279">
        <f t="shared" si="70"/>
        <v>0</v>
      </c>
      <c r="AZ144" s="2675">
        <f t="shared" si="71"/>
        <v>0</v>
      </c>
      <c r="BA144" s="2675">
        <f t="shared" si="72"/>
        <v>0</v>
      </c>
      <c r="BB144" s="2675">
        <f t="shared" si="73"/>
        <v>0</v>
      </c>
      <c r="BC144" s="2675">
        <f t="shared" si="74"/>
        <v>0</v>
      </c>
      <c r="BD144" s="2675">
        <f t="shared" si="75"/>
        <v>0</v>
      </c>
      <c r="BE144" s="2675">
        <f t="shared" si="76"/>
        <v>0</v>
      </c>
      <c r="BF144" s="2675">
        <f t="shared" si="77"/>
        <v>0</v>
      </c>
      <c r="BG144" s="2675">
        <f t="shared" si="78"/>
        <v>0</v>
      </c>
      <c r="BH144" s="2675">
        <f t="shared" si="79"/>
        <v>0</v>
      </c>
      <c r="BI144" s="2675">
        <f t="shared" si="80"/>
        <v>0</v>
      </c>
      <c r="BJ144" s="2675">
        <f t="shared" si="81"/>
        <v>0</v>
      </c>
      <c r="BK144" s="2675">
        <f t="shared" si="82"/>
        <v>0</v>
      </c>
      <c r="BL144" s="2675">
        <f t="shared" si="83"/>
        <v>0</v>
      </c>
      <c r="BM144" s="2675">
        <f t="shared" si="84"/>
        <v>0</v>
      </c>
      <c r="BN144" s="2675">
        <f t="shared" si="85"/>
        <v>0</v>
      </c>
      <c r="BO144" s="2675">
        <f t="shared" si="86"/>
        <v>0</v>
      </c>
      <c r="BP144" s="2675">
        <f t="shared" si="87"/>
        <v>0</v>
      </c>
      <c r="BQ144" s="2675">
        <f t="shared" si="88"/>
        <v>0</v>
      </c>
      <c r="BR144" s="2675">
        <f t="shared" si="89"/>
        <v>0</v>
      </c>
      <c r="BS144" s="2675">
        <f t="shared" si="90"/>
        <v>0</v>
      </c>
      <c r="BT144" s="2722">
        <f t="shared" si="91"/>
        <v>0</v>
      </c>
    </row>
    <row r="145" spans="1:72">
      <c r="A145" s="2673"/>
      <c r="B145" s="2674"/>
      <c r="C145" s="2674"/>
      <c r="D145" s="2277"/>
      <c r="E145" s="2675">
        <f t="shared" ref="E145:E176" si="92">IF($C$3="是",ROUND($A$3*G145/$B$3,2),ROUND($A$3*(G145-AT145)/$B$3,2))</f>
        <v>0</v>
      </c>
      <c r="F145" s="2676"/>
      <c r="G145" s="2677">
        <f t="shared" si="67"/>
        <v>0</v>
      </c>
      <c r="H145" s="2678">
        <f t="shared" si="68"/>
        <v>0</v>
      </c>
      <c r="I145" s="2685"/>
      <c r="J145" s="2685"/>
      <c r="K145" s="2685"/>
      <c r="L145" s="2685"/>
      <c r="M145" s="2685"/>
      <c r="N145" s="2685"/>
      <c r="O145" s="2685"/>
      <c r="P145" s="2685"/>
      <c r="Q145" s="2685"/>
      <c r="R145" s="2685"/>
      <c r="S145" s="2685"/>
      <c r="T145" s="2685"/>
      <c r="U145" s="2685"/>
      <c r="V145" s="2685"/>
      <c r="W145" s="2685"/>
      <c r="X145" s="2685"/>
      <c r="Y145" s="2685"/>
      <c r="Z145" s="2685"/>
      <c r="AA145" s="2685"/>
      <c r="AB145" s="2685"/>
      <c r="AC145" s="2675">
        <f t="shared" si="69"/>
        <v>0</v>
      </c>
      <c r="AD145" s="2695"/>
      <c r="AE145" s="2695"/>
      <c r="AF145" s="2695"/>
      <c r="AG145" s="2695"/>
      <c r="AH145" s="2695"/>
      <c r="AI145" s="2695"/>
      <c r="AJ145" s="2695"/>
      <c r="AK145" s="2695"/>
      <c r="AL145" s="2695"/>
      <c r="AM145" s="2695"/>
      <c r="AN145" s="2695"/>
      <c r="AO145" s="2695"/>
      <c r="AP145" s="2695"/>
      <c r="AQ145" s="2695"/>
      <c r="AR145" s="2695"/>
      <c r="AS145" s="2695"/>
      <c r="AT145" s="2703"/>
      <c r="AU145" s="2704"/>
      <c r="AV145" s="1074">
        <f t="shared" ref="AV145:AV176" si="93">A145</f>
        <v>0</v>
      </c>
      <c r="AW145" s="1074">
        <f t="shared" ref="AW145:AW176" si="94">B145</f>
        <v>0</v>
      </c>
      <c r="AX145" s="1074">
        <f t="shared" ref="AX145:AX176" si="95">C145</f>
        <v>0</v>
      </c>
      <c r="AY145" s="2279">
        <f t="shared" si="70"/>
        <v>0</v>
      </c>
      <c r="AZ145" s="2675">
        <f t="shared" si="71"/>
        <v>0</v>
      </c>
      <c r="BA145" s="2675">
        <f t="shared" si="72"/>
        <v>0</v>
      </c>
      <c r="BB145" s="2675">
        <f t="shared" si="73"/>
        <v>0</v>
      </c>
      <c r="BC145" s="2675">
        <f t="shared" si="74"/>
        <v>0</v>
      </c>
      <c r="BD145" s="2675">
        <f t="shared" si="75"/>
        <v>0</v>
      </c>
      <c r="BE145" s="2675">
        <f t="shared" si="76"/>
        <v>0</v>
      </c>
      <c r="BF145" s="2675">
        <f t="shared" si="77"/>
        <v>0</v>
      </c>
      <c r="BG145" s="2675">
        <f t="shared" si="78"/>
        <v>0</v>
      </c>
      <c r="BH145" s="2675">
        <f t="shared" si="79"/>
        <v>0</v>
      </c>
      <c r="BI145" s="2675">
        <f t="shared" si="80"/>
        <v>0</v>
      </c>
      <c r="BJ145" s="2675">
        <f t="shared" si="81"/>
        <v>0</v>
      </c>
      <c r="BK145" s="2675">
        <f t="shared" si="82"/>
        <v>0</v>
      </c>
      <c r="BL145" s="2675">
        <f t="shared" si="83"/>
        <v>0</v>
      </c>
      <c r="BM145" s="2675">
        <f t="shared" si="84"/>
        <v>0</v>
      </c>
      <c r="BN145" s="2675">
        <f t="shared" si="85"/>
        <v>0</v>
      </c>
      <c r="BO145" s="2675">
        <f t="shared" si="86"/>
        <v>0</v>
      </c>
      <c r="BP145" s="2675">
        <f t="shared" si="87"/>
        <v>0</v>
      </c>
      <c r="BQ145" s="2675">
        <f t="shared" si="88"/>
        <v>0</v>
      </c>
      <c r="BR145" s="2675">
        <f t="shared" si="89"/>
        <v>0</v>
      </c>
      <c r="BS145" s="2675">
        <f t="shared" si="90"/>
        <v>0</v>
      </c>
      <c r="BT145" s="2722">
        <f t="shared" si="91"/>
        <v>0</v>
      </c>
    </row>
    <row r="146" spans="1:72">
      <c r="A146" s="2673"/>
      <c r="B146" s="2674"/>
      <c r="C146" s="2674"/>
      <c r="D146" s="2277"/>
      <c r="E146" s="2675">
        <f t="shared" si="92"/>
        <v>0</v>
      </c>
      <c r="F146" s="2676"/>
      <c r="G146" s="2677">
        <f t="shared" si="67"/>
        <v>0</v>
      </c>
      <c r="H146" s="2678">
        <f t="shared" si="68"/>
        <v>0</v>
      </c>
      <c r="I146" s="2685"/>
      <c r="J146" s="2685"/>
      <c r="K146" s="2685"/>
      <c r="L146" s="2685"/>
      <c r="M146" s="2685"/>
      <c r="N146" s="2685"/>
      <c r="O146" s="2685"/>
      <c r="P146" s="2685"/>
      <c r="Q146" s="2685"/>
      <c r="R146" s="2685"/>
      <c r="S146" s="2685"/>
      <c r="T146" s="2685"/>
      <c r="U146" s="2685"/>
      <c r="V146" s="2685"/>
      <c r="W146" s="2685"/>
      <c r="X146" s="2685"/>
      <c r="Y146" s="2685"/>
      <c r="Z146" s="2685"/>
      <c r="AA146" s="2685"/>
      <c r="AB146" s="2685"/>
      <c r="AC146" s="2675">
        <f t="shared" si="69"/>
        <v>0</v>
      </c>
      <c r="AD146" s="2695"/>
      <c r="AE146" s="2695"/>
      <c r="AF146" s="2695"/>
      <c r="AG146" s="2695"/>
      <c r="AH146" s="2695"/>
      <c r="AI146" s="2695"/>
      <c r="AJ146" s="2695"/>
      <c r="AK146" s="2695"/>
      <c r="AL146" s="2695"/>
      <c r="AM146" s="2695"/>
      <c r="AN146" s="2695"/>
      <c r="AO146" s="2695"/>
      <c r="AP146" s="2695"/>
      <c r="AQ146" s="2695"/>
      <c r="AR146" s="2695"/>
      <c r="AS146" s="2695"/>
      <c r="AT146" s="2703"/>
      <c r="AU146" s="2704"/>
      <c r="AV146" s="1074">
        <f t="shared" si="93"/>
        <v>0</v>
      </c>
      <c r="AW146" s="1074">
        <f t="shared" si="94"/>
        <v>0</v>
      </c>
      <c r="AX146" s="1074">
        <f t="shared" si="95"/>
        <v>0</v>
      </c>
      <c r="AY146" s="2279">
        <f t="shared" si="70"/>
        <v>0</v>
      </c>
      <c r="AZ146" s="2675">
        <f t="shared" si="71"/>
        <v>0</v>
      </c>
      <c r="BA146" s="2675">
        <f t="shared" si="72"/>
        <v>0</v>
      </c>
      <c r="BB146" s="2675">
        <f t="shared" si="73"/>
        <v>0</v>
      </c>
      <c r="BC146" s="2675">
        <f t="shared" si="74"/>
        <v>0</v>
      </c>
      <c r="BD146" s="2675">
        <f t="shared" si="75"/>
        <v>0</v>
      </c>
      <c r="BE146" s="2675">
        <f t="shared" si="76"/>
        <v>0</v>
      </c>
      <c r="BF146" s="2675">
        <f t="shared" si="77"/>
        <v>0</v>
      </c>
      <c r="BG146" s="2675">
        <f t="shared" si="78"/>
        <v>0</v>
      </c>
      <c r="BH146" s="2675">
        <f t="shared" si="79"/>
        <v>0</v>
      </c>
      <c r="BI146" s="2675">
        <f t="shared" si="80"/>
        <v>0</v>
      </c>
      <c r="BJ146" s="2675">
        <f t="shared" si="81"/>
        <v>0</v>
      </c>
      <c r="BK146" s="2675">
        <f t="shared" si="82"/>
        <v>0</v>
      </c>
      <c r="BL146" s="2675">
        <f t="shared" si="83"/>
        <v>0</v>
      </c>
      <c r="BM146" s="2675">
        <f t="shared" si="84"/>
        <v>0</v>
      </c>
      <c r="BN146" s="2675">
        <f t="shared" si="85"/>
        <v>0</v>
      </c>
      <c r="BO146" s="2675">
        <f t="shared" si="86"/>
        <v>0</v>
      </c>
      <c r="BP146" s="2675">
        <f t="shared" si="87"/>
        <v>0</v>
      </c>
      <c r="BQ146" s="2675">
        <f t="shared" si="88"/>
        <v>0</v>
      </c>
      <c r="BR146" s="2675">
        <f t="shared" si="89"/>
        <v>0</v>
      </c>
      <c r="BS146" s="2675">
        <f t="shared" si="90"/>
        <v>0</v>
      </c>
      <c r="BT146" s="2722">
        <f t="shared" si="91"/>
        <v>0</v>
      </c>
    </row>
    <row r="147" spans="1:72">
      <c r="A147" s="2673"/>
      <c r="B147" s="2674"/>
      <c r="C147" s="2674"/>
      <c r="D147" s="2277"/>
      <c r="E147" s="2675">
        <f t="shared" si="92"/>
        <v>0</v>
      </c>
      <c r="F147" s="2676"/>
      <c r="G147" s="2677">
        <f t="shared" si="67"/>
        <v>0</v>
      </c>
      <c r="H147" s="2678">
        <f t="shared" si="68"/>
        <v>0</v>
      </c>
      <c r="I147" s="2685"/>
      <c r="J147" s="2685"/>
      <c r="K147" s="2685"/>
      <c r="L147" s="2685"/>
      <c r="M147" s="2685"/>
      <c r="N147" s="2685"/>
      <c r="O147" s="2685"/>
      <c r="P147" s="2685"/>
      <c r="Q147" s="2685"/>
      <c r="R147" s="2685"/>
      <c r="S147" s="2685"/>
      <c r="T147" s="2685"/>
      <c r="U147" s="2685"/>
      <c r="V147" s="2685"/>
      <c r="W147" s="2685"/>
      <c r="X147" s="2685"/>
      <c r="Y147" s="2685"/>
      <c r="Z147" s="2685"/>
      <c r="AA147" s="2685"/>
      <c r="AB147" s="2685"/>
      <c r="AC147" s="2675">
        <f t="shared" si="69"/>
        <v>0</v>
      </c>
      <c r="AD147" s="2695"/>
      <c r="AE147" s="2695"/>
      <c r="AF147" s="2695"/>
      <c r="AG147" s="2695"/>
      <c r="AH147" s="2695"/>
      <c r="AI147" s="2695"/>
      <c r="AJ147" s="2695"/>
      <c r="AK147" s="2695"/>
      <c r="AL147" s="2695"/>
      <c r="AM147" s="2695"/>
      <c r="AN147" s="2695"/>
      <c r="AO147" s="2695"/>
      <c r="AP147" s="2695"/>
      <c r="AQ147" s="2695"/>
      <c r="AR147" s="2695"/>
      <c r="AS147" s="2695"/>
      <c r="AT147" s="2703"/>
      <c r="AU147" s="2704"/>
      <c r="AV147" s="1074">
        <f t="shared" si="93"/>
        <v>0</v>
      </c>
      <c r="AW147" s="1074">
        <f t="shared" si="94"/>
        <v>0</v>
      </c>
      <c r="AX147" s="1074">
        <f t="shared" si="95"/>
        <v>0</v>
      </c>
      <c r="AY147" s="2279">
        <f t="shared" si="70"/>
        <v>0</v>
      </c>
      <c r="AZ147" s="2675">
        <f t="shared" si="71"/>
        <v>0</v>
      </c>
      <c r="BA147" s="2675">
        <f t="shared" si="72"/>
        <v>0</v>
      </c>
      <c r="BB147" s="2675">
        <f t="shared" si="73"/>
        <v>0</v>
      </c>
      <c r="BC147" s="2675">
        <f t="shared" si="74"/>
        <v>0</v>
      </c>
      <c r="BD147" s="2675">
        <f t="shared" si="75"/>
        <v>0</v>
      </c>
      <c r="BE147" s="2675">
        <f t="shared" si="76"/>
        <v>0</v>
      </c>
      <c r="BF147" s="2675">
        <f t="shared" si="77"/>
        <v>0</v>
      </c>
      <c r="BG147" s="2675">
        <f t="shared" si="78"/>
        <v>0</v>
      </c>
      <c r="BH147" s="2675">
        <f t="shared" si="79"/>
        <v>0</v>
      </c>
      <c r="BI147" s="2675">
        <f t="shared" si="80"/>
        <v>0</v>
      </c>
      <c r="BJ147" s="2675">
        <f t="shared" si="81"/>
        <v>0</v>
      </c>
      <c r="BK147" s="2675">
        <f t="shared" si="82"/>
        <v>0</v>
      </c>
      <c r="BL147" s="2675">
        <f t="shared" si="83"/>
        <v>0</v>
      </c>
      <c r="BM147" s="2675">
        <f t="shared" si="84"/>
        <v>0</v>
      </c>
      <c r="BN147" s="2675">
        <f t="shared" si="85"/>
        <v>0</v>
      </c>
      <c r="BO147" s="2675">
        <f t="shared" si="86"/>
        <v>0</v>
      </c>
      <c r="BP147" s="2675">
        <f t="shared" si="87"/>
        <v>0</v>
      </c>
      <c r="BQ147" s="2675">
        <f t="shared" si="88"/>
        <v>0</v>
      </c>
      <c r="BR147" s="2675">
        <f t="shared" si="89"/>
        <v>0</v>
      </c>
      <c r="BS147" s="2675">
        <f t="shared" si="90"/>
        <v>0</v>
      </c>
      <c r="BT147" s="2722">
        <f t="shared" si="91"/>
        <v>0</v>
      </c>
    </row>
    <row r="148" spans="1:72">
      <c r="A148" s="2673"/>
      <c r="B148" s="2674"/>
      <c r="C148" s="2674"/>
      <c r="D148" s="2277"/>
      <c r="E148" s="2675">
        <f t="shared" si="92"/>
        <v>0</v>
      </c>
      <c r="F148" s="2676"/>
      <c r="G148" s="2677">
        <f t="shared" si="67"/>
        <v>0</v>
      </c>
      <c r="H148" s="2678">
        <f t="shared" si="68"/>
        <v>0</v>
      </c>
      <c r="I148" s="2685"/>
      <c r="J148" s="2685"/>
      <c r="K148" s="2685"/>
      <c r="L148" s="2685"/>
      <c r="M148" s="2685"/>
      <c r="N148" s="2685"/>
      <c r="O148" s="2685"/>
      <c r="P148" s="2685"/>
      <c r="Q148" s="2685"/>
      <c r="R148" s="2685"/>
      <c r="S148" s="2685"/>
      <c r="T148" s="2685"/>
      <c r="U148" s="2685"/>
      <c r="V148" s="2685"/>
      <c r="W148" s="2685"/>
      <c r="X148" s="2685"/>
      <c r="Y148" s="2685"/>
      <c r="Z148" s="2685"/>
      <c r="AA148" s="2685"/>
      <c r="AB148" s="2685"/>
      <c r="AC148" s="2675">
        <f t="shared" si="69"/>
        <v>0</v>
      </c>
      <c r="AD148" s="2695"/>
      <c r="AE148" s="2695"/>
      <c r="AF148" s="2695"/>
      <c r="AG148" s="2695"/>
      <c r="AH148" s="2695"/>
      <c r="AI148" s="2695"/>
      <c r="AJ148" s="2695"/>
      <c r="AK148" s="2695"/>
      <c r="AL148" s="2695"/>
      <c r="AM148" s="2695"/>
      <c r="AN148" s="2695"/>
      <c r="AO148" s="2695"/>
      <c r="AP148" s="2695"/>
      <c r="AQ148" s="2695"/>
      <c r="AR148" s="2695"/>
      <c r="AS148" s="2695"/>
      <c r="AT148" s="2703"/>
      <c r="AU148" s="2704"/>
      <c r="AV148" s="1074">
        <f t="shared" si="93"/>
        <v>0</v>
      </c>
      <c r="AW148" s="1074">
        <f t="shared" si="94"/>
        <v>0</v>
      </c>
      <c r="AX148" s="1074">
        <f t="shared" si="95"/>
        <v>0</v>
      </c>
      <c r="AY148" s="2279">
        <f t="shared" si="70"/>
        <v>0</v>
      </c>
      <c r="AZ148" s="2675">
        <f t="shared" si="71"/>
        <v>0</v>
      </c>
      <c r="BA148" s="2675">
        <f t="shared" si="72"/>
        <v>0</v>
      </c>
      <c r="BB148" s="2675">
        <f t="shared" si="73"/>
        <v>0</v>
      </c>
      <c r="BC148" s="2675">
        <f t="shared" si="74"/>
        <v>0</v>
      </c>
      <c r="BD148" s="2675">
        <f t="shared" si="75"/>
        <v>0</v>
      </c>
      <c r="BE148" s="2675">
        <f t="shared" si="76"/>
        <v>0</v>
      </c>
      <c r="BF148" s="2675">
        <f t="shared" si="77"/>
        <v>0</v>
      </c>
      <c r="BG148" s="2675">
        <f t="shared" si="78"/>
        <v>0</v>
      </c>
      <c r="BH148" s="2675">
        <f t="shared" si="79"/>
        <v>0</v>
      </c>
      <c r="BI148" s="2675">
        <f t="shared" si="80"/>
        <v>0</v>
      </c>
      <c r="BJ148" s="2675">
        <f t="shared" si="81"/>
        <v>0</v>
      </c>
      <c r="BK148" s="2675">
        <f t="shared" si="82"/>
        <v>0</v>
      </c>
      <c r="BL148" s="2675">
        <f t="shared" si="83"/>
        <v>0</v>
      </c>
      <c r="BM148" s="2675">
        <f t="shared" si="84"/>
        <v>0</v>
      </c>
      <c r="BN148" s="2675">
        <f t="shared" si="85"/>
        <v>0</v>
      </c>
      <c r="BO148" s="2675">
        <f t="shared" si="86"/>
        <v>0</v>
      </c>
      <c r="BP148" s="2675">
        <f t="shared" si="87"/>
        <v>0</v>
      </c>
      <c r="BQ148" s="2675">
        <f t="shared" si="88"/>
        <v>0</v>
      </c>
      <c r="BR148" s="2675">
        <f t="shared" si="89"/>
        <v>0</v>
      </c>
      <c r="BS148" s="2675">
        <f t="shared" si="90"/>
        <v>0</v>
      </c>
      <c r="BT148" s="2722">
        <f t="shared" si="91"/>
        <v>0</v>
      </c>
    </row>
    <row r="149" spans="1:72">
      <c r="A149" s="2673"/>
      <c r="B149" s="2674"/>
      <c r="C149" s="2674"/>
      <c r="D149" s="2277"/>
      <c r="E149" s="2675">
        <f t="shared" si="92"/>
        <v>0</v>
      </c>
      <c r="F149" s="2676"/>
      <c r="G149" s="2677">
        <f t="shared" si="67"/>
        <v>0</v>
      </c>
      <c r="H149" s="2678">
        <f t="shared" si="68"/>
        <v>0</v>
      </c>
      <c r="I149" s="2685"/>
      <c r="J149" s="2685"/>
      <c r="K149" s="2685"/>
      <c r="L149" s="2685"/>
      <c r="M149" s="2685"/>
      <c r="N149" s="2685"/>
      <c r="O149" s="2685"/>
      <c r="P149" s="2685"/>
      <c r="Q149" s="2685"/>
      <c r="R149" s="2685"/>
      <c r="S149" s="2685"/>
      <c r="T149" s="2685"/>
      <c r="U149" s="2685"/>
      <c r="V149" s="2685"/>
      <c r="W149" s="2685"/>
      <c r="X149" s="2685"/>
      <c r="Y149" s="2685"/>
      <c r="Z149" s="2685"/>
      <c r="AA149" s="2685"/>
      <c r="AB149" s="2685"/>
      <c r="AC149" s="2675">
        <f t="shared" si="69"/>
        <v>0</v>
      </c>
      <c r="AD149" s="2695"/>
      <c r="AE149" s="2695"/>
      <c r="AF149" s="2695"/>
      <c r="AG149" s="2695"/>
      <c r="AH149" s="2695"/>
      <c r="AI149" s="2695"/>
      <c r="AJ149" s="2695"/>
      <c r="AK149" s="2695"/>
      <c r="AL149" s="2695"/>
      <c r="AM149" s="2695"/>
      <c r="AN149" s="2695"/>
      <c r="AO149" s="2695"/>
      <c r="AP149" s="2695"/>
      <c r="AQ149" s="2695"/>
      <c r="AR149" s="2695"/>
      <c r="AS149" s="2695"/>
      <c r="AT149" s="2703"/>
      <c r="AU149" s="2704"/>
      <c r="AV149" s="1074">
        <f t="shared" si="93"/>
        <v>0</v>
      </c>
      <c r="AW149" s="1074">
        <f t="shared" si="94"/>
        <v>0</v>
      </c>
      <c r="AX149" s="1074">
        <f t="shared" si="95"/>
        <v>0</v>
      </c>
      <c r="AY149" s="2279">
        <f t="shared" si="70"/>
        <v>0</v>
      </c>
      <c r="AZ149" s="2675">
        <f t="shared" si="71"/>
        <v>0</v>
      </c>
      <c r="BA149" s="2675">
        <f t="shared" si="72"/>
        <v>0</v>
      </c>
      <c r="BB149" s="2675">
        <f t="shared" si="73"/>
        <v>0</v>
      </c>
      <c r="BC149" s="2675">
        <f t="shared" si="74"/>
        <v>0</v>
      </c>
      <c r="BD149" s="2675">
        <f t="shared" si="75"/>
        <v>0</v>
      </c>
      <c r="BE149" s="2675">
        <f t="shared" si="76"/>
        <v>0</v>
      </c>
      <c r="BF149" s="2675">
        <f t="shared" si="77"/>
        <v>0</v>
      </c>
      <c r="BG149" s="2675">
        <f t="shared" si="78"/>
        <v>0</v>
      </c>
      <c r="BH149" s="2675">
        <f t="shared" si="79"/>
        <v>0</v>
      </c>
      <c r="BI149" s="2675">
        <f t="shared" si="80"/>
        <v>0</v>
      </c>
      <c r="BJ149" s="2675">
        <f t="shared" si="81"/>
        <v>0</v>
      </c>
      <c r="BK149" s="2675">
        <f t="shared" si="82"/>
        <v>0</v>
      </c>
      <c r="BL149" s="2675">
        <f t="shared" si="83"/>
        <v>0</v>
      </c>
      <c r="BM149" s="2675">
        <f t="shared" si="84"/>
        <v>0</v>
      </c>
      <c r="BN149" s="2675">
        <f t="shared" si="85"/>
        <v>0</v>
      </c>
      <c r="BO149" s="2675">
        <f t="shared" si="86"/>
        <v>0</v>
      </c>
      <c r="BP149" s="2675">
        <f t="shared" si="87"/>
        <v>0</v>
      </c>
      <c r="BQ149" s="2675">
        <f t="shared" si="88"/>
        <v>0</v>
      </c>
      <c r="BR149" s="2675">
        <f t="shared" si="89"/>
        <v>0</v>
      </c>
      <c r="BS149" s="2675">
        <f t="shared" si="90"/>
        <v>0</v>
      </c>
      <c r="BT149" s="2722">
        <f t="shared" si="91"/>
        <v>0</v>
      </c>
    </row>
    <row r="150" spans="1:72">
      <c r="A150" s="2673"/>
      <c r="B150" s="2674"/>
      <c r="C150" s="2674"/>
      <c r="D150" s="2277"/>
      <c r="E150" s="2675">
        <f t="shared" si="92"/>
        <v>0</v>
      </c>
      <c r="F150" s="2676"/>
      <c r="G150" s="2677">
        <f t="shared" si="67"/>
        <v>0</v>
      </c>
      <c r="H150" s="2678">
        <f t="shared" si="68"/>
        <v>0</v>
      </c>
      <c r="I150" s="2685"/>
      <c r="J150" s="2685"/>
      <c r="K150" s="2685"/>
      <c r="L150" s="2685"/>
      <c r="M150" s="2685"/>
      <c r="N150" s="2685"/>
      <c r="O150" s="2685"/>
      <c r="P150" s="2685"/>
      <c r="Q150" s="2685"/>
      <c r="R150" s="2685"/>
      <c r="S150" s="2685"/>
      <c r="T150" s="2685"/>
      <c r="U150" s="2685"/>
      <c r="V150" s="2685"/>
      <c r="W150" s="2685"/>
      <c r="X150" s="2685"/>
      <c r="Y150" s="2685"/>
      <c r="Z150" s="2685"/>
      <c r="AA150" s="2685"/>
      <c r="AB150" s="2685"/>
      <c r="AC150" s="2675">
        <f t="shared" si="69"/>
        <v>0</v>
      </c>
      <c r="AD150" s="2695"/>
      <c r="AE150" s="2695"/>
      <c r="AF150" s="2695"/>
      <c r="AG150" s="2695"/>
      <c r="AH150" s="2695"/>
      <c r="AI150" s="2695"/>
      <c r="AJ150" s="2695"/>
      <c r="AK150" s="2695"/>
      <c r="AL150" s="2695"/>
      <c r="AM150" s="2695"/>
      <c r="AN150" s="2695"/>
      <c r="AO150" s="2695"/>
      <c r="AP150" s="2695"/>
      <c r="AQ150" s="2695"/>
      <c r="AR150" s="2695"/>
      <c r="AS150" s="2695"/>
      <c r="AT150" s="2703"/>
      <c r="AU150" s="2704"/>
      <c r="AV150" s="1074">
        <f t="shared" si="93"/>
        <v>0</v>
      </c>
      <c r="AW150" s="1074">
        <f t="shared" si="94"/>
        <v>0</v>
      </c>
      <c r="AX150" s="1074">
        <f t="shared" si="95"/>
        <v>0</v>
      </c>
      <c r="AY150" s="2279">
        <f t="shared" si="70"/>
        <v>0</v>
      </c>
      <c r="AZ150" s="2675">
        <f t="shared" si="71"/>
        <v>0</v>
      </c>
      <c r="BA150" s="2675">
        <f t="shared" si="72"/>
        <v>0</v>
      </c>
      <c r="BB150" s="2675">
        <f t="shared" si="73"/>
        <v>0</v>
      </c>
      <c r="BC150" s="2675">
        <f t="shared" si="74"/>
        <v>0</v>
      </c>
      <c r="BD150" s="2675">
        <f t="shared" si="75"/>
        <v>0</v>
      </c>
      <c r="BE150" s="2675">
        <f t="shared" si="76"/>
        <v>0</v>
      </c>
      <c r="BF150" s="2675">
        <f t="shared" si="77"/>
        <v>0</v>
      </c>
      <c r="BG150" s="2675">
        <f t="shared" si="78"/>
        <v>0</v>
      </c>
      <c r="BH150" s="2675">
        <f t="shared" si="79"/>
        <v>0</v>
      </c>
      <c r="BI150" s="2675">
        <f t="shared" si="80"/>
        <v>0</v>
      </c>
      <c r="BJ150" s="2675">
        <f t="shared" si="81"/>
        <v>0</v>
      </c>
      <c r="BK150" s="2675">
        <f t="shared" si="82"/>
        <v>0</v>
      </c>
      <c r="BL150" s="2675">
        <f t="shared" si="83"/>
        <v>0</v>
      </c>
      <c r="BM150" s="2675">
        <f t="shared" si="84"/>
        <v>0</v>
      </c>
      <c r="BN150" s="2675">
        <f t="shared" si="85"/>
        <v>0</v>
      </c>
      <c r="BO150" s="2675">
        <f t="shared" si="86"/>
        <v>0</v>
      </c>
      <c r="BP150" s="2675">
        <f t="shared" si="87"/>
        <v>0</v>
      </c>
      <c r="BQ150" s="2675">
        <f t="shared" si="88"/>
        <v>0</v>
      </c>
      <c r="BR150" s="2675">
        <f t="shared" si="89"/>
        <v>0</v>
      </c>
      <c r="BS150" s="2675">
        <f t="shared" si="90"/>
        <v>0</v>
      </c>
      <c r="BT150" s="2722">
        <f t="shared" si="91"/>
        <v>0</v>
      </c>
    </row>
    <row r="151" spans="1:72">
      <c r="A151" s="2673"/>
      <c r="B151" s="2674"/>
      <c r="C151" s="2674"/>
      <c r="D151" s="2277"/>
      <c r="E151" s="2675">
        <f t="shared" si="92"/>
        <v>0</v>
      </c>
      <c r="F151" s="2676"/>
      <c r="G151" s="2677">
        <f t="shared" si="67"/>
        <v>0</v>
      </c>
      <c r="H151" s="2678">
        <f t="shared" si="68"/>
        <v>0</v>
      </c>
      <c r="I151" s="2685"/>
      <c r="J151" s="2685"/>
      <c r="K151" s="2685"/>
      <c r="L151" s="2685"/>
      <c r="M151" s="2685"/>
      <c r="N151" s="2685"/>
      <c r="O151" s="2685"/>
      <c r="P151" s="2685"/>
      <c r="Q151" s="2685"/>
      <c r="R151" s="2685"/>
      <c r="S151" s="2685"/>
      <c r="T151" s="2685"/>
      <c r="U151" s="2685"/>
      <c r="V151" s="2685"/>
      <c r="W151" s="2685"/>
      <c r="X151" s="2685"/>
      <c r="Y151" s="2685"/>
      <c r="Z151" s="2685"/>
      <c r="AA151" s="2685"/>
      <c r="AB151" s="2685"/>
      <c r="AC151" s="2675">
        <f t="shared" si="69"/>
        <v>0</v>
      </c>
      <c r="AD151" s="2695"/>
      <c r="AE151" s="2695"/>
      <c r="AF151" s="2695"/>
      <c r="AG151" s="2695"/>
      <c r="AH151" s="2695"/>
      <c r="AI151" s="2695"/>
      <c r="AJ151" s="2695"/>
      <c r="AK151" s="2695"/>
      <c r="AL151" s="2695"/>
      <c r="AM151" s="2695"/>
      <c r="AN151" s="2695"/>
      <c r="AO151" s="2695"/>
      <c r="AP151" s="2695"/>
      <c r="AQ151" s="2695"/>
      <c r="AR151" s="2695"/>
      <c r="AS151" s="2695"/>
      <c r="AT151" s="2703"/>
      <c r="AU151" s="2704"/>
      <c r="AV151" s="1074">
        <f t="shared" si="93"/>
        <v>0</v>
      </c>
      <c r="AW151" s="1074">
        <f t="shared" si="94"/>
        <v>0</v>
      </c>
      <c r="AX151" s="1074">
        <f t="shared" si="95"/>
        <v>0</v>
      </c>
      <c r="AY151" s="2279">
        <f t="shared" si="70"/>
        <v>0</v>
      </c>
      <c r="AZ151" s="2675">
        <f t="shared" si="71"/>
        <v>0</v>
      </c>
      <c r="BA151" s="2675">
        <f t="shared" si="72"/>
        <v>0</v>
      </c>
      <c r="BB151" s="2675">
        <f t="shared" si="73"/>
        <v>0</v>
      </c>
      <c r="BC151" s="2675">
        <f t="shared" si="74"/>
        <v>0</v>
      </c>
      <c r="BD151" s="2675">
        <f t="shared" si="75"/>
        <v>0</v>
      </c>
      <c r="BE151" s="2675">
        <f t="shared" si="76"/>
        <v>0</v>
      </c>
      <c r="BF151" s="2675">
        <f t="shared" si="77"/>
        <v>0</v>
      </c>
      <c r="BG151" s="2675">
        <f t="shared" si="78"/>
        <v>0</v>
      </c>
      <c r="BH151" s="2675">
        <f t="shared" si="79"/>
        <v>0</v>
      </c>
      <c r="BI151" s="2675">
        <f t="shared" si="80"/>
        <v>0</v>
      </c>
      <c r="BJ151" s="2675">
        <f t="shared" si="81"/>
        <v>0</v>
      </c>
      <c r="BK151" s="2675">
        <f t="shared" si="82"/>
        <v>0</v>
      </c>
      <c r="BL151" s="2675">
        <f t="shared" si="83"/>
        <v>0</v>
      </c>
      <c r="BM151" s="2675">
        <f t="shared" si="84"/>
        <v>0</v>
      </c>
      <c r="BN151" s="2675">
        <f t="shared" si="85"/>
        <v>0</v>
      </c>
      <c r="BO151" s="2675">
        <f t="shared" si="86"/>
        <v>0</v>
      </c>
      <c r="BP151" s="2675">
        <f t="shared" si="87"/>
        <v>0</v>
      </c>
      <c r="BQ151" s="2675">
        <f t="shared" si="88"/>
        <v>0</v>
      </c>
      <c r="BR151" s="2675">
        <f t="shared" si="89"/>
        <v>0</v>
      </c>
      <c r="BS151" s="2675">
        <f t="shared" si="90"/>
        <v>0</v>
      </c>
      <c r="BT151" s="2722">
        <f t="shared" si="91"/>
        <v>0</v>
      </c>
    </row>
    <row r="152" spans="1:72">
      <c r="A152" s="2673"/>
      <c r="B152" s="2674"/>
      <c r="C152" s="2674"/>
      <c r="D152" s="2277"/>
      <c r="E152" s="2675">
        <f t="shared" si="92"/>
        <v>0</v>
      </c>
      <c r="F152" s="2676"/>
      <c r="G152" s="2677">
        <f t="shared" si="67"/>
        <v>0</v>
      </c>
      <c r="H152" s="2678">
        <f t="shared" si="68"/>
        <v>0</v>
      </c>
      <c r="I152" s="2685"/>
      <c r="J152" s="2685"/>
      <c r="K152" s="2685"/>
      <c r="L152" s="2685"/>
      <c r="M152" s="2685"/>
      <c r="N152" s="2685"/>
      <c r="O152" s="2685"/>
      <c r="P152" s="2685"/>
      <c r="Q152" s="2685"/>
      <c r="R152" s="2685"/>
      <c r="S152" s="2685"/>
      <c r="T152" s="2685"/>
      <c r="U152" s="2685"/>
      <c r="V152" s="2685"/>
      <c r="W152" s="2685"/>
      <c r="X152" s="2685"/>
      <c r="Y152" s="2685"/>
      <c r="Z152" s="2685"/>
      <c r="AA152" s="2685"/>
      <c r="AB152" s="2685"/>
      <c r="AC152" s="2675">
        <f t="shared" si="69"/>
        <v>0</v>
      </c>
      <c r="AD152" s="2695"/>
      <c r="AE152" s="2695"/>
      <c r="AF152" s="2695"/>
      <c r="AG152" s="2695"/>
      <c r="AH152" s="2695"/>
      <c r="AI152" s="2695"/>
      <c r="AJ152" s="2695"/>
      <c r="AK152" s="2695"/>
      <c r="AL152" s="2695"/>
      <c r="AM152" s="2695"/>
      <c r="AN152" s="2695"/>
      <c r="AO152" s="2695"/>
      <c r="AP152" s="2695"/>
      <c r="AQ152" s="2695"/>
      <c r="AR152" s="2695"/>
      <c r="AS152" s="2695"/>
      <c r="AT152" s="2703"/>
      <c r="AU152" s="2704"/>
      <c r="AV152" s="1074">
        <f t="shared" si="93"/>
        <v>0</v>
      </c>
      <c r="AW152" s="1074">
        <f t="shared" si="94"/>
        <v>0</v>
      </c>
      <c r="AX152" s="1074">
        <f t="shared" si="95"/>
        <v>0</v>
      </c>
      <c r="AY152" s="2279">
        <f t="shared" si="70"/>
        <v>0</v>
      </c>
      <c r="AZ152" s="2675">
        <f t="shared" si="71"/>
        <v>0</v>
      </c>
      <c r="BA152" s="2675">
        <f t="shared" si="72"/>
        <v>0</v>
      </c>
      <c r="BB152" s="2675">
        <f t="shared" si="73"/>
        <v>0</v>
      </c>
      <c r="BC152" s="2675">
        <f t="shared" si="74"/>
        <v>0</v>
      </c>
      <c r="BD152" s="2675">
        <f t="shared" si="75"/>
        <v>0</v>
      </c>
      <c r="BE152" s="2675">
        <f t="shared" si="76"/>
        <v>0</v>
      </c>
      <c r="BF152" s="2675">
        <f t="shared" si="77"/>
        <v>0</v>
      </c>
      <c r="BG152" s="2675">
        <f t="shared" si="78"/>
        <v>0</v>
      </c>
      <c r="BH152" s="2675">
        <f t="shared" si="79"/>
        <v>0</v>
      </c>
      <c r="BI152" s="2675">
        <f t="shared" si="80"/>
        <v>0</v>
      </c>
      <c r="BJ152" s="2675">
        <f t="shared" si="81"/>
        <v>0</v>
      </c>
      <c r="BK152" s="2675">
        <f t="shared" si="82"/>
        <v>0</v>
      </c>
      <c r="BL152" s="2675">
        <f t="shared" si="83"/>
        <v>0</v>
      </c>
      <c r="BM152" s="2675">
        <f t="shared" si="84"/>
        <v>0</v>
      </c>
      <c r="BN152" s="2675">
        <f t="shared" si="85"/>
        <v>0</v>
      </c>
      <c r="BO152" s="2675">
        <f t="shared" si="86"/>
        <v>0</v>
      </c>
      <c r="BP152" s="2675">
        <f t="shared" si="87"/>
        <v>0</v>
      </c>
      <c r="BQ152" s="2675">
        <f t="shared" si="88"/>
        <v>0</v>
      </c>
      <c r="BR152" s="2675">
        <f t="shared" si="89"/>
        <v>0</v>
      </c>
      <c r="BS152" s="2675">
        <f t="shared" si="90"/>
        <v>0</v>
      </c>
      <c r="BT152" s="2722">
        <f t="shared" si="91"/>
        <v>0</v>
      </c>
    </row>
    <row r="153" spans="1:72">
      <c r="A153" s="2673"/>
      <c r="B153" s="2674"/>
      <c r="C153" s="2674"/>
      <c r="D153" s="2277"/>
      <c r="E153" s="2675">
        <f t="shared" si="92"/>
        <v>0</v>
      </c>
      <c r="F153" s="2676"/>
      <c r="G153" s="2677">
        <f t="shared" si="67"/>
        <v>0</v>
      </c>
      <c r="H153" s="2678">
        <f t="shared" si="68"/>
        <v>0</v>
      </c>
      <c r="I153" s="2685"/>
      <c r="J153" s="2685"/>
      <c r="K153" s="2685"/>
      <c r="L153" s="2685"/>
      <c r="M153" s="2685"/>
      <c r="N153" s="2685"/>
      <c r="O153" s="2685"/>
      <c r="P153" s="2685"/>
      <c r="Q153" s="2685"/>
      <c r="R153" s="2685"/>
      <c r="S153" s="2685"/>
      <c r="T153" s="2685"/>
      <c r="U153" s="2685"/>
      <c r="V153" s="2685"/>
      <c r="W153" s="2685"/>
      <c r="X153" s="2685"/>
      <c r="Y153" s="2685"/>
      <c r="Z153" s="2685"/>
      <c r="AA153" s="2685"/>
      <c r="AB153" s="2685"/>
      <c r="AC153" s="2675">
        <f t="shared" si="69"/>
        <v>0</v>
      </c>
      <c r="AD153" s="2695"/>
      <c r="AE153" s="2695"/>
      <c r="AF153" s="2695"/>
      <c r="AG153" s="2695"/>
      <c r="AH153" s="2695"/>
      <c r="AI153" s="2695"/>
      <c r="AJ153" s="2695"/>
      <c r="AK153" s="2695"/>
      <c r="AL153" s="2695"/>
      <c r="AM153" s="2695"/>
      <c r="AN153" s="2695"/>
      <c r="AO153" s="2695"/>
      <c r="AP153" s="2695"/>
      <c r="AQ153" s="2695"/>
      <c r="AR153" s="2695"/>
      <c r="AS153" s="2695"/>
      <c r="AT153" s="2703"/>
      <c r="AU153" s="2704"/>
      <c r="AV153" s="1074">
        <f t="shared" si="93"/>
        <v>0</v>
      </c>
      <c r="AW153" s="1074">
        <f t="shared" si="94"/>
        <v>0</v>
      </c>
      <c r="AX153" s="1074">
        <f t="shared" si="95"/>
        <v>0</v>
      </c>
      <c r="AY153" s="2279">
        <f t="shared" si="70"/>
        <v>0</v>
      </c>
      <c r="AZ153" s="2675">
        <f t="shared" si="71"/>
        <v>0</v>
      </c>
      <c r="BA153" s="2675">
        <f t="shared" si="72"/>
        <v>0</v>
      </c>
      <c r="BB153" s="2675">
        <f t="shared" si="73"/>
        <v>0</v>
      </c>
      <c r="BC153" s="2675">
        <f t="shared" si="74"/>
        <v>0</v>
      </c>
      <c r="BD153" s="2675">
        <f t="shared" si="75"/>
        <v>0</v>
      </c>
      <c r="BE153" s="2675">
        <f t="shared" si="76"/>
        <v>0</v>
      </c>
      <c r="BF153" s="2675">
        <f t="shared" si="77"/>
        <v>0</v>
      </c>
      <c r="BG153" s="2675">
        <f t="shared" si="78"/>
        <v>0</v>
      </c>
      <c r="BH153" s="2675">
        <f t="shared" si="79"/>
        <v>0</v>
      </c>
      <c r="BI153" s="2675">
        <f t="shared" si="80"/>
        <v>0</v>
      </c>
      <c r="BJ153" s="2675">
        <f t="shared" si="81"/>
        <v>0</v>
      </c>
      <c r="BK153" s="2675">
        <f t="shared" si="82"/>
        <v>0</v>
      </c>
      <c r="BL153" s="2675">
        <f t="shared" si="83"/>
        <v>0</v>
      </c>
      <c r="BM153" s="2675">
        <f t="shared" si="84"/>
        <v>0</v>
      </c>
      <c r="BN153" s="2675">
        <f t="shared" si="85"/>
        <v>0</v>
      </c>
      <c r="BO153" s="2675">
        <f t="shared" si="86"/>
        <v>0</v>
      </c>
      <c r="BP153" s="2675">
        <f t="shared" si="87"/>
        <v>0</v>
      </c>
      <c r="BQ153" s="2675">
        <f t="shared" si="88"/>
        <v>0</v>
      </c>
      <c r="BR153" s="2675">
        <f t="shared" si="89"/>
        <v>0</v>
      </c>
      <c r="BS153" s="2675">
        <f t="shared" si="90"/>
        <v>0</v>
      </c>
      <c r="BT153" s="2722">
        <f t="shared" si="91"/>
        <v>0</v>
      </c>
    </row>
    <row r="154" spans="1:72">
      <c r="A154" s="2673"/>
      <c r="B154" s="2674"/>
      <c r="C154" s="2674"/>
      <c r="D154" s="2277"/>
      <c r="E154" s="2675">
        <f t="shared" si="92"/>
        <v>0</v>
      </c>
      <c r="F154" s="2676"/>
      <c r="G154" s="2677">
        <f t="shared" si="67"/>
        <v>0</v>
      </c>
      <c r="H154" s="2678">
        <f t="shared" si="68"/>
        <v>0</v>
      </c>
      <c r="I154" s="2685"/>
      <c r="J154" s="2685"/>
      <c r="K154" s="2685"/>
      <c r="L154" s="2685"/>
      <c r="M154" s="2685"/>
      <c r="N154" s="2685"/>
      <c r="O154" s="2685"/>
      <c r="P154" s="2685"/>
      <c r="Q154" s="2685"/>
      <c r="R154" s="2685"/>
      <c r="S154" s="2685"/>
      <c r="T154" s="2685"/>
      <c r="U154" s="2685"/>
      <c r="V154" s="2685"/>
      <c r="W154" s="2685"/>
      <c r="X154" s="2685"/>
      <c r="Y154" s="2685"/>
      <c r="Z154" s="2685"/>
      <c r="AA154" s="2685"/>
      <c r="AB154" s="2685"/>
      <c r="AC154" s="2675">
        <f t="shared" si="69"/>
        <v>0</v>
      </c>
      <c r="AD154" s="2695"/>
      <c r="AE154" s="2695"/>
      <c r="AF154" s="2695"/>
      <c r="AG154" s="2695"/>
      <c r="AH154" s="2695"/>
      <c r="AI154" s="2695"/>
      <c r="AJ154" s="2695"/>
      <c r="AK154" s="2695"/>
      <c r="AL154" s="2695"/>
      <c r="AM154" s="2695"/>
      <c r="AN154" s="2695"/>
      <c r="AO154" s="2695"/>
      <c r="AP154" s="2695"/>
      <c r="AQ154" s="2695"/>
      <c r="AR154" s="2695"/>
      <c r="AS154" s="2695"/>
      <c r="AT154" s="2703"/>
      <c r="AU154" s="2704"/>
      <c r="AV154" s="1074">
        <f t="shared" si="93"/>
        <v>0</v>
      </c>
      <c r="AW154" s="1074">
        <f t="shared" si="94"/>
        <v>0</v>
      </c>
      <c r="AX154" s="1074">
        <f t="shared" si="95"/>
        <v>0</v>
      </c>
      <c r="AY154" s="2279">
        <f t="shared" si="70"/>
        <v>0</v>
      </c>
      <c r="AZ154" s="2675">
        <f t="shared" si="71"/>
        <v>0</v>
      </c>
      <c r="BA154" s="2675">
        <f t="shared" si="72"/>
        <v>0</v>
      </c>
      <c r="BB154" s="2675">
        <f t="shared" si="73"/>
        <v>0</v>
      </c>
      <c r="BC154" s="2675">
        <f t="shared" si="74"/>
        <v>0</v>
      </c>
      <c r="BD154" s="2675">
        <f t="shared" si="75"/>
        <v>0</v>
      </c>
      <c r="BE154" s="2675">
        <f t="shared" si="76"/>
        <v>0</v>
      </c>
      <c r="BF154" s="2675">
        <f t="shared" si="77"/>
        <v>0</v>
      </c>
      <c r="BG154" s="2675">
        <f t="shared" si="78"/>
        <v>0</v>
      </c>
      <c r="BH154" s="2675">
        <f t="shared" si="79"/>
        <v>0</v>
      </c>
      <c r="BI154" s="2675">
        <f t="shared" si="80"/>
        <v>0</v>
      </c>
      <c r="BJ154" s="2675">
        <f t="shared" si="81"/>
        <v>0</v>
      </c>
      <c r="BK154" s="2675">
        <f t="shared" si="82"/>
        <v>0</v>
      </c>
      <c r="BL154" s="2675">
        <f t="shared" si="83"/>
        <v>0</v>
      </c>
      <c r="BM154" s="2675">
        <f t="shared" si="84"/>
        <v>0</v>
      </c>
      <c r="BN154" s="2675">
        <f t="shared" si="85"/>
        <v>0</v>
      </c>
      <c r="BO154" s="2675">
        <f t="shared" si="86"/>
        <v>0</v>
      </c>
      <c r="BP154" s="2675">
        <f t="shared" si="87"/>
        <v>0</v>
      </c>
      <c r="BQ154" s="2675">
        <f t="shared" si="88"/>
        <v>0</v>
      </c>
      <c r="BR154" s="2675">
        <f t="shared" si="89"/>
        <v>0</v>
      </c>
      <c r="BS154" s="2675">
        <f t="shared" si="90"/>
        <v>0</v>
      </c>
      <c r="BT154" s="2722">
        <f t="shared" si="91"/>
        <v>0</v>
      </c>
    </row>
    <row r="155" spans="1:72">
      <c r="A155" s="2673"/>
      <c r="B155" s="2674"/>
      <c r="C155" s="2674"/>
      <c r="D155" s="2277"/>
      <c r="E155" s="2675">
        <f t="shared" si="92"/>
        <v>0</v>
      </c>
      <c r="F155" s="2676"/>
      <c r="G155" s="2677">
        <f t="shared" si="67"/>
        <v>0</v>
      </c>
      <c r="H155" s="2678">
        <f t="shared" si="68"/>
        <v>0</v>
      </c>
      <c r="I155" s="2685"/>
      <c r="J155" s="2685"/>
      <c r="K155" s="2685"/>
      <c r="L155" s="2685"/>
      <c r="M155" s="2685"/>
      <c r="N155" s="2685"/>
      <c r="O155" s="2685"/>
      <c r="P155" s="2685"/>
      <c r="Q155" s="2685"/>
      <c r="R155" s="2685"/>
      <c r="S155" s="2685"/>
      <c r="T155" s="2685"/>
      <c r="U155" s="2685"/>
      <c r="V155" s="2685"/>
      <c r="W155" s="2685"/>
      <c r="X155" s="2685"/>
      <c r="Y155" s="2685"/>
      <c r="Z155" s="2685"/>
      <c r="AA155" s="2685"/>
      <c r="AB155" s="2685"/>
      <c r="AC155" s="2675">
        <f t="shared" si="69"/>
        <v>0</v>
      </c>
      <c r="AD155" s="2695"/>
      <c r="AE155" s="2695"/>
      <c r="AF155" s="2695"/>
      <c r="AG155" s="2695"/>
      <c r="AH155" s="2695"/>
      <c r="AI155" s="2695"/>
      <c r="AJ155" s="2695"/>
      <c r="AK155" s="2695"/>
      <c r="AL155" s="2695"/>
      <c r="AM155" s="2695"/>
      <c r="AN155" s="2695"/>
      <c r="AO155" s="2695"/>
      <c r="AP155" s="2695"/>
      <c r="AQ155" s="2695"/>
      <c r="AR155" s="2695"/>
      <c r="AS155" s="2695"/>
      <c r="AT155" s="2703"/>
      <c r="AU155" s="2704"/>
      <c r="AV155" s="1074">
        <f t="shared" si="93"/>
        <v>0</v>
      </c>
      <c r="AW155" s="1074">
        <f t="shared" si="94"/>
        <v>0</v>
      </c>
      <c r="AX155" s="1074">
        <f t="shared" si="95"/>
        <v>0</v>
      </c>
      <c r="AY155" s="2279">
        <f t="shared" si="70"/>
        <v>0</v>
      </c>
      <c r="AZ155" s="2675">
        <f t="shared" si="71"/>
        <v>0</v>
      </c>
      <c r="BA155" s="2675">
        <f t="shared" si="72"/>
        <v>0</v>
      </c>
      <c r="BB155" s="2675">
        <f t="shared" si="73"/>
        <v>0</v>
      </c>
      <c r="BC155" s="2675">
        <f t="shared" si="74"/>
        <v>0</v>
      </c>
      <c r="BD155" s="2675">
        <f t="shared" si="75"/>
        <v>0</v>
      </c>
      <c r="BE155" s="2675">
        <f t="shared" si="76"/>
        <v>0</v>
      </c>
      <c r="BF155" s="2675">
        <f t="shared" si="77"/>
        <v>0</v>
      </c>
      <c r="BG155" s="2675">
        <f t="shared" si="78"/>
        <v>0</v>
      </c>
      <c r="BH155" s="2675">
        <f t="shared" si="79"/>
        <v>0</v>
      </c>
      <c r="BI155" s="2675">
        <f t="shared" si="80"/>
        <v>0</v>
      </c>
      <c r="BJ155" s="2675">
        <f t="shared" si="81"/>
        <v>0</v>
      </c>
      <c r="BK155" s="2675">
        <f t="shared" si="82"/>
        <v>0</v>
      </c>
      <c r="BL155" s="2675">
        <f t="shared" si="83"/>
        <v>0</v>
      </c>
      <c r="BM155" s="2675">
        <f t="shared" si="84"/>
        <v>0</v>
      </c>
      <c r="BN155" s="2675">
        <f t="shared" si="85"/>
        <v>0</v>
      </c>
      <c r="BO155" s="2675">
        <f t="shared" si="86"/>
        <v>0</v>
      </c>
      <c r="BP155" s="2675">
        <f t="shared" si="87"/>
        <v>0</v>
      </c>
      <c r="BQ155" s="2675">
        <f t="shared" si="88"/>
        <v>0</v>
      </c>
      <c r="BR155" s="2675">
        <f t="shared" si="89"/>
        <v>0</v>
      </c>
      <c r="BS155" s="2675">
        <f t="shared" si="90"/>
        <v>0</v>
      </c>
      <c r="BT155" s="2722">
        <f t="shared" si="91"/>
        <v>0</v>
      </c>
    </row>
    <row r="156" spans="1:72">
      <c r="A156" s="2673"/>
      <c r="B156" s="2674"/>
      <c r="C156" s="2674"/>
      <c r="D156" s="2277"/>
      <c r="E156" s="2675">
        <f t="shared" si="92"/>
        <v>0</v>
      </c>
      <c r="F156" s="2676"/>
      <c r="G156" s="2677">
        <f t="shared" si="67"/>
        <v>0</v>
      </c>
      <c r="H156" s="2678">
        <f t="shared" si="68"/>
        <v>0</v>
      </c>
      <c r="I156" s="2685"/>
      <c r="J156" s="2685"/>
      <c r="K156" s="2685"/>
      <c r="L156" s="2685"/>
      <c r="M156" s="2685"/>
      <c r="N156" s="2685"/>
      <c r="O156" s="2685"/>
      <c r="P156" s="2685"/>
      <c r="Q156" s="2685"/>
      <c r="R156" s="2685"/>
      <c r="S156" s="2685"/>
      <c r="T156" s="2685"/>
      <c r="U156" s="2685"/>
      <c r="V156" s="2685"/>
      <c r="W156" s="2685"/>
      <c r="X156" s="2685"/>
      <c r="Y156" s="2685"/>
      <c r="Z156" s="2685"/>
      <c r="AA156" s="2685"/>
      <c r="AB156" s="2685"/>
      <c r="AC156" s="2675">
        <f t="shared" si="69"/>
        <v>0</v>
      </c>
      <c r="AD156" s="2695"/>
      <c r="AE156" s="2695"/>
      <c r="AF156" s="2695"/>
      <c r="AG156" s="2695"/>
      <c r="AH156" s="2695"/>
      <c r="AI156" s="2695"/>
      <c r="AJ156" s="2695"/>
      <c r="AK156" s="2695"/>
      <c r="AL156" s="2695"/>
      <c r="AM156" s="2695"/>
      <c r="AN156" s="2695"/>
      <c r="AO156" s="2695"/>
      <c r="AP156" s="2695"/>
      <c r="AQ156" s="2695"/>
      <c r="AR156" s="2695"/>
      <c r="AS156" s="2695"/>
      <c r="AT156" s="2703"/>
      <c r="AU156" s="2704"/>
      <c r="AV156" s="1074">
        <f t="shared" si="93"/>
        <v>0</v>
      </c>
      <c r="AW156" s="1074">
        <f t="shared" si="94"/>
        <v>0</v>
      </c>
      <c r="AX156" s="1074">
        <f t="shared" si="95"/>
        <v>0</v>
      </c>
      <c r="AY156" s="2279">
        <f t="shared" si="70"/>
        <v>0</v>
      </c>
      <c r="AZ156" s="2675">
        <f t="shared" si="71"/>
        <v>0</v>
      </c>
      <c r="BA156" s="2675">
        <f t="shared" si="72"/>
        <v>0</v>
      </c>
      <c r="BB156" s="2675">
        <f t="shared" si="73"/>
        <v>0</v>
      </c>
      <c r="BC156" s="2675">
        <f t="shared" si="74"/>
        <v>0</v>
      </c>
      <c r="BD156" s="2675">
        <f t="shared" si="75"/>
        <v>0</v>
      </c>
      <c r="BE156" s="2675">
        <f t="shared" si="76"/>
        <v>0</v>
      </c>
      <c r="BF156" s="2675">
        <f t="shared" si="77"/>
        <v>0</v>
      </c>
      <c r="BG156" s="2675">
        <f t="shared" si="78"/>
        <v>0</v>
      </c>
      <c r="BH156" s="2675">
        <f t="shared" si="79"/>
        <v>0</v>
      </c>
      <c r="BI156" s="2675">
        <f t="shared" si="80"/>
        <v>0</v>
      </c>
      <c r="BJ156" s="2675">
        <f t="shared" si="81"/>
        <v>0</v>
      </c>
      <c r="BK156" s="2675">
        <f t="shared" si="82"/>
        <v>0</v>
      </c>
      <c r="BL156" s="2675">
        <f t="shared" si="83"/>
        <v>0</v>
      </c>
      <c r="BM156" s="2675">
        <f t="shared" si="84"/>
        <v>0</v>
      </c>
      <c r="BN156" s="2675">
        <f t="shared" si="85"/>
        <v>0</v>
      </c>
      <c r="BO156" s="2675">
        <f t="shared" si="86"/>
        <v>0</v>
      </c>
      <c r="BP156" s="2675">
        <f t="shared" si="87"/>
        <v>0</v>
      </c>
      <c r="BQ156" s="2675">
        <f t="shared" si="88"/>
        <v>0</v>
      </c>
      <c r="BR156" s="2675">
        <f t="shared" si="89"/>
        <v>0</v>
      </c>
      <c r="BS156" s="2675">
        <f t="shared" si="90"/>
        <v>0</v>
      </c>
      <c r="BT156" s="2722">
        <f t="shared" si="91"/>
        <v>0</v>
      </c>
    </row>
    <row r="157" spans="1:72">
      <c r="A157" s="2673"/>
      <c r="B157" s="2674"/>
      <c r="C157" s="2674"/>
      <c r="D157" s="2277"/>
      <c r="E157" s="2675">
        <f t="shared" si="92"/>
        <v>0</v>
      </c>
      <c r="F157" s="2676"/>
      <c r="G157" s="2677">
        <f t="shared" si="67"/>
        <v>0</v>
      </c>
      <c r="H157" s="2678">
        <f t="shared" si="68"/>
        <v>0</v>
      </c>
      <c r="I157" s="2685"/>
      <c r="J157" s="2685"/>
      <c r="K157" s="2685"/>
      <c r="L157" s="2685"/>
      <c r="M157" s="2685"/>
      <c r="N157" s="2685"/>
      <c r="O157" s="2685"/>
      <c r="P157" s="2685"/>
      <c r="Q157" s="2685"/>
      <c r="R157" s="2685"/>
      <c r="S157" s="2685"/>
      <c r="T157" s="2685"/>
      <c r="U157" s="2685"/>
      <c r="V157" s="2685"/>
      <c r="W157" s="2685"/>
      <c r="X157" s="2685"/>
      <c r="Y157" s="2685"/>
      <c r="Z157" s="2685"/>
      <c r="AA157" s="2685"/>
      <c r="AB157" s="2685"/>
      <c r="AC157" s="2675">
        <f t="shared" si="69"/>
        <v>0</v>
      </c>
      <c r="AD157" s="2695"/>
      <c r="AE157" s="2695"/>
      <c r="AF157" s="2695"/>
      <c r="AG157" s="2695"/>
      <c r="AH157" s="2695"/>
      <c r="AI157" s="2695"/>
      <c r="AJ157" s="2695"/>
      <c r="AK157" s="2695"/>
      <c r="AL157" s="2695"/>
      <c r="AM157" s="2695"/>
      <c r="AN157" s="2695"/>
      <c r="AO157" s="2695"/>
      <c r="AP157" s="2695"/>
      <c r="AQ157" s="2695"/>
      <c r="AR157" s="2695"/>
      <c r="AS157" s="2695"/>
      <c r="AT157" s="2703"/>
      <c r="AU157" s="2704"/>
      <c r="AV157" s="1074">
        <f t="shared" si="93"/>
        <v>0</v>
      </c>
      <c r="AW157" s="1074">
        <f t="shared" si="94"/>
        <v>0</v>
      </c>
      <c r="AX157" s="1074">
        <f t="shared" si="95"/>
        <v>0</v>
      </c>
      <c r="AY157" s="2279">
        <f t="shared" si="70"/>
        <v>0</v>
      </c>
      <c r="AZ157" s="2675">
        <f t="shared" si="71"/>
        <v>0</v>
      </c>
      <c r="BA157" s="2675">
        <f t="shared" si="72"/>
        <v>0</v>
      </c>
      <c r="BB157" s="2675">
        <f t="shared" si="73"/>
        <v>0</v>
      </c>
      <c r="BC157" s="2675">
        <f t="shared" si="74"/>
        <v>0</v>
      </c>
      <c r="BD157" s="2675">
        <f t="shared" si="75"/>
        <v>0</v>
      </c>
      <c r="BE157" s="2675">
        <f t="shared" si="76"/>
        <v>0</v>
      </c>
      <c r="BF157" s="2675">
        <f t="shared" si="77"/>
        <v>0</v>
      </c>
      <c r="BG157" s="2675">
        <f t="shared" si="78"/>
        <v>0</v>
      </c>
      <c r="BH157" s="2675">
        <f t="shared" si="79"/>
        <v>0</v>
      </c>
      <c r="BI157" s="2675">
        <f t="shared" si="80"/>
        <v>0</v>
      </c>
      <c r="BJ157" s="2675">
        <f t="shared" si="81"/>
        <v>0</v>
      </c>
      <c r="BK157" s="2675">
        <f t="shared" si="82"/>
        <v>0</v>
      </c>
      <c r="BL157" s="2675">
        <f t="shared" si="83"/>
        <v>0</v>
      </c>
      <c r="BM157" s="2675">
        <f t="shared" si="84"/>
        <v>0</v>
      </c>
      <c r="BN157" s="2675">
        <f t="shared" si="85"/>
        <v>0</v>
      </c>
      <c r="BO157" s="2675">
        <f t="shared" si="86"/>
        <v>0</v>
      </c>
      <c r="BP157" s="2675">
        <f t="shared" si="87"/>
        <v>0</v>
      </c>
      <c r="BQ157" s="2675">
        <f t="shared" si="88"/>
        <v>0</v>
      </c>
      <c r="BR157" s="2675">
        <f t="shared" si="89"/>
        <v>0</v>
      </c>
      <c r="BS157" s="2675">
        <f t="shared" si="90"/>
        <v>0</v>
      </c>
      <c r="BT157" s="2722">
        <f t="shared" si="91"/>
        <v>0</v>
      </c>
    </row>
    <row r="158" spans="1:72">
      <c r="A158" s="2673"/>
      <c r="B158" s="2674"/>
      <c r="C158" s="2674"/>
      <c r="D158" s="2277"/>
      <c r="E158" s="2675">
        <f t="shared" si="92"/>
        <v>0</v>
      </c>
      <c r="F158" s="2676"/>
      <c r="G158" s="2677">
        <f t="shared" si="67"/>
        <v>0</v>
      </c>
      <c r="H158" s="2678">
        <f t="shared" si="68"/>
        <v>0</v>
      </c>
      <c r="I158" s="2685"/>
      <c r="J158" s="2685"/>
      <c r="K158" s="2685"/>
      <c r="L158" s="2685"/>
      <c r="M158" s="2685"/>
      <c r="N158" s="2685"/>
      <c r="O158" s="2685"/>
      <c r="P158" s="2685"/>
      <c r="Q158" s="2685"/>
      <c r="R158" s="2685"/>
      <c r="S158" s="2685"/>
      <c r="T158" s="2685"/>
      <c r="U158" s="2685"/>
      <c r="V158" s="2685"/>
      <c r="W158" s="2685"/>
      <c r="X158" s="2685"/>
      <c r="Y158" s="2685"/>
      <c r="Z158" s="2685"/>
      <c r="AA158" s="2685"/>
      <c r="AB158" s="2685"/>
      <c r="AC158" s="2675">
        <f t="shared" si="69"/>
        <v>0</v>
      </c>
      <c r="AD158" s="2695"/>
      <c r="AE158" s="2695"/>
      <c r="AF158" s="2695"/>
      <c r="AG158" s="2695"/>
      <c r="AH158" s="2695"/>
      <c r="AI158" s="2695"/>
      <c r="AJ158" s="2695"/>
      <c r="AK158" s="2695"/>
      <c r="AL158" s="2695"/>
      <c r="AM158" s="2695"/>
      <c r="AN158" s="2695"/>
      <c r="AO158" s="2695"/>
      <c r="AP158" s="2695"/>
      <c r="AQ158" s="2695"/>
      <c r="AR158" s="2695"/>
      <c r="AS158" s="2695"/>
      <c r="AT158" s="2703"/>
      <c r="AU158" s="2704"/>
      <c r="AV158" s="1074">
        <f t="shared" si="93"/>
        <v>0</v>
      </c>
      <c r="AW158" s="1074">
        <f t="shared" si="94"/>
        <v>0</v>
      </c>
      <c r="AX158" s="1074">
        <f t="shared" si="95"/>
        <v>0</v>
      </c>
      <c r="AY158" s="2279">
        <f t="shared" si="70"/>
        <v>0</v>
      </c>
      <c r="AZ158" s="2675">
        <f t="shared" si="71"/>
        <v>0</v>
      </c>
      <c r="BA158" s="2675">
        <f t="shared" si="72"/>
        <v>0</v>
      </c>
      <c r="BB158" s="2675">
        <f t="shared" si="73"/>
        <v>0</v>
      </c>
      <c r="BC158" s="2675">
        <f t="shared" si="74"/>
        <v>0</v>
      </c>
      <c r="BD158" s="2675">
        <f t="shared" si="75"/>
        <v>0</v>
      </c>
      <c r="BE158" s="2675">
        <f t="shared" si="76"/>
        <v>0</v>
      </c>
      <c r="BF158" s="2675">
        <f t="shared" si="77"/>
        <v>0</v>
      </c>
      <c r="BG158" s="2675">
        <f t="shared" si="78"/>
        <v>0</v>
      </c>
      <c r="BH158" s="2675">
        <f t="shared" si="79"/>
        <v>0</v>
      </c>
      <c r="BI158" s="2675">
        <f t="shared" si="80"/>
        <v>0</v>
      </c>
      <c r="BJ158" s="2675">
        <f t="shared" si="81"/>
        <v>0</v>
      </c>
      <c r="BK158" s="2675">
        <f t="shared" si="82"/>
        <v>0</v>
      </c>
      <c r="BL158" s="2675">
        <f t="shared" si="83"/>
        <v>0</v>
      </c>
      <c r="BM158" s="2675">
        <f t="shared" si="84"/>
        <v>0</v>
      </c>
      <c r="BN158" s="2675">
        <f t="shared" si="85"/>
        <v>0</v>
      </c>
      <c r="BO158" s="2675">
        <f t="shared" si="86"/>
        <v>0</v>
      </c>
      <c r="BP158" s="2675">
        <f t="shared" si="87"/>
        <v>0</v>
      </c>
      <c r="BQ158" s="2675">
        <f t="shared" si="88"/>
        <v>0</v>
      </c>
      <c r="BR158" s="2675">
        <f t="shared" si="89"/>
        <v>0</v>
      </c>
      <c r="BS158" s="2675">
        <f t="shared" si="90"/>
        <v>0</v>
      </c>
      <c r="BT158" s="2722">
        <f t="shared" si="91"/>
        <v>0</v>
      </c>
    </row>
    <row r="159" spans="1:72">
      <c r="A159" s="2673"/>
      <c r="B159" s="2674"/>
      <c r="C159" s="2674"/>
      <c r="D159" s="2277"/>
      <c r="E159" s="2675">
        <f t="shared" si="92"/>
        <v>0</v>
      </c>
      <c r="F159" s="2676"/>
      <c r="G159" s="2677">
        <f t="shared" si="67"/>
        <v>0</v>
      </c>
      <c r="H159" s="2678">
        <f t="shared" si="68"/>
        <v>0</v>
      </c>
      <c r="I159" s="2685"/>
      <c r="J159" s="2685"/>
      <c r="K159" s="2685"/>
      <c r="L159" s="2685"/>
      <c r="M159" s="2685"/>
      <c r="N159" s="2685"/>
      <c r="O159" s="2685"/>
      <c r="P159" s="2685"/>
      <c r="Q159" s="2685"/>
      <c r="R159" s="2685"/>
      <c r="S159" s="2685"/>
      <c r="T159" s="2685"/>
      <c r="U159" s="2685"/>
      <c r="V159" s="2685"/>
      <c r="W159" s="2685"/>
      <c r="X159" s="2685"/>
      <c r="Y159" s="2685"/>
      <c r="Z159" s="2685"/>
      <c r="AA159" s="2685"/>
      <c r="AB159" s="2685"/>
      <c r="AC159" s="2675">
        <f t="shared" si="69"/>
        <v>0</v>
      </c>
      <c r="AD159" s="2695"/>
      <c r="AE159" s="2695"/>
      <c r="AF159" s="2695"/>
      <c r="AG159" s="2695"/>
      <c r="AH159" s="2695"/>
      <c r="AI159" s="2695"/>
      <c r="AJ159" s="2695"/>
      <c r="AK159" s="2695"/>
      <c r="AL159" s="2695"/>
      <c r="AM159" s="2695"/>
      <c r="AN159" s="2695"/>
      <c r="AO159" s="2695"/>
      <c r="AP159" s="2695"/>
      <c r="AQ159" s="2695"/>
      <c r="AR159" s="2695"/>
      <c r="AS159" s="2695"/>
      <c r="AT159" s="2703"/>
      <c r="AU159" s="2704"/>
      <c r="AV159" s="1074">
        <f t="shared" si="93"/>
        <v>0</v>
      </c>
      <c r="AW159" s="1074">
        <f t="shared" si="94"/>
        <v>0</v>
      </c>
      <c r="AX159" s="1074">
        <f t="shared" si="95"/>
        <v>0</v>
      </c>
      <c r="AY159" s="2279">
        <f t="shared" si="70"/>
        <v>0</v>
      </c>
      <c r="AZ159" s="2675">
        <f t="shared" si="71"/>
        <v>0</v>
      </c>
      <c r="BA159" s="2675">
        <f t="shared" si="72"/>
        <v>0</v>
      </c>
      <c r="BB159" s="2675">
        <f t="shared" si="73"/>
        <v>0</v>
      </c>
      <c r="BC159" s="2675">
        <f t="shared" si="74"/>
        <v>0</v>
      </c>
      <c r="BD159" s="2675">
        <f t="shared" si="75"/>
        <v>0</v>
      </c>
      <c r="BE159" s="2675">
        <f t="shared" si="76"/>
        <v>0</v>
      </c>
      <c r="BF159" s="2675">
        <f t="shared" si="77"/>
        <v>0</v>
      </c>
      <c r="BG159" s="2675">
        <f t="shared" si="78"/>
        <v>0</v>
      </c>
      <c r="BH159" s="2675">
        <f t="shared" si="79"/>
        <v>0</v>
      </c>
      <c r="BI159" s="2675">
        <f t="shared" si="80"/>
        <v>0</v>
      </c>
      <c r="BJ159" s="2675">
        <f t="shared" si="81"/>
        <v>0</v>
      </c>
      <c r="BK159" s="2675">
        <f t="shared" si="82"/>
        <v>0</v>
      </c>
      <c r="BL159" s="2675">
        <f t="shared" si="83"/>
        <v>0</v>
      </c>
      <c r="BM159" s="2675">
        <f t="shared" si="84"/>
        <v>0</v>
      </c>
      <c r="BN159" s="2675">
        <f t="shared" si="85"/>
        <v>0</v>
      </c>
      <c r="BO159" s="2675">
        <f t="shared" si="86"/>
        <v>0</v>
      </c>
      <c r="BP159" s="2675">
        <f t="shared" si="87"/>
        <v>0</v>
      </c>
      <c r="BQ159" s="2675">
        <f t="shared" si="88"/>
        <v>0</v>
      </c>
      <c r="BR159" s="2675">
        <f t="shared" si="89"/>
        <v>0</v>
      </c>
      <c r="BS159" s="2675">
        <f t="shared" si="90"/>
        <v>0</v>
      </c>
      <c r="BT159" s="2722">
        <f t="shared" si="91"/>
        <v>0</v>
      </c>
    </row>
    <row r="160" spans="1:72">
      <c r="A160" s="2673"/>
      <c r="B160" s="2674"/>
      <c r="C160" s="2674"/>
      <c r="D160" s="2277"/>
      <c r="E160" s="2675">
        <f t="shared" si="92"/>
        <v>0</v>
      </c>
      <c r="F160" s="2676"/>
      <c r="G160" s="2677">
        <f t="shared" si="67"/>
        <v>0</v>
      </c>
      <c r="H160" s="2678">
        <f t="shared" si="68"/>
        <v>0</v>
      </c>
      <c r="I160" s="2685"/>
      <c r="J160" s="2685"/>
      <c r="K160" s="2685"/>
      <c r="L160" s="2685"/>
      <c r="M160" s="2685"/>
      <c r="N160" s="2685"/>
      <c r="O160" s="2685"/>
      <c r="P160" s="2685"/>
      <c r="Q160" s="2685"/>
      <c r="R160" s="2685"/>
      <c r="S160" s="2685"/>
      <c r="T160" s="2685"/>
      <c r="U160" s="2685"/>
      <c r="V160" s="2685"/>
      <c r="W160" s="2685"/>
      <c r="X160" s="2685"/>
      <c r="Y160" s="2685"/>
      <c r="Z160" s="2685"/>
      <c r="AA160" s="2685"/>
      <c r="AB160" s="2685"/>
      <c r="AC160" s="2675">
        <f t="shared" si="69"/>
        <v>0</v>
      </c>
      <c r="AD160" s="2695"/>
      <c r="AE160" s="2695"/>
      <c r="AF160" s="2695"/>
      <c r="AG160" s="2695"/>
      <c r="AH160" s="2695"/>
      <c r="AI160" s="2695"/>
      <c r="AJ160" s="2695"/>
      <c r="AK160" s="2695"/>
      <c r="AL160" s="2695"/>
      <c r="AM160" s="2695"/>
      <c r="AN160" s="2695"/>
      <c r="AO160" s="2695"/>
      <c r="AP160" s="2695"/>
      <c r="AQ160" s="2695"/>
      <c r="AR160" s="2695"/>
      <c r="AS160" s="2695"/>
      <c r="AT160" s="2703"/>
      <c r="AU160" s="2704"/>
      <c r="AV160" s="1074">
        <f t="shared" si="93"/>
        <v>0</v>
      </c>
      <c r="AW160" s="1074">
        <f t="shared" si="94"/>
        <v>0</v>
      </c>
      <c r="AX160" s="1074">
        <f t="shared" si="95"/>
        <v>0</v>
      </c>
      <c r="AY160" s="2279">
        <f t="shared" si="70"/>
        <v>0</v>
      </c>
      <c r="AZ160" s="2675">
        <f t="shared" si="71"/>
        <v>0</v>
      </c>
      <c r="BA160" s="2675">
        <f t="shared" si="72"/>
        <v>0</v>
      </c>
      <c r="BB160" s="2675">
        <f t="shared" si="73"/>
        <v>0</v>
      </c>
      <c r="BC160" s="2675">
        <f t="shared" si="74"/>
        <v>0</v>
      </c>
      <c r="BD160" s="2675">
        <f t="shared" si="75"/>
        <v>0</v>
      </c>
      <c r="BE160" s="2675">
        <f t="shared" si="76"/>
        <v>0</v>
      </c>
      <c r="BF160" s="2675">
        <f t="shared" si="77"/>
        <v>0</v>
      </c>
      <c r="BG160" s="2675">
        <f t="shared" si="78"/>
        <v>0</v>
      </c>
      <c r="BH160" s="2675">
        <f t="shared" si="79"/>
        <v>0</v>
      </c>
      <c r="BI160" s="2675">
        <f t="shared" si="80"/>
        <v>0</v>
      </c>
      <c r="BJ160" s="2675">
        <f t="shared" si="81"/>
        <v>0</v>
      </c>
      <c r="BK160" s="2675">
        <f t="shared" si="82"/>
        <v>0</v>
      </c>
      <c r="BL160" s="2675">
        <f t="shared" si="83"/>
        <v>0</v>
      </c>
      <c r="BM160" s="2675">
        <f t="shared" si="84"/>
        <v>0</v>
      </c>
      <c r="BN160" s="2675">
        <f t="shared" si="85"/>
        <v>0</v>
      </c>
      <c r="BO160" s="2675">
        <f t="shared" si="86"/>
        <v>0</v>
      </c>
      <c r="BP160" s="2675">
        <f t="shared" si="87"/>
        <v>0</v>
      </c>
      <c r="BQ160" s="2675">
        <f t="shared" si="88"/>
        <v>0</v>
      </c>
      <c r="BR160" s="2675">
        <f t="shared" si="89"/>
        <v>0</v>
      </c>
      <c r="BS160" s="2675">
        <f t="shared" si="90"/>
        <v>0</v>
      </c>
      <c r="BT160" s="2722">
        <f t="shared" si="91"/>
        <v>0</v>
      </c>
    </row>
    <row r="161" spans="1:72">
      <c r="A161" s="2673"/>
      <c r="B161" s="2674"/>
      <c r="C161" s="2674"/>
      <c r="D161" s="2277"/>
      <c r="E161" s="2675">
        <f t="shared" si="92"/>
        <v>0</v>
      </c>
      <c r="F161" s="2676"/>
      <c r="G161" s="2677">
        <f t="shared" si="67"/>
        <v>0</v>
      </c>
      <c r="H161" s="2678">
        <f t="shared" si="68"/>
        <v>0</v>
      </c>
      <c r="I161" s="2685"/>
      <c r="J161" s="2685"/>
      <c r="K161" s="2685"/>
      <c r="L161" s="2685"/>
      <c r="M161" s="2685"/>
      <c r="N161" s="2685"/>
      <c r="O161" s="2685"/>
      <c r="P161" s="2685"/>
      <c r="Q161" s="2685"/>
      <c r="R161" s="2685"/>
      <c r="S161" s="2685"/>
      <c r="T161" s="2685"/>
      <c r="U161" s="2685"/>
      <c r="V161" s="2685"/>
      <c r="W161" s="2685"/>
      <c r="X161" s="2685"/>
      <c r="Y161" s="2685"/>
      <c r="Z161" s="2685"/>
      <c r="AA161" s="2685"/>
      <c r="AB161" s="2685"/>
      <c r="AC161" s="2675">
        <f t="shared" si="69"/>
        <v>0</v>
      </c>
      <c r="AD161" s="2695"/>
      <c r="AE161" s="2695"/>
      <c r="AF161" s="2695"/>
      <c r="AG161" s="2695"/>
      <c r="AH161" s="2695"/>
      <c r="AI161" s="2695"/>
      <c r="AJ161" s="2695"/>
      <c r="AK161" s="2695"/>
      <c r="AL161" s="2695"/>
      <c r="AM161" s="2695"/>
      <c r="AN161" s="2695"/>
      <c r="AO161" s="2695"/>
      <c r="AP161" s="2695"/>
      <c r="AQ161" s="2695"/>
      <c r="AR161" s="2695"/>
      <c r="AS161" s="2695"/>
      <c r="AT161" s="2703"/>
      <c r="AU161" s="2704"/>
      <c r="AV161" s="1074">
        <f t="shared" si="93"/>
        <v>0</v>
      </c>
      <c r="AW161" s="1074">
        <f t="shared" si="94"/>
        <v>0</v>
      </c>
      <c r="AX161" s="1074">
        <f t="shared" si="95"/>
        <v>0</v>
      </c>
      <c r="AY161" s="2279">
        <f t="shared" si="70"/>
        <v>0</v>
      </c>
      <c r="AZ161" s="2675">
        <f t="shared" si="71"/>
        <v>0</v>
      </c>
      <c r="BA161" s="2675">
        <f t="shared" si="72"/>
        <v>0</v>
      </c>
      <c r="BB161" s="2675">
        <f t="shared" si="73"/>
        <v>0</v>
      </c>
      <c r="BC161" s="2675">
        <f t="shared" si="74"/>
        <v>0</v>
      </c>
      <c r="BD161" s="2675">
        <f t="shared" si="75"/>
        <v>0</v>
      </c>
      <c r="BE161" s="2675">
        <f t="shared" si="76"/>
        <v>0</v>
      </c>
      <c r="BF161" s="2675">
        <f t="shared" si="77"/>
        <v>0</v>
      </c>
      <c r="BG161" s="2675">
        <f t="shared" si="78"/>
        <v>0</v>
      </c>
      <c r="BH161" s="2675">
        <f t="shared" si="79"/>
        <v>0</v>
      </c>
      <c r="BI161" s="2675">
        <f t="shared" si="80"/>
        <v>0</v>
      </c>
      <c r="BJ161" s="2675">
        <f t="shared" si="81"/>
        <v>0</v>
      </c>
      <c r="BK161" s="2675">
        <f t="shared" si="82"/>
        <v>0</v>
      </c>
      <c r="BL161" s="2675">
        <f t="shared" si="83"/>
        <v>0</v>
      </c>
      <c r="BM161" s="2675">
        <f t="shared" si="84"/>
        <v>0</v>
      </c>
      <c r="BN161" s="2675">
        <f t="shared" si="85"/>
        <v>0</v>
      </c>
      <c r="BO161" s="2675">
        <f t="shared" si="86"/>
        <v>0</v>
      </c>
      <c r="BP161" s="2675">
        <f t="shared" si="87"/>
        <v>0</v>
      </c>
      <c r="BQ161" s="2675">
        <f t="shared" si="88"/>
        <v>0</v>
      </c>
      <c r="BR161" s="2675">
        <f t="shared" si="89"/>
        <v>0</v>
      </c>
      <c r="BS161" s="2675">
        <f t="shared" si="90"/>
        <v>0</v>
      </c>
      <c r="BT161" s="2722">
        <f t="shared" si="91"/>
        <v>0</v>
      </c>
    </row>
    <row r="162" spans="1:72">
      <c r="A162" s="2673"/>
      <c r="B162" s="2674"/>
      <c r="C162" s="2674"/>
      <c r="D162" s="2277"/>
      <c r="E162" s="2675">
        <f t="shared" si="92"/>
        <v>0</v>
      </c>
      <c r="F162" s="2676"/>
      <c r="G162" s="2677">
        <f t="shared" si="67"/>
        <v>0</v>
      </c>
      <c r="H162" s="2678">
        <f t="shared" si="68"/>
        <v>0</v>
      </c>
      <c r="I162" s="2685"/>
      <c r="J162" s="2685"/>
      <c r="K162" s="2685"/>
      <c r="L162" s="2685"/>
      <c r="M162" s="2685"/>
      <c r="N162" s="2685"/>
      <c r="O162" s="2685"/>
      <c r="P162" s="2685"/>
      <c r="Q162" s="2685"/>
      <c r="R162" s="2685"/>
      <c r="S162" s="2685"/>
      <c r="T162" s="2685"/>
      <c r="U162" s="2685"/>
      <c r="V162" s="2685"/>
      <c r="W162" s="2685"/>
      <c r="X162" s="2685"/>
      <c r="Y162" s="2685"/>
      <c r="Z162" s="2685"/>
      <c r="AA162" s="2685"/>
      <c r="AB162" s="2685"/>
      <c r="AC162" s="2675">
        <f t="shared" si="69"/>
        <v>0</v>
      </c>
      <c r="AD162" s="2695"/>
      <c r="AE162" s="2695"/>
      <c r="AF162" s="2695"/>
      <c r="AG162" s="2695"/>
      <c r="AH162" s="2695"/>
      <c r="AI162" s="2695"/>
      <c r="AJ162" s="2695"/>
      <c r="AK162" s="2695"/>
      <c r="AL162" s="2695"/>
      <c r="AM162" s="2695"/>
      <c r="AN162" s="2695"/>
      <c r="AO162" s="2695"/>
      <c r="AP162" s="2695"/>
      <c r="AQ162" s="2695"/>
      <c r="AR162" s="2695"/>
      <c r="AS162" s="2695"/>
      <c r="AT162" s="2703"/>
      <c r="AU162" s="2704"/>
      <c r="AV162" s="1074">
        <f t="shared" si="93"/>
        <v>0</v>
      </c>
      <c r="AW162" s="1074">
        <f t="shared" si="94"/>
        <v>0</v>
      </c>
      <c r="AX162" s="1074">
        <f t="shared" si="95"/>
        <v>0</v>
      </c>
      <c r="AY162" s="2279">
        <f t="shared" si="70"/>
        <v>0</v>
      </c>
      <c r="AZ162" s="2675">
        <f t="shared" si="71"/>
        <v>0</v>
      </c>
      <c r="BA162" s="2675">
        <f t="shared" si="72"/>
        <v>0</v>
      </c>
      <c r="BB162" s="2675">
        <f t="shared" si="73"/>
        <v>0</v>
      </c>
      <c r="BC162" s="2675">
        <f t="shared" si="74"/>
        <v>0</v>
      </c>
      <c r="BD162" s="2675">
        <f t="shared" si="75"/>
        <v>0</v>
      </c>
      <c r="BE162" s="2675">
        <f t="shared" si="76"/>
        <v>0</v>
      </c>
      <c r="BF162" s="2675">
        <f t="shared" si="77"/>
        <v>0</v>
      </c>
      <c r="BG162" s="2675">
        <f t="shared" si="78"/>
        <v>0</v>
      </c>
      <c r="BH162" s="2675">
        <f t="shared" si="79"/>
        <v>0</v>
      </c>
      <c r="BI162" s="2675">
        <f t="shared" si="80"/>
        <v>0</v>
      </c>
      <c r="BJ162" s="2675">
        <f t="shared" si="81"/>
        <v>0</v>
      </c>
      <c r="BK162" s="2675">
        <f t="shared" si="82"/>
        <v>0</v>
      </c>
      <c r="BL162" s="2675">
        <f t="shared" si="83"/>
        <v>0</v>
      </c>
      <c r="BM162" s="2675">
        <f t="shared" si="84"/>
        <v>0</v>
      </c>
      <c r="BN162" s="2675">
        <f t="shared" si="85"/>
        <v>0</v>
      </c>
      <c r="BO162" s="2675">
        <f t="shared" si="86"/>
        <v>0</v>
      </c>
      <c r="BP162" s="2675">
        <f t="shared" si="87"/>
        <v>0</v>
      </c>
      <c r="BQ162" s="2675">
        <f t="shared" si="88"/>
        <v>0</v>
      </c>
      <c r="BR162" s="2675">
        <f t="shared" si="89"/>
        <v>0</v>
      </c>
      <c r="BS162" s="2675">
        <f t="shared" si="90"/>
        <v>0</v>
      </c>
      <c r="BT162" s="2722">
        <f t="shared" si="91"/>
        <v>0</v>
      </c>
    </row>
    <row r="163" spans="1:72">
      <c r="A163" s="2673"/>
      <c r="B163" s="2674"/>
      <c r="C163" s="2674"/>
      <c r="D163" s="2277"/>
      <c r="E163" s="2675">
        <f t="shared" si="92"/>
        <v>0</v>
      </c>
      <c r="F163" s="2676"/>
      <c r="G163" s="2677">
        <f t="shared" si="67"/>
        <v>0</v>
      </c>
      <c r="H163" s="2678">
        <f t="shared" si="68"/>
        <v>0</v>
      </c>
      <c r="I163" s="2685"/>
      <c r="J163" s="2685"/>
      <c r="K163" s="2685"/>
      <c r="L163" s="2685"/>
      <c r="M163" s="2685"/>
      <c r="N163" s="2685"/>
      <c r="O163" s="2685"/>
      <c r="P163" s="2685"/>
      <c r="Q163" s="2685"/>
      <c r="R163" s="2685"/>
      <c r="S163" s="2685"/>
      <c r="T163" s="2685"/>
      <c r="U163" s="2685"/>
      <c r="V163" s="2685"/>
      <c r="W163" s="2685"/>
      <c r="X163" s="2685"/>
      <c r="Y163" s="2685"/>
      <c r="Z163" s="2685"/>
      <c r="AA163" s="2685"/>
      <c r="AB163" s="2685"/>
      <c r="AC163" s="2675">
        <f t="shared" si="69"/>
        <v>0</v>
      </c>
      <c r="AD163" s="2695"/>
      <c r="AE163" s="2695"/>
      <c r="AF163" s="2695"/>
      <c r="AG163" s="2695"/>
      <c r="AH163" s="2695"/>
      <c r="AI163" s="2695"/>
      <c r="AJ163" s="2695"/>
      <c r="AK163" s="2695"/>
      <c r="AL163" s="2695"/>
      <c r="AM163" s="2695"/>
      <c r="AN163" s="2695"/>
      <c r="AO163" s="2695"/>
      <c r="AP163" s="2695"/>
      <c r="AQ163" s="2695"/>
      <c r="AR163" s="2695"/>
      <c r="AS163" s="2695"/>
      <c r="AT163" s="2703"/>
      <c r="AU163" s="2704"/>
      <c r="AV163" s="1074">
        <f t="shared" si="93"/>
        <v>0</v>
      </c>
      <c r="AW163" s="1074">
        <f t="shared" si="94"/>
        <v>0</v>
      </c>
      <c r="AX163" s="1074">
        <f t="shared" si="95"/>
        <v>0</v>
      </c>
      <c r="AY163" s="2279">
        <f t="shared" si="70"/>
        <v>0</v>
      </c>
      <c r="AZ163" s="2675">
        <f t="shared" si="71"/>
        <v>0</v>
      </c>
      <c r="BA163" s="2675">
        <f t="shared" si="72"/>
        <v>0</v>
      </c>
      <c r="BB163" s="2675">
        <f t="shared" si="73"/>
        <v>0</v>
      </c>
      <c r="BC163" s="2675">
        <f t="shared" si="74"/>
        <v>0</v>
      </c>
      <c r="BD163" s="2675">
        <f t="shared" si="75"/>
        <v>0</v>
      </c>
      <c r="BE163" s="2675">
        <f t="shared" si="76"/>
        <v>0</v>
      </c>
      <c r="BF163" s="2675">
        <f t="shared" si="77"/>
        <v>0</v>
      </c>
      <c r="BG163" s="2675">
        <f t="shared" si="78"/>
        <v>0</v>
      </c>
      <c r="BH163" s="2675">
        <f t="shared" si="79"/>
        <v>0</v>
      </c>
      <c r="BI163" s="2675">
        <f t="shared" si="80"/>
        <v>0</v>
      </c>
      <c r="BJ163" s="2675">
        <f t="shared" si="81"/>
        <v>0</v>
      </c>
      <c r="BK163" s="2675">
        <f t="shared" si="82"/>
        <v>0</v>
      </c>
      <c r="BL163" s="2675">
        <f t="shared" si="83"/>
        <v>0</v>
      </c>
      <c r="BM163" s="2675">
        <f t="shared" si="84"/>
        <v>0</v>
      </c>
      <c r="BN163" s="2675">
        <f t="shared" si="85"/>
        <v>0</v>
      </c>
      <c r="BO163" s="2675">
        <f t="shared" si="86"/>
        <v>0</v>
      </c>
      <c r="BP163" s="2675">
        <f t="shared" si="87"/>
        <v>0</v>
      </c>
      <c r="BQ163" s="2675">
        <f t="shared" si="88"/>
        <v>0</v>
      </c>
      <c r="BR163" s="2675">
        <f t="shared" si="89"/>
        <v>0</v>
      </c>
      <c r="BS163" s="2675">
        <f t="shared" si="90"/>
        <v>0</v>
      </c>
      <c r="BT163" s="2722">
        <f t="shared" si="91"/>
        <v>0</v>
      </c>
    </row>
    <row r="164" spans="1:72">
      <c r="A164" s="2673"/>
      <c r="B164" s="2674"/>
      <c r="C164" s="2674"/>
      <c r="D164" s="2277"/>
      <c r="E164" s="2675">
        <f t="shared" si="92"/>
        <v>0</v>
      </c>
      <c r="F164" s="2676"/>
      <c r="G164" s="2677">
        <f t="shared" si="67"/>
        <v>0</v>
      </c>
      <c r="H164" s="2678">
        <f t="shared" si="68"/>
        <v>0</v>
      </c>
      <c r="I164" s="2685"/>
      <c r="J164" s="2685"/>
      <c r="K164" s="2685"/>
      <c r="L164" s="2685"/>
      <c r="M164" s="2685"/>
      <c r="N164" s="2685"/>
      <c r="O164" s="2685"/>
      <c r="P164" s="2685"/>
      <c r="Q164" s="2685"/>
      <c r="R164" s="2685"/>
      <c r="S164" s="2685"/>
      <c r="T164" s="2685"/>
      <c r="U164" s="2685"/>
      <c r="V164" s="2685"/>
      <c r="W164" s="2685"/>
      <c r="X164" s="2685"/>
      <c r="Y164" s="2685"/>
      <c r="Z164" s="2685"/>
      <c r="AA164" s="2685"/>
      <c r="AB164" s="2685"/>
      <c r="AC164" s="2675">
        <f t="shared" si="69"/>
        <v>0</v>
      </c>
      <c r="AD164" s="2695"/>
      <c r="AE164" s="2695"/>
      <c r="AF164" s="2695"/>
      <c r="AG164" s="2695"/>
      <c r="AH164" s="2695"/>
      <c r="AI164" s="2695"/>
      <c r="AJ164" s="2695"/>
      <c r="AK164" s="2695"/>
      <c r="AL164" s="2695"/>
      <c r="AM164" s="2695"/>
      <c r="AN164" s="2695"/>
      <c r="AO164" s="2695"/>
      <c r="AP164" s="2695"/>
      <c r="AQ164" s="2695"/>
      <c r="AR164" s="2695"/>
      <c r="AS164" s="2695"/>
      <c r="AT164" s="2703"/>
      <c r="AU164" s="2704"/>
      <c r="AV164" s="1074">
        <f t="shared" si="93"/>
        <v>0</v>
      </c>
      <c r="AW164" s="1074">
        <f t="shared" si="94"/>
        <v>0</v>
      </c>
      <c r="AX164" s="1074">
        <f t="shared" si="95"/>
        <v>0</v>
      </c>
      <c r="AY164" s="2279">
        <f t="shared" si="70"/>
        <v>0</v>
      </c>
      <c r="AZ164" s="2675">
        <f t="shared" si="71"/>
        <v>0</v>
      </c>
      <c r="BA164" s="2675">
        <f t="shared" si="72"/>
        <v>0</v>
      </c>
      <c r="BB164" s="2675">
        <f t="shared" si="73"/>
        <v>0</v>
      </c>
      <c r="BC164" s="2675">
        <f t="shared" si="74"/>
        <v>0</v>
      </c>
      <c r="BD164" s="2675">
        <f t="shared" si="75"/>
        <v>0</v>
      </c>
      <c r="BE164" s="2675">
        <f t="shared" si="76"/>
        <v>0</v>
      </c>
      <c r="BF164" s="2675">
        <f t="shared" si="77"/>
        <v>0</v>
      </c>
      <c r="BG164" s="2675">
        <f t="shared" si="78"/>
        <v>0</v>
      </c>
      <c r="BH164" s="2675">
        <f t="shared" si="79"/>
        <v>0</v>
      </c>
      <c r="BI164" s="2675">
        <f t="shared" si="80"/>
        <v>0</v>
      </c>
      <c r="BJ164" s="2675">
        <f t="shared" si="81"/>
        <v>0</v>
      </c>
      <c r="BK164" s="2675">
        <f t="shared" si="82"/>
        <v>0</v>
      </c>
      <c r="BL164" s="2675">
        <f t="shared" si="83"/>
        <v>0</v>
      </c>
      <c r="BM164" s="2675">
        <f t="shared" si="84"/>
        <v>0</v>
      </c>
      <c r="BN164" s="2675">
        <f t="shared" si="85"/>
        <v>0</v>
      </c>
      <c r="BO164" s="2675">
        <f t="shared" si="86"/>
        <v>0</v>
      </c>
      <c r="BP164" s="2675">
        <f t="shared" si="87"/>
        <v>0</v>
      </c>
      <c r="BQ164" s="2675">
        <f t="shared" si="88"/>
        <v>0</v>
      </c>
      <c r="BR164" s="2675">
        <f t="shared" si="89"/>
        <v>0</v>
      </c>
      <c r="BS164" s="2675">
        <f t="shared" si="90"/>
        <v>0</v>
      </c>
      <c r="BT164" s="2722">
        <f t="shared" si="91"/>
        <v>0</v>
      </c>
    </row>
    <row r="165" spans="1:72">
      <c r="A165" s="2673"/>
      <c r="B165" s="2674"/>
      <c r="C165" s="2674"/>
      <c r="D165" s="2277"/>
      <c r="E165" s="2675">
        <f t="shared" si="92"/>
        <v>0</v>
      </c>
      <c r="F165" s="2676"/>
      <c r="G165" s="2677">
        <f t="shared" si="67"/>
        <v>0</v>
      </c>
      <c r="H165" s="2678">
        <f t="shared" si="68"/>
        <v>0</v>
      </c>
      <c r="I165" s="2685"/>
      <c r="J165" s="2685"/>
      <c r="K165" s="2685"/>
      <c r="L165" s="2685"/>
      <c r="M165" s="2685"/>
      <c r="N165" s="2685"/>
      <c r="O165" s="2685"/>
      <c r="P165" s="2685"/>
      <c r="Q165" s="2685"/>
      <c r="R165" s="2685"/>
      <c r="S165" s="2685"/>
      <c r="T165" s="2685"/>
      <c r="U165" s="2685"/>
      <c r="V165" s="2685"/>
      <c r="W165" s="2685"/>
      <c r="X165" s="2685"/>
      <c r="Y165" s="2685"/>
      <c r="Z165" s="2685"/>
      <c r="AA165" s="2685"/>
      <c r="AB165" s="2685"/>
      <c r="AC165" s="2675">
        <f t="shared" si="69"/>
        <v>0</v>
      </c>
      <c r="AD165" s="2695"/>
      <c r="AE165" s="2695"/>
      <c r="AF165" s="2695"/>
      <c r="AG165" s="2695"/>
      <c r="AH165" s="2695"/>
      <c r="AI165" s="2695"/>
      <c r="AJ165" s="2695"/>
      <c r="AK165" s="2695"/>
      <c r="AL165" s="2695"/>
      <c r="AM165" s="2695"/>
      <c r="AN165" s="2695"/>
      <c r="AO165" s="2695"/>
      <c r="AP165" s="2695"/>
      <c r="AQ165" s="2695"/>
      <c r="AR165" s="2695"/>
      <c r="AS165" s="2695"/>
      <c r="AT165" s="2703"/>
      <c r="AU165" s="2704"/>
      <c r="AV165" s="1074">
        <f t="shared" si="93"/>
        <v>0</v>
      </c>
      <c r="AW165" s="1074">
        <f t="shared" si="94"/>
        <v>0</v>
      </c>
      <c r="AX165" s="1074">
        <f t="shared" si="95"/>
        <v>0</v>
      </c>
      <c r="AY165" s="2279">
        <f t="shared" si="70"/>
        <v>0</v>
      </c>
      <c r="AZ165" s="2675">
        <f t="shared" si="71"/>
        <v>0</v>
      </c>
      <c r="BA165" s="2675">
        <f t="shared" si="72"/>
        <v>0</v>
      </c>
      <c r="BB165" s="2675">
        <f t="shared" si="73"/>
        <v>0</v>
      </c>
      <c r="BC165" s="2675">
        <f t="shared" si="74"/>
        <v>0</v>
      </c>
      <c r="BD165" s="2675">
        <f t="shared" si="75"/>
        <v>0</v>
      </c>
      <c r="BE165" s="2675">
        <f t="shared" si="76"/>
        <v>0</v>
      </c>
      <c r="BF165" s="2675">
        <f t="shared" si="77"/>
        <v>0</v>
      </c>
      <c r="BG165" s="2675">
        <f t="shared" si="78"/>
        <v>0</v>
      </c>
      <c r="BH165" s="2675">
        <f t="shared" si="79"/>
        <v>0</v>
      </c>
      <c r="BI165" s="2675">
        <f t="shared" si="80"/>
        <v>0</v>
      </c>
      <c r="BJ165" s="2675">
        <f t="shared" si="81"/>
        <v>0</v>
      </c>
      <c r="BK165" s="2675">
        <f t="shared" si="82"/>
        <v>0</v>
      </c>
      <c r="BL165" s="2675">
        <f t="shared" si="83"/>
        <v>0</v>
      </c>
      <c r="BM165" s="2675">
        <f t="shared" si="84"/>
        <v>0</v>
      </c>
      <c r="BN165" s="2675">
        <f t="shared" si="85"/>
        <v>0</v>
      </c>
      <c r="BO165" s="2675">
        <f t="shared" si="86"/>
        <v>0</v>
      </c>
      <c r="BP165" s="2675">
        <f t="shared" si="87"/>
        <v>0</v>
      </c>
      <c r="BQ165" s="2675">
        <f t="shared" si="88"/>
        <v>0</v>
      </c>
      <c r="BR165" s="2675">
        <f t="shared" si="89"/>
        <v>0</v>
      </c>
      <c r="BS165" s="2675">
        <f t="shared" si="90"/>
        <v>0</v>
      </c>
      <c r="BT165" s="2722">
        <f t="shared" si="91"/>
        <v>0</v>
      </c>
    </row>
    <row r="166" spans="1:72">
      <c r="A166" s="2673"/>
      <c r="B166" s="2674"/>
      <c r="C166" s="2674"/>
      <c r="D166" s="2277"/>
      <c r="E166" s="2675">
        <f t="shared" si="92"/>
        <v>0</v>
      </c>
      <c r="F166" s="2676"/>
      <c r="G166" s="2677">
        <f t="shared" si="67"/>
        <v>0</v>
      </c>
      <c r="H166" s="2678">
        <f t="shared" si="68"/>
        <v>0</v>
      </c>
      <c r="I166" s="2685"/>
      <c r="J166" s="2685"/>
      <c r="K166" s="2685"/>
      <c r="L166" s="2685"/>
      <c r="M166" s="2685"/>
      <c r="N166" s="2685"/>
      <c r="O166" s="2685"/>
      <c r="P166" s="2685"/>
      <c r="Q166" s="2685"/>
      <c r="R166" s="2685"/>
      <c r="S166" s="2685"/>
      <c r="T166" s="2685"/>
      <c r="U166" s="2685"/>
      <c r="V166" s="2685"/>
      <c r="W166" s="2685"/>
      <c r="X166" s="2685"/>
      <c r="Y166" s="2685"/>
      <c r="Z166" s="2685"/>
      <c r="AA166" s="2685"/>
      <c r="AB166" s="2685"/>
      <c r="AC166" s="2675">
        <f t="shared" si="69"/>
        <v>0</v>
      </c>
      <c r="AD166" s="2695"/>
      <c r="AE166" s="2695"/>
      <c r="AF166" s="2695"/>
      <c r="AG166" s="2695"/>
      <c r="AH166" s="2695"/>
      <c r="AI166" s="2695"/>
      <c r="AJ166" s="2695"/>
      <c r="AK166" s="2695"/>
      <c r="AL166" s="2695"/>
      <c r="AM166" s="2695"/>
      <c r="AN166" s="2695"/>
      <c r="AO166" s="2695"/>
      <c r="AP166" s="2695"/>
      <c r="AQ166" s="2695"/>
      <c r="AR166" s="2695"/>
      <c r="AS166" s="2695"/>
      <c r="AT166" s="2703"/>
      <c r="AU166" s="2704"/>
      <c r="AV166" s="1074">
        <f t="shared" si="93"/>
        <v>0</v>
      </c>
      <c r="AW166" s="1074">
        <f t="shared" si="94"/>
        <v>0</v>
      </c>
      <c r="AX166" s="1074">
        <f t="shared" si="95"/>
        <v>0</v>
      </c>
      <c r="AY166" s="2279">
        <f t="shared" si="70"/>
        <v>0</v>
      </c>
      <c r="AZ166" s="2675">
        <f t="shared" si="71"/>
        <v>0</v>
      </c>
      <c r="BA166" s="2675">
        <f t="shared" si="72"/>
        <v>0</v>
      </c>
      <c r="BB166" s="2675">
        <f t="shared" si="73"/>
        <v>0</v>
      </c>
      <c r="BC166" s="2675">
        <f t="shared" si="74"/>
        <v>0</v>
      </c>
      <c r="BD166" s="2675">
        <f t="shared" si="75"/>
        <v>0</v>
      </c>
      <c r="BE166" s="2675">
        <f t="shared" si="76"/>
        <v>0</v>
      </c>
      <c r="BF166" s="2675">
        <f t="shared" si="77"/>
        <v>0</v>
      </c>
      <c r="BG166" s="2675">
        <f t="shared" si="78"/>
        <v>0</v>
      </c>
      <c r="BH166" s="2675">
        <f t="shared" si="79"/>
        <v>0</v>
      </c>
      <c r="BI166" s="2675">
        <f t="shared" si="80"/>
        <v>0</v>
      </c>
      <c r="BJ166" s="2675">
        <f t="shared" si="81"/>
        <v>0</v>
      </c>
      <c r="BK166" s="2675">
        <f t="shared" si="82"/>
        <v>0</v>
      </c>
      <c r="BL166" s="2675">
        <f t="shared" si="83"/>
        <v>0</v>
      </c>
      <c r="BM166" s="2675">
        <f t="shared" si="84"/>
        <v>0</v>
      </c>
      <c r="BN166" s="2675">
        <f t="shared" si="85"/>
        <v>0</v>
      </c>
      <c r="BO166" s="2675">
        <f t="shared" si="86"/>
        <v>0</v>
      </c>
      <c r="BP166" s="2675">
        <f t="shared" si="87"/>
        <v>0</v>
      </c>
      <c r="BQ166" s="2675">
        <f t="shared" si="88"/>
        <v>0</v>
      </c>
      <c r="BR166" s="2675">
        <f t="shared" si="89"/>
        <v>0</v>
      </c>
      <c r="BS166" s="2675">
        <f t="shared" si="90"/>
        <v>0</v>
      </c>
      <c r="BT166" s="2722">
        <f t="shared" si="91"/>
        <v>0</v>
      </c>
    </row>
    <row r="167" spans="1:72">
      <c r="A167" s="2673"/>
      <c r="B167" s="2674"/>
      <c r="C167" s="2674"/>
      <c r="D167" s="2277"/>
      <c r="E167" s="2675">
        <f t="shared" si="92"/>
        <v>0</v>
      </c>
      <c r="F167" s="2676"/>
      <c r="G167" s="2677">
        <f t="shared" si="67"/>
        <v>0</v>
      </c>
      <c r="H167" s="2678">
        <f t="shared" si="68"/>
        <v>0</v>
      </c>
      <c r="I167" s="2685"/>
      <c r="J167" s="2685"/>
      <c r="K167" s="2685"/>
      <c r="L167" s="2685"/>
      <c r="M167" s="2685"/>
      <c r="N167" s="2685"/>
      <c r="O167" s="2685"/>
      <c r="P167" s="2685"/>
      <c r="Q167" s="2685"/>
      <c r="R167" s="2685"/>
      <c r="S167" s="2685"/>
      <c r="T167" s="2685"/>
      <c r="U167" s="2685"/>
      <c r="V167" s="2685"/>
      <c r="W167" s="2685"/>
      <c r="X167" s="2685"/>
      <c r="Y167" s="2685"/>
      <c r="Z167" s="2685"/>
      <c r="AA167" s="2685"/>
      <c r="AB167" s="2685"/>
      <c r="AC167" s="2675">
        <f t="shared" si="69"/>
        <v>0</v>
      </c>
      <c r="AD167" s="2695"/>
      <c r="AE167" s="2695"/>
      <c r="AF167" s="2695"/>
      <c r="AG167" s="2695"/>
      <c r="AH167" s="2695"/>
      <c r="AI167" s="2695"/>
      <c r="AJ167" s="2695"/>
      <c r="AK167" s="2695"/>
      <c r="AL167" s="2695"/>
      <c r="AM167" s="2695"/>
      <c r="AN167" s="2695"/>
      <c r="AO167" s="2695"/>
      <c r="AP167" s="2695"/>
      <c r="AQ167" s="2695"/>
      <c r="AR167" s="2695"/>
      <c r="AS167" s="2695"/>
      <c r="AT167" s="2703"/>
      <c r="AU167" s="2704"/>
      <c r="AV167" s="1074">
        <f t="shared" si="93"/>
        <v>0</v>
      </c>
      <c r="AW167" s="1074">
        <f t="shared" si="94"/>
        <v>0</v>
      </c>
      <c r="AX167" s="1074">
        <f t="shared" si="95"/>
        <v>0</v>
      </c>
      <c r="AY167" s="2279">
        <f t="shared" si="70"/>
        <v>0</v>
      </c>
      <c r="AZ167" s="2675">
        <f t="shared" si="71"/>
        <v>0</v>
      </c>
      <c r="BA167" s="2675">
        <f t="shared" si="72"/>
        <v>0</v>
      </c>
      <c r="BB167" s="2675">
        <f t="shared" si="73"/>
        <v>0</v>
      </c>
      <c r="BC167" s="2675">
        <f t="shared" si="74"/>
        <v>0</v>
      </c>
      <c r="BD167" s="2675">
        <f t="shared" si="75"/>
        <v>0</v>
      </c>
      <c r="BE167" s="2675">
        <f t="shared" si="76"/>
        <v>0</v>
      </c>
      <c r="BF167" s="2675">
        <f t="shared" si="77"/>
        <v>0</v>
      </c>
      <c r="BG167" s="2675">
        <f t="shared" si="78"/>
        <v>0</v>
      </c>
      <c r="BH167" s="2675">
        <f t="shared" si="79"/>
        <v>0</v>
      </c>
      <c r="BI167" s="2675">
        <f t="shared" si="80"/>
        <v>0</v>
      </c>
      <c r="BJ167" s="2675">
        <f t="shared" si="81"/>
        <v>0</v>
      </c>
      <c r="BK167" s="2675">
        <f t="shared" si="82"/>
        <v>0</v>
      </c>
      <c r="BL167" s="2675">
        <f t="shared" si="83"/>
        <v>0</v>
      </c>
      <c r="BM167" s="2675">
        <f t="shared" si="84"/>
        <v>0</v>
      </c>
      <c r="BN167" s="2675">
        <f t="shared" si="85"/>
        <v>0</v>
      </c>
      <c r="BO167" s="2675">
        <f t="shared" si="86"/>
        <v>0</v>
      </c>
      <c r="BP167" s="2675">
        <f t="shared" si="87"/>
        <v>0</v>
      </c>
      <c r="BQ167" s="2675">
        <f t="shared" si="88"/>
        <v>0</v>
      </c>
      <c r="BR167" s="2675">
        <f t="shared" si="89"/>
        <v>0</v>
      </c>
      <c r="BS167" s="2675">
        <f t="shared" si="90"/>
        <v>0</v>
      </c>
      <c r="BT167" s="2722">
        <f t="shared" si="91"/>
        <v>0</v>
      </c>
    </row>
    <row r="168" spans="1:72">
      <c r="A168" s="2673"/>
      <c r="B168" s="2674"/>
      <c r="C168" s="2674"/>
      <c r="D168" s="2277"/>
      <c r="E168" s="2675">
        <f t="shared" si="92"/>
        <v>0</v>
      </c>
      <c r="F168" s="2676"/>
      <c r="G168" s="2677">
        <f t="shared" si="67"/>
        <v>0</v>
      </c>
      <c r="H168" s="2678">
        <f t="shared" si="68"/>
        <v>0</v>
      </c>
      <c r="I168" s="2685"/>
      <c r="J168" s="2685"/>
      <c r="K168" s="2685"/>
      <c r="L168" s="2685"/>
      <c r="M168" s="2685"/>
      <c r="N168" s="2685"/>
      <c r="O168" s="2685"/>
      <c r="P168" s="2685"/>
      <c r="Q168" s="2685"/>
      <c r="R168" s="2685"/>
      <c r="S168" s="2685"/>
      <c r="T168" s="2685"/>
      <c r="U168" s="2685"/>
      <c r="V168" s="2685"/>
      <c r="W168" s="2685"/>
      <c r="X168" s="2685"/>
      <c r="Y168" s="2685"/>
      <c r="Z168" s="2685"/>
      <c r="AA168" s="2685"/>
      <c r="AB168" s="2685"/>
      <c r="AC168" s="2675">
        <f t="shared" si="69"/>
        <v>0</v>
      </c>
      <c r="AD168" s="2695"/>
      <c r="AE168" s="2695"/>
      <c r="AF168" s="2695"/>
      <c r="AG168" s="2695"/>
      <c r="AH168" s="2695"/>
      <c r="AI168" s="2695"/>
      <c r="AJ168" s="2695"/>
      <c r="AK168" s="2695"/>
      <c r="AL168" s="2695"/>
      <c r="AM168" s="2695"/>
      <c r="AN168" s="2695"/>
      <c r="AO168" s="2695"/>
      <c r="AP168" s="2695"/>
      <c r="AQ168" s="2695"/>
      <c r="AR168" s="2695"/>
      <c r="AS168" s="2695"/>
      <c r="AT168" s="2703"/>
      <c r="AU168" s="2704"/>
      <c r="AV168" s="1074">
        <f t="shared" si="93"/>
        <v>0</v>
      </c>
      <c r="AW168" s="1074">
        <f t="shared" si="94"/>
        <v>0</v>
      </c>
      <c r="AX168" s="1074">
        <f t="shared" si="95"/>
        <v>0</v>
      </c>
      <c r="AY168" s="2279">
        <f t="shared" si="70"/>
        <v>0</v>
      </c>
      <c r="AZ168" s="2675">
        <f t="shared" si="71"/>
        <v>0</v>
      </c>
      <c r="BA168" s="2675">
        <f t="shared" si="72"/>
        <v>0</v>
      </c>
      <c r="BB168" s="2675">
        <f t="shared" si="73"/>
        <v>0</v>
      </c>
      <c r="BC168" s="2675">
        <f t="shared" si="74"/>
        <v>0</v>
      </c>
      <c r="BD168" s="2675">
        <f t="shared" si="75"/>
        <v>0</v>
      </c>
      <c r="BE168" s="2675">
        <f t="shared" si="76"/>
        <v>0</v>
      </c>
      <c r="BF168" s="2675">
        <f t="shared" si="77"/>
        <v>0</v>
      </c>
      <c r="BG168" s="2675">
        <f t="shared" si="78"/>
        <v>0</v>
      </c>
      <c r="BH168" s="2675">
        <f t="shared" si="79"/>
        <v>0</v>
      </c>
      <c r="BI168" s="2675">
        <f t="shared" si="80"/>
        <v>0</v>
      </c>
      <c r="BJ168" s="2675">
        <f t="shared" si="81"/>
        <v>0</v>
      </c>
      <c r="BK168" s="2675">
        <f t="shared" si="82"/>
        <v>0</v>
      </c>
      <c r="BL168" s="2675">
        <f t="shared" si="83"/>
        <v>0</v>
      </c>
      <c r="BM168" s="2675">
        <f t="shared" si="84"/>
        <v>0</v>
      </c>
      <c r="BN168" s="2675">
        <f t="shared" si="85"/>
        <v>0</v>
      </c>
      <c r="BO168" s="2675">
        <f t="shared" si="86"/>
        <v>0</v>
      </c>
      <c r="BP168" s="2675">
        <f t="shared" si="87"/>
        <v>0</v>
      </c>
      <c r="BQ168" s="2675">
        <f t="shared" si="88"/>
        <v>0</v>
      </c>
      <c r="BR168" s="2675">
        <f t="shared" si="89"/>
        <v>0</v>
      </c>
      <c r="BS168" s="2675">
        <f t="shared" si="90"/>
        <v>0</v>
      </c>
      <c r="BT168" s="2722">
        <f t="shared" si="91"/>
        <v>0</v>
      </c>
    </row>
    <row r="169" spans="1:72">
      <c r="A169" s="2673"/>
      <c r="B169" s="2674"/>
      <c r="C169" s="2674"/>
      <c r="D169" s="2277"/>
      <c r="E169" s="2675">
        <f t="shared" si="92"/>
        <v>0</v>
      </c>
      <c r="F169" s="2676"/>
      <c r="G169" s="2677">
        <f t="shared" si="67"/>
        <v>0</v>
      </c>
      <c r="H169" s="2678">
        <f t="shared" si="68"/>
        <v>0</v>
      </c>
      <c r="I169" s="2685"/>
      <c r="J169" s="2685"/>
      <c r="K169" s="2685"/>
      <c r="L169" s="2685"/>
      <c r="M169" s="2685"/>
      <c r="N169" s="2685"/>
      <c r="O169" s="2685"/>
      <c r="P169" s="2685"/>
      <c r="Q169" s="2685"/>
      <c r="R169" s="2685"/>
      <c r="S169" s="2685"/>
      <c r="T169" s="2685"/>
      <c r="U169" s="2685"/>
      <c r="V169" s="2685"/>
      <c r="W169" s="2685"/>
      <c r="X169" s="2685"/>
      <c r="Y169" s="2685"/>
      <c r="Z169" s="2685"/>
      <c r="AA169" s="2685"/>
      <c r="AB169" s="2685"/>
      <c r="AC169" s="2675">
        <f t="shared" si="69"/>
        <v>0</v>
      </c>
      <c r="AD169" s="2695"/>
      <c r="AE169" s="2695"/>
      <c r="AF169" s="2695"/>
      <c r="AG169" s="2695"/>
      <c r="AH169" s="2695"/>
      <c r="AI169" s="2695"/>
      <c r="AJ169" s="2695"/>
      <c r="AK169" s="2695"/>
      <c r="AL169" s="2695"/>
      <c r="AM169" s="2695"/>
      <c r="AN169" s="2695"/>
      <c r="AO169" s="2695"/>
      <c r="AP169" s="2695"/>
      <c r="AQ169" s="2695"/>
      <c r="AR169" s="2695"/>
      <c r="AS169" s="2695"/>
      <c r="AT169" s="2703"/>
      <c r="AU169" s="2704"/>
      <c r="AV169" s="1074">
        <f t="shared" si="93"/>
        <v>0</v>
      </c>
      <c r="AW169" s="1074">
        <f t="shared" si="94"/>
        <v>0</v>
      </c>
      <c r="AX169" s="1074">
        <f t="shared" si="95"/>
        <v>0</v>
      </c>
      <c r="AY169" s="2279">
        <f t="shared" si="70"/>
        <v>0</v>
      </c>
      <c r="AZ169" s="2675">
        <f t="shared" si="71"/>
        <v>0</v>
      </c>
      <c r="BA169" s="2675">
        <f t="shared" si="72"/>
        <v>0</v>
      </c>
      <c r="BB169" s="2675">
        <f t="shared" si="73"/>
        <v>0</v>
      </c>
      <c r="BC169" s="2675">
        <f t="shared" si="74"/>
        <v>0</v>
      </c>
      <c r="BD169" s="2675">
        <f t="shared" si="75"/>
        <v>0</v>
      </c>
      <c r="BE169" s="2675">
        <f t="shared" si="76"/>
        <v>0</v>
      </c>
      <c r="BF169" s="2675">
        <f t="shared" si="77"/>
        <v>0</v>
      </c>
      <c r="BG169" s="2675">
        <f t="shared" si="78"/>
        <v>0</v>
      </c>
      <c r="BH169" s="2675">
        <f t="shared" si="79"/>
        <v>0</v>
      </c>
      <c r="BI169" s="2675">
        <f t="shared" si="80"/>
        <v>0</v>
      </c>
      <c r="BJ169" s="2675">
        <f t="shared" si="81"/>
        <v>0</v>
      </c>
      <c r="BK169" s="2675">
        <f t="shared" si="82"/>
        <v>0</v>
      </c>
      <c r="BL169" s="2675">
        <f t="shared" si="83"/>
        <v>0</v>
      </c>
      <c r="BM169" s="2675">
        <f t="shared" si="84"/>
        <v>0</v>
      </c>
      <c r="BN169" s="2675">
        <f t="shared" si="85"/>
        <v>0</v>
      </c>
      <c r="BO169" s="2675">
        <f t="shared" si="86"/>
        <v>0</v>
      </c>
      <c r="BP169" s="2675">
        <f t="shared" si="87"/>
        <v>0</v>
      </c>
      <c r="BQ169" s="2675">
        <f t="shared" si="88"/>
        <v>0</v>
      </c>
      <c r="BR169" s="2675">
        <f t="shared" si="89"/>
        <v>0</v>
      </c>
      <c r="BS169" s="2675">
        <f t="shared" si="90"/>
        <v>0</v>
      </c>
      <c r="BT169" s="2722">
        <f t="shared" si="91"/>
        <v>0</v>
      </c>
    </row>
    <row r="170" spans="1:72">
      <c r="A170" s="2673"/>
      <c r="B170" s="2674"/>
      <c r="C170" s="2674"/>
      <c r="D170" s="2277"/>
      <c r="E170" s="2675">
        <f t="shared" si="92"/>
        <v>0</v>
      </c>
      <c r="F170" s="2676"/>
      <c r="G170" s="2677">
        <f t="shared" si="67"/>
        <v>0</v>
      </c>
      <c r="H170" s="2678">
        <f t="shared" si="68"/>
        <v>0</v>
      </c>
      <c r="I170" s="2685"/>
      <c r="J170" s="2685"/>
      <c r="K170" s="2685"/>
      <c r="L170" s="2685"/>
      <c r="M170" s="2685"/>
      <c r="N170" s="2685"/>
      <c r="O170" s="2685"/>
      <c r="P170" s="2685"/>
      <c r="Q170" s="2685"/>
      <c r="R170" s="2685"/>
      <c r="S170" s="2685"/>
      <c r="T170" s="2685"/>
      <c r="U170" s="2685"/>
      <c r="V170" s="2685"/>
      <c r="W170" s="2685"/>
      <c r="X170" s="2685"/>
      <c r="Y170" s="2685"/>
      <c r="Z170" s="2685"/>
      <c r="AA170" s="2685"/>
      <c r="AB170" s="2685"/>
      <c r="AC170" s="2675">
        <f t="shared" si="69"/>
        <v>0</v>
      </c>
      <c r="AD170" s="2695"/>
      <c r="AE170" s="2695"/>
      <c r="AF170" s="2695"/>
      <c r="AG170" s="2695"/>
      <c r="AH170" s="2695"/>
      <c r="AI170" s="2695"/>
      <c r="AJ170" s="2695"/>
      <c r="AK170" s="2695"/>
      <c r="AL170" s="2695"/>
      <c r="AM170" s="2695"/>
      <c r="AN170" s="2695"/>
      <c r="AO170" s="2695"/>
      <c r="AP170" s="2695"/>
      <c r="AQ170" s="2695"/>
      <c r="AR170" s="2695"/>
      <c r="AS170" s="2695"/>
      <c r="AT170" s="2703"/>
      <c r="AU170" s="2704"/>
      <c r="AV170" s="1074">
        <f t="shared" si="93"/>
        <v>0</v>
      </c>
      <c r="AW170" s="1074">
        <f t="shared" si="94"/>
        <v>0</v>
      </c>
      <c r="AX170" s="1074">
        <f t="shared" si="95"/>
        <v>0</v>
      </c>
      <c r="AY170" s="2279">
        <f t="shared" si="70"/>
        <v>0</v>
      </c>
      <c r="AZ170" s="2675">
        <f t="shared" si="71"/>
        <v>0</v>
      </c>
      <c r="BA170" s="2675">
        <f t="shared" si="72"/>
        <v>0</v>
      </c>
      <c r="BB170" s="2675">
        <f t="shared" si="73"/>
        <v>0</v>
      </c>
      <c r="BC170" s="2675">
        <f t="shared" si="74"/>
        <v>0</v>
      </c>
      <c r="BD170" s="2675">
        <f t="shared" si="75"/>
        <v>0</v>
      </c>
      <c r="BE170" s="2675">
        <f t="shared" si="76"/>
        <v>0</v>
      </c>
      <c r="BF170" s="2675">
        <f t="shared" si="77"/>
        <v>0</v>
      </c>
      <c r="BG170" s="2675">
        <f t="shared" si="78"/>
        <v>0</v>
      </c>
      <c r="BH170" s="2675">
        <f t="shared" si="79"/>
        <v>0</v>
      </c>
      <c r="BI170" s="2675">
        <f t="shared" si="80"/>
        <v>0</v>
      </c>
      <c r="BJ170" s="2675">
        <f t="shared" si="81"/>
        <v>0</v>
      </c>
      <c r="BK170" s="2675">
        <f t="shared" si="82"/>
        <v>0</v>
      </c>
      <c r="BL170" s="2675">
        <f t="shared" si="83"/>
        <v>0</v>
      </c>
      <c r="BM170" s="2675">
        <f t="shared" si="84"/>
        <v>0</v>
      </c>
      <c r="BN170" s="2675">
        <f t="shared" si="85"/>
        <v>0</v>
      </c>
      <c r="BO170" s="2675">
        <f t="shared" si="86"/>
        <v>0</v>
      </c>
      <c r="BP170" s="2675">
        <f t="shared" si="87"/>
        <v>0</v>
      </c>
      <c r="BQ170" s="2675">
        <f t="shared" si="88"/>
        <v>0</v>
      </c>
      <c r="BR170" s="2675">
        <f t="shared" si="89"/>
        <v>0</v>
      </c>
      <c r="BS170" s="2675">
        <f t="shared" si="90"/>
        <v>0</v>
      </c>
      <c r="BT170" s="2722">
        <f t="shared" si="91"/>
        <v>0</v>
      </c>
    </row>
    <row r="171" spans="1:72">
      <c r="A171" s="2673"/>
      <c r="B171" s="2674"/>
      <c r="C171" s="2674"/>
      <c r="D171" s="2277"/>
      <c r="E171" s="2675">
        <f t="shared" si="92"/>
        <v>0</v>
      </c>
      <c r="F171" s="2676"/>
      <c r="G171" s="2677">
        <f t="shared" si="67"/>
        <v>0</v>
      </c>
      <c r="H171" s="2678">
        <f t="shared" si="68"/>
        <v>0</v>
      </c>
      <c r="I171" s="2685"/>
      <c r="J171" s="2685"/>
      <c r="K171" s="2685"/>
      <c r="L171" s="2685"/>
      <c r="M171" s="2685"/>
      <c r="N171" s="2685"/>
      <c r="O171" s="2685"/>
      <c r="P171" s="2685"/>
      <c r="Q171" s="2685"/>
      <c r="R171" s="2685"/>
      <c r="S171" s="2685"/>
      <c r="T171" s="2685"/>
      <c r="U171" s="2685"/>
      <c r="V171" s="2685"/>
      <c r="W171" s="2685"/>
      <c r="X171" s="2685"/>
      <c r="Y171" s="2685"/>
      <c r="Z171" s="2685"/>
      <c r="AA171" s="2685"/>
      <c r="AB171" s="2685"/>
      <c r="AC171" s="2675">
        <f t="shared" si="69"/>
        <v>0</v>
      </c>
      <c r="AD171" s="2695"/>
      <c r="AE171" s="2695"/>
      <c r="AF171" s="2695"/>
      <c r="AG171" s="2695"/>
      <c r="AH171" s="2695"/>
      <c r="AI171" s="2695"/>
      <c r="AJ171" s="2695"/>
      <c r="AK171" s="2695"/>
      <c r="AL171" s="2695"/>
      <c r="AM171" s="2695"/>
      <c r="AN171" s="2695"/>
      <c r="AO171" s="2695"/>
      <c r="AP171" s="2695"/>
      <c r="AQ171" s="2695"/>
      <c r="AR171" s="2695"/>
      <c r="AS171" s="2695"/>
      <c r="AT171" s="2703"/>
      <c r="AU171" s="2704"/>
      <c r="AV171" s="1074">
        <f t="shared" si="93"/>
        <v>0</v>
      </c>
      <c r="AW171" s="1074">
        <f t="shared" si="94"/>
        <v>0</v>
      </c>
      <c r="AX171" s="1074">
        <f t="shared" si="95"/>
        <v>0</v>
      </c>
      <c r="AY171" s="2279">
        <f t="shared" si="70"/>
        <v>0</v>
      </c>
      <c r="AZ171" s="2675">
        <f t="shared" si="71"/>
        <v>0</v>
      </c>
      <c r="BA171" s="2675">
        <f t="shared" si="72"/>
        <v>0</v>
      </c>
      <c r="BB171" s="2675">
        <f t="shared" si="73"/>
        <v>0</v>
      </c>
      <c r="BC171" s="2675">
        <f t="shared" si="74"/>
        <v>0</v>
      </c>
      <c r="BD171" s="2675">
        <f t="shared" si="75"/>
        <v>0</v>
      </c>
      <c r="BE171" s="2675">
        <f t="shared" si="76"/>
        <v>0</v>
      </c>
      <c r="BF171" s="2675">
        <f t="shared" si="77"/>
        <v>0</v>
      </c>
      <c r="BG171" s="2675">
        <f t="shared" si="78"/>
        <v>0</v>
      </c>
      <c r="BH171" s="2675">
        <f t="shared" si="79"/>
        <v>0</v>
      </c>
      <c r="BI171" s="2675">
        <f t="shared" si="80"/>
        <v>0</v>
      </c>
      <c r="BJ171" s="2675">
        <f t="shared" si="81"/>
        <v>0</v>
      </c>
      <c r="BK171" s="2675">
        <f t="shared" si="82"/>
        <v>0</v>
      </c>
      <c r="BL171" s="2675">
        <f t="shared" si="83"/>
        <v>0</v>
      </c>
      <c r="BM171" s="2675">
        <f t="shared" si="84"/>
        <v>0</v>
      </c>
      <c r="BN171" s="2675">
        <f t="shared" si="85"/>
        <v>0</v>
      </c>
      <c r="BO171" s="2675">
        <f t="shared" si="86"/>
        <v>0</v>
      </c>
      <c r="BP171" s="2675">
        <f t="shared" si="87"/>
        <v>0</v>
      </c>
      <c r="BQ171" s="2675">
        <f t="shared" si="88"/>
        <v>0</v>
      </c>
      <c r="BR171" s="2675">
        <f t="shared" si="89"/>
        <v>0</v>
      </c>
      <c r="BS171" s="2675">
        <f t="shared" si="90"/>
        <v>0</v>
      </c>
      <c r="BT171" s="2722">
        <f t="shared" si="91"/>
        <v>0</v>
      </c>
    </row>
    <row r="172" spans="1:72">
      <c r="A172" s="2673"/>
      <c r="B172" s="2674"/>
      <c r="C172" s="2674"/>
      <c r="D172" s="2277"/>
      <c r="E172" s="2675">
        <f t="shared" si="92"/>
        <v>0</v>
      </c>
      <c r="F172" s="2676"/>
      <c r="G172" s="2677">
        <f t="shared" si="67"/>
        <v>0</v>
      </c>
      <c r="H172" s="2678">
        <f t="shared" si="68"/>
        <v>0</v>
      </c>
      <c r="I172" s="2685"/>
      <c r="J172" s="2685"/>
      <c r="K172" s="2685"/>
      <c r="L172" s="2685"/>
      <c r="M172" s="2685"/>
      <c r="N172" s="2685"/>
      <c r="O172" s="2685"/>
      <c r="P172" s="2685"/>
      <c r="Q172" s="2685"/>
      <c r="R172" s="2685"/>
      <c r="S172" s="2685"/>
      <c r="T172" s="2685"/>
      <c r="U172" s="2685"/>
      <c r="V172" s="2685"/>
      <c r="W172" s="2685"/>
      <c r="X172" s="2685"/>
      <c r="Y172" s="2685"/>
      <c r="Z172" s="2685"/>
      <c r="AA172" s="2685"/>
      <c r="AB172" s="2685"/>
      <c r="AC172" s="2675">
        <f t="shared" si="69"/>
        <v>0</v>
      </c>
      <c r="AD172" s="2695"/>
      <c r="AE172" s="2695"/>
      <c r="AF172" s="2695"/>
      <c r="AG172" s="2695"/>
      <c r="AH172" s="2695"/>
      <c r="AI172" s="2695"/>
      <c r="AJ172" s="2695"/>
      <c r="AK172" s="2695"/>
      <c r="AL172" s="2695"/>
      <c r="AM172" s="2695"/>
      <c r="AN172" s="2695"/>
      <c r="AO172" s="2695"/>
      <c r="AP172" s="2695"/>
      <c r="AQ172" s="2695"/>
      <c r="AR172" s="2695"/>
      <c r="AS172" s="2695"/>
      <c r="AT172" s="2703"/>
      <c r="AU172" s="2704"/>
      <c r="AV172" s="1074">
        <f t="shared" si="93"/>
        <v>0</v>
      </c>
      <c r="AW172" s="1074">
        <f t="shared" si="94"/>
        <v>0</v>
      </c>
      <c r="AX172" s="1074">
        <f t="shared" si="95"/>
        <v>0</v>
      </c>
      <c r="AY172" s="2279">
        <f t="shared" si="70"/>
        <v>0</v>
      </c>
      <c r="AZ172" s="2675">
        <f t="shared" si="71"/>
        <v>0</v>
      </c>
      <c r="BA172" s="2675">
        <f t="shared" si="72"/>
        <v>0</v>
      </c>
      <c r="BB172" s="2675">
        <f t="shared" si="73"/>
        <v>0</v>
      </c>
      <c r="BC172" s="2675">
        <f t="shared" si="74"/>
        <v>0</v>
      </c>
      <c r="BD172" s="2675">
        <f t="shared" si="75"/>
        <v>0</v>
      </c>
      <c r="BE172" s="2675">
        <f t="shared" si="76"/>
        <v>0</v>
      </c>
      <c r="BF172" s="2675">
        <f t="shared" si="77"/>
        <v>0</v>
      </c>
      <c r="BG172" s="2675">
        <f t="shared" si="78"/>
        <v>0</v>
      </c>
      <c r="BH172" s="2675">
        <f t="shared" si="79"/>
        <v>0</v>
      </c>
      <c r="BI172" s="2675">
        <f t="shared" si="80"/>
        <v>0</v>
      </c>
      <c r="BJ172" s="2675">
        <f t="shared" si="81"/>
        <v>0</v>
      </c>
      <c r="BK172" s="2675">
        <f t="shared" si="82"/>
        <v>0</v>
      </c>
      <c r="BL172" s="2675">
        <f t="shared" si="83"/>
        <v>0</v>
      </c>
      <c r="BM172" s="2675">
        <f t="shared" si="84"/>
        <v>0</v>
      </c>
      <c r="BN172" s="2675">
        <f t="shared" si="85"/>
        <v>0</v>
      </c>
      <c r="BO172" s="2675">
        <f t="shared" si="86"/>
        <v>0</v>
      </c>
      <c r="BP172" s="2675">
        <f t="shared" si="87"/>
        <v>0</v>
      </c>
      <c r="BQ172" s="2675">
        <f t="shared" si="88"/>
        <v>0</v>
      </c>
      <c r="BR172" s="2675">
        <f t="shared" si="89"/>
        <v>0</v>
      </c>
      <c r="BS172" s="2675">
        <f t="shared" si="90"/>
        <v>0</v>
      </c>
      <c r="BT172" s="2722">
        <f t="shared" si="91"/>
        <v>0</v>
      </c>
    </row>
    <row r="173" spans="1:72">
      <c r="A173" s="2673"/>
      <c r="B173" s="2674"/>
      <c r="C173" s="2674"/>
      <c r="D173" s="2277"/>
      <c r="E173" s="2675">
        <f t="shared" si="92"/>
        <v>0</v>
      </c>
      <c r="F173" s="2676"/>
      <c r="G173" s="2677">
        <f t="shared" si="67"/>
        <v>0</v>
      </c>
      <c r="H173" s="2678">
        <f t="shared" si="68"/>
        <v>0</v>
      </c>
      <c r="I173" s="2685"/>
      <c r="J173" s="2685"/>
      <c r="K173" s="2685"/>
      <c r="L173" s="2685"/>
      <c r="M173" s="2685"/>
      <c r="N173" s="2685"/>
      <c r="O173" s="2685"/>
      <c r="P173" s="2685"/>
      <c r="Q173" s="2685"/>
      <c r="R173" s="2685"/>
      <c r="S173" s="2685"/>
      <c r="T173" s="2685"/>
      <c r="U173" s="2685"/>
      <c r="V173" s="2685"/>
      <c r="W173" s="2685"/>
      <c r="X173" s="2685"/>
      <c r="Y173" s="2685"/>
      <c r="Z173" s="2685"/>
      <c r="AA173" s="2685"/>
      <c r="AB173" s="2685"/>
      <c r="AC173" s="2675">
        <f t="shared" si="69"/>
        <v>0</v>
      </c>
      <c r="AD173" s="2695"/>
      <c r="AE173" s="2695"/>
      <c r="AF173" s="2695"/>
      <c r="AG173" s="2695"/>
      <c r="AH173" s="2695"/>
      <c r="AI173" s="2695"/>
      <c r="AJ173" s="2695"/>
      <c r="AK173" s="2695"/>
      <c r="AL173" s="2695"/>
      <c r="AM173" s="2695"/>
      <c r="AN173" s="2695"/>
      <c r="AO173" s="2695"/>
      <c r="AP173" s="2695"/>
      <c r="AQ173" s="2695"/>
      <c r="AR173" s="2695"/>
      <c r="AS173" s="2695"/>
      <c r="AT173" s="2703"/>
      <c r="AU173" s="2704"/>
      <c r="AV173" s="1074">
        <f t="shared" si="93"/>
        <v>0</v>
      </c>
      <c r="AW173" s="1074">
        <f t="shared" si="94"/>
        <v>0</v>
      </c>
      <c r="AX173" s="1074">
        <f t="shared" si="95"/>
        <v>0</v>
      </c>
      <c r="AY173" s="2279">
        <f t="shared" si="70"/>
        <v>0</v>
      </c>
      <c r="AZ173" s="2675">
        <f t="shared" si="71"/>
        <v>0</v>
      </c>
      <c r="BA173" s="2675">
        <f t="shared" si="72"/>
        <v>0</v>
      </c>
      <c r="BB173" s="2675">
        <f t="shared" si="73"/>
        <v>0</v>
      </c>
      <c r="BC173" s="2675">
        <f t="shared" si="74"/>
        <v>0</v>
      </c>
      <c r="BD173" s="2675">
        <f t="shared" si="75"/>
        <v>0</v>
      </c>
      <c r="BE173" s="2675">
        <f t="shared" si="76"/>
        <v>0</v>
      </c>
      <c r="BF173" s="2675">
        <f t="shared" si="77"/>
        <v>0</v>
      </c>
      <c r="BG173" s="2675">
        <f t="shared" si="78"/>
        <v>0</v>
      </c>
      <c r="BH173" s="2675">
        <f t="shared" si="79"/>
        <v>0</v>
      </c>
      <c r="BI173" s="2675">
        <f t="shared" si="80"/>
        <v>0</v>
      </c>
      <c r="BJ173" s="2675">
        <f t="shared" si="81"/>
        <v>0</v>
      </c>
      <c r="BK173" s="2675">
        <f t="shared" si="82"/>
        <v>0</v>
      </c>
      <c r="BL173" s="2675">
        <f t="shared" si="83"/>
        <v>0</v>
      </c>
      <c r="BM173" s="2675">
        <f t="shared" si="84"/>
        <v>0</v>
      </c>
      <c r="BN173" s="2675">
        <f t="shared" si="85"/>
        <v>0</v>
      </c>
      <c r="BO173" s="2675">
        <f t="shared" si="86"/>
        <v>0</v>
      </c>
      <c r="BP173" s="2675">
        <f t="shared" si="87"/>
        <v>0</v>
      </c>
      <c r="BQ173" s="2675">
        <f t="shared" si="88"/>
        <v>0</v>
      </c>
      <c r="BR173" s="2675">
        <f t="shared" si="89"/>
        <v>0</v>
      </c>
      <c r="BS173" s="2675">
        <f t="shared" si="90"/>
        <v>0</v>
      </c>
      <c r="BT173" s="2722">
        <f t="shared" si="91"/>
        <v>0</v>
      </c>
    </row>
    <row r="174" spans="1:72">
      <c r="A174" s="2673"/>
      <c r="B174" s="2674"/>
      <c r="C174" s="2674"/>
      <c r="D174" s="2277"/>
      <c r="E174" s="2675">
        <f t="shared" si="92"/>
        <v>0</v>
      </c>
      <c r="F174" s="2676"/>
      <c r="G174" s="2677">
        <f t="shared" ref="G174:G207" si="96">H174+AC174+AT174</f>
        <v>0</v>
      </c>
      <c r="H174" s="2678">
        <f t="shared" ref="H174:H207" si="97">SUMIF(I$12:AB$12,"总值",I174:AB174)</f>
        <v>0</v>
      </c>
      <c r="I174" s="2685"/>
      <c r="J174" s="2685"/>
      <c r="K174" s="2685"/>
      <c r="L174" s="2685"/>
      <c r="M174" s="2685"/>
      <c r="N174" s="2685"/>
      <c r="O174" s="2685"/>
      <c r="P174" s="2685"/>
      <c r="Q174" s="2685"/>
      <c r="R174" s="2685"/>
      <c r="S174" s="2685"/>
      <c r="T174" s="2685"/>
      <c r="U174" s="2685"/>
      <c r="V174" s="2685"/>
      <c r="W174" s="2685"/>
      <c r="X174" s="2685"/>
      <c r="Y174" s="2685"/>
      <c r="Z174" s="2685"/>
      <c r="AA174" s="2685"/>
      <c r="AB174" s="2685"/>
      <c r="AC174" s="2675">
        <f t="shared" ref="AC174:AC207" si="98">SUMIF(AD$12:AS$12,"总值",AD174:AS174)</f>
        <v>0</v>
      </c>
      <c r="AD174" s="2695"/>
      <c r="AE174" s="2695"/>
      <c r="AF174" s="2695"/>
      <c r="AG174" s="2695"/>
      <c r="AH174" s="2695"/>
      <c r="AI174" s="2695"/>
      <c r="AJ174" s="2695"/>
      <c r="AK174" s="2695"/>
      <c r="AL174" s="2695"/>
      <c r="AM174" s="2695"/>
      <c r="AN174" s="2695"/>
      <c r="AO174" s="2695"/>
      <c r="AP174" s="2695"/>
      <c r="AQ174" s="2695"/>
      <c r="AR174" s="2695"/>
      <c r="AS174" s="2695"/>
      <c r="AT174" s="2703"/>
      <c r="AU174" s="2704"/>
      <c r="AV174" s="1074">
        <f t="shared" si="93"/>
        <v>0</v>
      </c>
      <c r="AW174" s="1074">
        <f t="shared" si="94"/>
        <v>0</v>
      </c>
      <c r="AX174" s="1074">
        <f t="shared" si="95"/>
        <v>0</v>
      </c>
      <c r="AY174" s="2279">
        <f t="shared" ref="AY174:AY207" si="99">ROUND($AY$6*AZ174/$AZ$5,2)</f>
        <v>0</v>
      </c>
      <c r="AZ174" s="2675">
        <f t="shared" ref="AZ174:AZ207" si="100">BA174+BL174</f>
        <v>0</v>
      </c>
      <c r="BA174" s="2675">
        <f t="shared" ref="BA174:BA207" si="101">SUM(BB174:BK174)</f>
        <v>0</v>
      </c>
      <c r="BB174" s="2675">
        <f t="shared" ref="BB174:BB207" si="102">IF($D174="是",I174-J174,0)</f>
        <v>0</v>
      </c>
      <c r="BC174" s="2675">
        <f t="shared" ref="BC174:BC207" si="103">IF($D174="是",K174-L174,0)</f>
        <v>0</v>
      </c>
      <c r="BD174" s="2675">
        <f t="shared" ref="BD174:BD207" si="104">IF($D174="是",M174-N174,0)</f>
        <v>0</v>
      </c>
      <c r="BE174" s="2675">
        <f t="shared" ref="BE174:BE207" si="105">IF($D174="是",O174-P174,0)</f>
        <v>0</v>
      </c>
      <c r="BF174" s="2675">
        <f t="shared" ref="BF174:BF207" si="106">IF($D174="是",Q174-R174,0)</f>
        <v>0</v>
      </c>
      <c r="BG174" s="2675">
        <f t="shared" ref="BG174:BG207" si="107">IF($D174="是",S174-T174,0)</f>
        <v>0</v>
      </c>
      <c r="BH174" s="2675">
        <f t="shared" ref="BH174:BH207" si="108">IF($D174="是",U174-V174,0)</f>
        <v>0</v>
      </c>
      <c r="BI174" s="2675">
        <f t="shared" ref="BI174:BI207" si="109">IF($D174="是",W174-X174,0)</f>
        <v>0</v>
      </c>
      <c r="BJ174" s="2675">
        <f t="shared" ref="BJ174:BJ207" si="110">IF($D174="是",Y174-Z174,0)</f>
        <v>0</v>
      </c>
      <c r="BK174" s="2675">
        <f t="shared" ref="BK174:BK207" si="111">IF($D174="是",AA174-AB174,0)</f>
        <v>0</v>
      </c>
      <c r="BL174" s="2675">
        <f t="shared" ref="BL174:BL207" si="112">SUM(BM174:BT174)</f>
        <v>0</v>
      </c>
      <c r="BM174" s="2675">
        <f t="shared" ref="BM174:BM207" si="113">IF($D174="是",AD174-AE174,0)</f>
        <v>0</v>
      </c>
      <c r="BN174" s="2675">
        <f t="shared" ref="BN174:BN207" si="114">IF($D174="是",AF174-AG174,0)</f>
        <v>0</v>
      </c>
      <c r="BO174" s="2675">
        <f t="shared" ref="BO174:BO207" si="115">IF($D174="是",AH174-AI174,0)</f>
        <v>0</v>
      </c>
      <c r="BP174" s="2675">
        <f t="shared" ref="BP174:BP207" si="116">IF($D174="是",AJ174-AK174,0)</f>
        <v>0</v>
      </c>
      <c r="BQ174" s="2675">
        <f t="shared" ref="BQ174:BQ207" si="117">IF($D174="是",AL174-AM174,0)</f>
        <v>0</v>
      </c>
      <c r="BR174" s="2675">
        <f t="shared" ref="BR174:BR207" si="118">IF($D174="是",AN174-AO174,0)</f>
        <v>0</v>
      </c>
      <c r="BS174" s="2675">
        <f t="shared" ref="BS174:BS207" si="119">IF($D174="是",AP174-AQ174,0)</f>
        <v>0</v>
      </c>
      <c r="BT174" s="2722">
        <f t="shared" ref="BT174:BT207" si="120">IF($D174="是",AR174-AS174,0)</f>
        <v>0</v>
      </c>
    </row>
    <row r="175" spans="1:72">
      <c r="A175" s="2673"/>
      <c r="B175" s="2674"/>
      <c r="C175" s="2674"/>
      <c r="D175" s="2277"/>
      <c r="E175" s="2675">
        <f t="shared" si="92"/>
        <v>0</v>
      </c>
      <c r="F175" s="2676"/>
      <c r="G175" s="2677">
        <f t="shared" si="96"/>
        <v>0</v>
      </c>
      <c r="H175" s="2678">
        <f t="shared" si="97"/>
        <v>0</v>
      </c>
      <c r="I175" s="2685"/>
      <c r="J175" s="2685"/>
      <c r="K175" s="2685"/>
      <c r="L175" s="2685"/>
      <c r="M175" s="2685"/>
      <c r="N175" s="2685"/>
      <c r="O175" s="2685"/>
      <c r="P175" s="2685"/>
      <c r="Q175" s="2685"/>
      <c r="R175" s="2685"/>
      <c r="S175" s="2685"/>
      <c r="T175" s="2685"/>
      <c r="U175" s="2685"/>
      <c r="V175" s="2685"/>
      <c r="W175" s="2685"/>
      <c r="X175" s="2685"/>
      <c r="Y175" s="2685"/>
      <c r="Z175" s="2685"/>
      <c r="AA175" s="2685"/>
      <c r="AB175" s="2685"/>
      <c r="AC175" s="2675">
        <f t="shared" si="98"/>
        <v>0</v>
      </c>
      <c r="AD175" s="2695"/>
      <c r="AE175" s="2695"/>
      <c r="AF175" s="2695"/>
      <c r="AG175" s="2695"/>
      <c r="AH175" s="2695"/>
      <c r="AI175" s="2695"/>
      <c r="AJ175" s="2695"/>
      <c r="AK175" s="2695"/>
      <c r="AL175" s="2695"/>
      <c r="AM175" s="2695"/>
      <c r="AN175" s="2695"/>
      <c r="AO175" s="2695"/>
      <c r="AP175" s="2695"/>
      <c r="AQ175" s="2695"/>
      <c r="AR175" s="2695"/>
      <c r="AS175" s="2695"/>
      <c r="AT175" s="2703"/>
      <c r="AU175" s="2704"/>
      <c r="AV175" s="1074">
        <f t="shared" si="93"/>
        <v>0</v>
      </c>
      <c r="AW175" s="1074">
        <f t="shared" si="94"/>
        <v>0</v>
      </c>
      <c r="AX175" s="1074">
        <f t="shared" si="95"/>
        <v>0</v>
      </c>
      <c r="AY175" s="2279">
        <f t="shared" si="99"/>
        <v>0</v>
      </c>
      <c r="AZ175" s="2675">
        <f t="shared" si="100"/>
        <v>0</v>
      </c>
      <c r="BA175" s="2675">
        <f t="shared" si="101"/>
        <v>0</v>
      </c>
      <c r="BB175" s="2675">
        <f t="shared" si="102"/>
        <v>0</v>
      </c>
      <c r="BC175" s="2675">
        <f t="shared" si="103"/>
        <v>0</v>
      </c>
      <c r="BD175" s="2675">
        <f t="shared" si="104"/>
        <v>0</v>
      </c>
      <c r="BE175" s="2675">
        <f t="shared" si="105"/>
        <v>0</v>
      </c>
      <c r="BF175" s="2675">
        <f t="shared" si="106"/>
        <v>0</v>
      </c>
      <c r="BG175" s="2675">
        <f t="shared" si="107"/>
        <v>0</v>
      </c>
      <c r="BH175" s="2675">
        <f t="shared" si="108"/>
        <v>0</v>
      </c>
      <c r="BI175" s="2675">
        <f t="shared" si="109"/>
        <v>0</v>
      </c>
      <c r="BJ175" s="2675">
        <f t="shared" si="110"/>
        <v>0</v>
      </c>
      <c r="BK175" s="2675">
        <f t="shared" si="111"/>
        <v>0</v>
      </c>
      <c r="BL175" s="2675">
        <f t="shared" si="112"/>
        <v>0</v>
      </c>
      <c r="BM175" s="2675">
        <f t="shared" si="113"/>
        <v>0</v>
      </c>
      <c r="BN175" s="2675">
        <f t="shared" si="114"/>
        <v>0</v>
      </c>
      <c r="BO175" s="2675">
        <f t="shared" si="115"/>
        <v>0</v>
      </c>
      <c r="BP175" s="2675">
        <f t="shared" si="116"/>
        <v>0</v>
      </c>
      <c r="BQ175" s="2675">
        <f t="shared" si="117"/>
        <v>0</v>
      </c>
      <c r="BR175" s="2675">
        <f t="shared" si="118"/>
        <v>0</v>
      </c>
      <c r="BS175" s="2675">
        <f t="shared" si="119"/>
        <v>0</v>
      </c>
      <c r="BT175" s="2722">
        <f t="shared" si="120"/>
        <v>0</v>
      </c>
    </row>
    <row r="176" spans="1:72">
      <c r="A176" s="2673"/>
      <c r="B176" s="2674"/>
      <c r="C176" s="2674"/>
      <c r="D176" s="2277"/>
      <c r="E176" s="2675">
        <f t="shared" si="92"/>
        <v>0</v>
      </c>
      <c r="F176" s="2676"/>
      <c r="G176" s="2677">
        <f t="shared" si="96"/>
        <v>0</v>
      </c>
      <c r="H176" s="2678">
        <f t="shared" si="97"/>
        <v>0</v>
      </c>
      <c r="I176" s="2685"/>
      <c r="J176" s="2685"/>
      <c r="K176" s="2685"/>
      <c r="L176" s="2685"/>
      <c r="M176" s="2685"/>
      <c r="N176" s="2685"/>
      <c r="O176" s="2685"/>
      <c r="P176" s="2685"/>
      <c r="Q176" s="2685"/>
      <c r="R176" s="2685"/>
      <c r="S176" s="2685"/>
      <c r="T176" s="2685"/>
      <c r="U176" s="2685"/>
      <c r="V176" s="2685"/>
      <c r="W176" s="2685"/>
      <c r="X176" s="2685"/>
      <c r="Y176" s="2685"/>
      <c r="Z176" s="2685"/>
      <c r="AA176" s="2685"/>
      <c r="AB176" s="2685"/>
      <c r="AC176" s="2675">
        <f t="shared" si="98"/>
        <v>0</v>
      </c>
      <c r="AD176" s="2695"/>
      <c r="AE176" s="2695"/>
      <c r="AF176" s="2695"/>
      <c r="AG176" s="2695"/>
      <c r="AH176" s="2695"/>
      <c r="AI176" s="2695"/>
      <c r="AJ176" s="2695"/>
      <c r="AK176" s="2695"/>
      <c r="AL176" s="2695"/>
      <c r="AM176" s="2695"/>
      <c r="AN176" s="2695"/>
      <c r="AO176" s="2695"/>
      <c r="AP176" s="2695"/>
      <c r="AQ176" s="2695"/>
      <c r="AR176" s="2695"/>
      <c r="AS176" s="2695"/>
      <c r="AT176" s="2703"/>
      <c r="AU176" s="2704"/>
      <c r="AV176" s="1074">
        <f t="shared" si="93"/>
        <v>0</v>
      </c>
      <c r="AW176" s="1074">
        <f t="shared" si="94"/>
        <v>0</v>
      </c>
      <c r="AX176" s="1074">
        <f t="shared" si="95"/>
        <v>0</v>
      </c>
      <c r="AY176" s="2279">
        <f t="shared" si="99"/>
        <v>0</v>
      </c>
      <c r="AZ176" s="2675">
        <f t="shared" si="100"/>
        <v>0</v>
      </c>
      <c r="BA176" s="2675">
        <f t="shared" si="101"/>
        <v>0</v>
      </c>
      <c r="BB176" s="2675">
        <f t="shared" si="102"/>
        <v>0</v>
      </c>
      <c r="BC176" s="2675">
        <f t="shared" si="103"/>
        <v>0</v>
      </c>
      <c r="BD176" s="2675">
        <f t="shared" si="104"/>
        <v>0</v>
      </c>
      <c r="BE176" s="2675">
        <f t="shared" si="105"/>
        <v>0</v>
      </c>
      <c r="BF176" s="2675">
        <f t="shared" si="106"/>
        <v>0</v>
      </c>
      <c r="BG176" s="2675">
        <f t="shared" si="107"/>
        <v>0</v>
      </c>
      <c r="BH176" s="2675">
        <f t="shared" si="108"/>
        <v>0</v>
      </c>
      <c r="BI176" s="2675">
        <f t="shared" si="109"/>
        <v>0</v>
      </c>
      <c r="BJ176" s="2675">
        <f t="shared" si="110"/>
        <v>0</v>
      </c>
      <c r="BK176" s="2675">
        <f t="shared" si="111"/>
        <v>0</v>
      </c>
      <c r="BL176" s="2675">
        <f t="shared" si="112"/>
        <v>0</v>
      </c>
      <c r="BM176" s="2675">
        <f t="shared" si="113"/>
        <v>0</v>
      </c>
      <c r="BN176" s="2675">
        <f t="shared" si="114"/>
        <v>0</v>
      </c>
      <c r="BO176" s="2675">
        <f t="shared" si="115"/>
        <v>0</v>
      </c>
      <c r="BP176" s="2675">
        <f t="shared" si="116"/>
        <v>0</v>
      </c>
      <c r="BQ176" s="2675">
        <f t="shared" si="117"/>
        <v>0</v>
      </c>
      <c r="BR176" s="2675">
        <f t="shared" si="118"/>
        <v>0</v>
      </c>
      <c r="BS176" s="2675">
        <f t="shared" si="119"/>
        <v>0</v>
      </c>
      <c r="BT176" s="2722">
        <f t="shared" si="120"/>
        <v>0</v>
      </c>
    </row>
    <row r="177" spans="1:72">
      <c r="A177" s="2673"/>
      <c r="B177" s="2674"/>
      <c r="C177" s="2674"/>
      <c r="D177" s="2277"/>
      <c r="E177" s="2675">
        <f t="shared" ref="E177:E207" si="121">IF($C$3="是",ROUND($A$3*G177/$B$3,2),ROUND($A$3*(G177-AT177)/$B$3,2))</f>
        <v>0</v>
      </c>
      <c r="F177" s="2676"/>
      <c r="G177" s="2677">
        <f t="shared" si="96"/>
        <v>0</v>
      </c>
      <c r="H177" s="2678">
        <f t="shared" si="97"/>
        <v>0</v>
      </c>
      <c r="I177" s="2685"/>
      <c r="J177" s="2685"/>
      <c r="K177" s="2685"/>
      <c r="L177" s="2685"/>
      <c r="M177" s="2685"/>
      <c r="N177" s="2685"/>
      <c r="O177" s="2685"/>
      <c r="P177" s="2685"/>
      <c r="Q177" s="2685"/>
      <c r="R177" s="2685"/>
      <c r="S177" s="2685"/>
      <c r="T177" s="2685"/>
      <c r="U177" s="2685"/>
      <c r="V177" s="2685"/>
      <c r="W177" s="2685"/>
      <c r="X177" s="2685"/>
      <c r="Y177" s="2685"/>
      <c r="Z177" s="2685"/>
      <c r="AA177" s="2685"/>
      <c r="AB177" s="2685"/>
      <c r="AC177" s="2675">
        <f t="shared" si="98"/>
        <v>0</v>
      </c>
      <c r="AD177" s="2695"/>
      <c r="AE177" s="2695"/>
      <c r="AF177" s="2695"/>
      <c r="AG177" s="2695"/>
      <c r="AH177" s="2695"/>
      <c r="AI177" s="2695"/>
      <c r="AJ177" s="2695"/>
      <c r="AK177" s="2695"/>
      <c r="AL177" s="2695"/>
      <c r="AM177" s="2695"/>
      <c r="AN177" s="2695"/>
      <c r="AO177" s="2695"/>
      <c r="AP177" s="2695"/>
      <c r="AQ177" s="2695"/>
      <c r="AR177" s="2695"/>
      <c r="AS177" s="2695"/>
      <c r="AT177" s="2703"/>
      <c r="AU177" s="2704"/>
      <c r="AV177" s="1074">
        <f t="shared" ref="AV177:AV207" si="122">A177</f>
        <v>0</v>
      </c>
      <c r="AW177" s="1074">
        <f t="shared" ref="AW177:AW207" si="123">B177</f>
        <v>0</v>
      </c>
      <c r="AX177" s="1074">
        <f t="shared" ref="AX177:AX207" si="124">C177</f>
        <v>0</v>
      </c>
      <c r="AY177" s="2279">
        <f t="shared" si="99"/>
        <v>0</v>
      </c>
      <c r="AZ177" s="2675">
        <f t="shared" si="100"/>
        <v>0</v>
      </c>
      <c r="BA177" s="2675">
        <f t="shared" si="101"/>
        <v>0</v>
      </c>
      <c r="BB177" s="2675">
        <f t="shared" si="102"/>
        <v>0</v>
      </c>
      <c r="BC177" s="2675">
        <f t="shared" si="103"/>
        <v>0</v>
      </c>
      <c r="BD177" s="2675">
        <f t="shared" si="104"/>
        <v>0</v>
      </c>
      <c r="BE177" s="2675">
        <f t="shared" si="105"/>
        <v>0</v>
      </c>
      <c r="BF177" s="2675">
        <f t="shared" si="106"/>
        <v>0</v>
      </c>
      <c r="BG177" s="2675">
        <f t="shared" si="107"/>
        <v>0</v>
      </c>
      <c r="BH177" s="2675">
        <f t="shared" si="108"/>
        <v>0</v>
      </c>
      <c r="BI177" s="2675">
        <f t="shared" si="109"/>
        <v>0</v>
      </c>
      <c r="BJ177" s="2675">
        <f t="shared" si="110"/>
        <v>0</v>
      </c>
      <c r="BK177" s="2675">
        <f t="shared" si="111"/>
        <v>0</v>
      </c>
      <c r="BL177" s="2675">
        <f t="shared" si="112"/>
        <v>0</v>
      </c>
      <c r="BM177" s="2675">
        <f t="shared" si="113"/>
        <v>0</v>
      </c>
      <c r="BN177" s="2675">
        <f t="shared" si="114"/>
        <v>0</v>
      </c>
      <c r="BO177" s="2675">
        <f t="shared" si="115"/>
        <v>0</v>
      </c>
      <c r="BP177" s="2675">
        <f t="shared" si="116"/>
        <v>0</v>
      </c>
      <c r="BQ177" s="2675">
        <f t="shared" si="117"/>
        <v>0</v>
      </c>
      <c r="BR177" s="2675">
        <f t="shared" si="118"/>
        <v>0</v>
      </c>
      <c r="BS177" s="2675">
        <f t="shared" si="119"/>
        <v>0</v>
      </c>
      <c r="BT177" s="2722">
        <f t="shared" si="120"/>
        <v>0</v>
      </c>
    </row>
    <row r="178" spans="1:72">
      <c r="A178" s="2673"/>
      <c r="B178" s="2674"/>
      <c r="C178" s="2674"/>
      <c r="D178" s="2277"/>
      <c r="E178" s="2675">
        <f t="shared" si="121"/>
        <v>0</v>
      </c>
      <c r="F178" s="2676"/>
      <c r="G178" s="2677">
        <f t="shared" si="96"/>
        <v>0</v>
      </c>
      <c r="H178" s="2678">
        <f t="shared" si="97"/>
        <v>0</v>
      </c>
      <c r="I178" s="2685"/>
      <c r="J178" s="2685"/>
      <c r="K178" s="2685"/>
      <c r="L178" s="2685"/>
      <c r="M178" s="2685"/>
      <c r="N178" s="2685"/>
      <c r="O178" s="2685"/>
      <c r="P178" s="2685"/>
      <c r="Q178" s="2685"/>
      <c r="R178" s="2685"/>
      <c r="S178" s="2685"/>
      <c r="T178" s="2685"/>
      <c r="U178" s="2685"/>
      <c r="V178" s="2685"/>
      <c r="W178" s="2685"/>
      <c r="X178" s="2685"/>
      <c r="Y178" s="2685"/>
      <c r="Z178" s="2685"/>
      <c r="AA178" s="2685"/>
      <c r="AB178" s="2685"/>
      <c r="AC178" s="2675">
        <f t="shared" si="98"/>
        <v>0</v>
      </c>
      <c r="AD178" s="2695"/>
      <c r="AE178" s="2695"/>
      <c r="AF178" s="2695"/>
      <c r="AG178" s="2695"/>
      <c r="AH178" s="2695"/>
      <c r="AI178" s="2695"/>
      <c r="AJ178" s="2695"/>
      <c r="AK178" s="2695"/>
      <c r="AL178" s="2695"/>
      <c r="AM178" s="2695"/>
      <c r="AN178" s="2695"/>
      <c r="AO178" s="2695"/>
      <c r="AP178" s="2695"/>
      <c r="AQ178" s="2695"/>
      <c r="AR178" s="2695"/>
      <c r="AS178" s="2695"/>
      <c r="AT178" s="2703"/>
      <c r="AU178" s="2704"/>
      <c r="AV178" s="1074">
        <f t="shared" si="122"/>
        <v>0</v>
      </c>
      <c r="AW178" s="1074">
        <f t="shared" si="123"/>
        <v>0</v>
      </c>
      <c r="AX178" s="1074">
        <f t="shared" si="124"/>
        <v>0</v>
      </c>
      <c r="AY178" s="2279">
        <f t="shared" si="99"/>
        <v>0</v>
      </c>
      <c r="AZ178" s="2675">
        <f t="shared" si="100"/>
        <v>0</v>
      </c>
      <c r="BA178" s="2675">
        <f t="shared" si="101"/>
        <v>0</v>
      </c>
      <c r="BB178" s="2675">
        <f t="shared" si="102"/>
        <v>0</v>
      </c>
      <c r="BC178" s="2675">
        <f t="shared" si="103"/>
        <v>0</v>
      </c>
      <c r="BD178" s="2675">
        <f t="shared" si="104"/>
        <v>0</v>
      </c>
      <c r="BE178" s="2675">
        <f t="shared" si="105"/>
        <v>0</v>
      </c>
      <c r="BF178" s="2675">
        <f t="shared" si="106"/>
        <v>0</v>
      </c>
      <c r="BG178" s="2675">
        <f t="shared" si="107"/>
        <v>0</v>
      </c>
      <c r="BH178" s="2675">
        <f t="shared" si="108"/>
        <v>0</v>
      </c>
      <c r="BI178" s="2675">
        <f t="shared" si="109"/>
        <v>0</v>
      </c>
      <c r="BJ178" s="2675">
        <f t="shared" si="110"/>
        <v>0</v>
      </c>
      <c r="BK178" s="2675">
        <f t="shared" si="111"/>
        <v>0</v>
      </c>
      <c r="BL178" s="2675">
        <f t="shared" si="112"/>
        <v>0</v>
      </c>
      <c r="BM178" s="2675">
        <f t="shared" si="113"/>
        <v>0</v>
      </c>
      <c r="BN178" s="2675">
        <f t="shared" si="114"/>
        <v>0</v>
      </c>
      <c r="BO178" s="2675">
        <f t="shared" si="115"/>
        <v>0</v>
      </c>
      <c r="BP178" s="2675">
        <f t="shared" si="116"/>
        <v>0</v>
      </c>
      <c r="BQ178" s="2675">
        <f t="shared" si="117"/>
        <v>0</v>
      </c>
      <c r="BR178" s="2675">
        <f t="shared" si="118"/>
        <v>0</v>
      </c>
      <c r="BS178" s="2675">
        <f t="shared" si="119"/>
        <v>0</v>
      </c>
      <c r="BT178" s="2722">
        <f t="shared" si="120"/>
        <v>0</v>
      </c>
    </row>
    <row r="179" spans="1:72">
      <c r="A179" s="2673"/>
      <c r="B179" s="2674"/>
      <c r="C179" s="2674"/>
      <c r="D179" s="2277"/>
      <c r="E179" s="2675">
        <f t="shared" si="121"/>
        <v>0</v>
      </c>
      <c r="F179" s="2676"/>
      <c r="G179" s="2677">
        <f t="shared" si="96"/>
        <v>0</v>
      </c>
      <c r="H179" s="2678">
        <f t="shared" si="97"/>
        <v>0</v>
      </c>
      <c r="I179" s="2685"/>
      <c r="J179" s="2685"/>
      <c r="K179" s="2685"/>
      <c r="L179" s="2685"/>
      <c r="M179" s="2685"/>
      <c r="N179" s="2685"/>
      <c r="O179" s="2685"/>
      <c r="P179" s="2685"/>
      <c r="Q179" s="2685"/>
      <c r="R179" s="2685"/>
      <c r="S179" s="2685"/>
      <c r="T179" s="2685"/>
      <c r="U179" s="2685"/>
      <c r="V179" s="2685"/>
      <c r="W179" s="2685"/>
      <c r="X179" s="2685"/>
      <c r="Y179" s="2685"/>
      <c r="Z179" s="2685"/>
      <c r="AA179" s="2685"/>
      <c r="AB179" s="2685"/>
      <c r="AC179" s="2675">
        <f t="shared" si="98"/>
        <v>0</v>
      </c>
      <c r="AD179" s="2695"/>
      <c r="AE179" s="2695"/>
      <c r="AF179" s="2695"/>
      <c r="AG179" s="2695"/>
      <c r="AH179" s="2695"/>
      <c r="AI179" s="2695"/>
      <c r="AJ179" s="2695"/>
      <c r="AK179" s="2695"/>
      <c r="AL179" s="2695"/>
      <c r="AM179" s="2695"/>
      <c r="AN179" s="2695"/>
      <c r="AO179" s="2695"/>
      <c r="AP179" s="2695"/>
      <c r="AQ179" s="2695"/>
      <c r="AR179" s="2695"/>
      <c r="AS179" s="2695"/>
      <c r="AT179" s="2703"/>
      <c r="AU179" s="2704"/>
      <c r="AV179" s="1074">
        <f t="shared" si="122"/>
        <v>0</v>
      </c>
      <c r="AW179" s="1074">
        <f t="shared" si="123"/>
        <v>0</v>
      </c>
      <c r="AX179" s="1074">
        <f t="shared" si="124"/>
        <v>0</v>
      </c>
      <c r="AY179" s="2279">
        <f t="shared" si="99"/>
        <v>0</v>
      </c>
      <c r="AZ179" s="2675">
        <f t="shared" si="100"/>
        <v>0</v>
      </c>
      <c r="BA179" s="2675">
        <f t="shared" si="101"/>
        <v>0</v>
      </c>
      <c r="BB179" s="2675">
        <f t="shared" si="102"/>
        <v>0</v>
      </c>
      <c r="BC179" s="2675">
        <f t="shared" si="103"/>
        <v>0</v>
      </c>
      <c r="BD179" s="2675">
        <f t="shared" si="104"/>
        <v>0</v>
      </c>
      <c r="BE179" s="2675">
        <f t="shared" si="105"/>
        <v>0</v>
      </c>
      <c r="BF179" s="2675">
        <f t="shared" si="106"/>
        <v>0</v>
      </c>
      <c r="BG179" s="2675">
        <f t="shared" si="107"/>
        <v>0</v>
      </c>
      <c r="BH179" s="2675">
        <f t="shared" si="108"/>
        <v>0</v>
      </c>
      <c r="BI179" s="2675">
        <f t="shared" si="109"/>
        <v>0</v>
      </c>
      <c r="BJ179" s="2675">
        <f t="shared" si="110"/>
        <v>0</v>
      </c>
      <c r="BK179" s="2675">
        <f t="shared" si="111"/>
        <v>0</v>
      </c>
      <c r="BL179" s="2675">
        <f t="shared" si="112"/>
        <v>0</v>
      </c>
      <c r="BM179" s="2675">
        <f t="shared" si="113"/>
        <v>0</v>
      </c>
      <c r="BN179" s="2675">
        <f t="shared" si="114"/>
        <v>0</v>
      </c>
      <c r="BO179" s="2675">
        <f t="shared" si="115"/>
        <v>0</v>
      </c>
      <c r="BP179" s="2675">
        <f t="shared" si="116"/>
        <v>0</v>
      </c>
      <c r="BQ179" s="2675">
        <f t="shared" si="117"/>
        <v>0</v>
      </c>
      <c r="BR179" s="2675">
        <f t="shared" si="118"/>
        <v>0</v>
      </c>
      <c r="BS179" s="2675">
        <f t="shared" si="119"/>
        <v>0</v>
      </c>
      <c r="BT179" s="2722">
        <f t="shared" si="120"/>
        <v>0</v>
      </c>
    </row>
    <row r="180" spans="1:72">
      <c r="A180" s="2673"/>
      <c r="B180" s="2674"/>
      <c r="C180" s="2674"/>
      <c r="D180" s="2277"/>
      <c r="E180" s="2675">
        <f t="shared" si="121"/>
        <v>0</v>
      </c>
      <c r="F180" s="2676"/>
      <c r="G180" s="2677">
        <f t="shared" si="96"/>
        <v>0</v>
      </c>
      <c r="H180" s="2678">
        <f t="shared" si="97"/>
        <v>0</v>
      </c>
      <c r="I180" s="2685"/>
      <c r="J180" s="2685"/>
      <c r="K180" s="2685"/>
      <c r="L180" s="2685"/>
      <c r="M180" s="2685"/>
      <c r="N180" s="2685"/>
      <c r="O180" s="2685"/>
      <c r="P180" s="2685"/>
      <c r="Q180" s="2685"/>
      <c r="R180" s="2685"/>
      <c r="S180" s="2685"/>
      <c r="T180" s="2685"/>
      <c r="U180" s="2685"/>
      <c r="V180" s="2685"/>
      <c r="W180" s="2685"/>
      <c r="X180" s="2685"/>
      <c r="Y180" s="2685"/>
      <c r="Z180" s="2685"/>
      <c r="AA180" s="2685"/>
      <c r="AB180" s="2685"/>
      <c r="AC180" s="2675">
        <f t="shared" si="98"/>
        <v>0</v>
      </c>
      <c r="AD180" s="2695"/>
      <c r="AE180" s="2695"/>
      <c r="AF180" s="2695"/>
      <c r="AG180" s="2695"/>
      <c r="AH180" s="2695"/>
      <c r="AI180" s="2695"/>
      <c r="AJ180" s="2695"/>
      <c r="AK180" s="2695"/>
      <c r="AL180" s="2695"/>
      <c r="AM180" s="2695"/>
      <c r="AN180" s="2695"/>
      <c r="AO180" s="2695"/>
      <c r="AP180" s="2695"/>
      <c r="AQ180" s="2695"/>
      <c r="AR180" s="2695"/>
      <c r="AS180" s="2695"/>
      <c r="AT180" s="2703"/>
      <c r="AU180" s="2704"/>
      <c r="AV180" s="1074">
        <f t="shared" si="122"/>
        <v>0</v>
      </c>
      <c r="AW180" s="1074">
        <f t="shared" si="123"/>
        <v>0</v>
      </c>
      <c r="AX180" s="1074">
        <f t="shared" si="124"/>
        <v>0</v>
      </c>
      <c r="AY180" s="2279">
        <f t="shared" si="99"/>
        <v>0</v>
      </c>
      <c r="AZ180" s="2675">
        <f t="shared" si="100"/>
        <v>0</v>
      </c>
      <c r="BA180" s="2675">
        <f t="shared" si="101"/>
        <v>0</v>
      </c>
      <c r="BB180" s="2675">
        <f t="shared" si="102"/>
        <v>0</v>
      </c>
      <c r="BC180" s="2675">
        <f t="shared" si="103"/>
        <v>0</v>
      </c>
      <c r="BD180" s="2675">
        <f t="shared" si="104"/>
        <v>0</v>
      </c>
      <c r="BE180" s="2675">
        <f t="shared" si="105"/>
        <v>0</v>
      </c>
      <c r="BF180" s="2675">
        <f t="shared" si="106"/>
        <v>0</v>
      </c>
      <c r="BG180" s="2675">
        <f t="shared" si="107"/>
        <v>0</v>
      </c>
      <c r="BH180" s="2675">
        <f t="shared" si="108"/>
        <v>0</v>
      </c>
      <c r="BI180" s="2675">
        <f t="shared" si="109"/>
        <v>0</v>
      </c>
      <c r="BJ180" s="2675">
        <f t="shared" si="110"/>
        <v>0</v>
      </c>
      <c r="BK180" s="2675">
        <f t="shared" si="111"/>
        <v>0</v>
      </c>
      <c r="BL180" s="2675">
        <f t="shared" si="112"/>
        <v>0</v>
      </c>
      <c r="BM180" s="2675">
        <f t="shared" si="113"/>
        <v>0</v>
      </c>
      <c r="BN180" s="2675">
        <f t="shared" si="114"/>
        <v>0</v>
      </c>
      <c r="BO180" s="2675">
        <f t="shared" si="115"/>
        <v>0</v>
      </c>
      <c r="BP180" s="2675">
        <f t="shared" si="116"/>
        <v>0</v>
      </c>
      <c r="BQ180" s="2675">
        <f t="shared" si="117"/>
        <v>0</v>
      </c>
      <c r="BR180" s="2675">
        <f t="shared" si="118"/>
        <v>0</v>
      </c>
      <c r="BS180" s="2675">
        <f t="shared" si="119"/>
        <v>0</v>
      </c>
      <c r="BT180" s="2722">
        <f t="shared" si="120"/>
        <v>0</v>
      </c>
    </row>
    <row r="181" spans="1:72">
      <c r="A181" s="2673"/>
      <c r="B181" s="2674"/>
      <c r="C181" s="2674"/>
      <c r="D181" s="2277"/>
      <c r="E181" s="2675">
        <f t="shared" si="121"/>
        <v>0</v>
      </c>
      <c r="F181" s="2676"/>
      <c r="G181" s="2677">
        <f t="shared" si="96"/>
        <v>0</v>
      </c>
      <c r="H181" s="2678">
        <f t="shared" si="97"/>
        <v>0</v>
      </c>
      <c r="I181" s="2685"/>
      <c r="J181" s="2685"/>
      <c r="K181" s="2685"/>
      <c r="L181" s="2685"/>
      <c r="M181" s="2685"/>
      <c r="N181" s="2685"/>
      <c r="O181" s="2685"/>
      <c r="P181" s="2685"/>
      <c r="Q181" s="2685"/>
      <c r="R181" s="2685"/>
      <c r="S181" s="2685"/>
      <c r="T181" s="2685"/>
      <c r="U181" s="2685"/>
      <c r="V181" s="2685"/>
      <c r="W181" s="2685"/>
      <c r="X181" s="2685"/>
      <c r="Y181" s="2685"/>
      <c r="Z181" s="2685"/>
      <c r="AA181" s="2685"/>
      <c r="AB181" s="2685"/>
      <c r="AC181" s="2675">
        <f t="shared" si="98"/>
        <v>0</v>
      </c>
      <c r="AD181" s="2695"/>
      <c r="AE181" s="2695"/>
      <c r="AF181" s="2695"/>
      <c r="AG181" s="2695"/>
      <c r="AH181" s="2695"/>
      <c r="AI181" s="2695"/>
      <c r="AJ181" s="2695"/>
      <c r="AK181" s="2695"/>
      <c r="AL181" s="2695"/>
      <c r="AM181" s="2695"/>
      <c r="AN181" s="2695"/>
      <c r="AO181" s="2695"/>
      <c r="AP181" s="2695"/>
      <c r="AQ181" s="2695"/>
      <c r="AR181" s="2695"/>
      <c r="AS181" s="2695"/>
      <c r="AT181" s="2703"/>
      <c r="AU181" s="2704"/>
      <c r="AV181" s="1074">
        <f t="shared" si="122"/>
        <v>0</v>
      </c>
      <c r="AW181" s="1074">
        <f t="shared" si="123"/>
        <v>0</v>
      </c>
      <c r="AX181" s="1074">
        <f t="shared" si="124"/>
        <v>0</v>
      </c>
      <c r="AY181" s="2279">
        <f t="shared" si="99"/>
        <v>0</v>
      </c>
      <c r="AZ181" s="2675">
        <f t="shared" si="100"/>
        <v>0</v>
      </c>
      <c r="BA181" s="2675">
        <f t="shared" si="101"/>
        <v>0</v>
      </c>
      <c r="BB181" s="2675">
        <f t="shared" si="102"/>
        <v>0</v>
      </c>
      <c r="BC181" s="2675">
        <f t="shared" si="103"/>
        <v>0</v>
      </c>
      <c r="BD181" s="2675">
        <f t="shared" si="104"/>
        <v>0</v>
      </c>
      <c r="BE181" s="2675">
        <f t="shared" si="105"/>
        <v>0</v>
      </c>
      <c r="BF181" s="2675">
        <f t="shared" si="106"/>
        <v>0</v>
      </c>
      <c r="BG181" s="2675">
        <f t="shared" si="107"/>
        <v>0</v>
      </c>
      <c r="BH181" s="2675">
        <f t="shared" si="108"/>
        <v>0</v>
      </c>
      <c r="BI181" s="2675">
        <f t="shared" si="109"/>
        <v>0</v>
      </c>
      <c r="BJ181" s="2675">
        <f t="shared" si="110"/>
        <v>0</v>
      </c>
      <c r="BK181" s="2675">
        <f t="shared" si="111"/>
        <v>0</v>
      </c>
      <c r="BL181" s="2675">
        <f t="shared" si="112"/>
        <v>0</v>
      </c>
      <c r="BM181" s="2675">
        <f t="shared" si="113"/>
        <v>0</v>
      </c>
      <c r="BN181" s="2675">
        <f t="shared" si="114"/>
        <v>0</v>
      </c>
      <c r="BO181" s="2675">
        <f t="shared" si="115"/>
        <v>0</v>
      </c>
      <c r="BP181" s="2675">
        <f t="shared" si="116"/>
        <v>0</v>
      </c>
      <c r="BQ181" s="2675">
        <f t="shared" si="117"/>
        <v>0</v>
      </c>
      <c r="BR181" s="2675">
        <f t="shared" si="118"/>
        <v>0</v>
      </c>
      <c r="BS181" s="2675">
        <f t="shared" si="119"/>
        <v>0</v>
      </c>
      <c r="BT181" s="2722">
        <f t="shared" si="120"/>
        <v>0</v>
      </c>
    </row>
    <row r="182" spans="1:72">
      <c r="A182" s="2673"/>
      <c r="B182" s="2674"/>
      <c r="C182" s="2674"/>
      <c r="D182" s="2277"/>
      <c r="E182" s="2675">
        <f t="shared" si="121"/>
        <v>0</v>
      </c>
      <c r="F182" s="2676"/>
      <c r="G182" s="2677">
        <f t="shared" si="96"/>
        <v>0</v>
      </c>
      <c r="H182" s="2678">
        <f t="shared" si="97"/>
        <v>0</v>
      </c>
      <c r="I182" s="2685"/>
      <c r="J182" s="2685"/>
      <c r="K182" s="2685"/>
      <c r="L182" s="2685"/>
      <c r="M182" s="2685"/>
      <c r="N182" s="2685"/>
      <c r="O182" s="2685"/>
      <c r="P182" s="2685"/>
      <c r="Q182" s="2685"/>
      <c r="R182" s="2685"/>
      <c r="S182" s="2685"/>
      <c r="T182" s="2685"/>
      <c r="U182" s="2685"/>
      <c r="V182" s="2685"/>
      <c r="W182" s="2685"/>
      <c r="X182" s="2685"/>
      <c r="Y182" s="2685"/>
      <c r="Z182" s="2685"/>
      <c r="AA182" s="2685"/>
      <c r="AB182" s="2685"/>
      <c r="AC182" s="2675">
        <f t="shared" si="98"/>
        <v>0</v>
      </c>
      <c r="AD182" s="2695"/>
      <c r="AE182" s="2695"/>
      <c r="AF182" s="2695"/>
      <c r="AG182" s="2695"/>
      <c r="AH182" s="2695"/>
      <c r="AI182" s="2695"/>
      <c r="AJ182" s="2695"/>
      <c r="AK182" s="2695"/>
      <c r="AL182" s="2695"/>
      <c r="AM182" s="2695"/>
      <c r="AN182" s="2695"/>
      <c r="AO182" s="2695"/>
      <c r="AP182" s="2695"/>
      <c r="AQ182" s="2695"/>
      <c r="AR182" s="2695"/>
      <c r="AS182" s="2695"/>
      <c r="AT182" s="2703"/>
      <c r="AU182" s="2704"/>
      <c r="AV182" s="1074">
        <f t="shared" si="122"/>
        <v>0</v>
      </c>
      <c r="AW182" s="1074">
        <f t="shared" si="123"/>
        <v>0</v>
      </c>
      <c r="AX182" s="1074">
        <f t="shared" si="124"/>
        <v>0</v>
      </c>
      <c r="AY182" s="2279">
        <f t="shared" si="99"/>
        <v>0</v>
      </c>
      <c r="AZ182" s="2675">
        <f t="shared" si="100"/>
        <v>0</v>
      </c>
      <c r="BA182" s="2675">
        <f t="shared" si="101"/>
        <v>0</v>
      </c>
      <c r="BB182" s="2675">
        <f t="shared" si="102"/>
        <v>0</v>
      </c>
      <c r="BC182" s="2675">
        <f t="shared" si="103"/>
        <v>0</v>
      </c>
      <c r="BD182" s="2675">
        <f t="shared" si="104"/>
        <v>0</v>
      </c>
      <c r="BE182" s="2675">
        <f t="shared" si="105"/>
        <v>0</v>
      </c>
      <c r="BF182" s="2675">
        <f t="shared" si="106"/>
        <v>0</v>
      </c>
      <c r="BG182" s="2675">
        <f t="shared" si="107"/>
        <v>0</v>
      </c>
      <c r="BH182" s="2675">
        <f t="shared" si="108"/>
        <v>0</v>
      </c>
      <c r="BI182" s="2675">
        <f t="shared" si="109"/>
        <v>0</v>
      </c>
      <c r="BJ182" s="2675">
        <f t="shared" si="110"/>
        <v>0</v>
      </c>
      <c r="BK182" s="2675">
        <f t="shared" si="111"/>
        <v>0</v>
      </c>
      <c r="BL182" s="2675">
        <f t="shared" si="112"/>
        <v>0</v>
      </c>
      <c r="BM182" s="2675">
        <f t="shared" si="113"/>
        <v>0</v>
      </c>
      <c r="BN182" s="2675">
        <f t="shared" si="114"/>
        <v>0</v>
      </c>
      <c r="BO182" s="2675">
        <f t="shared" si="115"/>
        <v>0</v>
      </c>
      <c r="BP182" s="2675">
        <f t="shared" si="116"/>
        <v>0</v>
      </c>
      <c r="BQ182" s="2675">
        <f t="shared" si="117"/>
        <v>0</v>
      </c>
      <c r="BR182" s="2675">
        <f t="shared" si="118"/>
        <v>0</v>
      </c>
      <c r="BS182" s="2675">
        <f t="shared" si="119"/>
        <v>0</v>
      </c>
      <c r="BT182" s="2722">
        <f t="shared" si="120"/>
        <v>0</v>
      </c>
    </row>
    <row r="183" spans="1:72">
      <c r="A183" s="2673"/>
      <c r="B183" s="2674"/>
      <c r="C183" s="2674"/>
      <c r="D183" s="2277"/>
      <c r="E183" s="2675">
        <f t="shared" si="121"/>
        <v>0</v>
      </c>
      <c r="F183" s="2676"/>
      <c r="G183" s="2677">
        <f t="shared" si="96"/>
        <v>0</v>
      </c>
      <c r="H183" s="2678">
        <f t="shared" si="97"/>
        <v>0</v>
      </c>
      <c r="I183" s="2685"/>
      <c r="J183" s="2685"/>
      <c r="K183" s="2685"/>
      <c r="L183" s="2685"/>
      <c r="M183" s="2685"/>
      <c r="N183" s="2685"/>
      <c r="O183" s="2685"/>
      <c r="P183" s="2685"/>
      <c r="Q183" s="2685"/>
      <c r="R183" s="2685"/>
      <c r="S183" s="2685"/>
      <c r="T183" s="2685"/>
      <c r="U183" s="2685"/>
      <c r="V183" s="2685"/>
      <c r="W183" s="2685"/>
      <c r="X183" s="2685"/>
      <c r="Y183" s="2685"/>
      <c r="Z183" s="2685"/>
      <c r="AA183" s="2685"/>
      <c r="AB183" s="2685"/>
      <c r="AC183" s="2675">
        <f t="shared" si="98"/>
        <v>0</v>
      </c>
      <c r="AD183" s="2695"/>
      <c r="AE183" s="2695"/>
      <c r="AF183" s="2695"/>
      <c r="AG183" s="2695"/>
      <c r="AH183" s="2695"/>
      <c r="AI183" s="2695"/>
      <c r="AJ183" s="2695"/>
      <c r="AK183" s="2695"/>
      <c r="AL183" s="2695"/>
      <c r="AM183" s="2695"/>
      <c r="AN183" s="2695"/>
      <c r="AO183" s="2695"/>
      <c r="AP183" s="2695"/>
      <c r="AQ183" s="2695"/>
      <c r="AR183" s="2695"/>
      <c r="AS183" s="2695"/>
      <c r="AT183" s="2703"/>
      <c r="AU183" s="2704"/>
      <c r="AV183" s="1074">
        <f t="shared" si="122"/>
        <v>0</v>
      </c>
      <c r="AW183" s="1074">
        <f t="shared" si="123"/>
        <v>0</v>
      </c>
      <c r="AX183" s="1074">
        <f t="shared" si="124"/>
        <v>0</v>
      </c>
      <c r="AY183" s="2279">
        <f t="shared" si="99"/>
        <v>0</v>
      </c>
      <c r="AZ183" s="2675">
        <f t="shared" si="100"/>
        <v>0</v>
      </c>
      <c r="BA183" s="2675">
        <f t="shared" si="101"/>
        <v>0</v>
      </c>
      <c r="BB183" s="2675">
        <f t="shared" si="102"/>
        <v>0</v>
      </c>
      <c r="BC183" s="2675">
        <f t="shared" si="103"/>
        <v>0</v>
      </c>
      <c r="BD183" s="2675">
        <f t="shared" si="104"/>
        <v>0</v>
      </c>
      <c r="BE183" s="2675">
        <f t="shared" si="105"/>
        <v>0</v>
      </c>
      <c r="BF183" s="2675">
        <f t="shared" si="106"/>
        <v>0</v>
      </c>
      <c r="BG183" s="2675">
        <f t="shared" si="107"/>
        <v>0</v>
      </c>
      <c r="BH183" s="2675">
        <f t="shared" si="108"/>
        <v>0</v>
      </c>
      <c r="BI183" s="2675">
        <f t="shared" si="109"/>
        <v>0</v>
      </c>
      <c r="BJ183" s="2675">
        <f t="shared" si="110"/>
        <v>0</v>
      </c>
      <c r="BK183" s="2675">
        <f t="shared" si="111"/>
        <v>0</v>
      </c>
      <c r="BL183" s="2675">
        <f t="shared" si="112"/>
        <v>0</v>
      </c>
      <c r="BM183" s="2675">
        <f t="shared" si="113"/>
        <v>0</v>
      </c>
      <c r="BN183" s="2675">
        <f t="shared" si="114"/>
        <v>0</v>
      </c>
      <c r="BO183" s="2675">
        <f t="shared" si="115"/>
        <v>0</v>
      </c>
      <c r="BP183" s="2675">
        <f t="shared" si="116"/>
        <v>0</v>
      </c>
      <c r="BQ183" s="2675">
        <f t="shared" si="117"/>
        <v>0</v>
      </c>
      <c r="BR183" s="2675">
        <f t="shared" si="118"/>
        <v>0</v>
      </c>
      <c r="BS183" s="2675">
        <f t="shared" si="119"/>
        <v>0</v>
      </c>
      <c r="BT183" s="2722">
        <f t="shared" si="120"/>
        <v>0</v>
      </c>
    </row>
    <row r="184" spans="1:72">
      <c r="A184" s="2673"/>
      <c r="B184" s="2674"/>
      <c r="C184" s="2674"/>
      <c r="D184" s="2277"/>
      <c r="E184" s="2675">
        <f t="shared" si="121"/>
        <v>0</v>
      </c>
      <c r="F184" s="2676"/>
      <c r="G184" s="2677">
        <f t="shared" si="96"/>
        <v>0</v>
      </c>
      <c r="H184" s="2678">
        <f t="shared" si="97"/>
        <v>0</v>
      </c>
      <c r="I184" s="2685"/>
      <c r="J184" s="2685"/>
      <c r="K184" s="2685"/>
      <c r="L184" s="2685"/>
      <c r="M184" s="2685"/>
      <c r="N184" s="2685"/>
      <c r="O184" s="2685"/>
      <c r="P184" s="2685"/>
      <c r="Q184" s="2685"/>
      <c r="R184" s="2685"/>
      <c r="S184" s="2685"/>
      <c r="T184" s="2685"/>
      <c r="U184" s="2685"/>
      <c r="V184" s="2685"/>
      <c r="W184" s="2685"/>
      <c r="X184" s="2685"/>
      <c r="Y184" s="2685"/>
      <c r="Z184" s="2685"/>
      <c r="AA184" s="2685"/>
      <c r="AB184" s="2685"/>
      <c r="AC184" s="2675">
        <f t="shared" si="98"/>
        <v>0</v>
      </c>
      <c r="AD184" s="2695"/>
      <c r="AE184" s="2695"/>
      <c r="AF184" s="2695"/>
      <c r="AG184" s="2695"/>
      <c r="AH184" s="2695"/>
      <c r="AI184" s="2695"/>
      <c r="AJ184" s="2695"/>
      <c r="AK184" s="2695"/>
      <c r="AL184" s="2695"/>
      <c r="AM184" s="2695"/>
      <c r="AN184" s="2695"/>
      <c r="AO184" s="2695"/>
      <c r="AP184" s="2695"/>
      <c r="AQ184" s="2695"/>
      <c r="AR184" s="2695"/>
      <c r="AS184" s="2695"/>
      <c r="AT184" s="2703"/>
      <c r="AU184" s="2704"/>
      <c r="AV184" s="1074">
        <f t="shared" si="122"/>
        <v>0</v>
      </c>
      <c r="AW184" s="1074">
        <f t="shared" si="123"/>
        <v>0</v>
      </c>
      <c r="AX184" s="1074">
        <f t="shared" si="124"/>
        <v>0</v>
      </c>
      <c r="AY184" s="2279">
        <f t="shared" si="99"/>
        <v>0</v>
      </c>
      <c r="AZ184" s="2675">
        <f t="shared" si="100"/>
        <v>0</v>
      </c>
      <c r="BA184" s="2675">
        <f t="shared" si="101"/>
        <v>0</v>
      </c>
      <c r="BB184" s="2675">
        <f t="shared" si="102"/>
        <v>0</v>
      </c>
      <c r="BC184" s="2675">
        <f t="shared" si="103"/>
        <v>0</v>
      </c>
      <c r="BD184" s="2675">
        <f t="shared" si="104"/>
        <v>0</v>
      </c>
      <c r="BE184" s="2675">
        <f t="shared" si="105"/>
        <v>0</v>
      </c>
      <c r="BF184" s="2675">
        <f t="shared" si="106"/>
        <v>0</v>
      </c>
      <c r="BG184" s="2675">
        <f t="shared" si="107"/>
        <v>0</v>
      </c>
      <c r="BH184" s="2675">
        <f t="shared" si="108"/>
        <v>0</v>
      </c>
      <c r="BI184" s="2675">
        <f t="shared" si="109"/>
        <v>0</v>
      </c>
      <c r="BJ184" s="2675">
        <f t="shared" si="110"/>
        <v>0</v>
      </c>
      <c r="BK184" s="2675">
        <f t="shared" si="111"/>
        <v>0</v>
      </c>
      <c r="BL184" s="2675">
        <f t="shared" si="112"/>
        <v>0</v>
      </c>
      <c r="BM184" s="2675">
        <f t="shared" si="113"/>
        <v>0</v>
      </c>
      <c r="BN184" s="2675">
        <f t="shared" si="114"/>
        <v>0</v>
      </c>
      <c r="BO184" s="2675">
        <f t="shared" si="115"/>
        <v>0</v>
      </c>
      <c r="BP184" s="2675">
        <f t="shared" si="116"/>
        <v>0</v>
      </c>
      <c r="BQ184" s="2675">
        <f t="shared" si="117"/>
        <v>0</v>
      </c>
      <c r="BR184" s="2675">
        <f t="shared" si="118"/>
        <v>0</v>
      </c>
      <c r="BS184" s="2675">
        <f t="shared" si="119"/>
        <v>0</v>
      </c>
      <c r="BT184" s="2722">
        <f t="shared" si="120"/>
        <v>0</v>
      </c>
    </row>
    <row r="185" spans="1:72">
      <c r="A185" s="2673"/>
      <c r="B185" s="2674"/>
      <c r="C185" s="2674"/>
      <c r="D185" s="2277"/>
      <c r="E185" s="2675">
        <f t="shared" si="121"/>
        <v>0</v>
      </c>
      <c r="F185" s="2676"/>
      <c r="G185" s="2677">
        <f t="shared" si="96"/>
        <v>0</v>
      </c>
      <c r="H185" s="2678">
        <f t="shared" si="97"/>
        <v>0</v>
      </c>
      <c r="I185" s="2685"/>
      <c r="J185" s="2685"/>
      <c r="K185" s="2685"/>
      <c r="L185" s="2685"/>
      <c r="M185" s="2685"/>
      <c r="N185" s="2685"/>
      <c r="O185" s="2685"/>
      <c r="P185" s="2685"/>
      <c r="Q185" s="2685"/>
      <c r="R185" s="2685"/>
      <c r="S185" s="2685"/>
      <c r="T185" s="2685"/>
      <c r="U185" s="2685"/>
      <c r="V185" s="2685"/>
      <c r="W185" s="2685"/>
      <c r="X185" s="2685"/>
      <c r="Y185" s="2685"/>
      <c r="Z185" s="2685"/>
      <c r="AA185" s="2685"/>
      <c r="AB185" s="2685"/>
      <c r="AC185" s="2675">
        <f t="shared" si="98"/>
        <v>0</v>
      </c>
      <c r="AD185" s="2695"/>
      <c r="AE185" s="2695"/>
      <c r="AF185" s="2695"/>
      <c r="AG185" s="2695"/>
      <c r="AH185" s="2695"/>
      <c r="AI185" s="2695"/>
      <c r="AJ185" s="2695"/>
      <c r="AK185" s="2695"/>
      <c r="AL185" s="2695"/>
      <c r="AM185" s="2695"/>
      <c r="AN185" s="2695"/>
      <c r="AO185" s="2695"/>
      <c r="AP185" s="2695"/>
      <c r="AQ185" s="2695"/>
      <c r="AR185" s="2695"/>
      <c r="AS185" s="2695"/>
      <c r="AT185" s="2703"/>
      <c r="AU185" s="2704"/>
      <c r="AV185" s="1074">
        <f t="shared" si="122"/>
        <v>0</v>
      </c>
      <c r="AW185" s="1074">
        <f t="shared" si="123"/>
        <v>0</v>
      </c>
      <c r="AX185" s="1074">
        <f t="shared" si="124"/>
        <v>0</v>
      </c>
      <c r="AY185" s="2279">
        <f t="shared" si="99"/>
        <v>0</v>
      </c>
      <c r="AZ185" s="2675">
        <f t="shared" si="100"/>
        <v>0</v>
      </c>
      <c r="BA185" s="2675">
        <f t="shared" si="101"/>
        <v>0</v>
      </c>
      <c r="BB185" s="2675">
        <f t="shared" si="102"/>
        <v>0</v>
      </c>
      <c r="BC185" s="2675">
        <f t="shared" si="103"/>
        <v>0</v>
      </c>
      <c r="BD185" s="2675">
        <f t="shared" si="104"/>
        <v>0</v>
      </c>
      <c r="BE185" s="2675">
        <f t="shared" si="105"/>
        <v>0</v>
      </c>
      <c r="BF185" s="2675">
        <f t="shared" si="106"/>
        <v>0</v>
      </c>
      <c r="BG185" s="2675">
        <f t="shared" si="107"/>
        <v>0</v>
      </c>
      <c r="BH185" s="2675">
        <f t="shared" si="108"/>
        <v>0</v>
      </c>
      <c r="BI185" s="2675">
        <f t="shared" si="109"/>
        <v>0</v>
      </c>
      <c r="BJ185" s="2675">
        <f t="shared" si="110"/>
        <v>0</v>
      </c>
      <c r="BK185" s="2675">
        <f t="shared" si="111"/>
        <v>0</v>
      </c>
      <c r="BL185" s="2675">
        <f t="shared" si="112"/>
        <v>0</v>
      </c>
      <c r="BM185" s="2675">
        <f t="shared" si="113"/>
        <v>0</v>
      </c>
      <c r="BN185" s="2675">
        <f t="shared" si="114"/>
        <v>0</v>
      </c>
      <c r="BO185" s="2675">
        <f t="shared" si="115"/>
        <v>0</v>
      </c>
      <c r="BP185" s="2675">
        <f t="shared" si="116"/>
        <v>0</v>
      </c>
      <c r="BQ185" s="2675">
        <f t="shared" si="117"/>
        <v>0</v>
      </c>
      <c r="BR185" s="2675">
        <f t="shared" si="118"/>
        <v>0</v>
      </c>
      <c r="BS185" s="2675">
        <f t="shared" si="119"/>
        <v>0</v>
      </c>
      <c r="BT185" s="2722">
        <f t="shared" si="120"/>
        <v>0</v>
      </c>
    </row>
    <row r="186" spans="1:72">
      <c r="A186" s="2673"/>
      <c r="B186" s="2674"/>
      <c r="C186" s="2674"/>
      <c r="D186" s="2277"/>
      <c r="E186" s="2675">
        <f t="shared" si="121"/>
        <v>0</v>
      </c>
      <c r="F186" s="2676"/>
      <c r="G186" s="2677">
        <f t="shared" si="96"/>
        <v>0</v>
      </c>
      <c r="H186" s="2678">
        <f t="shared" si="97"/>
        <v>0</v>
      </c>
      <c r="I186" s="2685"/>
      <c r="J186" s="2685"/>
      <c r="K186" s="2685"/>
      <c r="L186" s="2685"/>
      <c r="M186" s="2685"/>
      <c r="N186" s="2685"/>
      <c r="O186" s="2685"/>
      <c r="P186" s="2685"/>
      <c r="Q186" s="2685"/>
      <c r="R186" s="2685"/>
      <c r="S186" s="2685"/>
      <c r="T186" s="2685"/>
      <c r="U186" s="2685"/>
      <c r="V186" s="2685"/>
      <c r="W186" s="2685"/>
      <c r="X186" s="2685"/>
      <c r="Y186" s="2685"/>
      <c r="Z186" s="2685"/>
      <c r="AA186" s="2685"/>
      <c r="AB186" s="2685"/>
      <c r="AC186" s="2675">
        <f t="shared" si="98"/>
        <v>0</v>
      </c>
      <c r="AD186" s="2695"/>
      <c r="AE186" s="2695"/>
      <c r="AF186" s="2695"/>
      <c r="AG186" s="2695"/>
      <c r="AH186" s="2695"/>
      <c r="AI186" s="2695"/>
      <c r="AJ186" s="2695"/>
      <c r="AK186" s="2695"/>
      <c r="AL186" s="2695"/>
      <c r="AM186" s="2695"/>
      <c r="AN186" s="2695"/>
      <c r="AO186" s="2695"/>
      <c r="AP186" s="2695"/>
      <c r="AQ186" s="2695"/>
      <c r="AR186" s="2695"/>
      <c r="AS186" s="2695"/>
      <c r="AT186" s="2703"/>
      <c r="AU186" s="2704"/>
      <c r="AV186" s="1074">
        <f t="shared" si="122"/>
        <v>0</v>
      </c>
      <c r="AW186" s="1074">
        <f t="shared" si="123"/>
        <v>0</v>
      </c>
      <c r="AX186" s="1074">
        <f t="shared" si="124"/>
        <v>0</v>
      </c>
      <c r="AY186" s="2279">
        <f t="shared" si="99"/>
        <v>0</v>
      </c>
      <c r="AZ186" s="2675">
        <f t="shared" si="100"/>
        <v>0</v>
      </c>
      <c r="BA186" s="2675">
        <f t="shared" si="101"/>
        <v>0</v>
      </c>
      <c r="BB186" s="2675">
        <f t="shared" si="102"/>
        <v>0</v>
      </c>
      <c r="BC186" s="2675">
        <f t="shared" si="103"/>
        <v>0</v>
      </c>
      <c r="BD186" s="2675">
        <f t="shared" si="104"/>
        <v>0</v>
      </c>
      <c r="BE186" s="2675">
        <f t="shared" si="105"/>
        <v>0</v>
      </c>
      <c r="BF186" s="2675">
        <f t="shared" si="106"/>
        <v>0</v>
      </c>
      <c r="BG186" s="2675">
        <f t="shared" si="107"/>
        <v>0</v>
      </c>
      <c r="BH186" s="2675">
        <f t="shared" si="108"/>
        <v>0</v>
      </c>
      <c r="BI186" s="2675">
        <f t="shared" si="109"/>
        <v>0</v>
      </c>
      <c r="BJ186" s="2675">
        <f t="shared" si="110"/>
        <v>0</v>
      </c>
      <c r="BK186" s="2675">
        <f t="shared" si="111"/>
        <v>0</v>
      </c>
      <c r="BL186" s="2675">
        <f t="shared" si="112"/>
        <v>0</v>
      </c>
      <c r="BM186" s="2675">
        <f t="shared" si="113"/>
        <v>0</v>
      </c>
      <c r="BN186" s="2675">
        <f t="shared" si="114"/>
        <v>0</v>
      </c>
      <c r="BO186" s="2675">
        <f t="shared" si="115"/>
        <v>0</v>
      </c>
      <c r="BP186" s="2675">
        <f t="shared" si="116"/>
        <v>0</v>
      </c>
      <c r="BQ186" s="2675">
        <f t="shared" si="117"/>
        <v>0</v>
      </c>
      <c r="BR186" s="2675">
        <f t="shared" si="118"/>
        <v>0</v>
      </c>
      <c r="BS186" s="2675">
        <f t="shared" si="119"/>
        <v>0</v>
      </c>
      <c r="BT186" s="2722">
        <f t="shared" si="120"/>
        <v>0</v>
      </c>
    </row>
    <row r="187" spans="1:72">
      <c r="A187" s="2673"/>
      <c r="B187" s="2674"/>
      <c r="C187" s="2674"/>
      <c r="D187" s="2277"/>
      <c r="E187" s="2675">
        <f t="shared" si="121"/>
        <v>0</v>
      </c>
      <c r="F187" s="2676"/>
      <c r="G187" s="2677">
        <f t="shared" si="96"/>
        <v>0</v>
      </c>
      <c r="H187" s="2678">
        <f t="shared" si="97"/>
        <v>0</v>
      </c>
      <c r="I187" s="2685"/>
      <c r="J187" s="2685"/>
      <c r="K187" s="2685"/>
      <c r="L187" s="2685"/>
      <c r="M187" s="2685"/>
      <c r="N187" s="2685"/>
      <c r="O187" s="2685"/>
      <c r="P187" s="2685"/>
      <c r="Q187" s="2685"/>
      <c r="R187" s="2685"/>
      <c r="S187" s="2685"/>
      <c r="T187" s="2685"/>
      <c r="U187" s="2685"/>
      <c r="V187" s="2685"/>
      <c r="W187" s="2685"/>
      <c r="X187" s="2685"/>
      <c r="Y187" s="2685"/>
      <c r="Z187" s="2685"/>
      <c r="AA187" s="2685"/>
      <c r="AB187" s="2685"/>
      <c r="AC187" s="2675">
        <f t="shared" si="98"/>
        <v>0</v>
      </c>
      <c r="AD187" s="2695"/>
      <c r="AE187" s="2695"/>
      <c r="AF187" s="2695"/>
      <c r="AG187" s="2695"/>
      <c r="AH187" s="2695"/>
      <c r="AI187" s="2695"/>
      <c r="AJ187" s="2695"/>
      <c r="AK187" s="2695"/>
      <c r="AL187" s="2695"/>
      <c r="AM187" s="2695"/>
      <c r="AN187" s="2695"/>
      <c r="AO187" s="2695"/>
      <c r="AP187" s="2695"/>
      <c r="AQ187" s="2695"/>
      <c r="AR187" s="2695"/>
      <c r="AS187" s="2695"/>
      <c r="AT187" s="2703"/>
      <c r="AU187" s="2704"/>
      <c r="AV187" s="1074">
        <f t="shared" si="122"/>
        <v>0</v>
      </c>
      <c r="AW187" s="1074">
        <f t="shared" si="123"/>
        <v>0</v>
      </c>
      <c r="AX187" s="1074">
        <f t="shared" si="124"/>
        <v>0</v>
      </c>
      <c r="AY187" s="2279">
        <f t="shared" si="99"/>
        <v>0</v>
      </c>
      <c r="AZ187" s="2675">
        <f t="shared" si="100"/>
        <v>0</v>
      </c>
      <c r="BA187" s="2675">
        <f t="shared" si="101"/>
        <v>0</v>
      </c>
      <c r="BB187" s="2675">
        <f t="shared" si="102"/>
        <v>0</v>
      </c>
      <c r="BC187" s="2675">
        <f t="shared" si="103"/>
        <v>0</v>
      </c>
      <c r="BD187" s="2675">
        <f t="shared" si="104"/>
        <v>0</v>
      </c>
      <c r="BE187" s="2675">
        <f t="shared" si="105"/>
        <v>0</v>
      </c>
      <c r="BF187" s="2675">
        <f t="shared" si="106"/>
        <v>0</v>
      </c>
      <c r="BG187" s="2675">
        <f t="shared" si="107"/>
        <v>0</v>
      </c>
      <c r="BH187" s="2675">
        <f t="shared" si="108"/>
        <v>0</v>
      </c>
      <c r="BI187" s="2675">
        <f t="shared" si="109"/>
        <v>0</v>
      </c>
      <c r="BJ187" s="2675">
        <f t="shared" si="110"/>
        <v>0</v>
      </c>
      <c r="BK187" s="2675">
        <f t="shared" si="111"/>
        <v>0</v>
      </c>
      <c r="BL187" s="2675">
        <f t="shared" si="112"/>
        <v>0</v>
      </c>
      <c r="BM187" s="2675">
        <f t="shared" si="113"/>
        <v>0</v>
      </c>
      <c r="BN187" s="2675">
        <f t="shared" si="114"/>
        <v>0</v>
      </c>
      <c r="BO187" s="2675">
        <f t="shared" si="115"/>
        <v>0</v>
      </c>
      <c r="BP187" s="2675">
        <f t="shared" si="116"/>
        <v>0</v>
      </c>
      <c r="BQ187" s="2675">
        <f t="shared" si="117"/>
        <v>0</v>
      </c>
      <c r="BR187" s="2675">
        <f t="shared" si="118"/>
        <v>0</v>
      </c>
      <c r="BS187" s="2675">
        <f t="shared" si="119"/>
        <v>0</v>
      </c>
      <c r="BT187" s="2722">
        <f t="shared" si="120"/>
        <v>0</v>
      </c>
    </row>
    <row r="188" spans="1:72">
      <c r="A188" s="2673"/>
      <c r="B188" s="2674"/>
      <c r="C188" s="2674"/>
      <c r="D188" s="2277"/>
      <c r="E188" s="2675">
        <f t="shared" si="121"/>
        <v>0</v>
      </c>
      <c r="F188" s="2676"/>
      <c r="G188" s="2677">
        <f t="shared" si="96"/>
        <v>0</v>
      </c>
      <c r="H188" s="2678">
        <f t="shared" si="97"/>
        <v>0</v>
      </c>
      <c r="I188" s="2685"/>
      <c r="J188" s="2685"/>
      <c r="K188" s="2685"/>
      <c r="L188" s="2685"/>
      <c r="M188" s="2685"/>
      <c r="N188" s="2685"/>
      <c r="O188" s="2685"/>
      <c r="P188" s="2685"/>
      <c r="Q188" s="2685"/>
      <c r="R188" s="2685"/>
      <c r="S188" s="2685"/>
      <c r="T188" s="2685"/>
      <c r="U188" s="2685"/>
      <c r="V188" s="2685"/>
      <c r="W188" s="2685"/>
      <c r="X188" s="2685"/>
      <c r="Y188" s="2685"/>
      <c r="Z188" s="2685"/>
      <c r="AA188" s="2685"/>
      <c r="AB188" s="2685"/>
      <c r="AC188" s="2675">
        <f t="shared" si="98"/>
        <v>0</v>
      </c>
      <c r="AD188" s="2695"/>
      <c r="AE188" s="2695"/>
      <c r="AF188" s="2695"/>
      <c r="AG188" s="2695"/>
      <c r="AH188" s="2695"/>
      <c r="AI188" s="2695"/>
      <c r="AJ188" s="2695"/>
      <c r="AK188" s="2695"/>
      <c r="AL188" s="2695"/>
      <c r="AM188" s="2695"/>
      <c r="AN188" s="2695"/>
      <c r="AO188" s="2695"/>
      <c r="AP188" s="2695"/>
      <c r="AQ188" s="2695"/>
      <c r="AR188" s="2695"/>
      <c r="AS188" s="2695"/>
      <c r="AT188" s="2703"/>
      <c r="AU188" s="2704"/>
      <c r="AV188" s="1074">
        <f t="shared" si="122"/>
        <v>0</v>
      </c>
      <c r="AW188" s="1074">
        <f t="shared" si="123"/>
        <v>0</v>
      </c>
      <c r="AX188" s="1074">
        <f t="shared" si="124"/>
        <v>0</v>
      </c>
      <c r="AY188" s="2279">
        <f t="shared" si="99"/>
        <v>0</v>
      </c>
      <c r="AZ188" s="2675">
        <f t="shared" si="100"/>
        <v>0</v>
      </c>
      <c r="BA188" s="2675">
        <f t="shared" si="101"/>
        <v>0</v>
      </c>
      <c r="BB188" s="2675">
        <f t="shared" si="102"/>
        <v>0</v>
      </c>
      <c r="BC188" s="2675">
        <f t="shared" si="103"/>
        <v>0</v>
      </c>
      <c r="BD188" s="2675">
        <f t="shared" si="104"/>
        <v>0</v>
      </c>
      <c r="BE188" s="2675">
        <f t="shared" si="105"/>
        <v>0</v>
      </c>
      <c r="BF188" s="2675">
        <f t="shared" si="106"/>
        <v>0</v>
      </c>
      <c r="BG188" s="2675">
        <f t="shared" si="107"/>
        <v>0</v>
      </c>
      <c r="BH188" s="2675">
        <f t="shared" si="108"/>
        <v>0</v>
      </c>
      <c r="BI188" s="2675">
        <f t="shared" si="109"/>
        <v>0</v>
      </c>
      <c r="BJ188" s="2675">
        <f t="shared" si="110"/>
        <v>0</v>
      </c>
      <c r="BK188" s="2675">
        <f t="shared" si="111"/>
        <v>0</v>
      </c>
      <c r="BL188" s="2675">
        <f t="shared" si="112"/>
        <v>0</v>
      </c>
      <c r="BM188" s="2675">
        <f t="shared" si="113"/>
        <v>0</v>
      </c>
      <c r="BN188" s="2675">
        <f t="shared" si="114"/>
        <v>0</v>
      </c>
      <c r="BO188" s="2675">
        <f t="shared" si="115"/>
        <v>0</v>
      </c>
      <c r="BP188" s="2675">
        <f t="shared" si="116"/>
        <v>0</v>
      </c>
      <c r="BQ188" s="2675">
        <f t="shared" si="117"/>
        <v>0</v>
      </c>
      <c r="BR188" s="2675">
        <f t="shared" si="118"/>
        <v>0</v>
      </c>
      <c r="BS188" s="2675">
        <f t="shared" si="119"/>
        <v>0</v>
      </c>
      <c r="BT188" s="2722">
        <f t="shared" si="120"/>
        <v>0</v>
      </c>
    </row>
    <row r="189" spans="1:72">
      <c r="A189" s="2673"/>
      <c r="B189" s="2674"/>
      <c r="C189" s="2674"/>
      <c r="D189" s="2277"/>
      <c r="E189" s="2675">
        <f t="shared" si="121"/>
        <v>0</v>
      </c>
      <c r="F189" s="2676"/>
      <c r="G189" s="2677">
        <f t="shared" si="96"/>
        <v>0</v>
      </c>
      <c r="H189" s="2678">
        <f t="shared" si="97"/>
        <v>0</v>
      </c>
      <c r="I189" s="2685"/>
      <c r="J189" s="2685"/>
      <c r="K189" s="2685"/>
      <c r="L189" s="2685"/>
      <c r="M189" s="2685"/>
      <c r="N189" s="2685"/>
      <c r="O189" s="2685"/>
      <c r="P189" s="2685"/>
      <c r="Q189" s="2685"/>
      <c r="R189" s="2685"/>
      <c r="S189" s="2685"/>
      <c r="T189" s="2685"/>
      <c r="U189" s="2685"/>
      <c r="V189" s="2685"/>
      <c r="W189" s="2685"/>
      <c r="X189" s="2685"/>
      <c r="Y189" s="2685"/>
      <c r="Z189" s="2685"/>
      <c r="AA189" s="2685"/>
      <c r="AB189" s="2685"/>
      <c r="AC189" s="2675">
        <f t="shared" si="98"/>
        <v>0</v>
      </c>
      <c r="AD189" s="2695"/>
      <c r="AE189" s="2695"/>
      <c r="AF189" s="2695"/>
      <c r="AG189" s="2695"/>
      <c r="AH189" s="2695"/>
      <c r="AI189" s="2695"/>
      <c r="AJ189" s="2695"/>
      <c r="AK189" s="2695"/>
      <c r="AL189" s="2695"/>
      <c r="AM189" s="2695"/>
      <c r="AN189" s="2695"/>
      <c r="AO189" s="2695"/>
      <c r="AP189" s="2695"/>
      <c r="AQ189" s="2695"/>
      <c r="AR189" s="2695"/>
      <c r="AS189" s="2695"/>
      <c r="AT189" s="2703"/>
      <c r="AU189" s="2704"/>
      <c r="AV189" s="1074">
        <f t="shared" si="122"/>
        <v>0</v>
      </c>
      <c r="AW189" s="1074">
        <f t="shared" si="123"/>
        <v>0</v>
      </c>
      <c r="AX189" s="1074">
        <f t="shared" si="124"/>
        <v>0</v>
      </c>
      <c r="AY189" s="2279">
        <f t="shared" si="99"/>
        <v>0</v>
      </c>
      <c r="AZ189" s="2675">
        <f t="shared" si="100"/>
        <v>0</v>
      </c>
      <c r="BA189" s="2675">
        <f t="shared" si="101"/>
        <v>0</v>
      </c>
      <c r="BB189" s="2675">
        <f t="shared" si="102"/>
        <v>0</v>
      </c>
      <c r="BC189" s="2675">
        <f t="shared" si="103"/>
        <v>0</v>
      </c>
      <c r="BD189" s="2675">
        <f t="shared" si="104"/>
        <v>0</v>
      </c>
      <c r="BE189" s="2675">
        <f t="shared" si="105"/>
        <v>0</v>
      </c>
      <c r="BF189" s="2675">
        <f t="shared" si="106"/>
        <v>0</v>
      </c>
      <c r="BG189" s="2675">
        <f t="shared" si="107"/>
        <v>0</v>
      </c>
      <c r="BH189" s="2675">
        <f t="shared" si="108"/>
        <v>0</v>
      </c>
      <c r="BI189" s="2675">
        <f t="shared" si="109"/>
        <v>0</v>
      </c>
      <c r="BJ189" s="2675">
        <f t="shared" si="110"/>
        <v>0</v>
      </c>
      <c r="BK189" s="2675">
        <f t="shared" si="111"/>
        <v>0</v>
      </c>
      <c r="BL189" s="2675">
        <f t="shared" si="112"/>
        <v>0</v>
      </c>
      <c r="BM189" s="2675">
        <f t="shared" si="113"/>
        <v>0</v>
      </c>
      <c r="BN189" s="2675">
        <f t="shared" si="114"/>
        <v>0</v>
      </c>
      <c r="BO189" s="2675">
        <f t="shared" si="115"/>
        <v>0</v>
      </c>
      <c r="BP189" s="2675">
        <f t="shared" si="116"/>
        <v>0</v>
      </c>
      <c r="BQ189" s="2675">
        <f t="shared" si="117"/>
        <v>0</v>
      </c>
      <c r="BR189" s="2675">
        <f t="shared" si="118"/>
        <v>0</v>
      </c>
      <c r="BS189" s="2675">
        <f t="shared" si="119"/>
        <v>0</v>
      </c>
      <c r="BT189" s="2722">
        <f t="shared" si="120"/>
        <v>0</v>
      </c>
    </row>
    <row r="190" spans="1:72">
      <c r="A190" s="2673"/>
      <c r="B190" s="2674"/>
      <c r="C190" s="2674"/>
      <c r="D190" s="2277"/>
      <c r="E190" s="2675">
        <f t="shared" si="121"/>
        <v>0</v>
      </c>
      <c r="F190" s="2676"/>
      <c r="G190" s="2677">
        <f t="shared" si="96"/>
        <v>0</v>
      </c>
      <c r="H190" s="2678">
        <f t="shared" si="97"/>
        <v>0</v>
      </c>
      <c r="I190" s="2685"/>
      <c r="J190" s="2685"/>
      <c r="K190" s="2685"/>
      <c r="L190" s="2685"/>
      <c r="M190" s="2685"/>
      <c r="N190" s="2685"/>
      <c r="O190" s="2685"/>
      <c r="P190" s="2685"/>
      <c r="Q190" s="2685"/>
      <c r="R190" s="2685"/>
      <c r="S190" s="2685"/>
      <c r="T190" s="2685"/>
      <c r="U190" s="2685"/>
      <c r="V190" s="2685"/>
      <c r="W190" s="2685"/>
      <c r="X190" s="2685"/>
      <c r="Y190" s="2685"/>
      <c r="Z190" s="2685"/>
      <c r="AA190" s="2685"/>
      <c r="AB190" s="2685"/>
      <c r="AC190" s="2675">
        <f t="shared" si="98"/>
        <v>0</v>
      </c>
      <c r="AD190" s="2695"/>
      <c r="AE190" s="2695"/>
      <c r="AF190" s="2695"/>
      <c r="AG190" s="2695"/>
      <c r="AH190" s="2695"/>
      <c r="AI190" s="2695"/>
      <c r="AJ190" s="2695"/>
      <c r="AK190" s="2695"/>
      <c r="AL190" s="2695"/>
      <c r="AM190" s="2695"/>
      <c r="AN190" s="2695"/>
      <c r="AO190" s="2695"/>
      <c r="AP190" s="2695"/>
      <c r="AQ190" s="2695"/>
      <c r="AR190" s="2695"/>
      <c r="AS190" s="2695"/>
      <c r="AT190" s="2703"/>
      <c r="AU190" s="2704"/>
      <c r="AV190" s="1074">
        <f t="shared" si="122"/>
        <v>0</v>
      </c>
      <c r="AW190" s="1074">
        <f t="shared" si="123"/>
        <v>0</v>
      </c>
      <c r="AX190" s="1074">
        <f t="shared" si="124"/>
        <v>0</v>
      </c>
      <c r="AY190" s="2279">
        <f t="shared" si="99"/>
        <v>0</v>
      </c>
      <c r="AZ190" s="2675">
        <f t="shared" si="100"/>
        <v>0</v>
      </c>
      <c r="BA190" s="2675">
        <f t="shared" si="101"/>
        <v>0</v>
      </c>
      <c r="BB190" s="2675">
        <f t="shared" si="102"/>
        <v>0</v>
      </c>
      <c r="BC190" s="2675">
        <f t="shared" si="103"/>
        <v>0</v>
      </c>
      <c r="BD190" s="2675">
        <f t="shared" si="104"/>
        <v>0</v>
      </c>
      <c r="BE190" s="2675">
        <f t="shared" si="105"/>
        <v>0</v>
      </c>
      <c r="BF190" s="2675">
        <f t="shared" si="106"/>
        <v>0</v>
      </c>
      <c r="BG190" s="2675">
        <f t="shared" si="107"/>
        <v>0</v>
      </c>
      <c r="BH190" s="2675">
        <f t="shared" si="108"/>
        <v>0</v>
      </c>
      <c r="BI190" s="2675">
        <f t="shared" si="109"/>
        <v>0</v>
      </c>
      <c r="BJ190" s="2675">
        <f t="shared" si="110"/>
        <v>0</v>
      </c>
      <c r="BK190" s="2675">
        <f t="shared" si="111"/>
        <v>0</v>
      </c>
      <c r="BL190" s="2675">
        <f t="shared" si="112"/>
        <v>0</v>
      </c>
      <c r="BM190" s="2675">
        <f t="shared" si="113"/>
        <v>0</v>
      </c>
      <c r="BN190" s="2675">
        <f t="shared" si="114"/>
        <v>0</v>
      </c>
      <c r="BO190" s="2675">
        <f t="shared" si="115"/>
        <v>0</v>
      </c>
      <c r="BP190" s="2675">
        <f t="shared" si="116"/>
        <v>0</v>
      </c>
      <c r="BQ190" s="2675">
        <f t="shared" si="117"/>
        <v>0</v>
      </c>
      <c r="BR190" s="2675">
        <f t="shared" si="118"/>
        <v>0</v>
      </c>
      <c r="BS190" s="2675">
        <f t="shared" si="119"/>
        <v>0</v>
      </c>
      <c r="BT190" s="2722">
        <f t="shared" si="120"/>
        <v>0</v>
      </c>
    </row>
    <row r="191" spans="1:72">
      <c r="A191" s="2673"/>
      <c r="B191" s="2674"/>
      <c r="C191" s="2674"/>
      <c r="D191" s="2277"/>
      <c r="E191" s="2675">
        <f t="shared" si="121"/>
        <v>0</v>
      </c>
      <c r="F191" s="2676"/>
      <c r="G191" s="2677">
        <f t="shared" si="96"/>
        <v>0</v>
      </c>
      <c r="H191" s="2678">
        <f t="shared" si="97"/>
        <v>0</v>
      </c>
      <c r="I191" s="2685"/>
      <c r="J191" s="2685"/>
      <c r="K191" s="2685"/>
      <c r="L191" s="2685"/>
      <c r="M191" s="2685"/>
      <c r="N191" s="2685"/>
      <c r="O191" s="2685"/>
      <c r="P191" s="2685"/>
      <c r="Q191" s="2685"/>
      <c r="R191" s="2685"/>
      <c r="S191" s="2685"/>
      <c r="T191" s="2685"/>
      <c r="U191" s="2685"/>
      <c r="V191" s="2685"/>
      <c r="W191" s="2685"/>
      <c r="X191" s="2685"/>
      <c r="Y191" s="2685"/>
      <c r="Z191" s="2685"/>
      <c r="AA191" s="2685"/>
      <c r="AB191" s="2685"/>
      <c r="AC191" s="2675">
        <f t="shared" si="98"/>
        <v>0</v>
      </c>
      <c r="AD191" s="2695"/>
      <c r="AE191" s="2695"/>
      <c r="AF191" s="2695"/>
      <c r="AG191" s="2695"/>
      <c r="AH191" s="2695"/>
      <c r="AI191" s="2695"/>
      <c r="AJ191" s="2695"/>
      <c r="AK191" s="2695"/>
      <c r="AL191" s="2695"/>
      <c r="AM191" s="2695"/>
      <c r="AN191" s="2695"/>
      <c r="AO191" s="2695"/>
      <c r="AP191" s="2695"/>
      <c r="AQ191" s="2695"/>
      <c r="AR191" s="2695"/>
      <c r="AS191" s="2695"/>
      <c r="AT191" s="2703"/>
      <c r="AU191" s="2704"/>
      <c r="AV191" s="1074">
        <f t="shared" si="122"/>
        <v>0</v>
      </c>
      <c r="AW191" s="1074">
        <f t="shared" si="123"/>
        <v>0</v>
      </c>
      <c r="AX191" s="1074">
        <f t="shared" si="124"/>
        <v>0</v>
      </c>
      <c r="AY191" s="2279">
        <f t="shared" si="99"/>
        <v>0</v>
      </c>
      <c r="AZ191" s="2675">
        <f t="shared" si="100"/>
        <v>0</v>
      </c>
      <c r="BA191" s="2675">
        <f t="shared" si="101"/>
        <v>0</v>
      </c>
      <c r="BB191" s="2675">
        <f t="shared" si="102"/>
        <v>0</v>
      </c>
      <c r="BC191" s="2675">
        <f t="shared" si="103"/>
        <v>0</v>
      </c>
      <c r="BD191" s="2675">
        <f t="shared" si="104"/>
        <v>0</v>
      </c>
      <c r="BE191" s="2675">
        <f t="shared" si="105"/>
        <v>0</v>
      </c>
      <c r="BF191" s="2675">
        <f t="shared" si="106"/>
        <v>0</v>
      </c>
      <c r="BG191" s="2675">
        <f t="shared" si="107"/>
        <v>0</v>
      </c>
      <c r="BH191" s="2675">
        <f t="shared" si="108"/>
        <v>0</v>
      </c>
      <c r="BI191" s="2675">
        <f t="shared" si="109"/>
        <v>0</v>
      </c>
      <c r="BJ191" s="2675">
        <f t="shared" si="110"/>
        <v>0</v>
      </c>
      <c r="BK191" s="2675">
        <f t="shared" si="111"/>
        <v>0</v>
      </c>
      <c r="BL191" s="2675">
        <f t="shared" si="112"/>
        <v>0</v>
      </c>
      <c r="BM191" s="2675">
        <f t="shared" si="113"/>
        <v>0</v>
      </c>
      <c r="BN191" s="2675">
        <f t="shared" si="114"/>
        <v>0</v>
      </c>
      <c r="BO191" s="2675">
        <f t="shared" si="115"/>
        <v>0</v>
      </c>
      <c r="BP191" s="2675">
        <f t="shared" si="116"/>
        <v>0</v>
      </c>
      <c r="BQ191" s="2675">
        <f t="shared" si="117"/>
        <v>0</v>
      </c>
      <c r="BR191" s="2675">
        <f t="shared" si="118"/>
        <v>0</v>
      </c>
      <c r="BS191" s="2675">
        <f t="shared" si="119"/>
        <v>0</v>
      </c>
      <c r="BT191" s="2722">
        <f t="shared" si="120"/>
        <v>0</v>
      </c>
    </row>
    <row r="192" spans="1:72">
      <c r="A192" s="2673"/>
      <c r="B192" s="2674"/>
      <c r="C192" s="2674"/>
      <c r="D192" s="2277"/>
      <c r="E192" s="2675">
        <f t="shared" si="121"/>
        <v>0</v>
      </c>
      <c r="F192" s="2676"/>
      <c r="G192" s="2677">
        <f t="shared" si="96"/>
        <v>0</v>
      </c>
      <c r="H192" s="2678">
        <f t="shared" si="97"/>
        <v>0</v>
      </c>
      <c r="I192" s="2685"/>
      <c r="J192" s="2685"/>
      <c r="K192" s="2685"/>
      <c r="L192" s="2685"/>
      <c r="M192" s="2685"/>
      <c r="N192" s="2685"/>
      <c r="O192" s="2685"/>
      <c r="P192" s="2685"/>
      <c r="Q192" s="2685"/>
      <c r="R192" s="2685"/>
      <c r="S192" s="2685"/>
      <c r="T192" s="2685"/>
      <c r="U192" s="2685"/>
      <c r="V192" s="2685"/>
      <c r="W192" s="2685"/>
      <c r="X192" s="2685"/>
      <c r="Y192" s="2685"/>
      <c r="Z192" s="2685"/>
      <c r="AA192" s="2685"/>
      <c r="AB192" s="2685"/>
      <c r="AC192" s="2675">
        <f t="shared" si="98"/>
        <v>0</v>
      </c>
      <c r="AD192" s="2695"/>
      <c r="AE192" s="2695"/>
      <c r="AF192" s="2695"/>
      <c r="AG192" s="2695"/>
      <c r="AH192" s="2695"/>
      <c r="AI192" s="2695"/>
      <c r="AJ192" s="2695"/>
      <c r="AK192" s="2695"/>
      <c r="AL192" s="2695"/>
      <c r="AM192" s="2695"/>
      <c r="AN192" s="2695"/>
      <c r="AO192" s="2695"/>
      <c r="AP192" s="2695"/>
      <c r="AQ192" s="2695"/>
      <c r="AR192" s="2695"/>
      <c r="AS192" s="2695"/>
      <c r="AT192" s="2703"/>
      <c r="AU192" s="2704"/>
      <c r="AV192" s="1074">
        <f t="shared" si="122"/>
        <v>0</v>
      </c>
      <c r="AW192" s="1074">
        <f t="shared" si="123"/>
        <v>0</v>
      </c>
      <c r="AX192" s="1074">
        <f t="shared" si="124"/>
        <v>0</v>
      </c>
      <c r="AY192" s="2279">
        <f t="shared" si="99"/>
        <v>0</v>
      </c>
      <c r="AZ192" s="2675">
        <f t="shared" si="100"/>
        <v>0</v>
      </c>
      <c r="BA192" s="2675">
        <f t="shared" si="101"/>
        <v>0</v>
      </c>
      <c r="BB192" s="2675">
        <f t="shared" si="102"/>
        <v>0</v>
      </c>
      <c r="BC192" s="2675">
        <f t="shared" si="103"/>
        <v>0</v>
      </c>
      <c r="BD192" s="2675">
        <f t="shared" si="104"/>
        <v>0</v>
      </c>
      <c r="BE192" s="2675">
        <f t="shared" si="105"/>
        <v>0</v>
      </c>
      <c r="BF192" s="2675">
        <f t="shared" si="106"/>
        <v>0</v>
      </c>
      <c r="BG192" s="2675">
        <f t="shared" si="107"/>
        <v>0</v>
      </c>
      <c r="BH192" s="2675">
        <f t="shared" si="108"/>
        <v>0</v>
      </c>
      <c r="BI192" s="2675">
        <f t="shared" si="109"/>
        <v>0</v>
      </c>
      <c r="BJ192" s="2675">
        <f t="shared" si="110"/>
        <v>0</v>
      </c>
      <c r="BK192" s="2675">
        <f t="shared" si="111"/>
        <v>0</v>
      </c>
      <c r="BL192" s="2675">
        <f t="shared" si="112"/>
        <v>0</v>
      </c>
      <c r="BM192" s="2675">
        <f t="shared" si="113"/>
        <v>0</v>
      </c>
      <c r="BN192" s="2675">
        <f t="shared" si="114"/>
        <v>0</v>
      </c>
      <c r="BO192" s="2675">
        <f t="shared" si="115"/>
        <v>0</v>
      </c>
      <c r="BP192" s="2675">
        <f t="shared" si="116"/>
        <v>0</v>
      </c>
      <c r="BQ192" s="2675">
        <f t="shared" si="117"/>
        <v>0</v>
      </c>
      <c r="BR192" s="2675">
        <f t="shared" si="118"/>
        <v>0</v>
      </c>
      <c r="BS192" s="2675">
        <f t="shared" si="119"/>
        <v>0</v>
      </c>
      <c r="BT192" s="2722">
        <f t="shared" si="120"/>
        <v>0</v>
      </c>
    </row>
    <row r="193" spans="1:72">
      <c r="A193" s="2673"/>
      <c r="B193" s="2674"/>
      <c r="C193" s="2674"/>
      <c r="D193" s="2277"/>
      <c r="E193" s="2675">
        <f t="shared" si="121"/>
        <v>0</v>
      </c>
      <c r="F193" s="2676"/>
      <c r="G193" s="2677">
        <f t="shared" si="96"/>
        <v>0</v>
      </c>
      <c r="H193" s="2678">
        <f t="shared" si="97"/>
        <v>0</v>
      </c>
      <c r="I193" s="2685"/>
      <c r="J193" s="2685"/>
      <c r="K193" s="2685"/>
      <c r="L193" s="2685"/>
      <c r="M193" s="2685"/>
      <c r="N193" s="2685"/>
      <c r="O193" s="2685"/>
      <c r="P193" s="2685"/>
      <c r="Q193" s="2685"/>
      <c r="R193" s="2685"/>
      <c r="S193" s="2685"/>
      <c r="T193" s="2685"/>
      <c r="U193" s="2685"/>
      <c r="V193" s="2685"/>
      <c r="W193" s="2685"/>
      <c r="X193" s="2685"/>
      <c r="Y193" s="2685"/>
      <c r="Z193" s="2685"/>
      <c r="AA193" s="2685"/>
      <c r="AB193" s="2685"/>
      <c r="AC193" s="2675">
        <f t="shared" si="98"/>
        <v>0</v>
      </c>
      <c r="AD193" s="2695"/>
      <c r="AE193" s="2695"/>
      <c r="AF193" s="2695"/>
      <c r="AG193" s="2695"/>
      <c r="AH193" s="2695"/>
      <c r="AI193" s="2695"/>
      <c r="AJ193" s="2695"/>
      <c r="AK193" s="2695"/>
      <c r="AL193" s="2695"/>
      <c r="AM193" s="2695"/>
      <c r="AN193" s="2695"/>
      <c r="AO193" s="2695"/>
      <c r="AP193" s="2695"/>
      <c r="AQ193" s="2695"/>
      <c r="AR193" s="2695"/>
      <c r="AS193" s="2695"/>
      <c r="AT193" s="2703"/>
      <c r="AU193" s="2704"/>
      <c r="AV193" s="1074">
        <f t="shared" si="122"/>
        <v>0</v>
      </c>
      <c r="AW193" s="1074">
        <f t="shared" si="123"/>
        <v>0</v>
      </c>
      <c r="AX193" s="1074">
        <f t="shared" si="124"/>
        <v>0</v>
      </c>
      <c r="AY193" s="2279">
        <f t="shared" si="99"/>
        <v>0</v>
      </c>
      <c r="AZ193" s="2675">
        <f t="shared" si="100"/>
        <v>0</v>
      </c>
      <c r="BA193" s="2675">
        <f t="shared" si="101"/>
        <v>0</v>
      </c>
      <c r="BB193" s="2675">
        <f t="shared" si="102"/>
        <v>0</v>
      </c>
      <c r="BC193" s="2675">
        <f t="shared" si="103"/>
        <v>0</v>
      </c>
      <c r="BD193" s="2675">
        <f t="shared" si="104"/>
        <v>0</v>
      </c>
      <c r="BE193" s="2675">
        <f t="shared" si="105"/>
        <v>0</v>
      </c>
      <c r="BF193" s="2675">
        <f t="shared" si="106"/>
        <v>0</v>
      </c>
      <c r="BG193" s="2675">
        <f t="shared" si="107"/>
        <v>0</v>
      </c>
      <c r="BH193" s="2675">
        <f t="shared" si="108"/>
        <v>0</v>
      </c>
      <c r="BI193" s="2675">
        <f t="shared" si="109"/>
        <v>0</v>
      </c>
      <c r="BJ193" s="2675">
        <f t="shared" si="110"/>
        <v>0</v>
      </c>
      <c r="BK193" s="2675">
        <f t="shared" si="111"/>
        <v>0</v>
      </c>
      <c r="BL193" s="2675">
        <f t="shared" si="112"/>
        <v>0</v>
      </c>
      <c r="BM193" s="2675">
        <f t="shared" si="113"/>
        <v>0</v>
      </c>
      <c r="BN193" s="2675">
        <f t="shared" si="114"/>
        <v>0</v>
      </c>
      <c r="BO193" s="2675">
        <f t="shared" si="115"/>
        <v>0</v>
      </c>
      <c r="BP193" s="2675">
        <f t="shared" si="116"/>
        <v>0</v>
      </c>
      <c r="BQ193" s="2675">
        <f t="shared" si="117"/>
        <v>0</v>
      </c>
      <c r="BR193" s="2675">
        <f t="shared" si="118"/>
        <v>0</v>
      </c>
      <c r="BS193" s="2675">
        <f t="shared" si="119"/>
        <v>0</v>
      </c>
      <c r="BT193" s="2722">
        <f t="shared" si="120"/>
        <v>0</v>
      </c>
    </row>
    <row r="194" spans="1:72">
      <c r="A194" s="2673"/>
      <c r="B194" s="2674"/>
      <c r="C194" s="2674"/>
      <c r="D194" s="2277"/>
      <c r="E194" s="2675">
        <f t="shared" si="121"/>
        <v>0</v>
      </c>
      <c r="F194" s="2676"/>
      <c r="G194" s="2677">
        <f t="shared" si="96"/>
        <v>0</v>
      </c>
      <c r="H194" s="2678">
        <f t="shared" si="97"/>
        <v>0</v>
      </c>
      <c r="I194" s="2685"/>
      <c r="J194" s="2685"/>
      <c r="K194" s="2685"/>
      <c r="L194" s="2685"/>
      <c r="M194" s="2685"/>
      <c r="N194" s="2685"/>
      <c r="O194" s="2685"/>
      <c r="P194" s="2685"/>
      <c r="Q194" s="2685"/>
      <c r="R194" s="2685"/>
      <c r="S194" s="2685"/>
      <c r="T194" s="2685"/>
      <c r="U194" s="2685"/>
      <c r="V194" s="2685"/>
      <c r="W194" s="2685"/>
      <c r="X194" s="2685"/>
      <c r="Y194" s="2685"/>
      <c r="Z194" s="2685"/>
      <c r="AA194" s="2685"/>
      <c r="AB194" s="2685"/>
      <c r="AC194" s="2675">
        <f t="shared" si="98"/>
        <v>0</v>
      </c>
      <c r="AD194" s="2695"/>
      <c r="AE194" s="2695"/>
      <c r="AF194" s="2695"/>
      <c r="AG194" s="2695"/>
      <c r="AH194" s="2695"/>
      <c r="AI194" s="2695"/>
      <c r="AJ194" s="2695"/>
      <c r="AK194" s="2695"/>
      <c r="AL194" s="2695"/>
      <c r="AM194" s="2695"/>
      <c r="AN194" s="2695"/>
      <c r="AO194" s="2695"/>
      <c r="AP194" s="2695"/>
      <c r="AQ194" s="2695"/>
      <c r="AR194" s="2695"/>
      <c r="AS194" s="2695"/>
      <c r="AT194" s="2703"/>
      <c r="AU194" s="2704"/>
      <c r="AV194" s="1074">
        <f t="shared" si="122"/>
        <v>0</v>
      </c>
      <c r="AW194" s="1074">
        <f t="shared" si="123"/>
        <v>0</v>
      </c>
      <c r="AX194" s="1074">
        <f t="shared" si="124"/>
        <v>0</v>
      </c>
      <c r="AY194" s="2279">
        <f t="shared" si="99"/>
        <v>0</v>
      </c>
      <c r="AZ194" s="2675">
        <f t="shared" si="100"/>
        <v>0</v>
      </c>
      <c r="BA194" s="2675">
        <f t="shared" si="101"/>
        <v>0</v>
      </c>
      <c r="BB194" s="2675">
        <f t="shared" si="102"/>
        <v>0</v>
      </c>
      <c r="BC194" s="2675">
        <f t="shared" si="103"/>
        <v>0</v>
      </c>
      <c r="BD194" s="2675">
        <f t="shared" si="104"/>
        <v>0</v>
      </c>
      <c r="BE194" s="2675">
        <f t="shared" si="105"/>
        <v>0</v>
      </c>
      <c r="BF194" s="2675">
        <f t="shared" si="106"/>
        <v>0</v>
      </c>
      <c r="BG194" s="2675">
        <f t="shared" si="107"/>
        <v>0</v>
      </c>
      <c r="BH194" s="2675">
        <f t="shared" si="108"/>
        <v>0</v>
      </c>
      <c r="BI194" s="2675">
        <f t="shared" si="109"/>
        <v>0</v>
      </c>
      <c r="BJ194" s="2675">
        <f t="shared" si="110"/>
        <v>0</v>
      </c>
      <c r="BK194" s="2675">
        <f t="shared" si="111"/>
        <v>0</v>
      </c>
      <c r="BL194" s="2675">
        <f t="shared" si="112"/>
        <v>0</v>
      </c>
      <c r="BM194" s="2675">
        <f t="shared" si="113"/>
        <v>0</v>
      </c>
      <c r="BN194" s="2675">
        <f t="shared" si="114"/>
        <v>0</v>
      </c>
      <c r="BO194" s="2675">
        <f t="shared" si="115"/>
        <v>0</v>
      </c>
      <c r="BP194" s="2675">
        <f t="shared" si="116"/>
        <v>0</v>
      </c>
      <c r="BQ194" s="2675">
        <f t="shared" si="117"/>
        <v>0</v>
      </c>
      <c r="BR194" s="2675">
        <f t="shared" si="118"/>
        <v>0</v>
      </c>
      <c r="BS194" s="2675">
        <f t="shared" si="119"/>
        <v>0</v>
      </c>
      <c r="BT194" s="2722">
        <f t="shared" si="120"/>
        <v>0</v>
      </c>
    </row>
    <row r="195" spans="1:72">
      <c r="A195" s="2673"/>
      <c r="B195" s="2674"/>
      <c r="C195" s="2674"/>
      <c r="D195" s="2277"/>
      <c r="E195" s="2675">
        <f t="shared" si="121"/>
        <v>0</v>
      </c>
      <c r="F195" s="2676"/>
      <c r="G195" s="2677">
        <f t="shared" si="96"/>
        <v>0</v>
      </c>
      <c r="H195" s="2678">
        <f t="shared" si="97"/>
        <v>0</v>
      </c>
      <c r="I195" s="2685"/>
      <c r="J195" s="2685"/>
      <c r="K195" s="2685"/>
      <c r="L195" s="2685"/>
      <c r="M195" s="2685"/>
      <c r="N195" s="2685"/>
      <c r="O195" s="2685"/>
      <c r="P195" s="2685"/>
      <c r="Q195" s="2685"/>
      <c r="R195" s="2685"/>
      <c r="S195" s="2685"/>
      <c r="T195" s="2685"/>
      <c r="U195" s="2685"/>
      <c r="V195" s="2685"/>
      <c r="W195" s="2685"/>
      <c r="X195" s="2685"/>
      <c r="Y195" s="2685"/>
      <c r="Z195" s="2685"/>
      <c r="AA195" s="2685"/>
      <c r="AB195" s="2685"/>
      <c r="AC195" s="2675">
        <f t="shared" si="98"/>
        <v>0</v>
      </c>
      <c r="AD195" s="2695"/>
      <c r="AE195" s="2695"/>
      <c r="AF195" s="2695"/>
      <c r="AG195" s="2695"/>
      <c r="AH195" s="2695"/>
      <c r="AI195" s="2695"/>
      <c r="AJ195" s="2695"/>
      <c r="AK195" s="2695"/>
      <c r="AL195" s="2695"/>
      <c r="AM195" s="2695"/>
      <c r="AN195" s="2695"/>
      <c r="AO195" s="2695"/>
      <c r="AP195" s="2695"/>
      <c r="AQ195" s="2695"/>
      <c r="AR195" s="2695"/>
      <c r="AS195" s="2695"/>
      <c r="AT195" s="2703"/>
      <c r="AU195" s="2704"/>
      <c r="AV195" s="1074">
        <f t="shared" si="122"/>
        <v>0</v>
      </c>
      <c r="AW195" s="1074">
        <f t="shared" si="123"/>
        <v>0</v>
      </c>
      <c r="AX195" s="1074">
        <f t="shared" si="124"/>
        <v>0</v>
      </c>
      <c r="AY195" s="2279">
        <f t="shared" si="99"/>
        <v>0</v>
      </c>
      <c r="AZ195" s="2675">
        <f t="shared" si="100"/>
        <v>0</v>
      </c>
      <c r="BA195" s="2675">
        <f t="shared" si="101"/>
        <v>0</v>
      </c>
      <c r="BB195" s="2675">
        <f t="shared" si="102"/>
        <v>0</v>
      </c>
      <c r="BC195" s="2675">
        <f t="shared" si="103"/>
        <v>0</v>
      </c>
      <c r="BD195" s="2675">
        <f t="shared" si="104"/>
        <v>0</v>
      </c>
      <c r="BE195" s="2675">
        <f t="shared" si="105"/>
        <v>0</v>
      </c>
      <c r="BF195" s="2675">
        <f t="shared" si="106"/>
        <v>0</v>
      </c>
      <c r="BG195" s="2675">
        <f t="shared" si="107"/>
        <v>0</v>
      </c>
      <c r="BH195" s="2675">
        <f t="shared" si="108"/>
        <v>0</v>
      </c>
      <c r="BI195" s="2675">
        <f t="shared" si="109"/>
        <v>0</v>
      </c>
      <c r="BJ195" s="2675">
        <f t="shared" si="110"/>
        <v>0</v>
      </c>
      <c r="BK195" s="2675">
        <f t="shared" si="111"/>
        <v>0</v>
      </c>
      <c r="BL195" s="2675">
        <f t="shared" si="112"/>
        <v>0</v>
      </c>
      <c r="BM195" s="2675">
        <f t="shared" si="113"/>
        <v>0</v>
      </c>
      <c r="BN195" s="2675">
        <f t="shared" si="114"/>
        <v>0</v>
      </c>
      <c r="BO195" s="2675">
        <f t="shared" si="115"/>
        <v>0</v>
      </c>
      <c r="BP195" s="2675">
        <f t="shared" si="116"/>
        <v>0</v>
      </c>
      <c r="BQ195" s="2675">
        <f t="shared" si="117"/>
        <v>0</v>
      </c>
      <c r="BR195" s="2675">
        <f t="shared" si="118"/>
        <v>0</v>
      </c>
      <c r="BS195" s="2675">
        <f t="shared" si="119"/>
        <v>0</v>
      </c>
      <c r="BT195" s="2722">
        <f t="shared" si="120"/>
        <v>0</v>
      </c>
    </row>
    <row r="196" spans="1:72">
      <c r="A196" s="2673"/>
      <c r="B196" s="2674"/>
      <c r="C196" s="2674"/>
      <c r="D196" s="2277"/>
      <c r="E196" s="2675">
        <f t="shared" si="121"/>
        <v>0</v>
      </c>
      <c r="F196" s="2676"/>
      <c r="G196" s="2677">
        <f t="shared" si="96"/>
        <v>0</v>
      </c>
      <c r="H196" s="2678">
        <f t="shared" si="97"/>
        <v>0</v>
      </c>
      <c r="I196" s="2685"/>
      <c r="J196" s="2685"/>
      <c r="K196" s="2685"/>
      <c r="L196" s="2685"/>
      <c r="M196" s="2685"/>
      <c r="N196" s="2685"/>
      <c r="O196" s="2685"/>
      <c r="P196" s="2685"/>
      <c r="Q196" s="2685"/>
      <c r="R196" s="2685"/>
      <c r="S196" s="2685"/>
      <c r="T196" s="2685"/>
      <c r="U196" s="2685"/>
      <c r="V196" s="2685"/>
      <c r="W196" s="2685"/>
      <c r="X196" s="2685"/>
      <c r="Y196" s="2685"/>
      <c r="Z196" s="2685"/>
      <c r="AA196" s="2685"/>
      <c r="AB196" s="2685"/>
      <c r="AC196" s="2675">
        <f t="shared" si="98"/>
        <v>0</v>
      </c>
      <c r="AD196" s="2695"/>
      <c r="AE196" s="2695"/>
      <c r="AF196" s="2695"/>
      <c r="AG196" s="2695"/>
      <c r="AH196" s="2695"/>
      <c r="AI196" s="2695"/>
      <c r="AJ196" s="2695"/>
      <c r="AK196" s="2695"/>
      <c r="AL196" s="2695"/>
      <c r="AM196" s="2695"/>
      <c r="AN196" s="2695"/>
      <c r="AO196" s="2695"/>
      <c r="AP196" s="2695"/>
      <c r="AQ196" s="2695"/>
      <c r="AR196" s="2695"/>
      <c r="AS196" s="2695"/>
      <c r="AT196" s="2703"/>
      <c r="AU196" s="2704"/>
      <c r="AV196" s="1074">
        <f t="shared" si="122"/>
        <v>0</v>
      </c>
      <c r="AW196" s="1074">
        <f t="shared" si="123"/>
        <v>0</v>
      </c>
      <c r="AX196" s="1074">
        <f t="shared" si="124"/>
        <v>0</v>
      </c>
      <c r="AY196" s="2279">
        <f t="shared" si="99"/>
        <v>0</v>
      </c>
      <c r="AZ196" s="2675">
        <f t="shared" si="100"/>
        <v>0</v>
      </c>
      <c r="BA196" s="2675">
        <f t="shared" si="101"/>
        <v>0</v>
      </c>
      <c r="BB196" s="2675">
        <f t="shared" si="102"/>
        <v>0</v>
      </c>
      <c r="BC196" s="2675">
        <f t="shared" si="103"/>
        <v>0</v>
      </c>
      <c r="BD196" s="2675">
        <f t="shared" si="104"/>
        <v>0</v>
      </c>
      <c r="BE196" s="2675">
        <f t="shared" si="105"/>
        <v>0</v>
      </c>
      <c r="BF196" s="2675">
        <f t="shared" si="106"/>
        <v>0</v>
      </c>
      <c r="BG196" s="2675">
        <f t="shared" si="107"/>
        <v>0</v>
      </c>
      <c r="BH196" s="2675">
        <f t="shared" si="108"/>
        <v>0</v>
      </c>
      <c r="BI196" s="2675">
        <f t="shared" si="109"/>
        <v>0</v>
      </c>
      <c r="BJ196" s="2675">
        <f t="shared" si="110"/>
        <v>0</v>
      </c>
      <c r="BK196" s="2675">
        <f t="shared" si="111"/>
        <v>0</v>
      </c>
      <c r="BL196" s="2675">
        <f t="shared" si="112"/>
        <v>0</v>
      </c>
      <c r="BM196" s="2675">
        <f t="shared" si="113"/>
        <v>0</v>
      </c>
      <c r="BN196" s="2675">
        <f t="shared" si="114"/>
        <v>0</v>
      </c>
      <c r="BO196" s="2675">
        <f t="shared" si="115"/>
        <v>0</v>
      </c>
      <c r="BP196" s="2675">
        <f t="shared" si="116"/>
        <v>0</v>
      </c>
      <c r="BQ196" s="2675">
        <f t="shared" si="117"/>
        <v>0</v>
      </c>
      <c r="BR196" s="2675">
        <f t="shared" si="118"/>
        <v>0</v>
      </c>
      <c r="BS196" s="2675">
        <f t="shared" si="119"/>
        <v>0</v>
      </c>
      <c r="BT196" s="2722">
        <f t="shared" si="120"/>
        <v>0</v>
      </c>
    </row>
    <row r="197" spans="1:72">
      <c r="A197" s="2673"/>
      <c r="B197" s="2674"/>
      <c r="C197" s="2674"/>
      <c r="D197" s="2277"/>
      <c r="E197" s="2675">
        <f t="shared" si="121"/>
        <v>0</v>
      </c>
      <c r="F197" s="2676"/>
      <c r="G197" s="2677">
        <f t="shared" si="96"/>
        <v>0</v>
      </c>
      <c r="H197" s="2678">
        <f t="shared" si="97"/>
        <v>0</v>
      </c>
      <c r="I197" s="2685"/>
      <c r="J197" s="2685"/>
      <c r="K197" s="2685"/>
      <c r="L197" s="2685"/>
      <c r="M197" s="2685"/>
      <c r="N197" s="2685"/>
      <c r="O197" s="2685"/>
      <c r="P197" s="2685"/>
      <c r="Q197" s="2685"/>
      <c r="R197" s="2685"/>
      <c r="S197" s="2685"/>
      <c r="T197" s="2685"/>
      <c r="U197" s="2685"/>
      <c r="V197" s="2685"/>
      <c r="W197" s="2685"/>
      <c r="X197" s="2685"/>
      <c r="Y197" s="2685"/>
      <c r="Z197" s="2685"/>
      <c r="AA197" s="2685"/>
      <c r="AB197" s="2685"/>
      <c r="AC197" s="2675">
        <f t="shared" si="98"/>
        <v>0</v>
      </c>
      <c r="AD197" s="2695"/>
      <c r="AE197" s="2695"/>
      <c r="AF197" s="2695"/>
      <c r="AG197" s="2695"/>
      <c r="AH197" s="2695"/>
      <c r="AI197" s="2695"/>
      <c r="AJ197" s="2695"/>
      <c r="AK197" s="2695"/>
      <c r="AL197" s="2695"/>
      <c r="AM197" s="2695"/>
      <c r="AN197" s="2695"/>
      <c r="AO197" s="2695"/>
      <c r="AP197" s="2695"/>
      <c r="AQ197" s="2695"/>
      <c r="AR197" s="2695"/>
      <c r="AS197" s="2695"/>
      <c r="AT197" s="2703"/>
      <c r="AU197" s="2704"/>
      <c r="AV197" s="1074">
        <f t="shared" si="122"/>
        <v>0</v>
      </c>
      <c r="AW197" s="1074">
        <f t="shared" si="123"/>
        <v>0</v>
      </c>
      <c r="AX197" s="1074">
        <f t="shared" si="124"/>
        <v>0</v>
      </c>
      <c r="AY197" s="2279">
        <f t="shared" si="99"/>
        <v>0</v>
      </c>
      <c r="AZ197" s="2675">
        <f t="shared" si="100"/>
        <v>0</v>
      </c>
      <c r="BA197" s="2675">
        <f t="shared" si="101"/>
        <v>0</v>
      </c>
      <c r="BB197" s="2675">
        <f t="shared" si="102"/>
        <v>0</v>
      </c>
      <c r="BC197" s="2675">
        <f t="shared" si="103"/>
        <v>0</v>
      </c>
      <c r="BD197" s="2675">
        <f t="shared" si="104"/>
        <v>0</v>
      </c>
      <c r="BE197" s="2675">
        <f t="shared" si="105"/>
        <v>0</v>
      </c>
      <c r="BF197" s="2675">
        <f t="shared" si="106"/>
        <v>0</v>
      </c>
      <c r="BG197" s="2675">
        <f t="shared" si="107"/>
        <v>0</v>
      </c>
      <c r="BH197" s="2675">
        <f t="shared" si="108"/>
        <v>0</v>
      </c>
      <c r="BI197" s="2675">
        <f t="shared" si="109"/>
        <v>0</v>
      </c>
      <c r="BJ197" s="2675">
        <f t="shared" si="110"/>
        <v>0</v>
      </c>
      <c r="BK197" s="2675">
        <f t="shared" si="111"/>
        <v>0</v>
      </c>
      <c r="BL197" s="2675">
        <f t="shared" si="112"/>
        <v>0</v>
      </c>
      <c r="BM197" s="2675">
        <f t="shared" si="113"/>
        <v>0</v>
      </c>
      <c r="BN197" s="2675">
        <f t="shared" si="114"/>
        <v>0</v>
      </c>
      <c r="BO197" s="2675">
        <f t="shared" si="115"/>
        <v>0</v>
      </c>
      <c r="BP197" s="2675">
        <f t="shared" si="116"/>
        <v>0</v>
      </c>
      <c r="BQ197" s="2675">
        <f t="shared" si="117"/>
        <v>0</v>
      </c>
      <c r="BR197" s="2675">
        <f t="shared" si="118"/>
        <v>0</v>
      </c>
      <c r="BS197" s="2675">
        <f t="shared" si="119"/>
        <v>0</v>
      </c>
      <c r="BT197" s="2722">
        <f t="shared" si="120"/>
        <v>0</v>
      </c>
    </row>
    <row r="198" spans="1:72">
      <c r="A198" s="2673"/>
      <c r="B198" s="2674"/>
      <c r="C198" s="2674"/>
      <c r="D198" s="2277"/>
      <c r="E198" s="2675">
        <f t="shared" si="121"/>
        <v>0</v>
      </c>
      <c r="F198" s="2676"/>
      <c r="G198" s="2677">
        <f t="shared" si="96"/>
        <v>0</v>
      </c>
      <c r="H198" s="2678">
        <f t="shared" si="97"/>
        <v>0</v>
      </c>
      <c r="I198" s="2685"/>
      <c r="J198" s="2685"/>
      <c r="K198" s="2685"/>
      <c r="L198" s="2685"/>
      <c r="M198" s="2685"/>
      <c r="N198" s="2685"/>
      <c r="O198" s="2685"/>
      <c r="P198" s="2685"/>
      <c r="Q198" s="2685"/>
      <c r="R198" s="2685"/>
      <c r="S198" s="2685"/>
      <c r="T198" s="2685"/>
      <c r="U198" s="2685"/>
      <c r="V198" s="2685"/>
      <c r="W198" s="2685"/>
      <c r="X198" s="2685"/>
      <c r="Y198" s="2685"/>
      <c r="Z198" s="2685"/>
      <c r="AA198" s="2685"/>
      <c r="AB198" s="2685"/>
      <c r="AC198" s="2675">
        <f t="shared" si="98"/>
        <v>0</v>
      </c>
      <c r="AD198" s="2695"/>
      <c r="AE198" s="2695"/>
      <c r="AF198" s="2695"/>
      <c r="AG198" s="2695"/>
      <c r="AH198" s="2695"/>
      <c r="AI198" s="2695"/>
      <c r="AJ198" s="2695"/>
      <c r="AK198" s="2695"/>
      <c r="AL198" s="2695"/>
      <c r="AM198" s="2695"/>
      <c r="AN198" s="2695"/>
      <c r="AO198" s="2695"/>
      <c r="AP198" s="2695"/>
      <c r="AQ198" s="2695"/>
      <c r="AR198" s="2695"/>
      <c r="AS198" s="2695"/>
      <c r="AT198" s="2703"/>
      <c r="AU198" s="2704"/>
      <c r="AV198" s="1074">
        <f t="shared" si="122"/>
        <v>0</v>
      </c>
      <c r="AW198" s="1074">
        <f t="shared" si="123"/>
        <v>0</v>
      </c>
      <c r="AX198" s="1074">
        <f t="shared" si="124"/>
        <v>0</v>
      </c>
      <c r="AY198" s="2279">
        <f t="shared" si="99"/>
        <v>0</v>
      </c>
      <c r="AZ198" s="2675">
        <f t="shared" si="100"/>
        <v>0</v>
      </c>
      <c r="BA198" s="2675">
        <f t="shared" si="101"/>
        <v>0</v>
      </c>
      <c r="BB198" s="2675">
        <f t="shared" si="102"/>
        <v>0</v>
      </c>
      <c r="BC198" s="2675">
        <f t="shared" si="103"/>
        <v>0</v>
      </c>
      <c r="BD198" s="2675">
        <f t="shared" si="104"/>
        <v>0</v>
      </c>
      <c r="BE198" s="2675">
        <f t="shared" si="105"/>
        <v>0</v>
      </c>
      <c r="BF198" s="2675">
        <f t="shared" si="106"/>
        <v>0</v>
      </c>
      <c r="BG198" s="2675">
        <f t="shared" si="107"/>
        <v>0</v>
      </c>
      <c r="BH198" s="2675">
        <f t="shared" si="108"/>
        <v>0</v>
      </c>
      <c r="BI198" s="2675">
        <f t="shared" si="109"/>
        <v>0</v>
      </c>
      <c r="BJ198" s="2675">
        <f t="shared" si="110"/>
        <v>0</v>
      </c>
      <c r="BK198" s="2675">
        <f t="shared" si="111"/>
        <v>0</v>
      </c>
      <c r="BL198" s="2675">
        <f t="shared" si="112"/>
        <v>0</v>
      </c>
      <c r="BM198" s="2675">
        <f t="shared" si="113"/>
        <v>0</v>
      </c>
      <c r="BN198" s="2675">
        <f t="shared" si="114"/>
        <v>0</v>
      </c>
      <c r="BO198" s="2675">
        <f t="shared" si="115"/>
        <v>0</v>
      </c>
      <c r="BP198" s="2675">
        <f t="shared" si="116"/>
        <v>0</v>
      </c>
      <c r="BQ198" s="2675">
        <f t="shared" si="117"/>
        <v>0</v>
      </c>
      <c r="BR198" s="2675">
        <f t="shared" si="118"/>
        <v>0</v>
      </c>
      <c r="BS198" s="2675">
        <f t="shared" si="119"/>
        <v>0</v>
      </c>
      <c r="BT198" s="2722">
        <f t="shared" si="120"/>
        <v>0</v>
      </c>
    </row>
    <row r="199" spans="1:72">
      <c r="A199" s="2673"/>
      <c r="B199" s="2674"/>
      <c r="C199" s="2674"/>
      <c r="D199" s="2277"/>
      <c r="E199" s="2675">
        <f t="shared" si="121"/>
        <v>0</v>
      </c>
      <c r="F199" s="2676"/>
      <c r="G199" s="2677">
        <f t="shared" si="96"/>
        <v>0</v>
      </c>
      <c r="H199" s="2678">
        <f t="shared" si="97"/>
        <v>0</v>
      </c>
      <c r="I199" s="2685"/>
      <c r="J199" s="2685"/>
      <c r="K199" s="2685"/>
      <c r="L199" s="2685"/>
      <c r="M199" s="2685"/>
      <c r="N199" s="2685"/>
      <c r="O199" s="2685"/>
      <c r="P199" s="2685"/>
      <c r="Q199" s="2685"/>
      <c r="R199" s="2685"/>
      <c r="S199" s="2685"/>
      <c r="T199" s="2685"/>
      <c r="U199" s="2685"/>
      <c r="V199" s="2685"/>
      <c r="W199" s="2685"/>
      <c r="X199" s="2685"/>
      <c r="Y199" s="2685"/>
      <c r="Z199" s="2685"/>
      <c r="AA199" s="2685"/>
      <c r="AB199" s="2685"/>
      <c r="AC199" s="2675">
        <f t="shared" si="98"/>
        <v>0</v>
      </c>
      <c r="AD199" s="2695"/>
      <c r="AE199" s="2695"/>
      <c r="AF199" s="2695"/>
      <c r="AG199" s="2695"/>
      <c r="AH199" s="2695"/>
      <c r="AI199" s="2695"/>
      <c r="AJ199" s="2695"/>
      <c r="AK199" s="2695"/>
      <c r="AL199" s="2695"/>
      <c r="AM199" s="2695"/>
      <c r="AN199" s="2695"/>
      <c r="AO199" s="2695"/>
      <c r="AP199" s="2695"/>
      <c r="AQ199" s="2695"/>
      <c r="AR199" s="2695"/>
      <c r="AS199" s="2695"/>
      <c r="AT199" s="2703"/>
      <c r="AU199" s="2704"/>
      <c r="AV199" s="1074">
        <f t="shared" si="122"/>
        <v>0</v>
      </c>
      <c r="AW199" s="1074">
        <f t="shared" si="123"/>
        <v>0</v>
      </c>
      <c r="AX199" s="1074">
        <f t="shared" si="124"/>
        <v>0</v>
      </c>
      <c r="AY199" s="2279">
        <f t="shared" si="99"/>
        <v>0</v>
      </c>
      <c r="AZ199" s="2675">
        <f t="shared" si="100"/>
        <v>0</v>
      </c>
      <c r="BA199" s="2675">
        <f t="shared" si="101"/>
        <v>0</v>
      </c>
      <c r="BB199" s="2675">
        <f t="shared" si="102"/>
        <v>0</v>
      </c>
      <c r="BC199" s="2675">
        <f t="shared" si="103"/>
        <v>0</v>
      </c>
      <c r="BD199" s="2675">
        <f t="shared" si="104"/>
        <v>0</v>
      </c>
      <c r="BE199" s="2675">
        <f t="shared" si="105"/>
        <v>0</v>
      </c>
      <c r="BF199" s="2675">
        <f t="shared" si="106"/>
        <v>0</v>
      </c>
      <c r="BG199" s="2675">
        <f t="shared" si="107"/>
        <v>0</v>
      </c>
      <c r="BH199" s="2675">
        <f t="shared" si="108"/>
        <v>0</v>
      </c>
      <c r="BI199" s="2675">
        <f t="shared" si="109"/>
        <v>0</v>
      </c>
      <c r="BJ199" s="2675">
        <f t="shared" si="110"/>
        <v>0</v>
      </c>
      <c r="BK199" s="2675">
        <f t="shared" si="111"/>
        <v>0</v>
      </c>
      <c r="BL199" s="2675">
        <f t="shared" si="112"/>
        <v>0</v>
      </c>
      <c r="BM199" s="2675">
        <f t="shared" si="113"/>
        <v>0</v>
      </c>
      <c r="BN199" s="2675">
        <f t="shared" si="114"/>
        <v>0</v>
      </c>
      <c r="BO199" s="2675">
        <f t="shared" si="115"/>
        <v>0</v>
      </c>
      <c r="BP199" s="2675">
        <f t="shared" si="116"/>
        <v>0</v>
      </c>
      <c r="BQ199" s="2675">
        <f t="shared" si="117"/>
        <v>0</v>
      </c>
      <c r="BR199" s="2675">
        <f t="shared" si="118"/>
        <v>0</v>
      </c>
      <c r="BS199" s="2675">
        <f t="shared" si="119"/>
        <v>0</v>
      </c>
      <c r="BT199" s="2722">
        <f t="shared" si="120"/>
        <v>0</v>
      </c>
    </row>
    <row r="200" spans="1:72">
      <c r="A200" s="2673"/>
      <c r="B200" s="2674"/>
      <c r="C200" s="2674"/>
      <c r="D200" s="2277"/>
      <c r="E200" s="2675">
        <f t="shared" si="121"/>
        <v>0</v>
      </c>
      <c r="F200" s="2676"/>
      <c r="G200" s="2677">
        <f t="shared" si="96"/>
        <v>0</v>
      </c>
      <c r="H200" s="2678">
        <f t="shared" si="97"/>
        <v>0</v>
      </c>
      <c r="I200" s="2685"/>
      <c r="J200" s="2685"/>
      <c r="K200" s="2685"/>
      <c r="L200" s="2685"/>
      <c r="M200" s="2685"/>
      <c r="N200" s="2685"/>
      <c r="O200" s="2685"/>
      <c r="P200" s="2685"/>
      <c r="Q200" s="2685"/>
      <c r="R200" s="2685"/>
      <c r="S200" s="2685"/>
      <c r="T200" s="2685"/>
      <c r="U200" s="2685"/>
      <c r="V200" s="2685"/>
      <c r="W200" s="2685"/>
      <c r="X200" s="2685"/>
      <c r="Y200" s="2685"/>
      <c r="Z200" s="2685"/>
      <c r="AA200" s="2685"/>
      <c r="AB200" s="2685"/>
      <c r="AC200" s="2675">
        <f t="shared" si="98"/>
        <v>0</v>
      </c>
      <c r="AD200" s="2695"/>
      <c r="AE200" s="2695"/>
      <c r="AF200" s="2695"/>
      <c r="AG200" s="2695"/>
      <c r="AH200" s="2695"/>
      <c r="AI200" s="2695"/>
      <c r="AJ200" s="2695"/>
      <c r="AK200" s="2695"/>
      <c r="AL200" s="2695"/>
      <c r="AM200" s="2695"/>
      <c r="AN200" s="2695"/>
      <c r="AO200" s="2695"/>
      <c r="AP200" s="2695"/>
      <c r="AQ200" s="2695"/>
      <c r="AR200" s="2695"/>
      <c r="AS200" s="2695"/>
      <c r="AT200" s="2703"/>
      <c r="AU200" s="2704"/>
      <c r="AV200" s="1074">
        <f t="shared" si="122"/>
        <v>0</v>
      </c>
      <c r="AW200" s="1074">
        <f t="shared" si="123"/>
        <v>0</v>
      </c>
      <c r="AX200" s="1074">
        <f t="shared" si="124"/>
        <v>0</v>
      </c>
      <c r="AY200" s="2279">
        <f t="shared" si="99"/>
        <v>0</v>
      </c>
      <c r="AZ200" s="2675">
        <f t="shared" si="100"/>
        <v>0</v>
      </c>
      <c r="BA200" s="2675">
        <f t="shared" si="101"/>
        <v>0</v>
      </c>
      <c r="BB200" s="2675">
        <f t="shared" si="102"/>
        <v>0</v>
      </c>
      <c r="BC200" s="2675">
        <f t="shared" si="103"/>
        <v>0</v>
      </c>
      <c r="BD200" s="2675">
        <f t="shared" si="104"/>
        <v>0</v>
      </c>
      <c r="BE200" s="2675">
        <f t="shared" si="105"/>
        <v>0</v>
      </c>
      <c r="BF200" s="2675">
        <f t="shared" si="106"/>
        <v>0</v>
      </c>
      <c r="BG200" s="2675">
        <f t="shared" si="107"/>
        <v>0</v>
      </c>
      <c r="BH200" s="2675">
        <f t="shared" si="108"/>
        <v>0</v>
      </c>
      <c r="BI200" s="2675">
        <f t="shared" si="109"/>
        <v>0</v>
      </c>
      <c r="BJ200" s="2675">
        <f t="shared" si="110"/>
        <v>0</v>
      </c>
      <c r="BK200" s="2675">
        <f t="shared" si="111"/>
        <v>0</v>
      </c>
      <c r="BL200" s="2675">
        <f t="shared" si="112"/>
        <v>0</v>
      </c>
      <c r="BM200" s="2675">
        <f t="shared" si="113"/>
        <v>0</v>
      </c>
      <c r="BN200" s="2675">
        <f t="shared" si="114"/>
        <v>0</v>
      </c>
      <c r="BO200" s="2675">
        <f t="shared" si="115"/>
        <v>0</v>
      </c>
      <c r="BP200" s="2675">
        <f t="shared" si="116"/>
        <v>0</v>
      </c>
      <c r="BQ200" s="2675">
        <f t="shared" si="117"/>
        <v>0</v>
      </c>
      <c r="BR200" s="2675">
        <f t="shared" si="118"/>
        <v>0</v>
      </c>
      <c r="BS200" s="2675">
        <f t="shared" si="119"/>
        <v>0</v>
      </c>
      <c r="BT200" s="2722">
        <f t="shared" si="120"/>
        <v>0</v>
      </c>
    </row>
    <row r="201" spans="1:72">
      <c r="A201" s="2673"/>
      <c r="B201" s="2674"/>
      <c r="C201" s="2674"/>
      <c r="D201" s="2277"/>
      <c r="E201" s="2675">
        <f t="shared" si="121"/>
        <v>0</v>
      </c>
      <c r="F201" s="2676"/>
      <c r="G201" s="2677">
        <f t="shared" si="96"/>
        <v>0</v>
      </c>
      <c r="H201" s="2678">
        <f t="shared" si="97"/>
        <v>0</v>
      </c>
      <c r="I201" s="2685"/>
      <c r="J201" s="2685"/>
      <c r="K201" s="2685"/>
      <c r="L201" s="2685"/>
      <c r="M201" s="2685"/>
      <c r="N201" s="2685"/>
      <c r="O201" s="2685"/>
      <c r="P201" s="2685"/>
      <c r="Q201" s="2685"/>
      <c r="R201" s="2685"/>
      <c r="S201" s="2685"/>
      <c r="T201" s="2685"/>
      <c r="U201" s="2685"/>
      <c r="V201" s="2685"/>
      <c r="W201" s="2685"/>
      <c r="X201" s="2685"/>
      <c r="Y201" s="2685"/>
      <c r="Z201" s="2685"/>
      <c r="AA201" s="2685"/>
      <c r="AB201" s="2685"/>
      <c r="AC201" s="2675">
        <f t="shared" si="98"/>
        <v>0</v>
      </c>
      <c r="AD201" s="2695"/>
      <c r="AE201" s="2695"/>
      <c r="AF201" s="2695"/>
      <c r="AG201" s="2695"/>
      <c r="AH201" s="2695"/>
      <c r="AI201" s="2695"/>
      <c r="AJ201" s="2695"/>
      <c r="AK201" s="2695"/>
      <c r="AL201" s="2695"/>
      <c r="AM201" s="2695"/>
      <c r="AN201" s="2695"/>
      <c r="AO201" s="2695"/>
      <c r="AP201" s="2695"/>
      <c r="AQ201" s="2695"/>
      <c r="AR201" s="2695"/>
      <c r="AS201" s="2695"/>
      <c r="AT201" s="2703"/>
      <c r="AU201" s="2704"/>
      <c r="AV201" s="1074">
        <f t="shared" si="122"/>
        <v>0</v>
      </c>
      <c r="AW201" s="1074">
        <f t="shared" si="123"/>
        <v>0</v>
      </c>
      <c r="AX201" s="1074">
        <f t="shared" si="124"/>
        <v>0</v>
      </c>
      <c r="AY201" s="2279">
        <f t="shared" si="99"/>
        <v>0</v>
      </c>
      <c r="AZ201" s="2675">
        <f t="shared" si="100"/>
        <v>0</v>
      </c>
      <c r="BA201" s="2675">
        <f t="shared" si="101"/>
        <v>0</v>
      </c>
      <c r="BB201" s="2675">
        <f t="shared" si="102"/>
        <v>0</v>
      </c>
      <c r="BC201" s="2675">
        <f t="shared" si="103"/>
        <v>0</v>
      </c>
      <c r="BD201" s="2675">
        <f t="shared" si="104"/>
        <v>0</v>
      </c>
      <c r="BE201" s="2675">
        <f t="shared" si="105"/>
        <v>0</v>
      </c>
      <c r="BF201" s="2675">
        <f t="shared" si="106"/>
        <v>0</v>
      </c>
      <c r="BG201" s="2675">
        <f t="shared" si="107"/>
        <v>0</v>
      </c>
      <c r="BH201" s="2675">
        <f t="shared" si="108"/>
        <v>0</v>
      </c>
      <c r="BI201" s="2675">
        <f t="shared" si="109"/>
        <v>0</v>
      </c>
      <c r="BJ201" s="2675">
        <f t="shared" si="110"/>
        <v>0</v>
      </c>
      <c r="BK201" s="2675">
        <f t="shared" si="111"/>
        <v>0</v>
      </c>
      <c r="BL201" s="2675">
        <f t="shared" si="112"/>
        <v>0</v>
      </c>
      <c r="BM201" s="2675">
        <f t="shared" si="113"/>
        <v>0</v>
      </c>
      <c r="BN201" s="2675">
        <f t="shared" si="114"/>
        <v>0</v>
      </c>
      <c r="BO201" s="2675">
        <f t="shared" si="115"/>
        <v>0</v>
      </c>
      <c r="BP201" s="2675">
        <f t="shared" si="116"/>
        <v>0</v>
      </c>
      <c r="BQ201" s="2675">
        <f t="shared" si="117"/>
        <v>0</v>
      </c>
      <c r="BR201" s="2675">
        <f t="shared" si="118"/>
        <v>0</v>
      </c>
      <c r="BS201" s="2675">
        <f t="shared" si="119"/>
        <v>0</v>
      </c>
      <c r="BT201" s="2722">
        <f t="shared" si="120"/>
        <v>0</v>
      </c>
    </row>
    <row r="202" spans="1:72">
      <c r="A202" s="2673"/>
      <c r="B202" s="2674"/>
      <c r="C202" s="2674"/>
      <c r="D202" s="2277"/>
      <c r="E202" s="2675">
        <f t="shared" si="121"/>
        <v>0</v>
      </c>
      <c r="F202" s="2676"/>
      <c r="G202" s="2677">
        <f t="shared" si="96"/>
        <v>0</v>
      </c>
      <c r="H202" s="2678">
        <f t="shared" si="97"/>
        <v>0</v>
      </c>
      <c r="I202" s="2685"/>
      <c r="J202" s="2685"/>
      <c r="K202" s="2685"/>
      <c r="L202" s="2685"/>
      <c r="M202" s="2685"/>
      <c r="N202" s="2685"/>
      <c r="O202" s="2685"/>
      <c r="P202" s="2685"/>
      <c r="Q202" s="2685"/>
      <c r="R202" s="2685"/>
      <c r="S202" s="2685"/>
      <c r="T202" s="2685"/>
      <c r="U202" s="2685"/>
      <c r="V202" s="2685"/>
      <c r="W202" s="2685"/>
      <c r="X202" s="2685"/>
      <c r="Y202" s="2685"/>
      <c r="Z202" s="2685"/>
      <c r="AA202" s="2685"/>
      <c r="AB202" s="2685"/>
      <c r="AC202" s="2675">
        <f t="shared" si="98"/>
        <v>0</v>
      </c>
      <c r="AD202" s="2695"/>
      <c r="AE202" s="2695"/>
      <c r="AF202" s="2695"/>
      <c r="AG202" s="2695"/>
      <c r="AH202" s="2695"/>
      <c r="AI202" s="2695"/>
      <c r="AJ202" s="2695"/>
      <c r="AK202" s="2695"/>
      <c r="AL202" s="2695"/>
      <c r="AM202" s="2695"/>
      <c r="AN202" s="2695"/>
      <c r="AO202" s="2695"/>
      <c r="AP202" s="2695"/>
      <c r="AQ202" s="2695"/>
      <c r="AR202" s="2695"/>
      <c r="AS202" s="2695"/>
      <c r="AT202" s="2703"/>
      <c r="AU202" s="2704"/>
      <c r="AV202" s="1074">
        <f t="shared" si="122"/>
        <v>0</v>
      </c>
      <c r="AW202" s="1074">
        <f t="shared" si="123"/>
        <v>0</v>
      </c>
      <c r="AX202" s="1074">
        <f t="shared" si="124"/>
        <v>0</v>
      </c>
      <c r="AY202" s="2279">
        <f t="shared" si="99"/>
        <v>0</v>
      </c>
      <c r="AZ202" s="2675">
        <f t="shared" si="100"/>
        <v>0</v>
      </c>
      <c r="BA202" s="2675">
        <f t="shared" si="101"/>
        <v>0</v>
      </c>
      <c r="BB202" s="2675">
        <f t="shared" si="102"/>
        <v>0</v>
      </c>
      <c r="BC202" s="2675">
        <f t="shared" si="103"/>
        <v>0</v>
      </c>
      <c r="BD202" s="2675">
        <f t="shared" si="104"/>
        <v>0</v>
      </c>
      <c r="BE202" s="2675">
        <f t="shared" si="105"/>
        <v>0</v>
      </c>
      <c r="BF202" s="2675">
        <f t="shared" si="106"/>
        <v>0</v>
      </c>
      <c r="BG202" s="2675">
        <f t="shared" si="107"/>
        <v>0</v>
      </c>
      <c r="BH202" s="2675">
        <f t="shared" si="108"/>
        <v>0</v>
      </c>
      <c r="BI202" s="2675">
        <f t="shared" si="109"/>
        <v>0</v>
      </c>
      <c r="BJ202" s="2675">
        <f t="shared" si="110"/>
        <v>0</v>
      </c>
      <c r="BK202" s="2675">
        <f t="shared" si="111"/>
        <v>0</v>
      </c>
      <c r="BL202" s="2675">
        <f t="shared" si="112"/>
        <v>0</v>
      </c>
      <c r="BM202" s="2675">
        <f t="shared" si="113"/>
        <v>0</v>
      </c>
      <c r="BN202" s="2675">
        <f t="shared" si="114"/>
        <v>0</v>
      </c>
      <c r="BO202" s="2675">
        <f t="shared" si="115"/>
        <v>0</v>
      </c>
      <c r="BP202" s="2675">
        <f t="shared" si="116"/>
        <v>0</v>
      </c>
      <c r="BQ202" s="2675">
        <f t="shared" si="117"/>
        <v>0</v>
      </c>
      <c r="BR202" s="2675">
        <f t="shared" si="118"/>
        <v>0</v>
      </c>
      <c r="BS202" s="2675">
        <f t="shared" si="119"/>
        <v>0</v>
      </c>
      <c r="BT202" s="2722">
        <f t="shared" si="120"/>
        <v>0</v>
      </c>
    </row>
    <row r="203" spans="1:72">
      <c r="A203" s="2673"/>
      <c r="B203" s="2674"/>
      <c r="C203" s="2674"/>
      <c r="D203" s="2277"/>
      <c r="E203" s="2675">
        <f t="shared" si="121"/>
        <v>0</v>
      </c>
      <c r="F203" s="2676"/>
      <c r="G203" s="2677">
        <f t="shared" si="96"/>
        <v>0</v>
      </c>
      <c r="H203" s="2678">
        <f t="shared" si="97"/>
        <v>0</v>
      </c>
      <c r="I203" s="2685"/>
      <c r="J203" s="2685"/>
      <c r="K203" s="2685"/>
      <c r="L203" s="2685"/>
      <c r="M203" s="2685"/>
      <c r="N203" s="2685"/>
      <c r="O203" s="2685"/>
      <c r="P203" s="2685"/>
      <c r="Q203" s="2685"/>
      <c r="R203" s="2685"/>
      <c r="S203" s="2685"/>
      <c r="T203" s="2685"/>
      <c r="U203" s="2685"/>
      <c r="V203" s="2685"/>
      <c r="W203" s="2685"/>
      <c r="X203" s="2685"/>
      <c r="Y203" s="2685"/>
      <c r="Z203" s="2685"/>
      <c r="AA203" s="2685"/>
      <c r="AB203" s="2685"/>
      <c r="AC203" s="2675">
        <f t="shared" si="98"/>
        <v>0</v>
      </c>
      <c r="AD203" s="2695"/>
      <c r="AE203" s="2695"/>
      <c r="AF203" s="2695"/>
      <c r="AG203" s="2695"/>
      <c r="AH203" s="2695"/>
      <c r="AI203" s="2695"/>
      <c r="AJ203" s="2695"/>
      <c r="AK203" s="2695"/>
      <c r="AL203" s="2695"/>
      <c r="AM203" s="2695"/>
      <c r="AN203" s="2695"/>
      <c r="AO203" s="2695"/>
      <c r="AP203" s="2695"/>
      <c r="AQ203" s="2695"/>
      <c r="AR203" s="2695"/>
      <c r="AS203" s="2695"/>
      <c r="AT203" s="2703"/>
      <c r="AU203" s="2704"/>
      <c r="AV203" s="1074">
        <f t="shared" si="122"/>
        <v>0</v>
      </c>
      <c r="AW203" s="1074">
        <f t="shared" si="123"/>
        <v>0</v>
      </c>
      <c r="AX203" s="1074">
        <f t="shared" si="124"/>
        <v>0</v>
      </c>
      <c r="AY203" s="2279">
        <f t="shared" si="99"/>
        <v>0</v>
      </c>
      <c r="AZ203" s="2675">
        <f t="shared" si="100"/>
        <v>0</v>
      </c>
      <c r="BA203" s="2675">
        <f t="shared" si="101"/>
        <v>0</v>
      </c>
      <c r="BB203" s="2675">
        <f t="shared" si="102"/>
        <v>0</v>
      </c>
      <c r="BC203" s="2675">
        <f t="shared" si="103"/>
        <v>0</v>
      </c>
      <c r="BD203" s="2675">
        <f t="shared" si="104"/>
        <v>0</v>
      </c>
      <c r="BE203" s="2675">
        <f t="shared" si="105"/>
        <v>0</v>
      </c>
      <c r="BF203" s="2675">
        <f t="shared" si="106"/>
        <v>0</v>
      </c>
      <c r="BG203" s="2675">
        <f t="shared" si="107"/>
        <v>0</v>
      </c>
      <c r="BH203" s="2675">
        <f t="shared" si="108"/>
        <v>0</v>
      </c>
      <c r="BI203" s="2675">
        <f t="shared" si="109"/>
        <v>0</v>
      </c>
      <c r="BJ203" s="2675">
        <f t="shared" si="110"/>
        <v>0</v>
      </c>
      <c r="BK203" s="2675">
        <f t="shared" si="111"/>
        <v>0</v>
      </c>
      <c r="BL203" s="2675">
        <f t="shared" si="112"/>
        <v>0</v>
      </c>
      <c r="BM203" s="2675">
        <f t="shared" si="113"/>
        <v>0</v>
      </c>
      <c r="BN203" s="2675">
        <f t="shared" si="114"/>
        <v>0</v>
      </c>
      <c r="BO203" s="2675">
        <f t="shared" si="115"/>
        <v>0</v>
      </c>
      <c r="BP203" s="2675">
        <f t="shared" si="116"/>
        <v>0</v>
      </c>
      <c r="BQ203" s="2675">
        <f t="shared" si="117"/>
        <v>0</v>
      </c>
      <c r="BR203" s="2675">
        <f t="shared" si="118"/>
        <v>0</v>
      </c>
      <c r="BS203" s="2675">
        <f t="shared" si="119"/>
        <v>0</v>
      </c>
      <c r="BT203" s="2722">
        <f t="shared" si="120"/>
        <v>0</v>
      </c>
    </row>
    <row r="204" spans="1:72">
      <c r="A204" s="2673"/>
      <c r="B204" s="2674"/>
      <c r="C204" s="2674"/>
      <c r="D204" s="2277"/>
      <c r="E204" s="2675">
        <f t="shared" si="121"/>
        <v>0</v>
      </c>
      <c r="F204" s="2676"/>
      <c r="G204" s="2677">
        <f t="shared" si="96"/>
        <v>0</v>
      </c>
      <c r="H204" s="2678">
        <f t="shared" si="97"/>
        <v>0</v>
      </c>
      <c r="I204" s="2685"/>
      <c r="J204" s="2685"/>
      <c r="K204" s="2685"/>
      <c r="L204" s="2685"/>
      <c r="M204" s="2685"/>
      <c r="N204" s="2685"/>
      <c r="O204" s="2685"/>
      <c r="P204" s="2685"/>
      <c r="Q204" s="2685"/>
      <c r="R204" s="2685"/>
      <c r="S204" s="2685"/>
      <c r="T204" s="2685"/>
      <c r="U204" s="2685"/>
      <c r="V204" s="2685"/>
      <c r="W204" s="2685"/>
      <c r="X204" s="2685"/>
      <c r="Y204" s="2685"/>
      <c r="Z204" s="2685"/>
      <c r="AA204" s="2685"/>
      <c r="AB204" s="2685"/>
      <c r="AC204" s="2675">
        <f t="shared" si="98"/>
        <v>0</v>
      </c>
      <c r="AD204" s="2695"/>
      <c r="AE204" s="2695"/>
      <c r="AF204" s="2695"/>
      <c r="AG204" s="2695"/>
      <c r="AH204" s="2695"/>
      <c r="AI204" s="2695"/>
      <c r="AJ204" s="2695"/>
      <c r="AK204" s="2695"/>
      <c r="AL204" s="2695"/>
      <c r="AM204" s="2695"/>
      <c r="AN204" s="2695"/>
      <c r="AO204" s="2695"/>
      <c r="AP204" s="2695"/>
      <c r="AQ204" s="2695"/>
      <c r="AR204" s="2695"/>
      <c r="AS204" s="2695"/>
      <c r="AT204" s="2703"/>
      <c r="AU204" s="2704"/>
      <c r="AV204" s="1074">
        <f t="shared" si="122"/>
        <v>0</v>
      </c>
      <c r="AW204" s="1074">
        <f t="shared" si="123"/>
        <v>0</v>
      </c>
      <c r="AX204" s="1074">
        <f t="shared" si="124"/>
        <v>0</v>
      </c>
      <c r="AY204" s="2279">
        <f t="shared" si="99"/>
        <v>0</v>
      </c>
      <c r="AZ204" s="2675">
        <f t="shared" si="100"/>
        <v>0</v>
      </c>
      <c r="BA204" s="2675">
        <f t="shared" si="101"/>
        <v>0</v>
      </c>
      <c r="BB204" s="2675">
        <f t="shared" si="102"/>
        <v>0</v>
      </c>
      <c r="BC204" s="2675">
        <f t="shared" si="103"/>
        <v>0</v>
      </c>
      <c r="BD204" s="2675">
        <f t="shared" si="104"/>
        <v>0</v>
      </c>
      <c r="BE204" s="2675">
        <f t="shared" si="105"/>
        <v>0</v>
      </c>
      <c r="BF204" s="2675">
        <f t="shared" si="106"/>
        <v>0</v>
      </c>
      <c r="BG204" s="2675">
        <f t="shared" si="107"/>
        <v>0</v>
      </c>
      <c r="BH204" s="2675">
        <f t="shared" si="108"/>
        <v>0</v>
      </c>
      <c r="BI204" s="2675">
        <f t="shared" si="109"/>
        <v>0</v>
      </c>
      <c r="BJ204" s="2675">
        <f t="shared" si="110"/>
        <v>0</v>
      </c>
      <c r="BK204" s="2675">
        <f t="shared" si="111"/>
        <v>0</v>
      </c>
      <c r="BL204" s="2675">
        <f t="shared" si="112"/>
        <v>0</v>
      </c>
      <c r="BM204" s="2675">
        <f t="shared" si="113"/>
        <v>0</v>
      </c>
      <c r="BN204" s="2675">
        <f t="shared" si="114"/>
        <v>0</v>
      </c>
      <c r="BO204" s="2675">
        <f t="shared" si="115"/>
        <v>0</v>
      </c>
      <c r="BP204" s="2675">
        <f t="shared" si="116"/>
        <v>0</v>
      </c>
      <c r="BQ204" s="2675">
        <f t="shared" si="117"/>
        <v>0</v>
      </c>
      <c r="BR204" s="2675">
        <f t="shared" si="118"/>
        <v>0</v>
      </c>
      <c r="BS204" s="2675">
        <f t="shared" si="119"/>
        <v>0</v>
      </c>
      <c r="BT204" s="2722">
        <f t="shared" si="120"/>
        <v>0</v>
      </c>
    </row>
    <row r="205" spans="1:72">
      <c r="A205" s="2673"/>
      <c r="B205" s="2673"/>
      <c r="C205" s="2673"/>
      <c r="D205" s="2277"/>
      <c r="E205" s="2675">
        <f t="shared" si="121"/>
        <v>0</v>
      </c>
      <c r="F205" s="2723"/>
      <c r="G205" s="2677">
        <f t="shared" si="96"/>
        <v>0</v>
      </c>
      <c r="H205" s="2678">
        <f t="shared" si="97"/>
        <v>0</v>
      </c>
      <c r="I205" s="2724"/>
      <c r="J205" s="2724"/>
      <c r="K205" s="2685"/>
      <c r="L205" s="2685"/>
      <c r="M205" s="2685"/>
      <c r="N205" s="2685"/>
      <c r="O205" s="2685"/>
      <c r="P205" s="2685"/>
      <c r="Q205" s="2685"/>
      <c r="R205" s="2685"/>
      <c r="S205" s="2685"/>
      <c r="T205" s="2685"/>
      <c r="U205" s="2685"/>
      <c r="V205" s="2685"/>
      <c r="W205" s="2685"/>
      <c r="X205" s="2685"/>
      <c r="Y205" s="2685"/>
      <c r="Z205" s="2685"/>
      <c r="AA205" s="2685"/>
      <c r="AB205" s="2685"/>
      <c r="AC205" s="2675">
        <f t="shared" si="98"/>
        <v>0</v>
      </c>
      <c r="AD205" s="2695"/>
      <c r="AE205" s="2695"/>
      <c r="AF205" s="2695"/>
      <c r="AG205" s="2695"/>
      <c r="AH205" s="2695"/>
      <c r="AI205" s="2695"/>
      <c r="AJ205" s="2695"/>
      <c r="AK205" s="2695"/>
      <c r="AL205" s="2695"/>
      <c r="AM205" s="2695"/>
      <c r="AN205" s="2695"/>
      <c r="AO205" s="2695"/>
      <c r="AP205" s="2695"/>
      <c r="AQ205" s="2695"/>
      <c r="AR205" s="2695"/>
      <c r="AS205" s="2695"/>
      <c r="AT205" s="2695"/>
      <c r="AU205" s="2725"/>
      <c r="AV205" s="1074">
        <f t="shared" si="122"/>
        <v>0</v>
      </c>
      <c r="AW205" s="1074">
        <f t="shared" si="123"/>
        <v>0</v>
      </c>
      <c r="AX205" s="1074">
        <f t="shared" si="124"/>
        <v>0</v>
      </c>
      <c r="AY205" s="2279">
        <f t="shared" si="99"/>
        <v>0</v>
      </c>
      <c r="AZ205" s="2675">
        <f t="shared" si="100"/>
        <v>0</v>
      </c>
      <c r="BA205" s="2675">
        <f t="shared" si="101"/>
        <v>0</v>
      </c>
      <c r="BB205" s="2675">
        <f t="shared" si="102"/>
        <v>0</v>
      </c>
      <c r="BC205" s="2675">
        <f t="shared" si="103"/>
        <v>0</v>
      </c>
      <c r="BD205" s="2675">
        <f t="shared" si="104"/>
        <v>0</v>
      </c>
      <c r="BE205" s="2675">
        <f t="shared" si="105"/>
        <v>0</v>
      </c>
      <c r="BF205" s="2675">
        <f t="shared" si="106"/>
        <v>0</v>
      </c>
      <c r="BG205" s="2675">
        <f t="shared" si="107"/>
        <v>0</v>
      </c>
      <c r="BH205" s="2675">
        <f t="shared" si="108"/>
        <v>0</v>
      </c>
      <c r="BI205" s="2675">
        <f t="shared" si="109"/>
        <v>0</v>
      </c>
      <c r="BJ205" s="2675">
        <f t="shared" si="110"/>
        <v>0</v>
      </c>
      <c r="BK205" s="2675">
        <f t="shared" si="111"/>
        <v>0</v>
      </c>
      <c r="BL205" s="2675">
        <f t="shared" si="112"/>
        <v>0</v>
      </c>
      <c r="BM205" s="2675">
        <f t="shared" si="113"/>
        <v>0</v>
      </c>
      <c r="BN205" s="2675">
        <f t="shared" si="114"/>
        <v>0</v>
      </c>
      <c r="BO205" s="2675">
        <f t="shared" si="115"/>
        <v>0</v>
      </c>
      <c r="BP205" s="2675">
        <f t="shared" si="116"/>
        <v>0</v>
      </c>
      <c r="BQ205" s="2675">
        <f t="shared" si="117"/>
        <v>0</v>
      </c>
      <c r="BR205" s="2675">
        <f t="shared" si="118"/>
        <v>0</v>
      </c>
      <c r="BS205" s="2675">
        <f t="shared" si="119"/>
        <v>0</v>
      </c>
      <c r="BT205" s="2722">
        <f t="shared" si="120"/>
        <v>0</v>
      </c>
    </row>
    <row r="206" spans="1:72">
      <c r="A206" s="2673"/>
      <c r="B206" s="2673"/>
      <c r="C206" s="2673"/>
      <c r="D206" s="2277"/>
      <c r="E206" s="2675">
        <f t="shared" si="121"/>
        <v>0</v>
      </c>
      <c r="F206" s="2723"/>
      <c r="G206" s="2677">
        <f t="shared" si="96"/>
        <v>0</v>
      </c>
      <c r="H206" s="2678">
        <f t="shared" si="97"/>
        <v>0</v>
      </c>
      <c r="I206" s="2685"/>
      <c r="J206" s="2685"/>
      <c r="K206" s="2685"/>
      <c r="L206" s="2685"/>
      <c r="M206" s="2685"/>
      <c r="N206" s="2685"/>
      <c r="O206" s="2685"/>
      <c r="P206" s="2685"/>
      <c r="Q206" s="2685"/>
      <c r="R206" s="2685"/>
      <c r="S206" s="2685"/>
      <c r="T206" s="2685"/>
      <c r="U206" s="2685"/>
      <c r="V206" s="2685"/>
      <c r="W206" s="2685"/>
      <c r="X206" s="2685"/>
      <c r="Y206" s="2685"/>
      <c r="Z206" s="2685"/>
      <c r="AA206" s="2685"/>
      <c r="AB206" s="2685"/>
      <c r="AC206" s="2675">
        <f t="shared" si="98"/>
        <v>0</v>
      </c>
      <c r="AD206" s="2695"/>
      <c r="AE206" s="2695"/>
      <c r="AF206" s="2695"/>
      <c r="AG206" s="2695"/>
      <c r="AH206" s="2695"/>
      <c r="AI206" s="2695"/>
      <c r="AJ206" s="2695"/>
      <c r="AK206" s="2695"/>
      <c r="AL206" s="2695"/>
      <c r="AM206" s="2695"/>
      <c r="AN206" s="2695"/>
      <c r="AO206" s="2695"/>
      <c r="AP206" s="2695"/>
      <c r="AQ206" s="2695"/>
      <c r="AR206" s="2695"/>
      <c r="AS206" s="2695"/>
      <c r="AT206" s="2695"/>
      <c r="AU206" s="2725"/>
      <c r="AV206" s="1074">
        <f t="shared" si="122"/>
        <v>0</v>
      </c>
      <c r="AW206" s="1074">
        <f t="shared" si="123"/>
        <v>0</v>
      </c>
      <c r="AX206" s="1074">
        <f t="shared" si="124"/>
        <v>0</v>
      </c>
      <c r="AY206" s="2279">
        <f t="shared" si="99"/>
        <v>0</v>
      </c>
      <c r="AZ206" s="2675">
        <f t="shared" si="100"/>
        <v>0</v>
      </c>
      <c r="BA206" s="2675">
        <f t="shared" si="101"/>
        <v>0</v>
      </c>
      <c r="BB206" s="2675">
        <f t="shared" si="102"/>
        <v>0</v>
      </c>
      <c r="BC206" s="2675">
        <f t="shared" si="103"/>
        <v>0</v>
      </c>
      <c r="BD206" s="2675">
        <f t="shared" si="104"/>
        <v>0</v>
      </c>
      <c r="BE206" s="2675">
        <f t="shared" si="105"/>
        <v>0</v>
      </c>
      <c r="BF206" s="2675">
        <f t="shared" si="106"/>
        <v>0</v>
      </c>
      <c r="BG206" s="2675">
        <f t="shared" si="107"/>
        <v>0</v>
      </c>
      <c r="BH206" s="2675">
        <f t="shared" si="108"/>
        <v>0</v>
      </c>
      <c r="BI206" s="2675">
        <f t="shared" si="109"/>
        <v>0</v>
      </c>
      <c r="BJ206" s="2675">
        <f t="shared" si="110"/>
        <v>0</v>
      </c>
      <c r="BK206" s="2675">
        <f t="shared" si="111"/>
        <v>0</v>
      </c>
      <c r="BL206" s="2675">
        <f t="shared" si="112"/>
        <v>0</v>
      </c>
      <c r="BM206" s="2675">
        <f t="shared" si="113"/>
        <v>0</v>
      </c>
      <c r="BN206" s="2675">
        <f t="shared" si="114"/>
        <v>0</v>
      </c>
      <c r="BO206" s="2675">
        <f t="shared" si="115"/>
        <v>0</v>
      </c>
      <c r="BP206" s="2675">
        <f t="shared" si="116"/>
        <v>0</v>
      </c>
      <c r="BQ206" s="2675">
        <f t="shared" si="117"/>
        <v>0</v>
      </c>
      <c r="BR206" s="2675">
        <f t="shared" si="118"/>
        <v>0</v>
      </c>
      <c r="BS206" s="2675">
        <f t="shared" si="119"/>
        <v>0</v>
      </c>
      <c r="BT206" s="2722">
        <f t="shared" si="120"/>
        <v>0</v>
      </c>
    </row>
    <row r="207" spans="1:72">
      <c r="A207" s="2673"/>
      <c r="B207" s="2673"/>
      <c r="C207" s="2673"/>
      <c r="D207" s="2277"/>
      <c r="E207" s="2675">
        <f t="shared" si="121"/>
        <v>0</v>
      </c>
      <c r="F207" s="2723"/>
      <c r="G207" s="2677">
        <f t="shared" si="96"/>
        <v>0</v>
      </c>
      <c r="H207" s="2678">
        <f t="shared" si="97"/>
        <v>0</v>
      </c>
      <c r="I207" s="2685"/>
      <c r="J207" s="2685"/>
      <c r="K207" s="2685"/>
      <c r="L207" s="2685"/>
      <c r="M207" s="2685"/>
      <c r="N207" s="2685"/>
      <c r="O207" s="2685"/>
      <c r="P207" s="2685"/>
      <c r="Q207" s="2685"/>
      <c r="R207" s="2685"/>
      <c r="S207" s="2685"/>
      <c r="T207" s="2685"/>
      <c r="U207" s="2685"/>
      <c r="V207" s="2685"/>
      <c r="W207" s="2685"/>
      <c r="X207" s="2685"/>
      <c r="Y207" s="2685"/>
      <c r="Z207" s="2685"/>
      <c r="AA207" s="2685"/>
      <c r="AB207" s="2685"/>
      <c r="AC207" s="2675">
        <f t="shared" si="98"/>
        <v>0</v>
      </c>
      <c r="AD207" s="2695"/>
      <c r="AE207" s="2695"/>
      <c r="AF207" s="2695"/>
      <c r="AG207" s="2695"/>
      <c r="AH207" s="2695"/>
      <c r="AI207" s="2695"/>
      <c r="AJ207" s="2695"/>
      <c r="AK207" s="2695"/>
      <c r="AL207" s="2695"/>
      <c r="AM207" s="2695"/>
      <c r="AN207" s="2695"/>
      <c r="AO207" s="2695"/>
      <c r="AP207" s="2695"/>
      <c r="AQ207" s="2695"/>
      <c r="AR207" s="2695"/>
      <c r="AS207" s="2695"/>
      <c r="AT207" s="2695"/>
      <c r="AU207" s="2725"/>
      <c r="AV207" s="1074">
        <f t="shared" si="122"/>
        <v>0</v>
      </c>
      <c r="AW207" s="1074">
        <f t="shared" si="123"/>
        <v>0</v>
      </c>
      <c r="AX207" s="1074">
        <f t="shared" si="124"/>
        <v>0</v>
      </c>
      <c r="AY207" s="2279">
        <f t="shared" si="99"/>
        <v>0</v>
      </c>
      <c r="AZ207" s="2675">
        <f t="shared" si="100"/>
        <v>0</v>
      </c>
      <c r="BA207" s="2675">
        <f t="shared" si="101"/>
        <v>0</v>
      </c>
      <c r="BB207" s="2675">
        <f t="shared" si="102"/>
        <v>0</v>
      </c>
      <c r="BC207" s="2675">
        <f t="shared" si="103"/>
        <v>0</v>
      </c>
      <c r="BD207" s="2675">
        <f t="shared" si="104"/>
        <v>0</v>
      </c>
      <c r="BE207" s="2675">
        <f t="shared" si="105"/>
        <v>0</v>
      </c>
      <c r="BF207" s="2675">
        <f t="shared" si="106"/>
        <v>0</v>
      </c>
      <c r="BG207" s="2675">
        <f t="shared" si="107"/>
        <v>0</v>
      </c>
      <c r="BH207" s="2675">
        <f t="shared" si="108"/>
        <v>0</v>
      </c>
      <c r="BI207" s="2675">
        <f t="shared" si="109"/>
        <v>0</v>
      </c>
      <c r="BJ207" s="2675">
        <f t="shared" si="110"/>
        <v>0</v>
      </c>
      <c r="BK207" s="2675">
        <f t="shared" si="111"/>
        <v>0</v>
      </c>
      <c r="BL207" s="2675">
        <f t="shared" si="112"/>
        <v>0</v>
      </c>
      <c r="BM207" s="2675">
        <f t="shared" si="113"/>
        <v>0</v>
      </c>
      <c r="BN207" s="2675">
        <f t="shared" si="114"/>
        <v>0</v>
      </c>
      <c r="BO207" s="2675">
        <f t="shared" si="115"/>
        <v>0</v>
      </c>
      <c r="BP207" s="2675">
        <f t="shared" si="116"/>
        <v>0</v>
      </c>
      <c r="BQ207" s="2675">
        <f t="shared" si="117"/>
        <v>0</v>
      </c>
      <c r="BR207" s="2675">
        <f t="shared" si="118"/>
        <v>0</v>
      </c>
      <c r="BS207" s="2675">
        <f t="shared" si="119"/>
        <v>0</v>
      </c>
      <c r="BT207" s="2722">
        <f t="shared" si="120"/>
        <v>0</v>
      </c>
    </row>
    <row r="208" spans="1:72">
      <c r="A208" s="2673"/>
      <c r="B208" s="2674"/>
      <c r="C208" s="2674"/>
      <c r="D208" s="2277"/>
      <c r="E208" s="2675">
        <f t="shared" ref="E208:E302" si="125">IF($C$3="是",ROUND($A$3*G208/$B$3,2),ROUND($A$3*(G208-AT208)/$B$3,2))</f>
        <v>0</v>
      </c>
      <c r="F208" s="2676"/>
      <c r="G208" s="2677">
        <f t="shared" ref="G208:G299" si="126">H208+AC208+AT208</f>
        <v>0</v>
      </c>
      <c r="H208" s="2678">
        <f t="shared" ref="H208:H299" si="127">SUMIF(I$12:AB$12,"总值",I208:AB208)</f>
        <v>0</v>
      </c>
      <c r="I208" s="2685"/>
      <c r="J208" s="2685"/>
      <c r="K208" s="2685"/>
      <c r="L208" s="2685"/>
      <c r="M208" s="2685"/>
      <c r="N208" s="2685"/>
      <c r="O208" s="2685"/>
      <c r="P208" s="2685"/>
      <c r="Q208" s="2685"/>
      <c r="R208" s="2685"/>
      <c r="S208" s="2685"/>
      <c r="T208" s="2685"/>
      <c r="U208" s="2685"/>
      <c r="V208" s="2685"/>
      <c r="W208" s="2685"/>
      <c r="X208" s="2685"/>
      <c r="Y208" s="2685"/>
      <c r="Z208" s="2685"/>
      <c r="AA208" s="2685"/>
      <c r="AB208" s="2685"/>
      <c r="AC208" s="2675">
        <f t="shared" ref="AC208:AC299" si="128">SUMIF(AD$12:AS$12,"总值",AD208:AS208)</f>
        <v>0</v>
      </c>
      <c r="AD208" s="2695"/>
      <c r="AE208" s="2695"/>
      <c r="AF208" s="2695"/>
      <c r="AG208" s="2695"/>
      <c r="AH208" s="2695"/>
      <c r="AI208" s="2695"/>
      <c r="AJ208" s="2695"/>
      <c r="AK208" s="2695"/>
      <c r="AL208" s="2695"/>
      <c r="AM208" s="2695"/>
      <c r="AN208" s="2695"/>
      <c r="AO208" s="2695"/>
      <c r="AP208" s="2695"/>
      <c r="AQ208" s="2695"/>
      <c r="AR208" s="2695"/>
      <c r="AS208" s="2695"/>
      <c r="AT208" s="2703"/>
      <c r="AU208" s="2704"/>
      <c r="AV208" s="1074">
        <f t="shared" ref="AV208:AV302" si="129">A208</f>
        <v>0</v>
      </c>
      <c r="AW208" s="1074">
        <f t="shared" ref="AW208:AW302" si="130">B208</f>
        <v>0</v>
      </c>
      <c r="AX208" s="1074">
        <f t="shared" ref="AX208:AX302" si="131">C208</f>
        <v>0</v>
      </c>
      <c r="AY208" s="2279">
        <f t="shared" ref="AY208:AY299" si="132">ROUND($AY$6*AZ208/$AZ$5,2)</f>
        <v>0</v>
      </c>
      <c r="AZ208" s="2675">
        <f t="shared" ref="AZ208:AZ299" si="133">BA208+BL208</f>
        <v>0</v>
      </c>
      <c r="BA208" s="2675">
        <f t="shared" ref="BA208:BA299" si="134">SUM(BB208:BK208)</f>
        <v>0</v>
      </c>
      <c r="BB208" s="2675">
        <f t="shared" ref="BB208:BB299" si="135">IF($D208="是",I208-J208,0)</f>
        <v>0</v>
      </c>
      <c r="BC208" s="2675">
        <f t="shared" ref="BC208:BC299" si="136">IF($D208="是",K208-L208,0)</f>
        <v>0</v>
      </c>
      <c r="BD208" s="2675">
        <f t="shared" ref="BD208:BD299" si="137">IF($D208="是",M208-N208,0)</f>
        <v>0</v>
      </c>
      <c r="BE208" s="2675">
        <f t="shared" ref="BE208:BE299" si="138">IF($D208="是",O208-P208,0)</f>
        <v>0</v>
      </c>
      <c r="BF208" s="2675">
        <f t="shared" ref="BF208:BF299" si="139">IF($D208="是",Q208-R208,0)</f>
        <v>0</v>
      </c>
      <c r="BG208" s="2675">
        <f t="shared" ref="BG208:BG299" si="140">IF($D208="是",S208-T208,0)</f>
        <v>0</v>
      </c>
      <c r="BH208" s="2675">
        <f t="shared" ref="BH208:BH299" si="141">IF($D208="是",U208-V208,0)</f>
        <v>0</v>
      </c>
      <c r="BI208" s="2675">
        <f t="shared" ref="BI208:BI299" si="142">IF($D208="是",W208-X208,0)</f>
        <v>0</v>
      </c>
      <c r="BJ208" s="2675">
        <f t="shared" ref="BJ208:BJ299" si="143">IF($D208="是",Y208-Z208,0)</f>
        <v>0</v>
      </c>
      <c r="BK208" s="2675">
        <f t="shared" ref="BK208:BK299" si="144">IF($D208="是",AA208-AB208,0)</f>
        <v>0</v>
      </c>
      <c r="BL208" s="2675">
        <f t="shared" ref="BL208:BL299" si="145">SUM(BM208:BT208)</f>
        <v>0</v>
      </c>
      <c r="BM208" s="2675">
        <f t="shared" ref="BM208:BM299" si="146">IF($D208="是",AD208-AE208,0)</f>
        <v>0</v>
      </c>
      <c r="BN208" s="2675">
        <f t="shared" ref="BN208:BN299" si="147">IF($D208="是",AF208-AG208,0)</f>
        <v>0</v>
      </c>
      <c r="BO208" s="2675">
        <f t="shared" ref="BO208:BO299" si="148">IF($D208="是",AH208-AI208,0)</f>
        <v>0</v>
      </c>
      <c r="BP208" s="2675">
        <f t="shared" ref="BP208:BP299" si="149">IF($D208="是",AJ208-AK208,0)</f>
        <v>0</v>
      </c>
      <c r="BQ208" s="2675">
        <f t="shared" ref="BQ208:BQ299" si="150">IF($D208="是",AL208-AM208,0)</f>
        <v>0</v>
      </c>
      <c r="BR208" s="2675">
        <f t="shared" ref="BR208:BR299" si="151">IF($D208="是",AN208-AO208,0)</f>
        <v>0</v>
      </c>
      <c r="BS208" s="2675">
        <f t="shared" ref="BS208:BS299" si="152">IF($D208="是",AP208-AQ208,0)</f>
        <v>0</v>
      </c>
      <c r="BT208" s="2722">
        <f t="shared" ref="BT208:BT299" si="153">IF($D208="是",AR208-AS208,0)</f>
        <v>0</v>
      </c>
    </row>
    <row r="209" spans="1:72">
      <c r="A209" s="2673"/>
      <c r="B209" s="2674"/>
      <c r="C209" s="2674"/>
      <c r="D209" s="2277"/>
      <c r="E209" s="2675">
        <f t="shared" si="125"/>
        <v>0</v>
      </c>
      <c r="F209" s="2676"/>
      <c r="G209" s="2677">
        <f t="shared" si="126"/>
        <v>0</v>
      </c>
      <c r="H209" s="2678">
        <f t="shared" si="127"/>
        <v>0</v>
      </c>
      <c r="I209" s="2685"/>
      <c r="J209" s="2685"/>
      <c r="K209" s="2685"/>
      <c r="L209" s="2685"/>
      <c r="M209" s="2685"/>
      <c r="N209" s="2685"/>
      <c r="O209" s="2685"/>
      <c r="P209" s="2685"/>
      <c r="Q209" s="2685"/>
      <c r="R209" s="2685"/>
      <c r="S209" s="2685"/>
      <c r="T209" s="2685"/>
      <c r="U209" s="2685"/>
      <c r="V209" s="2685"/>
      <c r="W209" s="2685"/>
      <c r="X209" s="2685"/>
      <c r="Y209" s="2685"/>
      <c r="Z209" s="2685"/>
      <c r="AA209" s="2685"/>
      <c r="AB209" s="2685"/>
      <c r="AC209" s="2675">
        <f t="shared" si="128"/>
        <v>0</v>
      </c>
      <c r="AD209" s="2695"/>
      <c r="AE209" s="2695"/>
      <c r="AF209" s="2695"/>
      <c r="AG209" s="2695"/>
      <c r="AH209" s="2695"/>
      <c r="AI209" s="2695"/>
      <c r="AJ209" s="2695"/>
      <c r="AK209" s="2695"/>
      <c r="AL209" s="2695"/>
      <c r="AM209" s="2695"/>
      <c r="AN209" s="2695"/>
      <c r="AO209" s="2695"/>
      <c r="AP209" s="2695"/>
      <c r="AQ209" s="2695"/>
      <c r="AR209" s="2695"/>
      <c r="AS209" s="2695"/>
      <c r="AT209" s="2703"/>
      <c r="AU209" s="2704"/>
      <c r="AV209" s="1074">
        <f t="shared" si="129"/>
        <v>0</v>
      </c>
      <c r="AW209" s="1074">
        <f t="shared" si="130"/>
        <v>0</v>
      </c>
      <c r="AX209" s="1074">
        <f t="shared" si="131"/>
        <v>0</v>
      </c>
      <c r="AY209" s="2279">
        <f t="shared" si="132"/>
        <v>0</v>
      </c>
      <c r="AZ209" s="2675">
        <f t="shared" si="133"/>
        <v>0</v>
      </c>
      <c r="BA209" s="2675">
        <f t="shared" si="134"/>
        <v>0</v>
      </c>
      <c r="BB209" s="2675">
        <f t="shared" si="135"/>
        <v>0</v>
      </c>
      <c r="BC209" s="2675">
        <f t="shared" si="136"/>
        <v>0</v>
      </c>
      <c r="BD209" s="2675">
        <f t="shared" si="137"/>
        <v>0</v>
      </c>
      <c r="BE209" s="2675">
        <f t="shared" si="138"/>
        <v>0</v>
      </c>
      <c r="BF209" s="2675">
        <f t="shared" si="139"/>
        <v>0</v>
      </c>
      <c r="BG209" s="2675">
        <f t="shared" si="140"/>
        <v>0</v>
      </c>
      <c r="BH209" s="2675">
        <f t="shared" si="141"/>
        <v>0</v>
      </c>
      <c r="BI209" s="2675">
        <f t="shared" si="142"/>
        <v>0</v>
      </c>
      <c r="BJ209" s="2675">
        <f t="shared" si="143"/>
        <v>0</v>
      </c>
      <c r="BK209" s="2675">
        <f t="shared" si="144"/>
        <v>0</v>
      </c>
      <c r="BL209" s="2675">
        <f t="shared" si="145"/>
        <v>0</v>
      </c>
      <c r="BM209" s="2675">
        <f t="shared" si="146"/>
        <v>0</v>
      </c>
      <c r="BN209" s="2675">
        <f t="shared" si="147"/>
        <v>0</v>
      </c>
      <c r="BO209" s="2675">
        <f t="shared" si="148"/>
        <v>0</v>
      </c>
      <c r="BP209" s="2675">
        <f t="shared" si="149"/>
        <v>0</v>
      </c>
      <c r="BQ209" s="2675">
        <f t="shared" si="150"/>
        <v>0</v>
      </c>
      <c r="BR209" s="2675">
        <f t="shared" si="151"/>
        <v>0</v>
      </c>
      <c r="BS209" s="2675">
        <f t="shared" si="152"/>
        <v>0</v>
      </c>
      <c r="BT209" s="2722">
        <f t="shared" si="153"/>
        <v>0</v>
      </c>
    </row>
    <row r="210" spans="1:72">
      <c r="A210" s="2673"/>
      <c r="B210" s="2674"/>
      <c r="C210" s="2674"/>
      <c r="D210" s="2277"/>
      <c r="E210" s="2675">
        <f t="shared" si="125"/>
        <v>0</v>
      </c>
      <c r="F210" s="2676"/>
      <c r="G210" s="2677">
        <f t="shared" si="126"/>
        <v>0</v>
      </c>
      <c r="H210" s="2678">
        <f t="shared" si="127"/>
        <v>0</v>
      </c>
      <c r="I210" s="2685"/>
      <c r="J210" s="2685"/>
      <c r="K210" s="2685"/>
      <c r="L210" s="2685"/>
      <c r="M210" s="2685"/>
      <c r="N210" s="2685"/>
      <c r="O210" s="2685"/>
      <c r="P210" s="2685"/>
      <c r="Q210" s="2685"/>
      <c r="R210" s="2685"/>
      <c r="S210" s="2685"/>
      <c r="T210" s="2685"/>
      <c r="U210" s="2685"/>
      <c r="V210" s="2685"/>
      <c r="W210" s="2685"/>
      <c r="X210" s="2685"/>
      <c r="Y210" s="2685"/>
      <c r="Z210" s="2685"/>
      <c r="AA210" s="2685"/>
      <c r="AB210" s="2685"/>
      <c r="AC210" s="2675">
        <f t="shared" si="128"/>
        <v>0</v>
      </c>
      <c r="AD210" s="2695"/>
      <c r="AE210" s="2695"/>
      <c r="AF210" s="2695"/>
      <c r="AG210" s="2695"/>
      <c r="AH210" s="2695"/>
      <c r="AI210" s="2695"/>
      <c r="AJ210" s="2695"/>
      <c r="AK210" s="2695"/>
      <c r="AL210" s="2695"/>
      <c r="AM210" s="2695"/>
      <c r="AN210" s="2695"/>
      <c r="AO210" s="2695"/>
      <c r="AP210" s="2695"/>
      <c r="AQ210" s="2695"/>
      <c r="AR210" s="2695"/>
      <c r="AS210" s="2695"/>
      <c r="AT210" s="2703"/>
      <c r="AU210" s="2704"/>
      <c r="AV210" s="1074">
        <f t="shared" si="129"/>
        <v>0</v>
      </c>
      <c r="AW210" s="1074">
        <f t="shared" si="130"/>
        <v>0</v>
      </c>
      <c r="AX210" s="1074">
        <f t="shared" si="131"/>
        <v>0</v>
      </c>
      <c r="AY210" s="2279">
        <f t="shared" si="132"/>
        <v>0</v>
      </c>
      <c r="AZ210" s="2675">
        <f t="shared" si="133"/>
        <v>0</v>
      </c>
      <c r="BA210" s="2675">
        <f t="shared" si="134"/>
        <v>0</v>
      </c>
      <c r="BB210" s="2675">
        <f t="shared" si="135"/>
        <v>0</v>
      </c>
      <c r="BC210" s="2675">
        <f t="shared" si="136"/>
        <v>0</v>
      </c>
      <c r="BD210" s="2675">
        <f t="shared" si="137"/>
        <v>0</v>
      </c>
      <c r="BE210" s="2675">
        <f t="shared" si="138"/>
        <v>0</v>
      </c>
      <c r="BF210" s="2675">
        <f t="shared" si="139"/>
        <v>0</v>
      </c>
      <c r="BG210" s="2675">
        <f t="shared" si="140"/>
        <v>0</v>
      </c>
      <c r="BH210" s="2675">
        <f t="shared" si="141"/>
        <v>0</v>
      </c>
      <c r="BI210" s="2675">
        <f t="shared" si="142"/>
        <v>0</v>
      </c>
      <c r="BJ210" s="2675">
        <f t="shared" si="143"/>
        <v>0</v>
      </c>
      <c r="BK210" s="2675">
        <f t="shared" si="144"/>
        <v>0</v>
      </c>
      <c r="BL210" s="2675">
        <f t="shared" si="145"/>
        <v>0</v>
      </c>
      <c r="BM210" s="2675">
        <f t="shared" si="146"/>
        <v>0</v>
      </c>
      <c r="BN210" s="2675">
        <f t="shared" si="147"/>
        <v>0</v>
      </c>
      <c r="BO210" s="2675">
        <f t="shared" si="148"/>
        <v>0</v>
      </c>
      <c r="BP210" s="2675">
        <f t="shared" si="149"/>
        <v>0</v>
      </c>
      <c r="BQ210" s="2675">
        <f t="shared" si="150"/>
        <v>0</v>
      </c>
      <c r="BR210" s="2675">
        <f t="shared" si="151"/>
        <v>0</v>
      </c>
      <c r="BS210" s="2675">
        <f t="shared" si="152"/>
        <v>0</v>
      </c>
      <c r="BT210" s="2722">
        <f t="shared" si="153"/>
        <v>0</v>
      </c>
    </row>
    <row r="211" spans="1:72">
      <c r="A211" s="2673"/>
      <c r="B211" s="2674"/>
      <c r="C211" s="2674"/>
      <c r="D211" s="2277"/>
      <c r="E211" s="2675">
        <f t="shared" si="125"/>
        <v>0</v>
      </c>
      <c r="F211" s="2676"/>
      <c r="G211" s="2677">
        <f t="shared" si="126"/>
        <v>0</v>
      </c>
      <c r="H211" s="2678">
        <f t="shared" si="127"/>
        <v>0</v>
      </c>
      <c r="I211" s="2685"/>
      <c r="J211" s="2685"/>
      <c r="K211" s="2685"/>
      <c r="L211" s="2685"/>
      <c r="M211" s="2685"/>
      <c r="N211" s="2685"/>
      <c r="O211" s="2685"/>
      <c r="P211" s="2685"/>
      <c r="Q211" s="2685"/>
      <c r="R211" s="2685"/>
      <c r="S211" s="2685"/>
      <c r="T211" s="2685"/>
      <c r="U211" s="2685"/>
      <c r="V211" s="2685"/>
      <c r="W211" s="2685"/>
      <c r="X211" s="2685"/>
      <c r="Y211" s="2685"/>
      <c r="Z211" s="2685"/>
      <c r="AA211" s="2685"/>
      <c r="AB211" s="2685"/>
      <c r="AC211" s="2675">
        <f t="shared" si="128"/>
        <v>0</v>
      </c>
      <c r="AD211" s="2695"/>
      <c r="AE211" s="2695"/>
      <c r="AF211" s="2695"/>
      <c r="AG211" s="2695"/>
      <c r="AH211" s="2695"/>
      <c r="AI211" s="2695"/>
      <c r="AJ211" s="2695"/>
      <c r="AK211" s="2695"/>
      <c r="AL211" s="2695"/>
      <c r="AM211" s="2695"/>
      <c r="AN211" s="2695"/>
      <c r="AO211" s="2695"/>
      <c r="AP211" s="2695"/>
      <c r="AQ211" s="2695"/>
      <c r="AR211" s="2695"/>
      <c r="AS211" s="2695"/>
      <c r="AT211" s="2703"/>
      <c r="AU211" s="2704"/>
      <c r="AV211" s="1074">
        <f t="shared" si="129"/>
        <v>0</v>
      </c>
      <c r="AW211" s="1074">
        <f t="shared" si="130"/>
        <v>0</v>
      </c>
      <c r="AX211" s="1074">
        <f t="shared" si="131"/>
        <v>0</v>
      </c>
      <c r="AY211" s="2279">
        <f t="shared" si="132"/>
        <v>0</v>
      </c>
      <c r="AZ211" s="2675">
        <f t="shared" si="133"/>
        <v>0</v>
      </c>
      <c r="BA211" s="2675">
        <f t="shared" si="134"/>
        <v>0</v>
      </c>
      <c r="BB211" s="2675">
        <f t="shared" si="135"/>
        <v>0</v>
      </c>
      <c r="BC211" s="2675">
        <f t="shared" si="136"/>
        <v>0</v>
      </c>
      <c r="BD211" s="2675">
        <f t="shared" si="137"/>
        <v>0</v>
      </c>
      <c r="BE211" s="2675">
        <f t="shared" si="138"/>
        <v>0</v>
      </c>
      <c r="BF211" s="2675">
        <f t="shared" si="139"/>
        <v>0</v>
      </c>
      <c r="BG211" s="2675">
        <f t="shared" si="140"/>
        <v>0</v>
      </c>
      <c r="BH211" s="2675">
        <f t="shared" si="141"/>
        <v>0</v>
      </c>
      <c r="BI211" s="2675">
        <f t="shared" si="142"/>
        <v>0</v>
      </c>
      <c r="BJ211" s="2675">
        <f t="shared" si="143"/>
        <v>0</v>
      </c>
      <c r="BK211" s="2675">
        <f t="shared" si="144"/>
        <v>0</v>
      </c>
      <c r="BL211" s="2675">
        <f t="shared" si="145"/>
        <v>0</v>
      </c>
      <c r="BM211" s="2675">
        <f t="shared" si="146"/>
        <v>0</v>
      </c>
      <c r="BN211" s="2675">
        <f t="shared" si="147"/>
        <v>0</v>
      </c>
      <c r="BO211" s="2675">
        <f t="shared" si="148"/>
        <v>0</v>
      </c>
      <c r="BP211" s="2675">
        <f t="shared" si="149"/>
        <v>0</v>
      </c>
      <c r="BQ211" s="2675">
        <f t="shared" si="150"/>
        <v>0</v>
      </c>
      <c r="BR211" s="2675">
        <f t="shared" si="151"/>
        <v>0</v>
      </c>
      <c r="BS211" s="2675">
        <f t="shared" si="152"/>
        <v>0</v>
      </c>
      <c r="BT211" s="2722">
        <f t="shared" si="153"/>
        <v>0</v>
      </c>
    </row>
    <row r="212" spans="1:72">
      <c r="A212" s="2673"/>
      <c r="B212" s="2674"/>
      <c r="C212" s="2674"/>
      <c r="D212" s="2277"/>
      <c r="E212" s="2675">
        <f t="shared" si="125"/>
        <v>0</v>
      </c>
      <c r="F212" s="2676"/>
      <c r="G212" s="2677">
        <f t="shared" si="126"/>
        <v>0</v>
      </c>
      <c r="H212" s="2678">
        <f t="shared" si="127"/>
        <v>0</v>
      </c>
      <c r="I212" s="2685"/>
      <c r="J212" s="2685"/>
      <c r="K212" s="2685"/>
      <c r="L212" s="2685"/>
      <c r="M212" s="2685"/>
      <c r="N212" s="2685"/>
      <c r="O212" s="2685"/>
      <c r="P212" s="2685"/>
      <c r="Q212" s="2685"/>
      <c r="R212" s="2685"/>
      <c r="S212" s="2685"/>
      <c r="T212" s="2685"/>
      <c r="U212" s="2685"/>
      <c r="V212" s="2685"/>
      <c r="W212" s="2685"/>
      <c r="X212" s="2685"/>
      <c r="Y212" s="2685"/>
      <c r="Z212" s="2685"/>
      <c r="AA212" s="2685"/>
      <c r="AB212" s="2685"/>
      <c r="AC212" s="2675">
        <f t="shared" si="128"/>
        <v>0</v>
      </c>
      <c r="AD212" s="2695"/>
      <c r="AE212" s="2695"/>
      <c r="AF212" s="2695"/>
      <c r="AG212" s="2695"/>
      <c r="AH212" s="2695"/>
      <c r="AI212" s="2695"/>
      <c r="AJ212" s="2695"/>
      <c r="AK212" s="2695"/>
      <c r="AL212" s="2695"/>
      <c r="AM212" s="2695"/>
      <c r="AN212" s="2695"/>
      <c r="AO212" s="2695"/>
      <c r="AP212" s="2695"/>
      <c r="AQ212" s="2695"/>
      <c r="AR212" s="2695"/>
      <c r="AS212" s="2695"/>
      <c r="AT212" s="2703"/>
      <c r="AU212" s="2704"/>
      <c r="AV212" s="1074">
        <f t="shared" si="129"/>
        <v>0</v>
      </c>
      <c r="AW212" s="1074">
        <f t="shared" si="130"/>
        <v>0</v>
      </c>
      <c r="AX212" s="1074">
        <f t="shared" si="131"/>
        <v>0</v>
      </c>
      <c r="AY212" s="2279">
        <f t="shared" si="132"/>
        <v>0</v>
      </c>
      <c r="AZ212" s="2675">
        <f t="shared" si="133"/>
        <v>0</v>
      </c>
      <c r="BA212" s="2675">
        <f t="shared" si="134"/>
        <v>0</v>
      </c>
      <c r="BB212" s="2675">
        <f t="shared" si="135"/>
        <v>0</v>
      </c>
      <c r="BC212" s="2675">
        <f t="shared" si="136"/>
        <v>0</v>
      </c>
      <c r="BD212" s="2675">
        <f t="shared" si="137"/>
        <v>0</v>
      </c>
      <c r="BE212" s="2675">
        <f t="shared" si="138"/>
        <v>0</v>
      </c>
      <c r="BF212" s="2675">
        <f t="shared" si="139"/>
        <v>0</v>
      </c>
      <c r="BG212" s="2675">
        <f t="shared" si="140"/>
        <v>0</v>
      </c>
      <c r="BH212" s="2675">
        <f t="shared" si="141"/>
        <v>0</v>
      </c>
      <c r="BI212" s="2675">
        <f t="shared" si="142"/>
        <v>0</v>
      </c>
      <c r="BJ212" s="2675">
        <f t="shared" si="143"/>
        <v>0</v>
      </c>
      <c r="BK212" s="2675">
        <f t="shared" si="144"/>
        <v>0</v>
      </c>
      <c r="BL212" s="2675">
        <f t="shared" si="145"/>
        <v>0</v>
      </c>
      <c r="BM212" s="2675">
        <f t="shared" si="146"/>
        <v>0</v>
      </c>
      <c r="BN212" s="2675">
        <f t="shared" si="147"/>
        <v>0</v>
      </c>
      <c r="BO212" s="2675">
        <f t="shared" si="148"/>
        <v>0</v>
      </c>
      <c r="BP212" s="2675">
        <f t="shared" si="149"/>
        <v>0</v>
      </c>
      <c r="BQ212" s="2675">
        <f t="shared" si="150"/>
        <v>0</v>
      </c>
      <c r="BR212" s="2675">
        <f t="shared" si="151"/>
        <v>0</v>
      </c>
      <c r="BS212" s="2675">
        <f t="shared" si="152"/>
        <v>0</v>
      </c>
      <c r="BT212" s="2722">
        <f t="shared" si="153"/>
        <v>0</v>
      </c>
    </row>
    <row r="213" spans="1:72">
      <c r="A213" s="2673"/>
      <c r="B213" s="2674"/>
      <c r="C213" s="2674"/>
      <c r="D213" s="2277"/>
      <c r="E213" s="2675">
        <f t="shared" si="125"/>
        <v>0</v>
      </c>
      <c r="F213" s="2676"/>
      <c r="G213" s="2677">
        <f t="shared" si="126"/>
        <v>0</v>
      </c>
      <c r="H213" s="2678">
        <f t="shared" si="127"/>
        <v>0</v>
      </c>
      <c r="I213" s="2685"/>
      <c r="J213" s="2685"/>
      <c r="K213" s="2685"/>
      <c r="L213" s="2685"/>
      <c r="M213" s="2685"/>
      <c r="N213" s="2685"/>
      <c r="O213" s="2685"/>
      <c r="P213" s="2685"/>
      <c r="Q213" s="2685"/>
      <c r="R213" s="2685"/>
      <c r="S213" s="2685"/>
      <c r="T213" s="2685"/>
      <c r="U213" s="2685"/>
      <c r="V213" s="2685"/>
      <c r="W213" s="2685"/>
      <c r="X213" s="2685"/>
      <c r="Y213" s="2685"/>
      <c r="Z213" s="2685"/>
      <c r="AA213" s="2685"/>
      <c r="AB213" s="2685"/>
      <c r="AC213" s="2675">
        <f t="shared" si="128"/>
        <v>0</v>
      </c>
      <c r="AD213" s="2695"/>
      <c r="AE213" s="2695"/>
      <c r="AF213" s="2695"/>
      <c r="AG213" s="2695"/>
      <c r="AH213" s="2695"/>
      <c r="AI213" s="2695"/>
      <c r="AJ213" s="2695"/>
      <c r="AK213" s="2695"/>
      <c r="AL213" s="2695"/>
      <c r="AM213" s="2695"/>
      <c r="AN213" s="2695"/>
      <c r="AO213" s="2695"/>
      <c r="AP213" s="2695"/>
      <c r="AQ213" s="2695"/>
      <c r="AR213" s="2695"/>
      <c r="AS213" s="2695"/>
      <c r="AT213" s="2703"/>
      <c r="AU213" s="2704"/>
      <c r="AV213" s="1074">
        <f t="shared" si="129"/>
        <v>0</v>
      </c>
      <c r="AW213" s="1074">
        <f t="shared" si="130"/>
        <v>0</v>
      </c>
      <c r="AX213" s="1074">
        <f t="shared" si="131"/>
        <v>0</v>
      </c>
      <c r="AY213" s="2279">
        <f t="shared" si="132"/>
        <v>0</v>
      </c>
      <c r="AZ213" s="2675">
        <f t="shared" si="133"/>
        <v>0</v>
      </c>
      <c r="BA213" s="2675">
        <f t="shared" si="134"/>
        <v>0</v>
      </c>
      <c r="BB213" s="2675">
        <f t="shared" si="135"/>
        <v>0</v>
      </c>
      <c r="BC213" s="2675">
        <f t="shared" si="136"/>
        <v>0</v>
      </c>
      <c r="BD213" s="2675">
        <f t="shared" si="137"/>
        <v>0</v>
      </c>
      <c r="BE213" s="2675">
        <f t="shared" si="138"/>
        <v>0</v>
      </c>
      <c r="BF213" s="2675">
        <f t="shared" si="139"/>
        <v>0</v>
      </c>
      <c r="BG213" s="2675">
        <f t="shared" si="140"/>
        <v>0</v>
      </c>
      <c r="BH213" s="2675">
        <f t="shared" si="141"/>
        <v>0</v>
      </c>
      <c r="BI213" s="2675">
        <f t="shared" si="142"/>
        <v>0</v>
      </c>
      <c r="BJ213" s="2675">
        <f t="shared" si="143"/>
        <v>0</v>
      </c>
      <c r="BK213" s="2675">
        <f t="shared" si="144"/>
        <v>0</v>
      </c>
      <c r="BL213" s="2675">
        <f t="shared" si="145"/>
        <v>0</v>
      </c>
      <c r="BM213" s="2675">
        <f t="shared" si="146"/>
        <v>0</v>
      </c>
      <c r="BN213" s="2675">
        <f t="shared" si="147"/>
        <v>0</v>
      </c>
      <c r="BO213" s="2675">
        <f t="shared" si="148"/>
        <v>0</v>
      </c>
      <c r="BP213" s="2675">
        <f t="shared" si="149"/>
        <v>0</v>
      </c>
      <c r="BQ213" s="2675">
        <f t="shared" si="150"/>
        <v>0</v>
      </c>
      <c r="BR213" s="2675">
        <f t="shared" si="151"/>
        <v>0</v>
      </c>
      <c r="BS213" s="2675">
        <f t="shared" si="152"/>
        <v>0</v>
      </c>
      <c r="BT213" s="2722">
        <f t="shared" si="153"/>
        <v>0</v>
      </c>
    </row>
    <row r="214" spans="1:72">
      <c r="A214" s="2673"/>
      <c r="B214" s="2674"/>
      <c r="C214" s="2674"/>
      <c r="D214" s="2277"/>
      <c r="E214" s="2675">
        <f t="shared" si="125"/>
        <v>0</v>
      </c>
      <c r="F214" s="2676"/>
      <c r="G214" s="2677">
        <f t="shared" si="126"/>
        <v>0</v>
      </c>
      <c r="H214" s="2678">
        <f t="shared" si="127"/>
        <v>0</v>
      </c>
      <c r="I214" s="2685"/>
      <c r="J214" s="2685"/>
      <c r="K214" s="2685"/>
      <c r="L214" s="2685"/>
      <c r="M214" s="2685"/>
      <c r="N214" s="2685"/>
      <c r="O214" s="2685"/>
      <c r="P214" s="2685"/>
      <c r="Q214" s="2685"/>
      <c r="R214" s="2685"/>
      <c r="S214" s="2685"/>
      <c r="T214" s="2685"/>
      <c r="U214" s="2685"/>
      <c r="V214" s="2685"/>
      <c r="W214" s="2685"/>
      <c r="X214" s="2685"/>
      <c r="Y214" s="2685"/>
      <c r="Z214" s="2685"/>
      <c r="AA214" s="2685"/>
      <c r="AB214" s="2685"/>
      <c r="AC214" s="2675">
        <f t="shared" si="128"/>
        <v>0</v>
      </c>
      <c r="AD214" s="2695"/>
      <c r="AE214" s="2695"/>
      <c r="AF214" s="2695"/>
      <c r="AG214" s="2695"/>
      <c r="AH214" s="2695"/>
      <c r="AI214" s="2695"/>
      <c r="AJ214" s="2695"/>
      <c r="AK214" s="2695"/>
      <c r="AL214" s="2695"/>
      <c r="AM214" s="2695"/>
      <c r="AN214" s="2695"/>
      <c r="AO214" s="2695"/>
      <c r="AP214" s="2695"/>
      <c r="AQ214" s="2695"/>
      <c r="AR214" s="2695"/>
      <c r="AS214" s="2695"/>
      <c r="AT214" s="2703"/>
      <c r="AU214" s="2704"/>
      <c r="AV214" s="1074">
        <f t="shared" si="129"/>
        <v>0</v>
      </c>
      <c r="AW214" s="1074">
        <f t="shared" si="130"/>
        <v>0</v>
      </c>
      <c r="AX214" s="1074">
        <f t="shared" si="131"/>
        <v>0</v>
      </c>
      <c r="AY214" s="2279">
        <f t="shared" si="132"/>
        <v>0</v>
      </c>
      <c r="AZ214" s="2675">
        <f t="shared" si="133"/>
        <v>0</v>
      </c>
      <c r="BA214" s="2675">
        <f t="shared" si="134"/>
        <v>0</v>
      </c>
      <c r="BB214" s="2675">
        <f t="shared" si="135"/>
        <v>0</v>
      </c>
      <c r="BC214" s="2675">
        <f t="shared" si="136"/>
        <v>0</v>
      </c>
      <c r="BD214" s="2675">
        <f t="shared" si="137"/>
        <v>0</v>
      </c>
      <c r="BE214" s="2675">
        <f t="shared" si="138"/>
        <v>0</v>
      </c>
      <c r="BF214" s="2675">
        <f t="shared" si="139"/>
        <v>0</v>
      </c>
      <c r="BG214" s="2675">
        <f t="shared" si="140"/>
        <v>0</v>
      </c>
      <c r="BH214" s="2675">
        <f t="shared" si="141"/>
        <v>0</v>
      </c>
      <c r="BI214" s="2675">
        <f t="shared" si="142"/>
        <v>0</v>
      </c>
      <c r="BJ214" s="2675">
        <f t="shared" si="143"/>
        <v>0</v>
      </c>
      <c r="BK214" s="2675">
        <f t="shared" si="144"/>
        <v>0</v>
      </c>
      <c r="BL214" s="2675">
        <f t="shared" si="145"/>
        <v>0</v>
      </c>
      <c r="BM214" s="2675">
        <f t="shared" si="146"/>
        <v>0</v>
      </c>
      <c r="BN214" s="2675">
        <f t="shared" si="147"/>
        <v>0</v>
      </c>
      <c r="BO214" s="2675">
        <f t="shared" si="148"/>
        <v>0</v>
      </c>
      <c r="BP214" s="2675">
        <f t="shared" si="149"/>
        <v>0</v>
      </c>
      <c r="BQ214" s="2675">
        <f t="shared" si="150"/>
        <v>0</v>
      </c>
      <c r="BR214" s="2675">
        <f t="shared" si="151"/>
        <v>0</v>
      </c>
      <c r="BS214" s="2675">
        <f t="shared" si="152"/>
        <v>0</v>
      </c>
      <c r="BT214" s="2722">
        <f t="shared" si="153"/>
        <v>0</v>
      </c>
    </row>
    <row r="215" spans="1:72">
      <c r="A215" s="2673"/>
      <c r="B215" s="2674"/>
      <c r="C215" s="2674"/>
      <c r="D215" s="2277"/>
      <c r="E215" s="2675">
        <f t="shared" si="125"/>
        <v>0</v>
      </c>
      <c r="F215" s="2676"/>
      <c r="G215" s="2677">
        <f t="shared" si="126"/>
        <v>0</v>
      </c>
      <c r="H215" s="2678">
        <f t="shared" si="127"/>
        <v>0</v>
      </c>
      <c r="I215" s="2685"/>
      <c r="J215" s="2685"/>
      <c r="K215" s="2685"/>
      <c r="L215" s="2685"/>
      <c r="M215" s="2685"/>
      <c r="N215" s="2685"/>
      <c r="O215" s="2685"/>
      <c r="P215" s="2685"/>
      <c r="Q215" s="2685"/>
      <c r="R215" s="2685"/>
      <c r="S215" s="2685"/>
      <c r="T215" s="2685"/>
      <c r="U215" s="2685"/>
      <c r="V215" s="2685"/>
      <c r="W215" s="2685"/>
      <c r="X215" s="2685"/>
      <c r="Y215" s="2685"/>
      <c r="Z215" s="2685"/>
      <c r="AA215" s="2685"/>
      <c r="AB215" s="2685"/>
      <c r="AC215" s="2675">
        <f t="shared" si="128"/>
        <v>0</v>
      </c>
      <c r="AD215" s="2695"/>
      <c r="AE215" s="2695"/>
      <c r="AF215" s="2695"/>
      <c r="AG215" s="2695"/>
      <c r="AH215" s="2695"/>
      <c r="AI215" s="2695"/>
      <c r="AJ215" s="2695"/>
      <c r="AK215" s="2695"/>
      <c r="AL215" s="2695"/>
      <c r="AM215" s="2695"/>
      <c r="AN215" s="2695"/>
      <c r="AO215" s="2695"/>
      <c r="AP215" s="2695"/>
      <c r="AQ215" s="2695"/>
      <c r="AR215" s="2695"/>
      <c r="AS215" s="2695"/>
      <c r="AT215" s="2703"/>
      <c r="AU215" s="2704"/>
      <c r="AV215" s="1074">
        <f t="shared" si="129"/>
        <v>0</v>
      </c>
      <c r="AW215" s="1074">
        <f t="shared" si="130"/>
        <v>0</v>
      </c>
      <c r="AX215" s="1074">
        <f t="shared" si="131"/>
        <v>0</v>
      </c>
      <c r="AY215" s="2279">
        <f t="shared" si="132"/>
        <v>0</v>
      </c>
      <c r="AZ215" s="2675">
        <f t="shared" si="133"/>
        <v>0</v>
      </c>
      <c r="BA215" s="2675">
        <f t="shared" si="134"/>
        <v>0</v>
      </c>
      <c r="BB215" s="2675">
        <f t="shared" si="135"/>
        <v>0</v>
      </c>
      <c r="BC215" s="2675">
        <f t="shared" si="136"/>
        <v>0</v>
      </c>
      <c r="BD215" s="2675">
        <f t="shared" si="137"/>
        <v>0</v>
      </c>
      <c r="BE215" s="2675">
        <f t="shared" si="138"/>
        <v>0</v>
      </c>
      <c r="BF215" s="2675">
        <f t="shared" si="139"/>
        <v>0</v>
      </c>
      <c r="BG215" s="2675">
        <f t="shared" si="140"/>
        <v>0</v>
      </c>
      <c r="BH215" s="2675">
        <f t="shared" si="141"/>
        <v>0</v>
      </c>
      <c r="BI215" s="2675">
        <f t="shared" si="142"/>
        <v>0</v>
      </c>
      <c r="BJ215" s="2675">
        <f t="shared" si="143"/>
        <v>0</v>
      </c>
      <c r="BK215" s="2675">
        <f t="shared" si="144"/>
        <v>0</v>
      </c>
      <c r="BL215" s="2675">
        <f t="shared" si="145"/>
        <v>0</v>
      </c>
      <c r="BM215" s="2675">
        <f t="shared" si="146"/>
        <v>0</v>
      </c>
      <c r="BN215" s="2675">
        <f t="shared" si="147"/>
        <v>0</v>
      </c>
      <c r="BO215" s="2675">
        <f t="shared" si="148"/>
        <v>0</v>
      </c>
      <c r="BP215" s="2675">
        <f t="shared" si="149"/>
        <v>0</v>
      </c>
      <c r="BQ215" s="2675">
        <f t="shared" si="150"/>
        <v>0</v>
      </c>
      <c r="BR215" s="2675">
        <f t="shared" si="151"/>
        <v>0</v>
      </c>
      <c r="BS215" s="2675">
        <f t="shared" si="152"/>
        <v>0</v>
      </c>
      <c r="BT215" s="2722">
        <f t="shared" si="153"/>
        <v>0</v>
      </c>
    </row>
    <row r="216" spans="1:72">
      <c r="A216" s="2673"/>
      <c r="B216" s="2674"/>
      <c r="C216" s="2674"/>
      <c r="D216" s="2277"/>
      <c r="E216" s="2675">
        <f t="shared" si="125"/>
        <v>0</v>
      </c>
      <c r="F216" s="2676"/>
      <c r="G216" s="2677">
        <f t="shared" si="126"/>
        <v>0</v>
      </c>
      <c r="H216" s="2678">
        <f t="shared" si="127"/>
        <v>0</v>
      </c>
      <c r="I216" s="2685"/>
      <c r="J216" s="2685"/>
      <c r="K216" s="2685"/>
      <c r="L216" s="2685"/>
      <c r="M216" s="2685"/>
      <c r="N216" s="2685"/>
      <c r="O216" s="2685"/>
      <c r="P216" s="2685"/>
      <c r="Q216" s="2685"/>
      <c r="R216" s="2685"/>
      <c r="S216" s="2685"/>
      <c r="T216" s="2685"/>
      <c r="U216" s="2685"/>
      <c r="V216" s="2685"/>
      <c r="W216" s="2685"/>
      <c r="X216" s="2685"/>
      <c r="Y216" s="2685"/>
      <c r="Z216" s="2685"/>
      <c r="AA216" s="2685"/>
      <c r="AB216" s="2685"/>
      <c r="AC216" s="2675">
        <f t="shared" si="128"/>
        <v>0</v>
      </c>
      <c r="AD216" s="2695"/>
      <c r="AE216" s="2695"/>
      <c r="AF216" s="2695"/>
      <c r="AG216" s="2695"/>
      <c r="AH216" s="2695"/>
      <c r="AI216" s="2695"/>
      <c r="AJ216" s="2695"/>
      <c r="AK216" s="2695"/>
      <c r="AL216" s="2695"/>
      <c r="AM216" s="2695"/>
      <c r="AN216" s="2695"/>
      <c r="AO216" s="2695"/>
      <c r="AP216" s="2695"/>
      <c r="AQ216" s="2695"/>
      <c r="AR216" s="2695"/>
      <c r="AS216" s="2695"/>
      <c r="AT216" s="2703"/>
      <c r="AU216" s="2704"/>
      <c r="AV216" s="1074">
        <f t="shared" si="129"/>
        <v>0</v>
      </c>
      <c r="AW216" s="1074">
        <f t="shared" si="130"/>
        <v>0</v>
      </c>
      <c r="AX216" s="1074">
        <f t="shared" si="131"/>
        <v>0</v>
      </c>
      <c r="AY216" s="2279">
        <f t="shared" si="132"/>
        <v>0</v>
      </c>
      <c r="AZ216" s="2675">
        <f t="shared" si="133"/>
        <v>0</v>
      </c>
      <c r="BA216" s="2675">
        <f t="shared" si="134"/>
        <v>0</v>
      </c>
      <c r="BB216" s="2675">
        <f t="shared" si="135"/>
        <v>0</v>
      </c>
      <c r="BC216" s="2675">
        <f t="shared" si="136"/>
        <v>0</v>
      </c>
      <c r="BD216" s="2675">
        <f t="shared" si="137"/>
        <v>0</v>
      </c>
      <c r="BE216" s="2675">
        <f t="shared" si="138"/>
        <v>0</v>
      </c>
      <c r="BF216" s="2675">
        <f t="shared" si="139"/>
        <v>0</v>
      </c>
      <c r="BG216" s="2675">
        <f t="shared" si="140"/>
        <v>0</v>
      </c>
      <c r="BH216" s="2675">
        <f t="shared" si="141"/>
        <v>0</v>
      </c>
      <c r="BI216" s="2675">
        <f t="shared" si="142"/>
        <v>0</v>
      </c>
      <c r="BJ216" s="2675">
        <f t="shared" si="143"/>
        <v>0</v>
      </c>
      <c r="BK216" s="2675">
        <f t="shared" si="144"/>
        <v>0</v>
      </c>
      <c r="BL216" s="2675">
        <f t="shared" si="145"/>
        <v>0</v>
      </c>
      <c r="BM216" s="2675">
        <f t="shared" si="146"/>
        <v>0</v>
      </c>
      <c r="BN216" s="2675">
        <f t="shared" si="147"/>
        <v>0</v>
      </c>
      <c r="BO216" s="2675">
        <f t="shared" si="148"/>
        <v>0</v>
      </c>
      <c r="BP216" s="2675">
        <f t="shared" si="149"/>
        <v>0</v>
      </c>
      <c r="BQ216" s="2675">
        <f t="shared" si="150"/>
        <v>0</v>
      </c>
      <c r="BR216" s="2675">
        <f t="shared" si="151"/>
        <v>0</v>
      </c>
      <c r="BS216" s="2675">
        <f t="shared" si="152"/>
        <v>0</v>
      </c>
      <c r="BT216" s="2722">
        <f t="shared" si="153"/>
        <v>0</v>
      </c>
    </row>
    <row r="217" spans="1:72">
      <c r="A217" s="2673"/>
      <c r="B217" s="2674"/>
      <c r="C217" s="2674"/>
      <c r="D217" s="2277"/>
      <c r="E217" s="2675">
        <f t="shared" si="125"/>
        <v>0</v>
      </c>
      <c r="F217" s="2676"/>
      <c r="G217" s="2677">
        <f t="shared" si="126"/>
        <v>0</v>
      </c>
      <c r="H217" s="2678">
        <f t="shared" si="127"/>
        <v>0</v>
      </c>
      <c r="I217" s="2685"/>
      <c r="J217" s="2685"/>
      <c r="K217" s="2685"/>
      <c r="L217" s="2685"/>
      <c r="M217" s="2685"/>
      <c r="N217" s="2685"/>
      <c r="O217" s="2685"/>
      <c r="P217" s="2685"/>
      <c r="Q217" s="2685"/>
      <c r="R217" s="2685"/>
      <c r="S217" s="2685"/>
      <c r="T217" s="2685"/>
      <c r="U217" s="2685"/>
      <c r="V217" s="2685"/>
      <c r="W217" s="2685"/>
      <c r="X217" s="2685"/>
      <c r="Y217" s="2685"/>
      <c r="Z217" s="2685"/>
      <c r="AA217" s="2685"/>
      <c r="AB217" s="2685"/>
      <c r="AC217" s="2675">
        <f t="shared" si="128"/>
        <v>0</v>
      </c>
      <c r="AD217" s="2695"/>
      <c r="AE217" s="2695"/>
      <c r="AF217" s="2695"/>
      <c r="AG217" s="2695"/>
      <c r="AH217" s="2695"/>
      <c r="AI217" s="2695"/>
      <c r="AJ217" s="2695"/>
      <c r="AK217" s="2695"/>
      <c r="AL217" s="2695"/>
      <c r="AM217" s="2695"/>
      <c r="AN217" s="2695"/>
      <c r="AO217" s="2695"/>
      <c r="AP217" s="2695"/>
      <c r="AQ217" s="2695"/>
      <c r="AR217" s="2695"/>
      <c r="AS217" s="2695"/>
      <c r="AT217" s="2703"/>
      <c r="AU217" s="2704"/>
      <c r="AV217" s="1074">
        <f t="shared" si="129"/>
        <v>0</v>
      </c>
      <c r="AW217" s="1074">
        <f t="shared" si="130"/>
        <v>0</v>
      </c>
      <c r="AX217" s="1074">
        <f t="shared" si="131"/>
        <v>0</v>
      </c>
      <c r="AY217" s="2279">
        <f t="shared" si="132"/>
        <v>0</v>
      </c>
      <c r="AZ217" s="2675">
        <f t="shared" si="133"/>
        <v>0</v>
      </c>
      <c r="BA217" s="2675">
        <f t="shared" si="134"/>
        <v>0</v>
      </c>
      <c r="BB217" s="2675">
        <f t="shared" si="135"/>
        <v>0</v>
      </c>
      <c r="BC217" s="2675">
        <f t="shared" si="136"/>
        <v>0</v>
      </c>
      <c r="BD217" s="2675">
        <f t="shared" si="137"/>
        <v>0</v>
      </c>
      <c r="BE217" s="2675">
        <f t="shared" si="138"/>
        <v>0</v>
      </c>
      <c r="BF217" s="2675">
        <f t="shared" si="139"/>
        <v>0</v>
      </c>
      <c r="BG217" s="2675">
        <f t="shared" si="140"/>
        <v>0</v>
      </c>
      <c r="BH217" s="2675">
        <f t="shared" si="141"/>
        <v>0</v>
      </c>
      <c r="BI217" s="2675">
        <f t="shared" si="142"/>
        <v>0</v>
      </c>
      <c r="BJ217" s="2675">
        <f t="shared" si="143"/>
        <v>0</v>
      </c>
      <c r="BK217" s="2675">
        <f t="shared" si="144"/>
        <v>0</v>
      </c>
      <c r="BL217" s="2675">
        <f t="shared" si="145"/>
        <v>0</v>
      </c>
      <c r="BM217" s="2675">
        <f t="shared" si="146"/>
        <v>0</v>
      </c>
      <c r="BN217" s="2675">
        <f t="shared" si="147"/>
        <v>0</v>
      </c>
      <c r="BO217" s="2675">
        <f t="shared" si="148"/>
        <v>0</v>
      </c>
      <c r="BP217" s="2675">
        <f t="shared" si="149"/>
        <v>0</v>
      </c>
      <c r="BQ217" s="2675">
        <f t="shared" si="150"/>
        <v>0</v>
      </c>
      <c r="BR217" s="2675">
        <f t="shared" si="151"/>
        <v>0</v>
      </c>
      <c r="BS217" s="2675">
        <f t="shared" si="152"/>
        <v>0</v>
      </c>
      <c r="BT217" s="2722">
        <f t="shared" si="153"/>
        <v>0</v>
      </c>
    </row>
    <row r="218" spans="1:72">
      <c r="A218" s="2673"/>
      <c r="B218" s="2674"/>
      <c r="C218" s="2674"/>
      <c r="D218" s="2277"/>
      <c r="E218" s="2675">
        <f t="shared" si="125"/>
        <v>0</v>
      </c>
      <c r="F218" s="2676"/>
      <c r="G218" s="2677">
        <f t="shared" si="126"/>
        <v>0</v>
      </c>
      <c r="H218" s="2678">
        <f t="shared" si="127"/>
        <v>0</v>
      </c>
      <c r="I218" s="2685"/>
      <c r="J218" s="2685"/>
      <c r="K218" s="2685"/>
      <c r="L218" s="2685"/>
      <c r="M218" s="2685"/>
      <c r="N218" s="2685"/>
      <c r="O218" s="2685"/>
      <c r="P218" s="2685"/>
      <c r="Q218" s="2685"/>
      <c r="R218" s="2685"/>
      <c r="S218" s="2685"/>
      <c r="T218" s="2685"/>
      <c r="U218" s="2685"/>
      <c r="V218" s="2685"/>
      <c r="W218" s="2685"/>
      <c r="X218" s="2685"/>
      <c r="Y218" s="2685"/>
      <c r="Z218" s="2685"/>
      <c r="AA218" s="2685"/>
      <c r="AB218" s="2685"/>
      <c r="AC218" s="2675">
        <f t="shared" si="128"/>
        <v>0</v>
      </c>
      <c r="AD218" s="2695"/>
      <c r="AE218" s="2695"/>
      <c r="AF218" s="2695"/>
      <c r="AG218" s="2695"/>
      <c r="AH218" s="2695"/>
      <c r="AI218" s="2695"/>
      <c r="AJ218" s="2695"/>
      <c r="AK218" s="2695"/>
      <c r="AL218" s="2695"/>
      <c r="AM218" s="2695"/>
      <c r="AN218" s="2695"/>
      <c r="AO218" s="2695"/>
      <c r="AP218" s="2695"/>
      <c r="AQ218" s="2695"/>
      <c r="AR218" s="2695"/>
      <c r="AS218" s="2695"/>
      <c r="AT218" s="2703"/>
      <c r="AU218" s="2704"/>
      <c r="AV218" s="1074">
        <f t="shared" si="129"/>
        <v>0</v>
      </c>
      <c r="AW218" s="1074">
        <f t="shared" si="130"/>
        <v>0</v>
      </c>
      <c r="AX218" s="1074">
        <f t="shared" si="131"/>
        <v>0</v>
      </c>
      <c r="AY218" s="2279">
        <f t="shared" si="132"/>
        <v>0</v>
      </c>
      <c r="AZ218" s="2675">
        <f t="shared" si="133"/>
        <v>0</v>
      </c>
      <c r="BA218" s="2675">
        <f t="shared" si="134"/>
        <v>0</v>
      </c>
      <c r="BB218" s="2675">
        <f t="shared" si="135"/>
        <v>0</v>
      </c>
      <c r="BC218" s="2675">
        <f t="shared" si="136"/>
        <v>0</v>
      </c>
      <c r="BD218" s="2675">
        <f t="shared" si="137"/>
        <v>0</v>
      </c>
      <c r="BE218" s="2675">
        <f t="shared" si="138"/>
        <v>0</v>
      </c>
      <c r="BF218" s="2675">
        <f t="shared" si="139"/>
        <v>0</v>
      </c>
      <c r="BG218" s="2675">
        <f t="shared" si="140"/>
        <v>0</v>
      </c>
      <c r="BH218" s="2675">
        <f t="shared" si="141"/>
        <v>0</v>
      </c>
      <c r="BI218" s="2675">
        <f t="shared" si="142"/>
        <v>0</v>
      </c>
      <c r="BJ218" s="2675">
        <f t="shared" si="143"/>
        <v>0</v>
      </c>
      <c r="BK218" s="2675">
        <f t="shared" si="144"/>
        <v>0</v>
      </c>
      <c r="BL218" s="2675">
        <f t="shared" si="145"/>
        <v>0</v>
      </c>
      <c r="BM218" s="2675">
        <f t="shared" si="146"/>
        <v>0</v>
      </c>
      <c r="BN218" s="2675">
        <f t="shared" si="147"/>
        <v>0</v>
      </c>
      <c r="BO218" s="2675">
        <f t="shared" si="148"/>
        <v>0</v>
      </c>
      <c r="BP218" s="2675">
        <f t="shared" si="149"/>
        <v>0</v>
      </c>
      <c r="BQ218" s="2675">
        <f t="shared" si="150"/>
        <v>0</v>
      </c>
      <c r="BR218" s="2675">
        <f t="shared" si="151"/>
        <v>0</v>
      </c>
      <c r="BS218" s="2675">
        <f t="shared" si="152"/>
        <v>0</v>
      </c>
      <c r="BT218" s="2722">
        <f t="shared" si="153"/>
        <v>0</v>
      </c>
    </row>
    <row r="219" spans="1:72">
      <c r="A219" s="2673"/>
      <c r="B219" s="2674"/>
      <c r="C219" s="2674"/>
      <c r="D219" s="2277"/>
      <c r="E219" s="2675">
        <f t="shared" si="125"/>
        <v>0</v>
      </c>
      <c r="F219" s="2676"/>
      <c r="G219" s="2677">
        <f t="shared" si="126"/>
        <v>0</v>
      </c>
      <c r="H219" s="2678">
        <f t="shared" si="127"/>
        <v>0</v>
      </c>
      <c r="I219" s="2685"/>
      <c r="J219" s="2685"/>
      <c r="K219" s="2685"/>
      <c r="L219" s="2685"/>
      <c r="M219" s="2685"/>
      <c r="N219" s="2685"/>
      <c r="O219" s="2685"/>
      <c r="P219" s="2685"/>
      <c r="Q219" s="2685"/>
      <c r="R219" s="2685"/>
      <c r="S219" s="2685"/>
      <c r="T219" s="2685"/>
      <c r="U219" s="2685"/>
      <c r="V219" s="2685"/>
      <c r="W219" s="2685"/>
      <c r="X219" s="2685"/>
      <c r="Y219" s="2685"/>
      <c r="Z219" s="2685"/>
      <c r="AA219" s="2685"/>
      <c r="AB219" s="2685"/>
      <c r="AC219" s="2675">
        <f t="shared" si="128"/>
        <v>0</v>
      </c>
      <c r="AD219" s="2695"/>
      <c r="AE219" s="2695"/>
      <c r="AF219" s="2695"/>
      <c r="AG219" s="2695"/>
      <c r="AH219" s="2695"/>
      <c r="AI219" s="2695"/>
      <c r="AJ219" s="2695"/>
      <c r="AK219" s="2695"/>
      <c r="AL219" s="2695"/>
      <c r="AM219" s="2695"/>
      <c r="AN219" s="2695"/>
      <c r="AO219" s="2695"/>
      <c r="AP219" s="2695"/>
      <c r="AQ219" s="2695"/>
      <c r="AR219" s="2695"/>
      <c r="AS219" s="2695"/>
      <c r="AT219" s="2703"/>
      <c r="AU219" s="2704"/>
      <c r="AV219" s="1074">
        <f t="shared" si="129"/>
        <v>0</v>
      </c>
      <c r="AW219" s="1074">
        <f t="shared" si="130"/>
        <v>0</v>
      </c>
      <c r="AX219" s="1074">
        <f t="shared" si="131"/>
        <v>0</v>
      </c>
      <c r="AY219" s="2279">
        <f t="shared" si="132"/>
        <v>0</v>
      </c>
      <c r="AZ219" s="2675">
        <f t="shared" si="133"/>
        <v>0</v>
      </c>
      <c r="BA219" s="2675">
        <f t="shared" si="134"/>
        <v>0</v>
      </c>
      <c r="BB219" s="2675">
        <f t="shared" si="135"/>
        <v>0</v>
      </c>
      <c r="BC219" s="2675">
        <f t="shared" si="136"/>
        <v>0</v>
      </c>
      <c r="BD219" s="2675">
        <f t="shared" si="137"/>
        <v>0</v>
      </c>
      <c r="BE219" s="2675">
        <f t="shared" si="138"/>
        <v>0</v>
      </c>
      <c r="BF219" s="2675">
        <f t="shared" si="139"/>
        <v>0</v>
      </c>
      <c r="BG219" s="2675">
        <f t="shared" si="140"/>
        <v>0</v>
      </c>
      <c r="BH219" s="2675">
        <f t="shared" si="141"/>
        <v>0</v>
      </c>
      <c r="BI219" s="2675">
        <f t="shared" si="142"/>
        <v>0</v>
      </c>
      <c r="BJ219" s="2675">
        <f t="shared" si="143"/>
        <v>0</v>
      </c>
      <c r="BK219" s="2675">
        <f t="shared" si="144"/>
        <v>0</v>
      </c>
      <c r="BL219" s="2675">
        <f t="shared" si="145"/>
        <v>0</v>
      </c>
      <c r="BM219" s="2675">
        <f t="shared" si="146"/>
        <v>0</v>
      </c>
      <c r="BN219" s="2675">
        <f t="shared" si="147"/>
        <v>0</v>
      </c>
      <c r="BO219" s="2675">
        <f t="shared" si="148"/>
        <v>0</v>
      </c>
      <c r="BP219" s="2675">
        <f t="shared" si="149"/>
        <v>0</v>
      </c>
      <c r="BQ219" s="2675">
        <f t="shared" si="150"/>
        <v>0</v>
      </c>
      <c r="BR219" s="2675">
        <f t="shared" si="151"/>
        <v>0</v>
      </c>
      <c r="BS219" s="2675">
        <f t="shared" si="152"/>
        <v>0</v>
      </c>
      <c r="BT219" s="2722">
        <f t="shared" si="153"/>
        <v>0</v>
      </c>
    </row>
    <row r="220" spans="1:72">
      <c r="A220" s="2673"/>
      <c r="B220" s="2674"/>
      <c r="C220" s="2674"/>
      <c r="D220" s="2277"/>
      <c r="E220" s="2675">
        <f t="shared" si="125"/>
        <v>0</v>
      </c>
      <c r="F220" s="2676"/>
      <c r="G220" s="2677">
        <f t="shared" si="126"/>
        <v>0</v>
      </c>
      <c r="H220" s="2678">
        <f t="shared" si="127"/>
        <v>0</v>
      </c>
      <c r="I220" s="2685"/>
      <c r="J220" s="2685"/>
      <c r="K220" s="2685"/>
      <c r="L220" s="2685"/>
      <c r="M220" s="2685"/>
      <c r="N220" s="2685"/>
      <c r="O220" s="2685"/>
      <c r="P220" s="2685"/>
      <c r="Q220" s="2685"/>
      <c r="R220" s="2685"/>
      <c r="S220" s="2685"/>
      <c r="T220" s="2685"/>
      <c r="U220" s="2685"/>
      <c r="V220" s="2685"/>
      <c r="W220" s="2685"/>
      <c r="X220" s="2685"/>
      <c r="Y220" s="2685"/>
      <c r="Z220" s="2685"/>
      <c r="AA220" s="2685"/>
      <c r="AB220" s="2685"/>
      <c r="AC220" s="2675">
        <f t="shared" si="128"/>
        <v>0</v>
      </c>
      <c r="AD220" s="2695"/>
      <c r="AE220" s="2695"/>
      <c r="AF220" s="2695"/>
      <c r="AG220" s="2695"/>
      <c r="AH220" s="2695"/>
      <c r="AI220" s="2695"/>
      <c r="AJ220" s="2695"/>
      <c r="AK220" s="2695"/>
      <c r="AL220" s="2695"/>
      <c r="AM220" s="2695"/>
      <c r="AN220" s="2695"/>
      <c r="AO220" s="2695"/>
      <c r="AP220" s="2695"/>
      <c r="AQ220" s="2695"/>
      <c r="AR220" s="2695"/>
      <c r="AS220" s="2695"/>
      <c r="AT220" s="2703"/>
      <c r="AU220" s="2704"/>
      <c r="AV220" s="1074">
        <f t="shared" si="129"/>
        <v>0</v>
      </c>
      <c r="AW220" s="1074">
        <f t="shared" si="130"/>
        <v>0</v>
      </c>
      <c r="AX220" s="1074">
        <f t="shared" si="131"/>
        <v>0</v>
      </c>
      <c r="AY220" s="2279">
        <f t="shared" si="132"/>
        <v>0</v>
      </c>
      <c r="AZ220" s="2675">
        <f t="shared" si="133"/>
        <v>0</v>
      </c>
      <c r="BA220" s="2675">
        <f t="shared" si="134"/>
        <v>0</v>
      </c>
      <c r="BB220" s="2675">
        <f t="shared" si="135"/>
        <v>0</v>
      </c>
      <c r="BC220" s="2675">
        <f t="shared" si="136"/>
        <v>0</v>
      </c>
      <c r="BD220" s="2675">
        <f t="shared" si="137"/>
        <v>0</v>
      </c>
      <c r="BE220" s="2675">
        <f t="shared" si="138"/>
        <v>0</v>
      </c>
      <c r="BF220" s="2675">
        <f t="shared" si="139"/>
        <v>0</v>
      </c>
      <c r="BG220" s="2675">
        <f t="shared" si="140"/>
        <v>0</v>
      </c>
      <c r="BH220" s="2675">
        <f t="shared" si="141"/>
        <v>0</v>
      </c>
      <c r="BI220" s="2675">
        <f t="shared" si="142"/>
        <v>0</v>
      </c>
      <c r="BJ220" s="2675">
        <f t="shared" si="143"/>
        <v>0</v>
      </c>
      <c r="BK220" s="2675">
        <f t="shared" si="144"/>
        <v>0</v>
      </c>
      <c r="BL220" s="2675">
        <f t="shared" si="145"/>
        <v>0</v>
      </c>
      <c r="BM220" s="2675">
        <f t="shared" si="146"/>
        <v>0</v>
      </c>
      <c r="BN220" s="2675">
        <f t="shared" si="147"/>
        <v>0</v>
      </c>
      <c r="BO220" s="2675">
        <f t="shared" si="148"/>
        <v>0</v>
      </c>
      <c r="BP220" s="2675">
        <f t="shared" si="149"/>
        <v>0</v>
      </c>
      <c r="BQ220" s="2675">
        <f t="shared" si="150"/>
        <v>0</v>
      </c>
      <c r="BR220" s="2675">
        <f t="shared" si="151"/>
        <v>0</v>
      </c>
      <c r="BS220" s="2675">
        <f t="shared" si="152"/>
        <v>0</v>
      </c>
      <c r="BT220" s="2722">
        <f t="shared" si="153"/>
        <v>0</v>
      </c>
    </row>
    <row r="221" spans="1:72">
      <c r="A221" s="2673"/>
      <c r="B221" s="2674"/>
      <c r="C221" s="2674"/>
      <c r="D221" s="2277"/>
      <c r="E221" s="2675">
        <f t="shared" si="125"/>
        <v>0</v>
      </c>
      <c r="F221" s="2676"/>
      <c r="G221" s="2677">
        <f t="shared" si="126"/>
        <v>0</v>
      </c>
      <c r="H221" s="2678">
        <f t="shared" si="127"/>
        <v>0</v>
      </c>
      <c r="I221" s="2685"/>
      <c r="J221" s="2685"/>
      <c r="K221" s="2685"/>
      <c r="L221" s="2685"/>
      <c r="M221" s="2685"/>
      <c r="N221" s="2685"/>
      <c r="O221" s="2685"/>
      <c r="P221" s="2685"/>
      <c r="Q221" s="2685"/>
      <c r="R221" s="2685"/>
      <c r="S221" s="2685"/>
      <c r="T221" s="2685"/>
      <c r="U221" s="2685"/>
      <c r="V221" s="2685"/>
      <c r="W221" s="2685"/>
      <c r="X221" s="2685"/>
      <c r="Y221" s="2685"/>
      <c r="Z221" s="2685"/>
      <c r="AA221" s="2685"/>
      <c r="AB221" s="2685"/>
      <c r="AC221" s="2675">
        <f t="shared" si="128"/>
        <v>0</v>
      </c>
      <c r="AD221" s="2695"/>
      <c r="AE221" s="2695"/>
      <c r="AF221" s="2695"/>
      <c r="AG221" s="2695"/>
      <c r="AH221" s="2695"/>
      <c r="AI221" s="2695"/>
      <c r="AJ221" s="2695"/>
      <c r="AK221" s="2695"/>
      <c r="AL221" s="2695"/>
      <c r="AM221" s="2695"/>
      <c r="AN221" s="2695"/>
      <c r="AO221" s="2695"/>
      <c r="AP221" s="2695"/>
      <c r="AQ221" s="2695"/>
      <c r="AR221" s="2695"/>
      <c r="AS221" s="2695"/>
      <c r="AT221" s="2703"/>
      <c r="AU221" s="2704"/>
      <c r="AV221" s="1074">
        <f t="shared" si="129"/>
        <v>0</v>
      </c>
      <c r="AW221" s="1074">
        <f t="shared" si="130"/>
        <v>0</v>
      </c>
      <c r="AX221" s="1074">
        <f t="shared" si="131"/>
        <v>0</v>
      </c>
      <c r="AY221" s="2279">
        <f t="shared" si="132"/>
        <v>0</v>
      </c>
      <c r="AZ221" s="2675">
        <f t="shared" si="133"/>
        <v>0</v>
      </c>
      <c r="BA221" s="2675">
        <f t="shared" si="134"/>
        <v>0</v>
      </c>
      <c r="BB221" s="2675">
        <f t="shared" si="135"/>
        <v>0</v>
      </c>
      <c r="BC221" s="2675">
        <f t="shared" si="136"/>
        <v>0</v>
      </c>
      <c r="BD221" s="2675">
        <f t="shared" si="137"/>
        <v>0</v>
      </c>
      <c r="BE221" s="2675">
        <f t="shared" si="138"/>
        <v>0</v>
      </c>
      <c r="BF221" s="2675">
        <f t="shared" si="139"/>
        <v>0</v>
      </c>
      <c r="BG221" s="2675">
        <f t="shared" si="140"/>
        <v>0</v>
      </c>
      <c r="BH221" s="2675">
        <f t="shared" si="141"/>
        <v>0</v>
      </c>
      <c r="BI221" s="2675">
        <f t="shared" si="142"/>
        <v>0</v>
      </c>
      <c r="BJ221" s="2675">
        <f t="shared" si="143"/>
        <v>0</v>
      </c>
      <c r="BK221" s="2675">
        <f t="shared" si="144"/>
        <v>0</v>
      </c>
      <c r="BL221" s="2675">
        <f t="shared" si="145"/>
        <v>0</v>
      </c>
      <c r="BM221" s="2675">
        <f t="shared" si="146"/>
        <v>0</v>
      </c>
      <c r="BN221" s="2675">
        <f t="shared" si="147"/>
        <v>0</v>
      </c>
      <c r="BO221" s="2675">
        <f t="shared" si="148"/>
        <v>0</v>
      </c>
      <c r="BP221" s="2675">
        <f t="shared" si="149"/>
        <v>0</v>
      </c>
      <c r="BQ221" s="2675">
        <f t="shared" si="150"/>
        <v>0</v>
      </c>
      <c r="BR221" s="2675">
        <f t="shared" si="151"/>
        <v>0</v>
      </c>
      <c r="BS221" s="2675">
        <f t="shared" si="152"/>
        <v>0</v>
      </c>
      <c r="BT221" s="2722">
        <f t="shared" si="153"/>
        <v>0</v>
      </c>
    </row>
    <row r="222" spans="1:72">
      <c r="A222" s="2673"/>
      <c r="B222" s="2674"/>
      <c r="C222" s="2674"/>
      <c r="D222" s="2277"/>
      <c r="E222" s="2675">
        <f t="shared" si="125"/>
        <v>0</v>
      </c>
      <c r="F222" s="2676"/>
      <c r="G222" s="2677">
        <f t="shared" si="126"/>
        <v>0</v>
      </c>
      <c r="H222" s="2678">
        <f t="shared" si="127"/>
        <v>0</v>
      </c>
      <c r="I222" s="2685"/>
      <c r="J222" s="2685"/>
      <c r="K222" s="2685"/>
      <c r="L222" s="2685"/>
      <c r="M222" s="2685"/>
      <c r="N222" s="2685"/>
      <c r="O222" s="2685"/>
      <c r="P222" s="2685"/>
      <c r="Q222" s="2685"/>
      <c r="R222" s="2685"/>
      <c r="S222" s="2685"/>
      <c r="T222" s="2685"/>
      <c r="U222" s="2685"/>
      <c r="V222" s="2685"/>
      <c r="W222" s="2685"/>
      <c r="X222" s="2685"/>
      <c r="Y222" s="2685"/>
      <c r="Z222" s="2685"/>
      <c r="AA222" s="2685"/>
      <c r="AB222" s="2685"/>
      <c r="AC222" s="2675">
        <f t="shared" si="128"/>
        <v>0</v>
      </c>
      <c r="AD222" s="2695"/>
      <c r="AE222" s="2695"/>
      <c r="AF222" s="2695"/>
      <c r="AG222" s="2695"/>
      <c r="AH222" s="2695"/>
      <c r="AI222" s="2695"/>
      <c r="AJ222" s="2695"/>
      <c r="AK222" s="2695"/>
      <c r="AL222" s="2695"/>
      <c r="AM222" s="2695"/>
      <c r="AN222" s="2695"/>
      <c r="AO222" s="2695"/>
      <c r="AP222" s="2695"/>
      <c r="AQ222" s="2695"/>
      <c r="AR222" s="2695"/>
      <c r="AS222" s="2695"/>
      <c r="AT222" s="2703"/>
      <c r="AU222" s="2704"/>
      <c r="AV222" s="1074">
        <f t="shared" si="129"/>
        <v>0</v>
      </c>
      <c r="AW222" s="1074">
        <f t="shared" si="130"/>
        <v>0</v>
      </c>
      <c r="AX222" s="1074">
        <f t="shared" si="131"/>
        <v>0</v>
      </c>
      <c r="AY222" s="2279">
        <f t="shared" si="132"/>
        <v>0</v>
      </c>
      <c r="AZ222" s="2675">
        <f t="shared" si="133"/>
        <v>0</v>
      </c>
      <c r="BA222" s="2675">
        <f t="shared" si="134"/>
        <v>0</v>
      </c>
      <c r="BB222" s="2675">
        <f t="shared" si="135"/>
        <v>0</v>
      </c>
      <c r="BC222" s="2675">
        <f t="shared" si="136"/>
        <v>0</v>
      </c>
      <c r="BD222" s="2675">
        <f t="shared" si="137"/>
        <v>0</v>
      </c>
      <c r="BE222" s="2675">
        <f t="shared" si="138"/>
        <v>0</v>
      </c>
      <c r="BF222" s="2675">
        <f t="shared" si="139"/>
        <v>0</v>
      </c>
      <c r="BG222" s="2675">
        <f t="shared" si="140"/>
        <v>0</v>
      </c>
      <c r="BH222" s="2675">
        <f t="shared" si="141"/>
        <v>0</v>
      </c>
      <c r="BI222" s="2675">
        <f t="shared" si="142"/>
        <v>0</v>
      </c>
      <c r="BJ222" s="2675">
        <f t="shared" si="143"/>
        <v>0</v>
      </c>
      <c r="BK222" s="2675">
        <f t="shared" si="144"/>
        <v>0</v>
      </c>
      <c r="BL222" s="2675">
        <f t="shared" si="145"/>
        <v>0</v>
      </c>
      <c r="BM222" s="2675">
        <f t="shared" si="146"/>
        <v>0</v>
      </c>
      <c r="BN222" s="2675">
        <f t="shared" si="147"/>
        <v>0</v>
      </c>
      <c r="BO222" s="2675">
        <f t="shared" si="148"/>
        <v>0</v>
      </c>
      <c r="BP222" s="2675">
        <f t="shared" si="149"/>
        <v>0</v>
      </c>
      <c r="BQ222" s="2675">
        <f t="shared" si="150"/>
        <v>0</v>
      </c>
      <c r="BR222" s="2675">
        <f t="shared" si="151"/>
        <v>0</v>
      </c>
      <c r="BS222" s="2675">
        <f t="shared" si="152"/>
        <v>0</v>
      </c>
      <c r="BT222" s="2722">
        <f t="shared" si="153"/>
        <v>0</v>
      </c>
    </row>
    <row r="223" spans="1:72">
      <c r="A223" s="2673"/>
      <c r="B223" s="2674"/>
      <c r="C223" s="2674"/>
      <c r="D223" s="2277"/>
      <c r="E223" s="2675">
        <f t="shared" si="125"/>
        <v>0</v>
      </c>
      <c r="F223" s="2676"/>
      <c r="G223" s="2677">
        <f t="shared" si="126"/>
        <v>0</v>
      </c>
      <c r="H223" s="2678">
        <f t="shared" si="127"/>
        <v>0</v>
      </c>
      <c r="I223" s="2685"/>
      <c r="J223" s="2685"/>
      <c r="K223" s="2685"/>
      <c r="L223" s="2685"/>
      <c r="M223" s="2685"/>
      <c r="N223" s="2685"/>
      <c r="O223" s="2685"/>
      <c r="P223" s="2685"/>
      <c r="Q223" s="2685"/>
      <c r="R223" s="2685"/>
      <c r="S223" s="2685"/>
      <c r="T223" s="2685"/>
      <c r="U223" s="2685"/>
      <c r="V223" s="2685"/>
      <c r="W223" s="2685"/>
      <c r="X223" s="2685"/>
      <c r="Y223" s="2685"/>
      <c r="Z223" s="2685"/>
      <c r="AA223" s="2685"/>
      <c r="AB223" s="2685"/>
      <c r="AC223" s="2675">
        <f t="shared" si="128"/>
        <v>0</v>
      </c>
      <c r="AD223" s="2695"/>
      <c r="AE223" s="2695"/>
      <c r="AF223" s="2695"/>
      <c r="AG223" s="2695"/>
      <c r="AH223" s="2695"/>
      <c r="AI223" s="2695"/>
      <c r="AJ223" s="2695"/>
      <c r="AK223" s="2695"/>
      <c r="AL223" s="2695"/>
      <c r="AM223" s="2695"/>
      <c r="AN223" s="2695"/>
      <c r="AO223" s="2695"/>
      <c r="AP223" s="2695"/>
      <c r="AQ223" s="2695"/>
      <c r="AR223" s="2695"/>
      <c r="AS223" s="2695"/>
      <c r="AT223" s="2703"/>
      <c r="AU223" s="2704"/>
      <c r="AV223" s="1074">
        <f t="shared" si="129"/>
        <v>0</v>
      </c>
      <c r="AW223" s="1074">
        <f t="shared" si="130"/>
        <v>0</v>
      </c>
      <c r="AX223" s="1074">
        <f t="shared" si="131"/>
        <v>0</v>
      </c>
      <c r="AY223" s="2279">
        <f t="shared" si="132"/>
        <v>0</v>
      </c>
      <c r="AZ223" s="2675">
        <f t="shared" si="133"/>
        <v>0</v>
      </c>
      <c r="BA223" s="2675">
        <f t="shared" si="134"/>
        <v>0</v>
      </c>
      <c r="BB223" s="2675">
        <f t="shared" si="135"/>
        <v>0</v>
      </c>
      <c r="BC223" s="2675">
        <f t="shared" si="136"/>
        <v>0</v>
      </c>
      <c r="BD223" s="2675">
        <f t="shared" si="137"/>
        <v>0</v>
      </c>
      <c r="BE223" s="2675">
        <f t="shared" si="138"/>
        <v>0</v>
      </c>
      <c r="BF223" s="2675">
        <f t="shared" si="139"/>
        <v>0</v>
      </c>
      <c r="BG223" s="2675">
        <f t="shared" si="140"/>
        <v>0</v>
      </c>
      <c r="BH223" s="2675">
        <f t="shared" si="141"/>
        <v>0</v>
      </c>
      <c r="BI223" s="2675">
        <f t="shared" si="142"/>
        <v>0</v>
      </c>
      <c r="BJ223" s="2675">
        <f t="shared" si="143"/>
        <v>0</v>
      </c>
      <c r="BK223" s="2675">
        <f t="shared" si="144"/>
        <v>0</v>
      </c>
      <c r="BL223" s="2675">
        <f t="shared" si="145"/>
        <v>0</v>
      </c>
      <c r="BM223" s="2675">
        <f t="shared" si="146"/>
        <v>0</v>
      </c>
      <c r="BN223" s="2675">
        <f t="shared" si="147"/>
        <v>0</v>
      </c>
      <c r="BO223" s="2675">
        <f t="shared" si="148"/>
        <v>0</v>
      </c>
      <c r="BP223" s="2675">
        <f t="shared" si="149"/>
        <v>0</v>
      </c>
      <c r="BQ223" s="2675">
        <f t="shared" si="150"/>
        <v>0</v>
      </c>
      <c r="BR223" s="2675">
        <f t="shared" si="151"/>
        <v>0</v>
      </c>
      <c r="BS223" s="2675">
        <f t="shared" si="152"/>
        <v>0</v>
      </c>
      <c r="BT223" s="2722">
        <f t="shared" si="153"/>
        <v>0</v>
      </c>
    </row>
    <row r="224" spans="1:72">
      <c r="A224" s="2673"/>
      <c r="B224" s="2674"/>
      <c r="C224" s="2674"/>
      <c r="D224" s="2277"/>
      <c r="E224" s="2675">
        <f t="shared" si="125"/>
        <v>0</v>
      </c>
      <c r="F224" s="2676"/>
      <c r="G224" s="2677">
        <f t="shared" si="126"/>
        <v>0</v>
      </c>
      <c r="H224" s="2678">
        <f t="shared" si="127"/>
        <v>0</v>
      </c>
      <c r="I224" s="2685"/>
      <c r="J224" s="2685"/>
      <c r="K224" s="2685"/>
      <c r="L224" s="2685"/>
      <c r="M224" s="2685"/>
      <c r="N224" s="2685"/>
      <c r="O224" s="2685"/>
      <c r="P224" s="2685"/>
      <c r="Q224" s="2685"/>
      <c r="R224" s="2685"/>
      <c r="S224" s="2685"/>
      <c r="T224" s="2685"/>
      <c r="U224" s="2685"/>
      <c r="V224" s="2685"/>
      <c r="W224" s="2685"/>
      <c r="X224" s="2685"/>
      <c r="Y224" s="2685"/>
      <c r="Z224" s="2685"/>
      <c r="AA224" s="2685"/>
      <c r="AB224" s="2685"/>
      <c r="AC224" s="2675">
        <f t="shared" si="128"/>
        <v>0</v>
      </c>
      <c r="AD224" s="2695"/>
      <c r="AE224" s="2695"/>
      <c r="AF224" s="2695"/>
      <c r="AG224" s="2695"/>
      <c r="AH224" s="2695"/>
      <c r="AI224" s="2695"/>
      <c r="AJ224" s="2695"/>
      <c r="AK224" s="2695"/>
      <c r="AL224" s="2695"/>
      <c r="AM224" s="2695"/>
      <c r="AN224" s="2695"/>
      <c r="AO224" s="2695"/>
      <c r="AP224" s="2695"/>
      <c r="AQ224" s="2695"/>
      <c r="AR224" s="2695"/>
      <c r="AS224" s="2695"/>
      <c r="AT224" s="2703"/>
      <c r="AU224" s="2704"/>
      <c r="AV224" s="1074">
        <f t="shared" si="129"/>
        <v>0</v>
      </c>
      <c r="AW224" s="1074">
        <f t="shared" si="130"/>
        <v>0</v>
      </c>
      <c r="AX224" s="1074">
        <f t="shared" si="131"/>
        <v>0</v>
      </c>
      <c r="AY224" s="2279">
        <f t="shared" si="132"/>
        <v>0</v>
      </c>
      <c r="AZ224" s="2675">
        <f t="shared" si="133"/>
        <v>0</v>
      </c>
      <c r="BA224" s="2675">
        <f t="shared" si="134"/>
        <v>0</v>
      </c>
      <c r="BB224" s="2675">
        <f t="shared" si="135"/>
        <v>0</v>
      </c>
      <c r="BC224" s="2675">
        <f t="shared" si="136"/>
        <v>0</v>
      </c>
      <c r="BD224" s="2675">
        <f t="shared" si="137"/>
        <v>0</v>
      </c>
      <c r="BE224" s="2675">
        <f t="shared" si="138"/>
        <v>0</v>
      </c>
      <c r="BF224" s="2675">
        <f t="shared" si="139"/>
        <v>0</v>
      </c>
      <c r="BG224" s="2675">
        <f t="shared" si="140"/>
        <v>0</v>
      </c>
      <c r="BH224" s="2675">
        <f t="shared" si="141"/>
        <v>0</v>
      </c>
      <c r="BI224" s="2675">
        <f t="shared" si="142"/>
        <v>0</v>
      </c>
      <c r="BJ224" s="2675">
        <f t="shared" si="143"/>
        <v>0</v>
      </c>
      <c r="BK224" s="2675">
        <f t="shared" si="144"/>
        <v>0</v>
      </c>
      <c r="BL224" s="2675">
        <f t="shared" si="145"/>
        <v>0</v>
      </c>
      <c r="BM224" s="2675">
        <f t="shared" si="146"/>
        <v>0</v>
      </c>
      <c r="BN224" s="2675">
        <f t="shared" si="147"/>
        <v>0</v>
      </c>
      <c r="BO224" s="2675">
        <f t="shared" si="148"/>
        <v>0</v>
      </c>
      <c r="BP224" s="2675">
        <f t="shared" si="149"/>
        <v>0</v>
      </c>
      <c r="BQ224" s="2675">
        <f t="shared" si="150"/>
        <v>0</v>
      </c>
      <c r="BR224" s="2675">
        <f t="shared" si="151"/>
        <v>0</v>
      </c>
      <c r="BS224" s="2675">
        <f t="shared" si="152"/>
        <v>0</v>
      </c>
      <c r="BT224" s="2722">
        <f t="shared" si="153"/>
        <v>0</v>
      </c>
    </row>
    <row r="225" spans="1:72">
      <c r="A225" s="2673"/>
      <c r="B225" s="2674"/>
      <c r="C225" s="2674"/>
      <c r="D225" s="2277"/>
      <c r="E225" s="2675">
        <f t="shared" si="125"/>
        <v>0</v>
      </c>
      <c r="F225" s="2676"/>
      <c r="G225" s="2677">
        <f t="shared" si="126"/>
        <v>0</v>
      </c>
      <c r="H225" s="2678">
        <f t="shared" si="127"/>
        <v>0</v>
      </c>
      <c r="I225" s="2685"/>
      <c r="J225" s="2685"/>
      <c r="K225" s="2685"/>
      <c r="L225" s="2685"/>
      <c r="M225" s="2685"/>
      <c r="N225" s="2685"/>
      <c r="O225" s="2685"/>
      <c r="P225" s="2685"/>
      <c r="Q225" s="2685"/>
      <c r="R225" s="2685"/>
      <c r="S225" s="2685"/>
      <c r="T225" s="2685"/>
      <c r="U225" s="2685"/>
      <c r="V225" s="2685"/>
      <c r="W225" s="2685"/>
      <c r="X225" s="2685"/>
      <c r="Y225" s="2685"/>
      <c r="Z225" s="2685"/>
      <c r="AA225" s="2685"/>
      <c r="AB225" s="2685"/>
      <c r="AC225" s="2675">
        <f t="shared" si="128"/>
        <v>0</v>
      </c>
      <c r="AD225" s="2695"/>
      <c r="AE225" s="2695"/>
      <c r="AF225" s="2695"/>
      <c r="AG225" s="2695"/>
      <c r="AH225" s="2695"/>
      <c r="AI225" s="2695"/>
      <c r="AJ225" s="2695"/>
      <c r="AK225" s="2695"/>
      <c r="AL225" s="2695"/>
      <c r="AM225" s="2695"/>
      <c r="AN225" s="2695"/>
      <c r="AO225" s="2695"/>
      <c r="AP225" s="2695"/>
      <c r="AQ225" s="2695"/>
      <c r="AR225" s="2695"/>
      <c r="AS225" s="2695"/>
      <c r="AT225" s="2703"/>
      <c r="AU225" s="2704"/>
      <c r="AV225" s="1074">
        <f t="shared" si="129"/>
        <v>0</v>
      </c>
      <c r="AW225" s="1074">
        <f t="shared" si="130"/>
        <v>0</v>
      </c>
      <c r="AX225" s="1074">
        <f t="shared" si="131"/>
        <v>0</v>
      </c>
      <c r="AY225" s="2279">
        <f t="shared" si="132"/>
        <v>0</v>
      </c>
      <c r="AZ225" s="2675">
        <f t="shared" si="133"/>
        <v>0</v>
      </c>
      <c r="BA225" s="2675">
        <f t="shared" si="134"/>
        <v>0</v>
      </c>
      <c r="BB225" s="2675">
        <f t="shared" si="135"/>
        <v>0</v>
      </c>
      <c r="BC225" s="2675">
        <f t="shared" si="136"/>
        <v>0</v>
      </c>
      <c r="BD225" s="2675">
        <f t="shared" si="137"/>
        <v>0</v>
      </c>
      <c r="BE225" s="2675">
        <f t="shared" si="138"/>
        <v>0</v>
      </c>
      <c r="BF225" s="2675">
        <f t="shared" si="139"/>
        <v>0</v>
      </c>
      <c r="BG225" s="2675">
        <f t="shared" si="140"/>
        <v>0</v>
      </c>
      <c r="BH225" s="2675">
        <f t="shared" si="141"/>
        <v>0</v>
      </c>
      <c r="BI225" s="2675">
        <f t="shared" si="142"/>
        <v>0</v>
      </c>
      <c r="BJ225" s="2675">
        <f t="shared" si="143"/>
        <v>0</v>
      </c>
      <c r="BK225" s="2675">
        <f t="shared" si="144"/>
        <v>0</v>
      </c>
      <c r="BL225" s="2675">
        <f t="shared" si="145"/>
        <v>0</v>
      </c>
      <c r="BM225" s="2675">
        <f t="shared" si="146"/>
        <v>0</v>
      </c>
      <c r="BN225" s="2675">
        <f t="shared" si="147"/>
        <v>0</v>
      </c>
      <c r="BO225" s="2675">
        <f t="shared" si="148"/>
        <v>0</v>
      </c>
      <c r="BP225" s="2675">
        <f t="shared" si="149"/>
        <v>0</v>
      </c>
      <c r="BQ225" s="2675">
        <f t="shared" si="150"/>
        <v>0</v>
      </c>
      <c r="BR225" s="2675">
        <f t="shared" si="151"/>
        <v>0</v>
      </c>
      <c r="BS225" s="2675">
        <f t="shared" si="152"/>
        <v>0</v>
      </c>
      <c r="BT225" s="2722">
        <f t="shared" si="153"/>
        <v>0</v>
      </c>
    </row>
    <row r="226" spans="1:72">
      <c r="A226" s="2673"/>
      <c r="B226" s="2674"/>
      <c r="C226" s="2674"/>
      <c r="D226" s="2277"/>
      <c r="E226" s="2675">
        <f t="shared" si="125"/>
        <v>0</v>
      </c>
      <c r="F226" s="2676"/>
      <c r="G226" s="2677">
        <f t="shared" si="126"/>
        <v>0</v>
      </c>
      <c r="H226" s="2678">
        <f t="shared" si="127"/>
        <v>0</v>
      </c>
      <c r="I226" s="2685"/>
      <c r="J226" s="2685"/>
      <c r="K226" s="2685"/>
      <c r="L226" s="2685"/>
      <c r="M226" s="2685"/>
      <c r="N226" s="2685"/>
      <c r="O226" s="2685"/>
      <c r="P226" s="2685"/>
      <c r="Q226" s="2685"/>
      <c r="R226" s="2685"/>
      <c r="S226" s="2685"/>
      <c r="T226" s="2685"/>
      <c r="U226" s="2685"/>
      <c r="V226" s="2685"/>
      <c r="W226" s="2685"/>
      <c r="X226" s="2685"/>
      <c r="Y226" s="2685"/>
      <c r="Z226" s="2685"/>
      <c r="AA226" s="2685"/>
      <c r="AB226" s="2685"/>
      <c r="AC226" s="2675">
        <f t="shared" si="128"/>
        <v>0</v>
      </c>
      <c r="AD226" s="2695"/>
      <c r="AE226" s="2695"/>
      <c r="AF226" s="2695"/>
      <c r="AG226" s="2695"/>
      <c r="AH226" s="2695"/>
      <c r="AI226" s="2695"/>
      <c r="AJ226" s="2695"/>
      <c r="AK226" s="2695"/>
      <c r="AL226" s="2695"/>
      <c r="AM226" s="2695"/>
      <c r="AN226" s="2695"/>
      <c r="AO226" s="2695"/>
      <c r="AP226" s="2695"/>
      <c r="AQ226" s="2695"/>
      <c r="AR226" s="2695"/>
      <c r="AS226" s="2695"/>
      <c r="AT226" s="2703"/>
      <c r="AU226" s="2704"/>
      <c r="AV226" s="1074">
        <f t="shared" si="129"/>
        <v>0</v>
      </c>
      <c r="AW226" s="1074">
        <f t="shared" si="130"/>
        <v>0</v>
      </c>
      <c r="AX226" s="1074">
        <f t="shared" si="131"/>
        <v>0</v>
      </c>
      <c r="AY226" s="2279">
        <f t="shared" si="132"/>
        <v>0</v>
      </c>
      <c r="AZ226" s="2675">
        <f t="shared" si="133"/>
        <v>0</v>
      </c>
      <c r="BA226" s="2675">
        <f t="shared" si="134"/>
        <v>0</v>
      </c>
      <c r="BB226" s="2675">
        <f t="shared" si="135"/>
        <v>0</v>
      </c>
      <c r="BC226" s="2675">
        <f t="shared" si="136"/>
        <v>0</v>
      </c>
      <c r="BD226" s="2675">
        <f t="shared" si="137"/>
        <v>0</v>
      </c>
      <c r="BE226" s="2675">
        <f t="shared" si="138"/>
        <v>0</v>
      </c>
      <c r="BF226" s="2675">
        <f t="shared" si="139"/>
        <v>0</v>
      </c>
      <c r="BG226" s="2675">
        <f t="shared" si="140"/>
        <v>0</v>
      </c>
      <c r="BH226" s="2675">
        <f t="shared" si="141"/>
        <v>0</v>
      </c>
      <c r="BI226" s="2675">
        <f t="shared" si="142"/>
        <v>0</v>
      </c>
      <c r="BJ226" s="2675">
        <f t="shared" si="143"/>
        <v>0</v>
      </c>
      <c r="BK226" s="2675">
        <f t="shared" si="144"/>
        <v>0</v>
      </c>
      <c r="BL226" s="2675">
        <f t="shared" si="145"/>
        <v>0</v>
      </c>
      <c r="BM226" s="2675">
        <f t="shared" si="146"/>
        <v>0</v>
      </c>
      <c r="BN226" s="2675">
        <f t="shared" si="147"/>
        <v>0</v>
      </c>
      <c r="BO226" s="2675">
        <f t="shared" si="148"/>
        <v>0</v>
      </c>
      <c r="BP226" s="2675">
        <f t="shared" si="149"/>
        <v>0</v>
      </c>
      <c r="BQ226" s="2675">
        <f t="shared" si="150"/>
        <v>0</v>
      </c>
      <c r="BR226" s="2675">
        <f t="shared" si="151"/>
        <v>0</v>
      </c>
      <c r="BS226" s="2675">
        <f t="shared" si="152"/>
        <v>0</v>
      </c>
      <c r="BT226" s="2722">
        <f t="shared" si="153"/>
        <v>0</v>
      </c>
    </row>
    <row r="227" spans="1:72">
      <c r="A227" s="2673"/>
      <c r="B227" s="2674"/>
      <c r="C227" s="2674"/>
      <c r="D227" s="2277"/>
      <c r="E227" s="2675">
        <f t="shared" si="125"/>
        <v>0</v>
      </c>
      <c r="F227" s="2676"/>
      <c r="G227" s="2677">
        <f t="shared" si="126"/>
        <v>0</v>
      </c>
      <c r="H227" s="2678">
        <f t="shared" si="127"/>
        <v>0</v>
      </c>
      <c r="I227" s="2685"/>
      <c r="J227" s="2685"/>
      <c r="K227" s="2685"/>
      <c r="L227" s="2685"/>
      <c r="M227" s="2685"/>
      <c r="N227" s="2685"/>
      <c r="O227" s="2685"/>
      <c r="P227" s="2685"/>
      <c r="Q227" s="2685"/>
      <c r="R227" s="2685"/>
      <c r="S227" s="2685"/>
      <c r="T227" s="2685"/>
      <c r="U227" s="2685"/>
      <c r="V227" s="2685"/>
      <c r="W227" s="2685"/>
      <c r="X227" s="2685"/>
      <c r="Y227" s="2685"/>
      <c r="Z227" s="2685"/>
      <c r="AA227" s="2685"/>
      <c r="AB227" s="2685"/>
      <c r="AC227" s="2675">
        <f t="shared" si="128"/>
        <v>0</v>
      </c>
      <c r="AD227" s="2695"/>
      <c r="AE227" s="2695"/>
      <c r="AF227" s="2695"/>
      <c r="AG227" s="2695"/>
      <c r="AH227" s="2695"/>
      <c r="AI227" s="2695"/>
      <c r="AJ227" s="2695"/>
      <c r="AK227" s="2695"/>
      <c r="AL227" s="2695"/>
      <c r="AM227" s="2695"/>
      <c r="AN227" s="2695"/>
      <c r="AO227" s="2695"/>
      <c r="AP227" s="2695"/>
      <c r="AQ227" s="2695"/>
      <c r="AR227" s="2695"/>
      <c r="AS227" s="2695"/>
      <c r="AT227" s="2703"/>
      <c r="AU227" s="2704"/>
      <c r="AV227" s="1074">
        <f t="shared" si="129"/>
        <v>0</v>
      </c>
      <c r="AW227" s="1074">
        <f t="shared" si="130"/>
        <v>0</v>
      </c>
      <c r="AX227" s="1074">
        <f t="shared" si="131"/>
        <v>0</v>
      </c>
      <c r="AY227" s="2279">
        <f t="shared" si="132"/>
        <v>0</v>
      </c>
      <c r="AZ227" s="2675">
        <f t="shared" si="133"/>
        <v>0</v>
      </c>
      <c r="BA227" s="2675">
        <f t="shared" si="134"/>
        <v>0</v>
      </c>
      <c r="BB227" s="2675">
        <f t="shared" si="135"/>
        <v>0</v>
      </c>
      <c r="BC227" s="2675">
        <f t="shared" si="136"/>
        <v>0</v>
      </c>
      <c r="BD227" s="2675">
        <f t="shared" si="137"/>
        <v>0</v>
      </c>
      <c r="BE227" s="2675">
        <f t="shared" si="138"/>
        <v>0</v>
      </c>
      <c r="BF227" s="2675">
        <f t="shared" si="139"/>
        <v>0</v>
      </c>
      <c r="BG227" s="2675">
        <f t="shared" si="140"/>
        <v>0</v>
      </c>
      <c r="BH227" s="2675">
        <f t="shared" si="141"/>
        <v>0</v>
      </c>
      <c r="BI227" s="2675">
        <f t="shared" si="142"/>
        <v>0</v>
      </c>
      <c r="BJ227" s="2675">
        <f t="shared" si="143"/>
        <v>0</v>
      </c>
      <c r="BK227" s="2675">
        <f t="shared" si="144"/>
        <v>0</v>
      </c>
      <c r="BL227" s="2675">
        <f t="shared" si="145"/>
        <v>0</v>
      </c>
      <c r="BM227" s="2675">
        <f t="shared" si="146"/>
        <v>0</v>
      </c>
      <c r="BN227" s="2675">
        <f t="shared" si="147"/>
        <v>0</v>
      </c>
      <c r="BO227" s="2675">
        <f t="shared" si="148"/>
        <v>0</v>
      </c>
      <c r="BP227" s="2675">
        <f t="shared" si="149"/>
        <v>0</v>
      </c>
      <c r="BQ227" s="2675">
        <f t="shared" si="150"/>
        <v>0</v>
      </c>
      <c r="BR227" s="2675">
        <f t="shared" si="151"/>
        <v>0</v>
      </c>
      <c r="BS227" s="2675">
        <f t="shared" si="152"/>
        <v>0</v>
      </c>
      <c r="BT227" s="2722">
        <f t="shared" si="153"/>
        <v>0</v>
      </c>
    </row>
    <row r="228" spans="1:72">
      <c r="A228" s="2673"/>
      <c r="B228" s="2674"/>
      <c r="C228" s="2674"/>
      <c r="D228" s="2277"/>
      <c r="E228" s="2675">
        <f t="shared" si="125"/>
        <v>0</v>
      </c>
      <c r="F228" s="2676"/>
      <c r="G228" s="2677">
        <f t="shared" si="126"/>
        <v>0</v>
      </c>
      <c r="H228" s="2678">
        <f t="shared" si="127"/>
        <v>0</v>
      </c>
      <c r="I228" s="2685"/>
      <c r="J228" s="2685"/>
      <c r="K228" s="2685"/>
      <c r="L228" s="2685"/>
      <c r="M228" s="2685"/>
      <c r="N228" s="2685"/>
      <c r="O228" s="2685"/>
      <c r="P228" s="2685"/>
      <c r="Q228" s="2685"/>
      <c r="R228" s="2685"/>
      <c r="S228" s="2685"/>
      <c r="T228" s="2685"/>
      <c r="U228" s="2685"/>
      <c r="V228" s="2685"/>
      <c r="W228" s="2685"/>
      <c r="X228" s="2685"/>
      <c r="Y228" s="2685"/>
      <c r="Z228" s="2685"/>
      <c r="AA228" s="2685"/>
      <c r="AB228" s="2685"/>
      <c r="AC228" s="2675">
        <f t="shared" si="128"/>
        <v>0</v>
      </c>
      <c r="AD228" s="2695"/>
      <c r="AE228" s="2695"/>
      <c r="AF228" s="2695"/>
      <c r="AG228" s="2695"/>
      <c r="AH228" s="2695"/>
      <c r="AI228" s="2695"/>
      <c r="AJ228" s="2695"/>
      <c r="AK228" s="2695"/>
      <c r="AL228" s="2695"/>
      <c r="AM228" s="2695"/>
      <c r="AN228" s="2695"/>
      <c r="AO228" s="2695"/>
      <c r="AP228" s="2695"/>
      <c r="AQ228" s="2695"/>
      <c r="AR228" s="2695"/>
      <c r="AS228" s="2695"/>
      <c r="AT228" s="2703"/>
      <c r="AU228" s="2704"/>
      <c r="AV228" s="1074">
        <f t="shared" si="129"/>
        <v>0</v>
      </c>
      <c r="AW228" s="1074">
        <f t="shared" si="130"/>
        <v>0</v>
      </c>
      <c r="AX228" s="1074">
        <f t="shared" si="131"/>
        <v>0</v>
      </c>
      <c r="AY228" s="2279">
        <f t="shared" si="132"/>
        <v>0</v>
      </c>
      <c r="AZ228" s="2675">
        <f t="shared" si="133"/>
        <v>0</v>
      </c>
      <c r="BA228" s="2675">
        <f t="shared" si="134"/>
        <v>0</v>
      </c>
      <c r="BB228" s="2675">
        <f t="shared" si="135"/>
        <v>0</v>
      </c>
      <c r="BC228" s="2675">
        <f t="shared" si="136"/>
        <v>0</v>
      </c>
      <c r="BD228" s="2675">
        <f t="shared" si="137"/>
        <v>0</v>
      </c>
      <c r="BE228" s="2675">
        <f t="shared" si="138"/>
        <v>0</v>
      </c>
      <c r="BF228" s="2675">
        <f t="shared" si="139"/>
        <v>0</v>
      </c>
      <c r="BG228" s="2675">
        <f t="shared" si="140"/>
        <v>0</v>
      </c>
      <c r="BH228" s="2675">
        <f t="shared" si="141"/>
        <v>0</v>
      </c>
      <c r="BI228" s="2675">
        <f t="shared" si="142"/>
        <v>0</v>
      </c>
      <c r="BJ228" s="2675">
        <f t="shared" si="143"/>
        <v>0</v>
      </c>
      <c r="BK228" s="2675">
        <f t="shared" si="144"/>
        <v>0</v>
      </c>
      <c r="BL228" s="2675">
        <f t="shared" si="145"/>
        <v>0</v>
      </c>
      <c r="BM228" s="2675">
        <f t="shared" si="146"/>
        <v>0</v>
      </c>
      <c r="BN228" s="2675">
        <f t="shared" si="147"/>
        <v>0</v>
      </c>
      <c r="BO228" s="2675">
        <f t="shared" si="148"/>
        <v>0</v>
      </c>
      <c r="BP228" s="2675">
        <f t="shared" si="149"/>
        <v>0</v>
      </c>
      <c r="BQ228" s="2675">
        <f t="shared" si="150"/>
        <v>0</v>
      </c>
      <c r="BR228" s="2675">
        <f t="shared" si="151"/>
        <v>0</v>
      </c>
      <c r="BS228" s="2675">
        <f t="shared" si="152"/>
        <v>0</v>
      </c>
      <c r="BT228" s="2722">
        <f t="shared" si="153"/>
        <v>0</v>
      </c>
    </row>
    <row r="229" spans="1:72">
      <c r="A229" s="2673"/>
      <c r="B229" s="2674"/>
      <c r="C229" s="2674"/>
      <c r="D229" s="2277"/>
      <c r="E229" s="2675">
        <f t="shared" si="125"/>
        <v>0</v>
      </c>
      <c r="F229" s="2676"/>
      <c r="G229" s="2677">
        <f t="shared" si="126"/>
        <v>0</v>
      </c>
      <c r="H229" s="2678">
        <f t="shared" si="127"/>
        <v>0</v>
      </c>
      <c r="I229" s="2685"/>
      <c r="J229" s="2685"/>
      <c r="K229" s="2685"/>
      <c r="L229" s="2685"/>
      <c r="M229" s="2685"/>
      <c r="N229" s="2685"/>
      <c r="O229" s="2685"/>
      <c r="P229" s="2685"/>
      <c r="Q229" s="2685"/>
      <c r="R229" s="2685"/>
      <c r="S229" s="2685"/>
      <c r="T229" s="2685"/>
      <c r="U229" s="2685"/>
      <c r="V229" s="2685"/>
      <c r="W229" s="2685"/>
      <c r="X229" s="2685"/>
      <c r="Y229" s="2685"/>
      <c r="Z229" s="2685"/>
      <c r="AA229" s="2685"/>
      <c r="AB229" s="2685"/>
      <c r="AC229" s="2675">
        <f t="shared" si="128"/>
        <v>0</v>
      </c>
      <c r="AD229" s="2695"/>
      <c r="AE229" s="2695"/>
      <c r="AF229" s="2695"/>
      <c r="AG229" s="2695"/>
      <c r="AH229" s="2695"/>
      <c r="AI229" s="2695"/>
      <c r="AJ229" s="2695"/>
      <c r="AK229" s="2695"/>
      <c r="AL229" s="2695"/>
      <c r="AM229" s="2695"/>
      <c r="AN229" s="2695"/>
      <c r="AO229" s="2695"/>
      <c r="AP229" s="2695"/>
      <c r="AQ229" s="2695"/>
      <c r="AR229" s="2695"/>
      <c r="AS229" s="2695"/>
      <c r="AT229" s="2703"/>
      <c r="AU229" s="2704"/>
      <c r="AV229" s="1074">
        <f t="shared" si="129"/>
        <v>0</v>
      </c>
      <c r="AW229" s="1074">
        <f t="shared" si="130"/>
        <v>0</v>
      </c>
      <c r="AX229" s="1074">
        <f t="shared" si="131"/>
        <v>0</v>
      </c>
      <c r="AY229" s="2279">
        <f t="shared" si="132"/>
        <v>0</v>
      </c>
      <c r="AZ229" s="2675">
        <f t="shared" si="133"/>
        <v>0</v>
      </c>
      <c r="BA229" s="2675">
        <f t="shared" si="134"/>
        <v>0</v>
      </c>
      <c r="BB229" s="2675">
        <f t="shared" si="135"/>
        <v>0</v>
      </c>
      <c r="BC229" s="2675">
        <f t="shared" si="136"/>
        <v>0</v>
      </c>
      <c r="BD229" s="2675">
        <f t="shared" si="137"/>
        <v>0</v>
      </c>
      <c r="BE229" s="2675">
        <f t="shared" si="138"/>
        <v>0</v>
      </c>
      <c r="BF229" s="2675">
        <f t="shared" si="139"/>
        <v>0</v>
      </c>
      <c r="BG229" s="2675">
        <f t="shared" si="140"/>
        <v>0</v>
      </c>
      <c r="BH229" s="2675">
        <f t="shared" si="141"/>
        <v>0</v>
      </c>
      <c r="BI229" s="2675">
        <f t="shared" si="142"/>
        <v>0</v>
      </c>
      <c r="BJ229" s="2675">
        <f t="shared" si="143"/>
        <v>0</v>
      </c>
      <c r="BK229" s="2675">
        <f t="shared" si="144"/>
        <v>0</v>
      </c>
      <c r="BL229" s="2675">
        <f t="shared" si="145"/>
        <v>0</v>
      </c>
      <c r="BM229" s="2675">
        <f t="shared" si="146"/>
        <v>0</v>
      </c>
      <c r="BN229" s="2675">
        <f t="shared" si="147"/>
        <v>0</v>
      </c>
      <c r="BO229" s="2675">
        <f t="shared" si="148"/>
        <v>0</v>
      </c>
      <c r="BP229" s="2675">
        <f t="shared" si="149"/>
        <v>0</v>
      </c>
      <c r="BQ229" s="2675">
        <f t="shared" si="150"/>
        <v>0</v>
      </c>
      <c r="BR229" s="2675">
        <f t="shared" si="151"/>
        <v>0</v>
      </c>
      <c r="BS229" s="2675">
        <f t="shared" si="152"/>
        <v>0</v>
      </c>
      <c r="BT229" s="2722">
        <f t="shared" si="153"/>
        <v>0</v>
      </c>
    </row>
    <row r="230" spans="1:72">
      <c r="A230" s="2673"/>
      <c r="B230" s="2674"/>
      <c r="C230" s="2674"/>
      <c r="D230" s="2277"/>
      <c r="E230" s="2675">
        <f t="shared" si="125"/>
        <v>0</v>
      </c>
      <c r="F230" s="2676"/>
      <c r="G230" s="2677">
        <f t="shared" si="126"/>
        <v>0</v>
      </c>
      <c r="H230" s="2678">
        <f t="shared" si="127"/>
        <v>0</v>
      </c>
      <c r="I230" s="2685"/>
      <c r="J230" s="2685"/>
      <c r="K230" s="2685"/>
      <c r="L230" s="2685"/>
      <c r="M230" s="2685"/>
      <c r="N230" s="2685"/>
      <c r="O230" s="2685"/>
      <c r="P230" s="2685"/>
      <c r="Q230" s="2685"/>
      <c r="R230" s="2685"/>
      <c r="S230" s="2685"/>
      <c r="T230" s="2685"/>
      <c r="U230" s="2685"/>
      <c r="V230" s="2685"/>
      <c r="W230" s="2685"/>
      <c r="X230" s="2685"/>
      <c r="Y230" s="2685"/>
      <c r="Z230" s="2685"/>
      <c r="AA230" s="2685"/>
      <c r="AB230" s="2685"/>
      <c r="AC230" s="2675">
        <f t="shared" si="128"/>
        <v>0</v>
      </c>
      <c r="AD230" s="2695"/>
      <c r="AE230" s="2695"/>
      <c r="AF230" s="2695"/>
      <c r="AG230" s="2695"/>
      <c r="AH230" s="2695"/>
      <c r="AI230" s="2695"/>
      <c r="AJ230" s="2695"/>
      <c r="AK230" s="2695"/>
      <c r="AL230" s="2695"/>
      <c r="AM230" s="2695"/>
      <c r="AN230" s="2695"/>
      <c r="AO230" s="2695"/>
      <c r="AP230" s="2695"/>
      <c r="AQ230" s="2695"/>
      <c r="AR230" s="2695"/>
      <c r="AS230" s="2695"/>
      <c r="AT230" s="2703"/>
      <c r="AU230" s="2704"/>
      <c r="AV230" s="1074">
        <f t="shared" si="129"/>
        <v>0</v>
      </c>
      <c r="AW230" s="1074">
        <f t="shared" si="130"/>
        <v>0</v>
      </c>
      <c r="AX230" s="1074">
        <f t="shared" si="131"/>
        <v>0</v>
      </c>
      <c r="AY230" s="2279">
        <f t="shared" si="132"/>
        <v>0</v>
      </c>
      <c r="AZ230" s="2675">
        <f t="shared" si="133"/>
        <v>0</v>
      </c>
      <c r="BA230" s="2675">
        <f t="shared" si="134"/>
        <v>0</v>
      </c>
      <c r="BB230" s="2675">
        <f t="shared" si="135"/>
        <v>0</v>
      </c>
      <c r="BC230" s="2675">
        <f t="shared" si="136"/>
        <v>0</v>
      </c>
      <c r="BD230" s="2675">
        <f t="shared" si="137"/>
        <v>0</v>
      </c>
      <c r="BE230" s="2675">
        <f t="shared" si="138"/>
        <v>0</v>
      </c>
      <c r="BF230" s="2675">
        <f t="shared" si="139"/>
        <v>0</v>
      </c>
      <c r="BG230" s="2675">
        <f t="shared" si="140"/>
        <v>0</v>
      </c>
      <c r="BH230" s="2675">
        <f t="shared" si="141"/>
        <v>0</v>
      </c>
      <c r="BI230" s="2675">
        <f t="shared" si="142"/>
        <v>0</v>
      </c>
      <c r="BJ230" s="2675">
        <f t="shared" si="143"/>
        <v>0</v>
      </c>
      <c r="BK230" s="2675">
        <f t="shared" si="144"/>
        <v>0</v>
      </c>
      <c r="BL230" s="2675">
        <f t="shared" si="145"/>
        <v>0</v>
      </c>
      <c r="BM230" s="2675">
        <f t="shared" si="146"/>
        <v>0</v>
      </c>
      <c r="BN230" s="2675">
        <f t="shared" si="147"/>
        <v>0</v>
      </c>
      <c r="BO230" s="2675">
        <f t="shared" si="148"/>
        <v>0</v>
      </c>
      <c r="BP230" s="2675">
        <f t="shared" si="149"/>
        <v>0</v>
      </c>
      <c r="BQ230" s="2675">
        <f t="shared" si="150"/>
        <v>0</v>
      </c>
      <c r="BR230" s="2675">
        <f t="shared" si="151"/>
        <v>0</v>
      </c>
      <c r="BS230" s="2675">
        <f t="shared" si="152"/>
        <v>0</v>
      </c>
      <c r="BT230" s="2722">
        <f t="shared" si="153"/>
        <v>0</v>
      </c>
    </row>
    <row r="231" spans="1:72">
      <c r="A231" s="2673"/>
      <c r="B231" s="2674"/>
      <c r="C231" s="2674"/>
      <c r="D231" s="2277"/>
      <c r="E231" s="2675">
        <f t="shared" si="125"/>
        <v>0</v>
      </c>
      <c r="F231" s="2676"/>
      <c r="G231" s="2677">
        <f t="shared" si="126"/>
        <v>0</v>
      </c>
      <c r="H231" s="2678">
        <f t="shared" si="127"/>
        <v>0</v>
      </c>
      <c r="I231" s="2685"/>
      <c r="J231" s="2685"/>
      <c r="K231" s="2685"/>
      <c r="L231" s="2685"/>
      <c r="M231" s="2685"/>
      <c r="N231" s="2685"/>
      <c r="O231" s="2685"/>
      <c r="P231" s="2685"/>
      <c r="Q231" s="2685"/>
      <c r="R231" s="2685"/>
      <c r="S231" s="2685"/>
      <c r="T231" s="2685"/>
      <c r="U231" s="2685"/>
      <c r="V231" s="2685"/>
      <c r="W231" s="2685"/>
      <c r="X231" s="2685"/>
      <c r="Y231" s="2685"/>
      <c r="Z231" s="2685"/>
      <c r="AA231" s="2685"/>
      <c r="AB231" s="2685"/>
      <c r="AC231" s="2675">
        <f t="shared" si="128"/>
        <v>0</v>
      </c>
      <c r="AD231" s="2695"/>
      <c r="AE231" s="2695"/>
      <c r="AF231" s="2695"/>
      <c r="AG231" s="2695"/>
      <c r="AH231" s="2695"/>
      <c r="AI231" s="2695"/>
      <c r="AJ231" s="2695"/>
      <c r="AK231" s="2695"/>
      <c r="AL231" s="2695"/>
      <c r="AM231" s="2695"/>
      <c r="AN231" s="2695"/>
      <c r="AO231" s="2695"/>
      <c r="AP231" s="2695"/>
      <c r="AQ231" s="2695"/>
      <c r="AR231" s="2695"/>
      <c r="AS231" s="2695"/>
      <c r="AT231" s="2703"/>
      <c r="AU231" s="2704"/>
      <c r="AV231" s="1074">
        <f t="shared" si="129"/>
        <v>0</v>
      </c>
      <c r="AW231" s="1074">
        <f t="shared" si="130"/>
        <v>0</v>
      </c>
      <c r="AX231" s="1074">
        <f t="shared" si="131"/>
        <v>0</v>
      </c>
      <c r="AY231" s="2279">
        <f t="shared" si="132"/>
        <v>0</v>
      </c>
      <c r="AZ231" s="2675">
        <f t="shared" si="133"/>
        <v>0</v>
      </c>
      <c r="BA231" s="2675">
        <f t="shared" si="134"/>
        <v>0</v>
      </c>
      <c r="BB231" s="2675">
        <f t="shared" si="135"/>
        <v>0</v>
      </c>
      <c r="BC231" s="2675">
        <f t="shared" si="136"/>
        <v>0</v>
      </c>
      <c r="BD231" s="2675">
        <f t="shared" si="137"/>
        <v>0</v>
      </c>
      <c r="BE231" s="2675">
        <f t="shared" si="138"/>
        <v>0</v>
      </c>
      <c r="BF231" s="2675">
        <f t="shared" si="139"/>
        <v>0</v>
      </c>
      <c r="BG231" s="2675">
        <f t="shared" si="140"/>
        <v>0</v>
      </c>
      <c r="BH231" s="2675">
        <f t="shared" si="141"/>
        <v>0</v>
      </c>
      <c r="BI231" s="2675">
        <f t="shared" si="142"/>
        <v>0</v>
      </c>
      <c r="BJ231" s="2675">
        <f t="shared" si="143"/>
        <v>0</v>
      </c>
      <c r="BK231" s="2675">
        <f t="shared" si="144"/>
        <v>0</v>
      </c>
      <c r="BL231" s="2675">
        <f t="shared" si="145"/>
        <v>0</v>
      </c>
      <c r="BM231" s="2675">
        <f t="shared" si="146"/>
        <v>0</v>
      </c>
      <c r="BN231" s="2675">
        <f t="shared" si="147"/>
        <v>0</v>
      </c>
      <c r="BO231" s="2675">
        <f t="shared" si="148"/>
        <v>0</v>
      </c>
      <c r="BP231" s="2675">
        <f t="shared" si="149"/>
        <v>0</v>
      </c>
      <c r="BQ231" s="2675">
        <f t="shared" si="150"/>
        <v>0</v>
      </c>
      <c r="BR231" s="2675">
        <f t="shared" si="151"/>
        <v>0</v>
      </c>
      <c r="BS231" s="2675">
        <f t="shared" si="152"/>
        <v>0</v>
      </c>
      <c r="BT231" s="2722">
        <f t="shared" si="153"/>
        <v>0</v>
      </c>
    </row>
    <row r="232" spans="1:72">
      <c r="A232" s="2673"/>
      <c r="B232" s="2674"/>
      <c r="C232" s="2674"/>
      <c r="D232" s="2277"/>
      <c r="E232" s="2675">
        <f t="shared" si="125"/>
        <v>0</v>
      </c>
      <c r="F232" s="2676"/>
      <c r="G232" s="2677">
        <f t="shared" si="126"/>
        <v>0</v>
      </c>
      <c r="H232" s="2678">
        <f t="shared" si="127"/>
        <v>0</v>
      </c>
      <c r="I232" s="2685"/>
      <c r="J232" s="2685"/>
      <c r="K232" s="2685"/>
      <c r="L232" s="2685"/>
      <c r="M232" s="2685"/>
      <c r="N232" s="2685"/>
      <c r="O232" s="2685"/>
      <c r="P232" s="2685"/>
      <c r="Q232" s="2685"/>
      <c r="R232" s="2685"/>
      <c r="S232" s="2685"/>
      <c r="T232" s="2685"/>
      <c r="U232" s="2685"/>
      <c r="V232" s="2685"/>
      <c r="W232" s="2685"/>
      <c r="X232" s="2685"/>
      <c r="Y232" s="2685"/>
      <c r="Z232" s="2685"/>
      <c r="AA232" s="2685"/>
      <c r="AB232" s="2685"/>
      <c r="AC232" s="2675">
        <f t="shared" si="128"/>
        <v>0</v>
      </c>
      <c r="AD232" s="2695"/>
      <c r="AE232" s="2695"/>
      <c r="AF232" s="2695"/>
      <c r="AG232" s="2695"/>
      <c r="AH232" s="2695"/>
      <c r="AI232" s="2695"/>
      <c r="AJ232" s="2695"/>
      <c r="AK232" s="2695"/>
      <c r="AL232" s="2695"/>
      <c r="AM232" s="2695"/>
      <c r="AN232" s="2695"/>
      <c r="AO232" s="2695"/>
      <c r="AP232" s="2695"/>
      <c r="AQ232" s="2695"/>
      <c r="AR232" s="2695"/>
      <c r="AS232" s="2695"/>
      <c r="AT232" s="2703"/>
      <c r="AU232" s="2704"/>
      <c r="AV232" s="1074">
        <f t="shared" si="129"/>
        <v>0</v>
      </c>
      <c r="AW232" s="1074">
        <f t="shared" si="130"/>
        <v>0</v>
      </c>
      <c r="AX232" s="1074">
        <f t="shared" si="131"/>
        <v>0</v>
      </c>
      <c r="AY232" s="2279">
        <f t="shared" si="132"/>
        <v>0</v>
      </c>
      <c r="AZ232" s="2675">
        <f t="shared" si="133"/>
        <v>0</v>
      </c>
      <c r="BA232" s="2675">
        <f t="shared" si="134"/>
        <v>0</v>
      </c>
      <c r="BB232" s="2675">
        <f t="shared" si="135"/>
        <v>0</v>
      </c>
      <c r="BC232" s="2675">
        <f t="shared" si="136"/>
        <v>0</v>
      </c>
      <c r="BD232" s="2675">
        <f t="shared" si="137"/>
        <v>0</v>
      </c>
      <c r="BE232" s="2675">
        <f t="shared" si="138"/>
        <v>0</v>
      </c>
      <c r="BF232" s="2675">
        <f t="shared" si="139"/>
        <v>0</v>
      </c>
      <c r="BG232" s="2675">
        <f t="shared" si="140"/>
        <v>0</v>
      </c>
      <c r="BH232" s="2675">
        <f t="shared" si="141"/>
        <v>0</v>
      </c>
      <c r="BI232" s="2675">
        <f t="shared" si="142"/>
        <v>0</v>
      </c>
      <c r="BJ232" s="2675">
        <f t="shared" si="143"/>
        <v>0</v>
      </c>
      <c r="BK232" s="2675">
        <f t="shared" si="144"/>
        <v>0</v>
      </c>
      <c r="BL232" s="2675">
        <f t="shared" si="145"/>
        <v>0</v>
      </c>
      <c r="BM232" s="2675">
        <f t="shared" si="146"/>
        <v>0</v>
      </c>
      <c r="BN232" s="2675">
        <f t="shared" si="147"/>
        <v>0</v>
      </c>
      <c r="BO232" s="2675">
        <f t="shared" si="148"/>
        <v>0</v>
      </c>
      <c r="BP232" s="2675">
        <f t="shared" si="149"/>
        <v>0</v>
      </c>
      <c r="BQ232" s="2675">
        <f t="shared" si="150"/>
        <v>0</v>
      </c>
      <c r="BR232" s="2675">
        <f t="shared" si="151"/>
        <v>0</v>
      </c>
      <c r="BS232" s="2675">
        <f t="shared" si="152"/>
        <v>0</v>
      </c>
      <c r="BT232" s="2722">
        <f t="shared" si="153"/>
        <v>0</v>
      </c>
    </row>
    <row r="233" spans="1:72">
      <c r="A233" s="2673"/>
      <c r="B233" s="2674"/>
      <c r="C233" s="2674"/>
      <c r="D233" s="2277"/>
      <c r="E233" s="2675">
        <f t="shared" si="125"/>
        <v>0</v>
      </c>
      <c r="F233" s="2676"/>
      <c r="G233" s="2677">
        <f t="shared" si="126"/>
        <v>0</v>
      </c>
      <c r="H233" s="2678">
        <f t="shared" si="127"/>
        <v>0</v>
      </c>
      <c r="I233" s="2685"/>
      <c r="J233" s="2685"/>
      <c r="K233" s="2685"/>
      <c r="L233" s="2685"/>
      <c r="M233" s="2685"/>
      <c r="N233" s="2685"/>
      <c r="O233" s="2685"/>
      <c r="P233" s="2685"/>
      <c r="Q233" s="2685"/>
      <c r="R233" s="2685"/>
      <c r="S233" s="2685"/>
      <c r="T233" s="2685"/>
      <c r="U233" s="2685"/>
      <c r="V233" s="2685"/>
      <c r="W233" s="2685"/>
      <c r="X233" s="2685"/>
      <c r="Y233" s="2685"/>
      <c r="Z233" s="2685"/>
      <c r="AA233" s="2685"/>
      <c r="AB233" s="2685"/>
      <c r="AC233" s="2675">
        <f t="shared" si="128"/>
        <v>0</v>
      </c>
      <c r="AD233" s="2695"/>
      <c r="AE233" s="2695"/>
      <c r="AF233" s="2695"/>
      <c r="AG233" s="2695"/>
      <c r="AH233" s="2695"/>
      <c r="AI233" s="2695"/>
      <c r="AJ233" s="2695"/>
      <c r="AK233" s="2695"/>
      <c r="AL233" s="2695"/>
      <c r="AM233" s="2695"/>
      <c r="AN233" s="2695"/>
      <c r="AO233" s="2695"/>
      <c r="AP233" s="2695"/>
      <c r="AQ233" s="2695"/>
      <c r="AR233" s="2695"/>
      <c r="AS233" s="2695"/>
      <c r="AT233" s="2703"/>
      <c r="AU233" s="2704"/>
      <c r="AV233" s="1074">
        <f t="shared" si="129"/>
        <v>0</v>
      </c>
      <c r="AW233" s="1074">
        <f t="shared" si="130"/>
        <v>0</v>
      </c>
      <c r="AX233" s="1074">
        <f t="shared" si="131"/>
        <v>0</v>
      </c>
      <c r="AY233" s="2279">
        <f t="shared" si="132"/>
        <v>0</v>
      </c>
      <c r="AZ233" s="2675">
        <f t="shared" si="133"/>
        <v>0</v>
      </c>
      <c r="BA233" s="2675">
        <f t="shared" si="134"/>
        <v>0</v>
      </c>
      <c r="BB233" s="2675">
        <f t="shared" si="135"/>
        <v>0</v>
      </c>
      <c r="BC233" s="2675">
        <f t="shared" si="136"/>
        <v>0</v>
      </c>
      <c r="BD233" s="2675">
        <f t="shared" si="137"/>
        <v>0</v>
      </c>
      <c r="BE233" s="2675">
        <f t="shared" si="138"/>
        <v>0</v>
      </c>
      <c r="BF233" s="2675">
        <f t="shared" si="139"/>
        <v>0</v>
      </c>
      <c r="BG233" s="2675">
        <f t="shared" si="140"/>
        <v>0</v>
      </c>
      <c r="BH233" s="2675">
        <f t="shared" si="141"/>
        <v>0</v>
      </c>
      <c r="BI233" s="2675">
        <f t="shared" si="142"/>
        <v>0</v>
      </c>
      <c r="BJ233" s="2675">
        <f t="shared" si="143"/>
        <v>0</v>
      </c>
      <c r="BK233" s="2675">
        <f t="shared" si="144"/>
        <v>0</v>
      </c>
      <c r="BL233" s="2675">
        <f t="shared" si="145"/>
        <v>0</v>
      </c>
      <c r="BM233" s="2675">
        <f t="shared" si="146"/>
        <v>0</v>
      </c>
      <c r="BN233" s="2675">
        <f t="shared" si="147"/>
        <v>0</v>
      </c>
      <c r="BO233" s="2675">
        <f t="shared" si="148"/>
        <v>0</v>
      </c>
      <c r="BP233" s="2675">
        <f t="shared" si="149"/>
        <v>0</v>
      </c>
      <c r="BQ233" s="2675">
        <f t="shared" si="150"/>
        <v>0</v>
      </c>
      <c r="BR233" s="2675">
        <f t="shared" si="151"/>
        <v>0</v>
      </c>
      <c r="BS233" s="2675">
        <f t="shared" si="152"/>
        <v>0</v>
      </c>
      <c r="BT233" s="2722">
        <f t="shared" si="153"/>
        <v>0</v>
      </c>
    </row>
    <row r="234" spans="1:72">
      <c r="A234" s="2673"/>
      <c r="B234" s="2674"/>
      <c r="C234" s="2674"/>
      <c r="D234" s="2277"/>
      <c r="E234" s="2675">
        <f t="shared" si="125"/>
        <v>0</v>
      </c>
      <c r="F234" s="2676"/>
      <c r="G234" s="2677">
        <f t="shared" si="126"/>
        <v>0</v>
      </c>
      <c r="H234" s="2678">
        <f t="shared" si="127"/>
        <v>0</v>
      </c>
      <c r="I234" s="2685"/>
      <c r="J234" s="2685"/>
      <c r="K234" s="2685"/>
      <c r="L234" s="2685"/>
      <c r="M234" s="2685"/>
      <c r="N234" s="2685"/>
      <c r="O234" s="2685"/>
      <c r="P234" s="2685"/>
      <c r="Q234" s="2685"/>
      <c r="R234" s="2685"/>
      <c r="S234" s="2685"/>
      <c r="T234" s="2685"/>
      <c r="U234" s="2685"/>
      <c r="V234" s="2685"/>
      <c r="W234" s="2685"/>
      <c r="X234" s="2685"/>
      <c r="Y234" s="2685"/>
      <c r="Z234" s="2685"/>
      <c r="AA234" s="2685"/>
      <c r="AB234" s="2685"/>
      <c r="AC234" s="2675">
        <f t="shared" si="128"/>
        <v>0</v>
      </c>
      <c r="AD234" s="2695"/>
      <c r="AE234" s="2695"/>
      <c r="AF234" s="2695"/>
      <c r="AG234" s="2695"/>
      <c r="AH234" s="2695"/>
      <c r="AI234" s="2695"/>
      <c r="AJ234" s="2695"/>
      <c r="AK234" s="2695"/>
      <c r="AL234" s="2695"/>
      <c r="AM234" s="2695"/>
      <c r="AN234" s="2695"/>
      <c r="AO234" s="2695"/>
      <c r="AP234" s="2695"/>
      <c r="AQ234" s="2695"/>
      <c r="AR234" s="2695"/>
      <c r="AS234" s="2695"/>
      <c r="AT234" s="2703"/>
      <c r="AU234" s="2704"/>
      <c r="AV234" s="1074">
        <f t="shared" si="129"/>
        <v>0</v>
      </c>
      <c r="AW234" s="1074">
        <f t="shared" si="130"/>
        <v>0</v>
      </c>
      <c r="AX234" s="1074">
        <f t="shared" si="131"/>
        <v>0</v>
      </c>
      <c r="AY234" s="2279">
        <f t="shared" si="132"/>
        <v>0</v>
      </c>
      <c r="AZ234" s="2675">
        <f t="shared" si="133"/>
        <v>0</v>
      </c>
      <c r="BA234" s="2675">
        <f t="shared" si="134"/>
        <v>0</v>
      </c>
      <c r="BB234" s="2675">
        <f t="shared" si="135"/>
        <v>0</v>
      </c>
      <c r="BC234" s="2675">
        <f t="shared" si="136"/>
        <v>0</v>
      </c>
      <c r="BD234" s="2675">
        <f t="shared" si="137"/>
        <v>0</v>
      </c>
      <c r="BE234" s="2675">
        <f t="shared" si="138"/>
        <v>0</v>
      </c>
      <c r="BF234" s="2675">
        <f t="shared" si="139"/>
        <v>0</v>
      </c>
      <c r="BG234" s="2675">
        <f t="shared" si="140"/>
        <v>0</v>
      </c>
      <c r="BH234" s="2675">
        <f t="shared" si="141"/>
        <v>0</v>
      </c>
      <c r="BI234" s="2675">
        <f t="shared" si="142"/>
        <v>0</v>
      </c>
      <c r="BJ234" s="2675">
        <f t="shared" si="143"/>
        <v>0</v>
      </c>
      <c r="BK234" s="2675">
        <f t="shared" si="144"/>
        <v>0</v>
      </c>
      <c r="BL234" s="2675">
        <f t="shared" si="145"/>
        <v>0</v>
      </c>
      <c r="BM234" s="2675">
        <f t="shared" si="146"/>
        <v>0</v>
      </c>
      <c r="BN234" s="2675">
        <f t="shared" si="147"/>
        <v>0</v>
      </c>
      <c r="BO234" s="2675">
        <f t="shared" si="148"/>
        <v>0</v>
      </c>
      <c r="BP234" s="2675">
        <f t="shared" si="149"/>
        <v>0</v>
      </c>
      <c r="BQ234" s="2675">
        <f t="shared" si="150"/>
        <v>0</v>
      </c>
      <c r="BR234" s="2675">
        <f t="shared" si="151"/>
        <v>0</v>
      </c>
      <c r="BS234" s="2675">
        <f t="shared" si="152"/>
        <v>0</v>
      </c>
      <c r="BT234" s="2722">
        <f t="shared" si="153"/>
        <v>0</v>
      </c>
    </row>
    <row r="235" spans="1:72">
      <c r="A235" s="2673"/>
      <c r="B235" s="2674"/>
      <c r="C235" s="2674"/>
      <c r="D235" s="2277"/>
      <c r="E235" s="2675">
        <f t="shared" si="125"/>
        <v>0</v>
      </c>
      <c r="F235" s="2676"/>
      <c r="G235" s="2677">
        <f t="shared" si="126"/>
        <v>0</v>
      </c>
      <c r="H235" s="2678">
        <f t="shared" si="127"/>
        <v>0</v>
      </c>
      <c r="I235" s="2685"/>
      <c r="J235" s="2685"/>
      <c r="K235" s="2685"/>
      <c r="L235" s="2685"/>
      <c r="M235" s="2685"/>
      <c r="N235" s="2685"/>
      <c r="O235" s="2685"/>
      <c r="P235" s="2685"/>
      <c r="Q235" s="2685"/>
      <c r="R235" s="2685"/>
      <c r="S235" s="2685"/>
      <c r="T235" s="2685"/>
      <c r="U235" s="2685"/>
      <c r="V235" s="2685"/>
      <c r="W235" s="2685"/>
      <c r="X235" s="2685"/>
      <c r="Y235" s="2685"/>
      <c r="Z235" s="2685"/>
      <c r="AA235" s="2685"/>
      <c r="AB235" s="2685"/>
      <c r="AC235" s="2675">
        <f t="shared" si="128"/>
        <v>0</v>
      </c>
      <c r="AD235" s="2695"/>
      <c r="AE235" s="2695"/>
      <c r="AF235" s="2695"/>
      <c r="AG235" s="2695"/>
      <c r="AH235" s="2695"/>
      <c r="AI235" s="2695"/>
      <c r="AJ235" s="2695"/>
      <c r="AK235" s="2695"/>
      <c r="AL235" s="2695"/>
      <c r="AM235" s="2695"/>
      <c r="AN235" s="2695"/>
      <c r="AO235" s="2695"/>
      <c r="AP235" s="2695"/>
      <c r="AQ235" s="2695"/>
      <c r="AR235" s="2695"/>
      <c r="AS235" s="2695"/>
      <c r="AT235" s="2703"/>
      <c r="AU235" s="2704"/>
      <c r="AV235" s="1074">
        <f t="shared" si="129"/>
        <v>0</v>
      </c>
      <c r="AW235" s="1074">
        <f t="shared" si="130"/>
        <v>0</v>
      </c>
      <c r="AX235" s="1074">
        <f t="shared" si="131"/>
        <v>0</v>
      </c>
      <c r="AY235" s="2279">
        <f t="shared" si="132"/>
        <v>0</v>
      </c>
      <c r="AZ235" s="2675">
        <f t="shared" si="133"/>
        <v>0</v>
      </c>
      <c r="BA235" s="2675">
        <f t="shared" si="134"/>
        <v>0</v>
      </c>
      <c r="BB235" s="2675">
        <f t="shared" si="135"/>
        <v>0</v>
      </c>
      <c r="BC235" s="2675">
        <f t="shared" si="136"/>
        <v>0</v>
      </c>
      <c r="BD235" s="2675">
        <f t="shared" si="137"/>
        <v>0</v>
      </c>
      <c r="BE235" s="2675">
        <f t="shared" si="138"/>
        <v>0</v>
      </c>
      <c r="BF235" s="2675">
        <f t="shared" si="139"/>
        <v>0</v>
      </c>
      <c r="BG235" s="2675">
        <f t="shared" si="140"/>
        <v>0</v>
      </c>
      <c r="BH235" s="2675">
        <f t="shared" si="141"/>
        <v>0</v>
      </c>
      <c r="BI235" s="2675">
        <f t="shared" si="142"/>
        <v>0</v>
      </c>
      <c r="BJ235" s="2675">
        <f t="shared" si="143"/>
        <v>0</v>
      </c>
      <c r="BK235" s="2675">
        <f t="shared" si="144"/>
        <v>0</v>
      </c>
      <c r="BL235" s="2675">
        <f t="shared" si="145"/>
        <v>0</v>
      </c>
      <c r="BM235" s="2675">
        <f t="shared" si="146"/>
        <v>0</v>
      </c>
      <c r="BN235" s="2675">
        <f t="shared" si="147"/>
        <v>0</v>
      </c>
      <c r="BO235" s="2675">
        <f t="shared" si="148"/>
        <v>0</v>
      </c>
      <c r="BP235" s="2675">
        <f t="shared" si="149"/>
        <v>0</v>
      </c>
      <c r="BQ235" s="2675">
        <f t="shared" si="150"/>
        <v>0</v>
      </c>
      <c r="BR235" s="2675">
        <f t="shared" si="151"/>
        <v>0</v>
      </c>
      <c r="BS235" s="2675">
        <f t="shared" si="152"/>
        <v>0</v>
      </c>
      <c r="BT235" s="2722">
        <f t="shared" si="153"/>
        <v>0</v>
      </c>
    </row>
    <row r="236" spans="1:72">
      <c r="A236" s="2673"/>
      <c r="B236" s="2674"/>
      <c r="C236" s="2674"/>
      <c r="D236" s="2277"/>
      <c r="E236" s="2675">
        <f t="shared" si="125"/>
        <v>0</v>
      </c>
      <c r="F236" s="2676"/>
      <c r="G236" s="2677">
        <f t="shared" si="126"/>
        <v>0</v>
      </c>
      <c r="H236" s="2678">
        <f t="shared" si="127"/>
        <v>0</v>
      </c>
      <c r="I236" s="2685"/>
      <c r="J236" s="2685"/>
      <c r="K236" s="2685"/>
      <c r="L236" s="2685"/>
      <c r="M236" s="2685"/>
      <c r="N236" s="2685"/>
      <c r="O236" s="2685"/>
      <c r="P236" s="2685"/>
      <c r="Q236" s="2685"/>
      <c r="R236" s="2685"/>
      <c r="S236" s="2685"/>
      <c r="T236" s="2685"/>
      <c r="U236" s="2685"/>
      <c r="V236" s="2685"/>
      <c r="W236" s="2685"/>
      <c r="X236" s="2685"/>
      <c r="Y236" s="2685"/>
      <c r="Z236" s="2685"/>
      <c r="AA236" s="2685"/>
      <c r="AB236" s="2685"/>
      <c r="AC236" s="2675">
        <f t="shared" si="128"/>
        <v>0</v>
      </c>
      <c r="AD236" s="2695"/>
      <c r="AE236" s="2695"/>
      <c r="AF236" s="2695"/>
      <c r="AG236" s="2695"/>
      <c r="AH236" s="2695"/>
      <c r="AI236" s="2695"/>
      <c r="AJ236" s="2695"/>
      <c r="AK236" s="2695"/>
      <c r="AL236" s="2695"/>
      <c r="AM236" s="2695"/>
      <c r="AN236" s="2695"/>
      <c r="AO236" s="2695"/>
      <c r="AP236" s="2695"/>
      <c r="AQ236" s="2695"/>
      <c r="AR236" s="2695"/>
      <c r="AS236" s="2695"/>
      <c r="AT236" s="2703"/>
      <c r="AU236" s="2704"/>
      <c r="AV236" s="1074">
        <f t="shared" si="129"/>
        <v>0</v>
      </c>
      <c r="AW236" s="1074">
        <f t="shared" si="130"/>
        <v>0</v>
      </c>
      <c r="AX236" s="1074">
        <f t="shared" si="131"/>
        <v>0</v>
      </c>
      <c r="AY236" s="2279">
        <f t="shared" si="132"/>
        <v>0</v>
      </c>
      <c r="AZ236" s="2675">
        <f t="shared" si="133"/>
        <v>0</v>
      </c>
      <c r="BA236" s="2675">
        <f t="shared" si="134"/>
        <v>0</v>
      </c>
      <c r="BB236" s="2675">
        <f t="shared" si="135"/>
        <v>0</v>
      </c>
      <c r="BC236" s="2675">
        <f t="shared" si="136"/>
        <v>0</v>
      </c>
      <c r="BD236" s="2675">
        <f t="shared" si="137"/>
        <v>0</v>
      </c>
      <c r="BE236" s="2675">
        <f t="shared" si="138"/>
        <v>0</v>
      </c>
      <c r="BF236" s="2675">
        <f t="shared" si="139"/>
        <v>0</v>
      </c>
      <c r="BG236" s="2675">
        <f t="shared" si="140"/>
        <v>0</v>
      </c>
      <c r="BH236" s="2675">
        <f t="shared" si="141"/>
        <v>0</v>
      </c>
      <c r="BI236" s="2675">
        <f t="shared" si="142"/>
        <v>0</v>
      </c>
      <c r="BJ236" s="2675">
        <f t="shared" si="143"/>
        <v>0</v>
      </c>
      <c r="BK236" s="2675">
        <f t="shared" si="144"/>
        <v>0</v>
      </c>
      <c r="BL236" s="2675">
        <f t="shared" si="145"/>
        <v>0</v>
      </c>
      <c r="BM236" s="2675">
        <f t="shared" si="146"/>
        <v>0</v>
      </c>
      <c r="BN236" s="2675">
        <f t="shared" si="147"/>
        <v>0</v>
      </c>
      <c r="BO236" s="2675">
        <f t="shared" si="148"/>
        <v>0</v>
      </c>
      <c r="BP236" s="2675">
        <f t="shared" si="149"/>
        <v>0</v>
      </c>
      <c r="BQ236" s="2675">
        <f t="shared" si="150"/>
        <v>0</v>
      </c>
      <c r="BR236" s="2675">
        <f t="shared" si="151"/>
        <v>0</v>
      </c>
      <c r="BS236" s="2675">
        <f t="shared" si="152"/>
        <v>0</v>
      </c>
      <c r="BT236" s="2722">
        <f t="shared" si="153"/>
        <v>0</v>
      </c>
    </row>
    <row r="237" spans="1:72">
      <c r="A237" s="2673"/>
      <c r="B237" s="2674"/>
      <c r="C237" s="2674"/>
      <c r="D237" s="2277"/>
      <c r="E237" s="2675">
        <f t="shared" si="125"/>
        <v>0</v>
      </c>
      <c r="F237" s="2676"/>
      <c r="G237" s="2677">
        <f t="shared" si="126"/>
        <v>0</v>
      </c>
      <c r="H237" s="2678">
        <f t="shared" si="127"/>
        <v>0</v>
      </c>
      <c r="I237" s="2685"/>
      <c r="J237" s="2685"/>
      <c r="K237" s="2685"/>
      <c r="L237" s="2685"/>
      <c r="M237" s="2685"/>
      <c r="N237" s="2685"/>
      <c r="O237" s="2685"/>
      <c r="P237" s="2685"/>
      <c r="Q237" s="2685"/>
      <c r="R237" s="2685"/>
      <c r="S237" s="2685"/>
      <c r="T237" s="2685"/>
      <c r="U237" s="2685"/>
      <c r="V237" s="2685"/>
      <c r="W237" s="2685"/>
      <c r="X237" s="2685"/>
      <c r="Y237" s="2685"/>
      <c r="Z237" s="2685"/>
      <c r="AA237" s="2685"/>
      <c r="AB237" s="2685"/>
      <c r="AC237" s="2675">
        <f t="shared" si="128"/>
        <v>0</v>
      </c>
      <c r="AD237" s="2695"/>
      <c r="AE237" s="2695"/>
      <c r="AF237" s="2695"/>
      <c r="AG237" s="2695"/>
      <c r="AH237" s="2695"/>
      <c r="AI237" s="2695"/>
      <c r="AJ237" s="2695"/>
      <c r="AK237" s="2695"/>
      <c r="AL237" s="2695"/>
      <c r="AM237" s="2695"/>
      <c r="AN237" s="2695"/>
      <c r="AO237" s="2695"/>
      <c r="AP237" s="2695"/>
      <c r="AQ237" s="2695"/>
      <c r="AR237" s="2695"/>
      <c r="AS237" s="2695"/>
      <c r="AT237" s="2703"/>
      <c r="AU237" s="2704"/>
      <c r="AV237" s="1074">
        <f t="shared" si="129"/>
        <v>0</v>
      </c>
      <c r="AW237" s="1074">
        <f t="shared" si="130"/>
        <v>0</v>
      </c>
      <c r="AX237" s="1074">
        <f t="shared" si="131"/>
        <v>0</v>
      </c>
      <c r="AY237" s="2279">
        <f t="shared" si="132"/>
        <v>0</v>
      </c>
      <c r="AZ237" s="2675">
        <f t="shared" si="133"/>
        <v>0</v>
      </c>
      <c r="BA237" s="2675">
        <f t="shared" si="134"/>
        <v>0</v>
      </c>
      <c r="BB237" s="2675">
        <f t="shared" si="135"/>
        <v>0</v>
      </c>
      <c r="BC237" s="2675">
        <f t="shared" si="136"/>
        <v>0</v>
      </c>
      <c r="BD237" s="2675">
        <f t="shared" si="137"/>
        <v>0</v>
      </c>
      <c r="BE237" s="2675">
        <f t="shared" si="138"/>
        <v>0</v>
      </c>
      <c r="BF237" s="2675">
        <f t="shared" si="139"/>
        <v>0</v>
      </c>
      <c r="BG237" s="2675">
        <f t="shared" si="140"/>
        <v>0</v>
      </c>
      <c r="BH237" s="2675">
        <f t="shared" si="141"/>
        <v>0</v>
      </c>
      <c r="BI237" s="2675">
        <f t="shared" si="142"/>
        <v>0</v>
      </c>
      <c r="BJ237" s="2675">
        <f t="shared" si="143"/>
        <v>0</v>
      </c>
      <c r="BK237" s="2675">
        <f t="shared" si="144"/>
        <v>0</v>
      </c>
      <c r="BL237" s="2675">
        <f t="shared" si="145"/>
        <v>0</v>
      </c>
      <c r="BM237" s="2675">
        <f t="shared" si="146"/>
        <v>0</v>
      </c>
      <c r="BN237" s="2675">
        <f t="shared" si="147"/>
        <v>0</v>
      </c>
      <c r="BO237" s="2675">
        <f t="shared" si="148"/>
        <v>0</v>
      </c>
      <c r="BP237" s="2675">
        <f t="shared" si="149"/>
        <v>0</v>
      </c>
      <c r="BQ237" s="2675">
        <f t="shared" si="150"/>
        <v>0</v>
      </c>
      <c r="BR237" s="2675">
        <f t="shared" si="151"/>
        <v>0</v>
      </c>
      <c r="BS237" s="2675">
        <f t="shared" si="152"/>
        <v>0</v>
      </c>
      <c r="BT237" s="2722">
        <f t="shared" si="153"/>
        <v>0</v>
      </c>
    </row>
    <row r="238" spans="1:72">
      <c r="A238" s="2673"/>
      <c r="B238" s="2674"/>
      <c r="C238" s="2674"/>
      <c r="D238" s="2277"/>
      <c r="E238" s="2675">
        <f t="shared" si="125"/>
        <v>0</v>
      </c>
      <c r="F238" s="2676"/>
      <c r="G238" s="2677">
        <f t="shared" si="126"/>
        <v>0</v>
      </c>
      <c r="H238" s="2678">
        <f t="shared" si="127"/>
        <v>0</v>
      </c>
      <c r="I238" s="2685"/>
      <c r="J238" s="2685"/>
      <c r="K238" s="2685"/>
      <c r="L238" s="2685"/>
      <c r="M238" s="2685"/>
      <c r="N238" s="2685"/>
      <c r="O238" s="2685"/>
      <c r="P238" s="2685"/>
      <c r="Q238" s="2685"/>
      <c r="R238" s="2685"/>
      <c r="S238" s="2685"/>
      <c r="T238" s="2685"/>
      <c r="U238" s="2685"/>
      <c r="V238" s="2685"/>
      <c r="W238" s="2685"/>
      <c r="X238" s="2685"/>
      <c r="Y238" s="2685"/>
      <c r="Z238" s="2685"/>
      <c r="AA238" s="2685"/>
      <c r="AB238" s="2685"/>
      <c r="AC238" s="2675">
        <f t="shared" si="128"/>
        <v>0</v>
      </c>
      <c r="AD238" s="2695"/>
      <c r="AE238" s="2695"/>
      <c r="AF238" s="2695"/>
      <c r="AG238" s="2695"/>
      <c r="AH238" s="2695"/>
      <c r="AI238" s="2695"/>
      <c r="AJ238" s="2695"/>
      <c r="AK238" s="2695"/>
      <c r="AL238" s="2695"/>
      <c r="AM238" s="2695"/>
      <c r="AN238" s="2695"/>
      <c r="AO238" s="2695"/>
      <c r="AP238" s="2695"/>
      <c r="AQ238" s="2695"/>
      <c r="AR238" s="2695"/>
      <c r="AS238" s="2695"/>
      <c r="AT238" s="2703"/>
      <c r="AU238" s="2704"/>
      <c r="AV238" s="1074">
        <f t="shared" si="129"/>
        <v>0</v>
      </c>
      <c r="AW238" s="1074">
        <f t="shared" si="130"/>
        <v>0</v>
      </c>
      <c r="AX238" s="1074">
        <f t="shared" si="131"/>
        <v>0</v>
      </c>
      <c r="AY238" s="2279">
        <f t="shared" si="132"/>
        <v>0</v>
      </c>
      <c r="AZ238" s="2675">
        <f t="shared" si="133"/>
        <v>0</v>
      </c>
      <c r="BA238" s="2675">
        <f t="shared" si="134"/>
        <v>0</v>
      </c>
      <c r="BB238" s="2675">
        <f t="shared" si="135"/>
        <v>0</v>
      </c>
      <c r="BC238" s="2675">
        <f t="shared" si="136"/>
        <v>0</v>
      </c>
      <c r="BD238" s="2675">
        <f t="shared" si="137"/>
        <v>0</v>
      </c>
      <c r="BE238" s="2675">
        <f t="shared" si="138"/>
        <v>0</v>
      </c>
      <c r="BF238" s="2675">
        <f t="shared" si="139"/>
        <v>0</v>
      </c>
      <c r="BG238" s="2675">
        <f t="shared" si="140"/>
        <v>0</v>
      </c>
      <c r="BH238" s="2675">
        <f t="shared" si="141"/>
        <v>0</v>
      </c>
      <c r="BI238" s="2675">
        <f t="shared" si="142"/>
        <v>0</v>
      </c>
      <c r="BJ238" s="2675">
        <f t="shared" si="143"/>
        <v>0</v>
      </c>
      <c r="BK238" s="2675">
        <f t="shared" si="144"/>
        <v>0</v>
      </c>
      <c r="BL238" s="2675">
        <f t="shared" si="145"/>
        <v>0</v>
      </c>
      <c r="BM238" s="2675">
        <f t="shared" si="146"/>
        <v>0</v>
      </c>
      <c r="BN238" s="2675">
        <f t="shared" si="147"/>
        <v>0</v>
      </c>
      <c r="BO238" s="2675">
        <f t="shared" si="148"/>
        <v>0</v>
      </c>
      <c r="BP238" s="2675">
        <f t="shared" si="149"/>
        <v>0</v>
      </c>
      <c r="BQ238" s="2675">
        <f t="shared" si="150"/>
        <v>0</v>
      </c>
      <c r="BR238" s="2675">
        <f t="shared" si="151"/>
        <v>0</v>
      </c>
      <c r="BS238" s="2675">
        <f t="shared" si="152"/>
        <v>0</v>
      </c>
      <c r="BT238" s="2722">
        <f t="shared" si="153"/>
        <v>0</v>
      </c>
    </row>
    <row r="239" spans="1:72">
      <c r="A239" s="2673"/>
      <c r="B239" s="2674"/>
      <c r="C239" s="2674"/>
      <c r="D239" s="2277"/>
      <c r="E239" s="2675">
        <f t="shared" si="125"/>
        <v>0</v>
      </c>
      <c r="F239" s="2676"/>
      <c r="G239" s="2677">
        <f t="shared" si="126"/>
        <v>0</v>
      </c>
      <c r="H239" s="2678">
        <f t="shared" si="127"/>
        <v>0</v>
      </c>
      <c r="I239" s="2685"/>
      <c r="J239" s="2685"/>
      <c r="K239" s="2685"/>
      <c r="L239" s="2685"/>
      <c r="M239" s="2685"/>
      <c r="N239" s="2685"/>
      <c r="O239" s="2685"/>
      <c r="P239" s="2685"/>
      <c r="Q239" s="2685"/>
      <c r="R239" s="2685"/>
      <c r="S239" s="2685"/>
      <c r="T239" s="2685"/>
      <c r="U239" s="2685"/>
      <c r="V239" s="2685"/>
      <c r="W239" s="2685"/>
      <c r="X239" s="2685"/>
      <c r="Y239" s="2685"/>
      <c r="Z239" s="2685"/>
      <c r="AA239" s="2685"/>
      <c r="AB239" s="2685"/>
      <c r="AC239" s="2675">
        <f t="shared" si="128"/>
        <v>0</v>
      </c>
      <c r="AD239" s="2695"/>
      <c r="AE239" s="2695"/>
      <c r="AF239" s="2695"/>
      <c r="AG239" s="2695"/>
      <c r="AH239" s="2695"/>
      <c r="AI239" s="2695"/>
      <c r="AJ239" s="2695"/>
      <c r="AK239" s="2695"/>
      <c r="AL239" s="2695"/>
      <c r="AM239" s="2695"/>
      <c r="AN239" s="2695"/>
      <c r="AO239" s="2695"/>
      <c r="AP239" s="2695"/>
      <c r="AQ239" s="2695"/>
      <c r="AR239" s="2695"/>
      <c r="AS239" s="2695"/>
      <c r="AT239" s="2703"/>
      <c r="AU239" s="2704"/>
      <c r="AV239" s="1074">
        <f t="shared" si="129"/>
        <v>0</v>
      </c>
      <c r="AW239" s="1074">
        <f t="shared" si="130"/>
        <v>0</v>
      </c>
      <c r="AX239" s="1074">
        <f t="shared" si="131"/>
        <v>0</v>
      </c>
      <c r="AY239" s="2279">
        <f t="shared" si="132"/>
        <v>0</v>
      </c>
      <c r="AZ239" s="2675">
        <f t="shared" si="133"/>
        <v>0</v>
      </c>
      <c r="BA239" s="2675">
        <f t="shared" si="134"/>
        <v>0</v>
      </c>
      <c r="BB239" s="2675">
        <f t="shared" si="135"/>
        <v>0</v>
      </c>
      <c r="BC239" s="2675">
        <f t="shared" si="136"/>
        <v>0</v>
      </c>
      <c r="BD239" s="2675">
        <f t="shared" si="137"/>
        <v>0</v>
      </c>
      <c r="BE239" s="2675">
        <f t="shared" si="138"/>
        <v>0</v>
      </c>
      <c r="BF239" s="2675">
        <f t="shared" si="139"/>
        <v>0</v>
      </c>
      <c r="BG239" s="2675">
        <f t="shared" si="140"/>
        <v>0</v>
      </c>
      <c r="BH239" s="2675">
        <f t="shared" si="141"/>
        <v>0</v>
      </c>
      <c r="BI239" s="2675">
        <f t="shared" si="142"/>
        <v>0</v>
      </c>
      <c r="BJ239" s="2675">
        <f t="shared" si="143"/>
        <v>0</v>
      </c>
      <c r="BK239" s="2675">
        <f t="shared" si="144"/>
        <v>0</v>
      </c>
      <c r="BL239" s="2675">
        <f t="shared" si="145"/>
        <v>0</v>
      </c>
      <c r="BM239" s="2675">
        <f t="shared" si="146"/>
        <v>0</v>
      </c>
      <c r="BN239" s="2675">
        <f t="shared" si="147"/>
        <v>0</v>
      </c>
      <c r="BO239" s="2675">
        <f t="shared" si="148"/>
        <v>0</v>
      </c>
      <c r="BP239" s="2675">
        <f t="shared" si="149"/>
        <v>0</v>
      </c>
      <c r="BQ239" s="2675">
        <f t="shared" si="150"/>
        <v>0</v>
      </c>
      <c r="BR239" s="2675">
        <f t="shared" si="151"/>
        <v>0</v>
      </c>
      <c r="BS239" s="2675">
        <f t="shared" si="152"/>
        <v>0</v>
      </c>
      <c r="BT239" s="2722">
        <f t="shared" si="153"/>
        <v>0</v>
      </c>
    </row>
    <row r="240" spans="1:72">
      <c r="A240" s="2673"/>
      <c r="B240" s="2674"/>
      <c r="C240" s="2674"/>
      <c r="D240" s="2277"/>
      <c r="E240" s="2675">
        <f t="shared" si="125"/>
        <v>0</v>
      </c>
      <c r="F240" s="2676"/>
      <c r="G240" s="2677">
        <f t="shared" si="126"/>
        <v>0</v>
      </c>
      <c r="H240" s="2678">
        <f t="shared" si="127"/>
        <v>0</v>
      </c>
      <c r="I240" s="2685"/>
      <c r="J240" s="2685"/>
      <c r="K240" s="2685"/>
      <c r="L240" s="2685"/>
      <c r="M240" s="2685"/>
      <c r="N240" s="2685"/>
      <c r="O240" s="2685"/>
      <c r="P240" s="2685"/>
      <c r="Q240" s="2685"/>
      <c r="R240" s="2685"/>
      <c r="S240" s="2685"/>
      <c r="T240" s="2685"/>
      <c r="U240" s="2685"/>
      <c r="V240" s="2685"/>
      <c r="W240" s="2685"/>
      <c r="X240" s="2685"/>
      <c r="Y240" s="2685"/>
      <c r="Z240" s="2685"/>
      <c r="AA240" s="2685"/>
      <c r="AB240" s="2685"/>
      <c r="AC240" s="2675">
        <f t="shared" si="128"/>
        <v>0</v>
      </c>
      <c r="AD240" s="2695"/>
      <c r="AE240" s="2695"/>
      <c r="AF240" s="2695"/>
      <c r="AG240" s="2695"/>
      <c r="AH240" s="2695"/>
      <c r="AI240" s="2695"/>
      <c r="AJ240" s="2695"/>
      <c r="AK240" s="2695"/>
      <c r="AL240" s="2695"/>
      <c r="AM240" s="2695"/>
      <c r="AN240" s="2695"/>
      <c r="AO240" s="2695"/>
      <c r="AP240" s="2695"/>
      <c r="AQ240" s="2695"/>
      <c r="AR240" s="2695"/>
      <c r="AS240" s="2695"/>
      <c r="AT240" s="2703"/>
      <c r="AU240" s="2704"/>
      <c r="AV240" s="1074">
        <f t="shared" si="129"/>
        <v>0</v>
      </c>
      <c r="AW240" s="1074">
        <f t="shared" si="130"/>
        <v>0</v>
      </c>
      <c r="AX240" s="1074">
        <f t="shared" si="131"/>
        <v>0</v>
      </c>
      <c r="AY240" s="2279">
        <f t="shared" si="132"/>
        <v>0</v>
      </c>
      <c r="AZ240" s="2675">
        <f t="shared" si="133"/>
        <v>0</v>
      </c>
      <c r="BA240" s="2675">
        <f t="shared" si="134"/>
        <v>0</v>
      </c>
      <c r="BB240" s="2675">
        <f t="shared" si="135"/>
        <v>0</v>
      </c>
      <c r="BC240" s="2675">
        <f t="shared" si="136"/>
        <v>0</v>
      </c>
      <c r="BD240" s="2675">
        <f t="shared" si="137"/>
        <v>0</v>
      </c>
      <c r="BE240" s="2675">
        <f t="shared" si="138"/>
        <v>0</v>
      </c>
      <c r="BF240" s="2675">
        <f t="shared" si="139"/>
        <v>0</v>
      </c>
      <c r="BG240" s="2675">
        <f t="shared" si="140"/>
        <v>0</v>
      </c>
      <c r="BH240" s="2675">
        <f t="shared" si="141"/>
        <v>0</v>
      </c>
      <c r="BI240" s="2675">
        <f t="shared" si="142"/>
        <v>0</v>
      </c>
      <c r="BJ240" s="2675">
        <f t="shared" si="143"/>
        <v>0</v>
      </c>
      <c r="BK240" s="2675">
        <f t="shared" si="144"/>
        <v>0</v>
      </c>
      <c r="BL240" s="2675">
        <f t="shared" si="145"/>
        <v>0</v>
      </c>
      <c r="BM240" s="2675">
        <f t="shared" si="146"/>
        <v>0</v>
      </c>
      <c r="BN240" s="2675">
        <f t="shared" si="147"/>
        <v>0</v>
      </c>
      <c r="BO240" s="2675">
        <f t="shared" si="148"/>
        <v>0</v>
      </c>
      <c r="BP240" s="2675">
        <f t="shared" si="149"/>
        <v>0</v>
      </c>
      <c r="BQ240" s="2675">
        <f t="shared" si="150"/>
        <v>0</v>
      </c>
      <c r="BR240" s="2675">
        <f t="shared" si="151"/>
        <v>0</v>
      </c>
      <c r="BS240" s="2675">
        <f t="shared" si="152"/>
        <v>0</v>
      </c>
      <c r="BT240" s="2722">
        <f t="shared" si="153"/>
        <v>0</v>
      </c>
    </row>
    <row r="241" spans="1:72">
      <c r="A241" s="2673"/>
      <c r="B241" s="2674"/>
      <c r="C241" s="2674"/>
      <c r="D241" s="2277"/>
      <c r="E241" s="2675">
        <f t="shared" si="125"/>
        <v>0</v>
      </c>
      <c r="F241" s="2676"/>
      <c r="G241" s="2677">
        <f t="shared" si="126"/>
        <v>0</v>
      </c>
      <c r="H241" s="2678">
        <f t="shared" si="127"/>
        <v>0</v>
      </c>
      <c r="I241" s="2685"/>
      <c r="J241" s="2685"/>
      <c r="K241" s="2685"/>
      <c r="L241" s="2685"/>
      <c r="M241" s="2685"/>
      <c r="N241" s="2685"/>
      <c r="O241" s="2685"/>
      <c r="P241" s="2685"/>
      <c r="Q241" s="2685"/>
      <c r="R241" s="2685"/>
      <c r="S241" s="2685"/>
      <c r="T241" s="2685"/>
      <c r="U241" s="2685"/>
      <c r="V241" s="2685"/>
      <c r="W241" s="2685"/>
      <c r="X241" s="2685"/>
      <c r="Y241" s="2685"/>
      <c r="Z241" s="2685"/>
      <c r="AA241" s="2685"/>
      <c r="AB241" s="2685"/>
      <c r="AC241" s="2675">
        <f t="shared" si="128"/>
        <v>0</v>
      </c>
      <c r="AD241" s="2695"/>
      <c r="AE241" s="2695"/>
      <c r="AF241" s="2695"/>
      <c r="AG241" s="2695"/>
      <c r="AH241" s="2695"/>
      <c r="AI241" s="2695"/>
      <c r="AJ241" s="2695"/>
      <c r="AK241" s="2695"/>
      <c r="AL241" s="2695"/>
      <c r="AM241" s="2695"/>
      <c r="AN241" s="2695"/>
      <c r="AO241" s="2695"/>
      <c r="AP241" s="2695"/>
      <c r="AQ241" s="2695"/>
      <c r="AR241" s="2695"/>
      <c r="AS241" s="2695"/>
      <c r="AT241" s="2703"/>
      <c r="AU241" s="2704"/>
      <c r="AV241" s="1074">
        <f t="shared" si="129"/>
        <v>0</v>
      </c>
      <c r="AW241" s="1074">
        <f t="shared" si="130"/>
        <v>0</v>
      </c>
      <c r="AX241" s="1074">
        <f t="shared" si="131"/>
        <v>0</v>
      </c>
      <c r="AY241" s="2279">
        <f t="shared" si="132"/>
        <v>0</v>
      </c>
      <c r="AZ241" s="2675">
        <f t="shared" si="133"/>
        <v>0</v>
      </c>
      <c r="BA241" s="2675">
        <f t="shared" si="134"/>
        <v>0</v>
      </c>
      <c r="BB241" s="2675">
        <f t="shared" si="135"/>
        <v>0</v>
      </c>
      <c r="BC241" s="2675">
        <f t="shared" si="136"/>
        <v>0</v>
      </c>
      <c r="BD241" s="2675">
        <f t="shared" si="137"/>
        <v>0</v>
      </c>
      <c r="BE241" s="2675">
        <f t="shared" si="138"/>
        <v>0</v>
      </c>
      <c r="BF241" s="2675">
        <f t="shared" si="139"/>
        <v>0</v>
      </c>
      <c r="BG241" s="2675">
        <f t="shared" si="140"/>
        <v>0</v>
      </c>
      <c r="BH241" s="2675">
        <f t="shared" si="141"/>
        <v>0</v>
      </c>
      <c r="BI241" s="2675">
        <f t="shared" si="142"/>
        <v>0</v>
      </c>
      <c r="BJ241" s="2675">
        <f t="shared" si="143"/>
        <v>0</v>
      </c>
      <c r="BK241" s="2675">
        <f t="shared" si="144"/>
        <v>0</v>
      </c>
      <c r="BL241" s="2675">
        <f t="shared" si="145"/>
        <v>0</v>
      </c>
      <c r="BM241" s="2675">
        <f t="shared" si="146"/>
        <v>0</v>
      </c>
      <c r="BN241" s="2675">
        <f t="shared" si="147"/>
        <v>0</v>
      </c>
      <c r="BO241" s="2675">
        <f t="shared" si="148"/>
        <v>0</v>
      </c>
      <c r="BP241" s="2675">
        <f t="shared" si="149"/>
        <v>0</v>
      </c>
      <c r="BQ241" s="2675">
        <f t="shared" si="150"/>
        <v>0</v>
      </c>
      <c r="BR241" s="2675">
        <f t="shared" si="151"/>
        <v>0</v>
      </c>
      <c r="BS241" s="2675">
        <f t="shared" si="152"/>
        <v>0</v>
      </c>
      <c r="BT241" s="2722">
        <f t="shared" si="153"/>
        <v>0</v>
      </c>
    </row>
    <row r="242" spans="1:72">
      <c r="A242" s="2673"/>
      <c r="B242" s="2674"/>
      <c r="C242" s="2674"/>
      <c r="D242" s="2277"/>
      <c r="E242" s="2675">
        <f t="shared" si="125"/>
        <v>0</v>
      </c>
      <c r="F242" s="2676"/>
      <c r="G242" s="2677">
        <f t="shared" si="126"/>
        <v>0</v>
      </c>
      <c r="H242" s="2678">
        <f t="shared" si="127"/>
        <v>0</v>
      </c>
      <c r="I242" s="2685"/>
      <c r="J242" s="2685"/>
      <c r="K242" s="2685"/>
      <c r="L242" s="2685"/>
      <c r="M242" s="2685"/>
      <c r="N242" s="2685"/>
      <c r="O242" s="2685"/>
      <c r="P242" s="2685"/>
      <c r="Q242" s="2685"/>
      <c r="R242" s="2685"/>
      <c r="S242" s="2685"/>
      <c r="T242" s="2685"/>
      <c r="U242" s="2685"/>
      <c r="V242" s="2685"/>
      <c r="W242" s="2685"/>
      <c r="X242" s="2685"/>
      <c r="Y242" s="2685"/>
      <c r="Z242" s="2685"/>
      <c r="AA242" s="2685"/>
      <c r="AB242" s="2685"/>
      <c r="AC242" s="2675">
        <f t="shared" si="128"/>
        <v>0</v>
      </c>
      <c r="AD242" s="2695"/>
      <c r="AE242" s="2695"/>
      <c r="AF242" s="2695"/>
      <c r="AG242" s="2695"/>
      <c r="AH242" s="2695"/>
      <c r="AI242" s="2695"/>
      <c r="AJ242" s="2695"/>
      <c r="AK242" s="2695"/>
      <c r="AL242" s="2695"/>
      <c r="AM242" s="2695"/>
      <c r="AN242" s="2695"/>
      <c r="AO242" s="2695"/>
      <c r="AP242" s="2695"/>
      <c r="AQ242" s="2695"/>
      <c r="AR242" s="2695"/>
      <c r="AS242" s="2695"/>
      <c r="AT242" s="2703"/>
      <c r="AU242" s="2704"/>
      <c r="AV242" s="1074">
        <f t="shared" si="129"/>
        <v>0</v>
      </c>
      <c r="AW242" s="1074">
        <f t="shared" si="130"/>
        <v>0</v>
      </c>
      <c r="AX242" s="1074">
        <f t="shared" si="131"/>
        <v>0</v>
      </c>
      <c r="AY242" s="2279">
        <f t="shared" si="132"/>
        <v>0</v>
      </c>
      <c r="AZ242" s="2675">
        <f t="shared" si="133"/>
        <v>0</v>
      </c>
      <c r="BA242" s="2675">
        <f t="shared" si="134"/>
        <v>0</v>
      </c>
      <c r="BB242" s="2675">
        <f t="shared" si="135"/>
        <v>0</v>
      </c>
      <c r="BC242" s="2675">
        <f t="shared" si="136"/>
        <v>0</v>
      </c>
      <c r="BD242" s="2675">
        <f t="shared" si="137"/>
        <v>0</v>
      </c>
      <c r="BE242" s="2675">
        <f t="shared" si="138"/>
        <v>0</v>
      </c>
      <c r="BF242" s="2675">
        <f t="shared" si="139"/>
        <v>0</v>
      </c>
      <c r="BG242" s="2675">
        <f t="shared" si="140"/>
        <v>0</v>
      </c>
      <c r="BH242" s="2675">
        <f t="shared" si="141"/>
        <v>0</v>
      </c>
      <c r="BI242" s="2675">
        <f t="shared" si="142"/>
        <v>0</v>
      </c>
      <c r="BJ242" s="2675">
        <f t="shared" si="143"/>
        <v>0</v>
      </c>
      <c r="BK242" s="2675">
        <f t="shared" si="144"/>
        <v>0</v>
      </c>
      <c r="BL242" s="2675">
        <f t="shared" si="145"/>
        <v>0</v>
      </c>
      <c r="BM242" s="2675">
        <f t="shared" si="146"/>
        <v>0</v>
      </c>
      <c r="BN242" s="2675">
        <f t="shared" si="147"/>
        <v>0</v>
      </c>
      <c r="BO242" s="2675">
        <f t="shared" si="148"/>
        <v>0</v>
      </c>
      <c r="BP242" s="2675">
        <f t="shared" si="149"/>
        <v>0</v>
      </c>
      <c r="BQ242" s="2675">
        <f t="shared" si="150"/>
        <v>0</v>
      </c>
      <c r="BR242" s="2675">
        <f t="shared" si="151"/>
        <v>0</v>
      </c>
      <c r="BS242" s="2675">
        <f t="shared" si="152"/>
        <v>0</v>
      </c>
      <c r="BT242" s="2722">
        <f t="shared" si="153"/>
        <v>0</v>
      </c>
    </row>
    <row r="243" spans="1:72">
      <c r="A243" s="2673"/>
      <c r="B243" s="2674"/>
      <c r="C243" s="2674"/>
      <c r="D243" s="2277"/>
      <c r="E243" s="2675">
        <f t="shared" si="125"/>
        <v>0</v>
      </c>
      <c r="F243" s="2676"/>
      <c r="G243" s="2677">
        <f t="shared" si="126"/>
        <v>0</v>
      </c>
      <c r="H243" s="2678">
        <f t="shared" si="127"/>
        <v>0</v>
      </c>
      <c r="I243" s="2685"/>
      <c r="J243" s="2685"/>
      <c r="K243" s="2685"/>
      <c r="L243" s="2685"/>
      <c r="M243" s="2685"/>
      <c r="N243" s="2685"/>
      <c r="O243" s="2685"/>
      <c r="P243" s="2685"/>
      <c r="Q243" s="2685"/>
      <c r="R243" s="2685"/>
      <c r="S243" s="2685"/>
      <c r="T243" s="2685"/>
      <c r="U243" s="2685"/>
      <c r="V243" s="2685"/>
      <c r="W243" s="2685"/>
      <c r="X243" s="2685"/>
      <c r="Y243" s="2685"/>
      <c r="Z243" s="2685"/>
      <c r="AA243" s="2685"/>
      <c r="AB243" s="2685"/>
      <c r="AC243" s="2675">
        <f t="shared" si="128"/>
        <v>0</v>
      </c>
      <c r="AD243" s="2695"/>
      <c r="AE243" s="2695"/>
      <c r="AF243" s="2695"/>
      <c r="AG243" s="2695"/>
      <c r="AH243" s="2695"/>
      <c r="AI243" s="2695"/>
      <c r="AJ243" s="2695"/>
      <c r="AK243" s="2695"/>
      <c r="AL243" s="2695"/>
      <c r="AM243" s="2695"/>
      <c r="AN243" s="2695"/>
      <c r="AO243" s="2695"/>
      <c r="AP243" s="2695"/>
      <c r="AQ243" s="2695"/>
      <c r="AR243" s="2695"/>
      <c r="AS243" s="2695"/>
      <c r="AT243" s="2703"/>
      <c r="AU243" s="2704"/>
      <c r="AV243" s="1074">
        <f t="shared" si="129"/>
        <v>0</v>
      </c>
      <c r="AW243" s="1074">
        <f t="shared" si="130"/>
        <v>0</v>
      </c>
      <c r="AX243" s="1074">
        <f t="shared" si="131"/>
        <v>0</v>
      </c>
      <c r="AY243" s="2279">
        <f t="shared" si="132"/>
        <v>0</v>
      </c>
      <c r="AZ243" s="2675">
        <f t="shared" si="133"/>
        <v>0</v>
      </c>
      <c r="BA243" s="2675">
        <f t="shared" si="134"/>
        <v>0</v>
      </c>
      <c r="BB243" s="2675">
        <f t="shared" si="135"/>
        <v>0</v>
      </c>
      <c r="BC243" s="2675">
        <f t="shared" si="136"/>
        <v>0</v>
      </c>
      <c r="BD243" s="2675">
        <f t="shared" si="137"/>
        <v>0</v>
      </c>
      <c r="BE243" s="2675">
        <f t="shared" si="138"/>
        <v>0</v>
      </c>
      <c r="BF243" s="2675">
        <f t="shared" si="139"/>
        <v>0</v>
      </c>
      <c r="BG243" s="2675">
        <f t="shared" si="140"/>
        <v>0</v>
      </c>
      <c r="BH243" s="2675">
        <f t="shared" si="141"/>
        <v>0</v>
      </c>
      <c r="BI243" s="2675">
        <f t="shared" si="142"/>
        <v>0</v>
      </c>
      <c r="BJ243" s="2675">
        <f t="shared" si="143"/>
        <v>0</v>
      </c>
      <c r="BK243" s="2675">
        <f t="shared" si="144"/>
        <v>0</v>
      </c>
      <c r="BL243" s="2675">
        <f t="shared" si="145"/>
        <v>0</v>
      </c>
      <c r="BM243" s="2675">
        <f t="shared" si="146"/>
        <v>0</v>
      </c>
      <c r="BN243" s="2675">
        <f t="shared" si="147"/>
        <v>0</v>
      </c>
      <c r="BO243" s="2675">
        <f t="shared" si="148"/>
        <v>0</v>
      </c>
      <c r="BP243" s="2675">
        <f t="shared" si="149"/>
        <v>0</v>
      </c>
      <c r="BQ243" s="2675">
        <f t="shared" si="150"/>
        <v>0</v>
      </c>
      <c r="BR243" s="2675">
        <f t="shared" si="151"/>
        <v>0</v>
      </c>
      <c r="BS243" s="2675">
        <f t="shared" si="152"/>
        <v>0</v>
      </c>
      <c r="BT243" s="2722">
        <f t="shared" si="153"/>
        <v>0</v>
      </c>
    </row>
    <row r="244" spans="1:72">
      <c r="A244" s="2673"/>
      <c r="B244" s="2674"/>
      <c r="C244" s="2674"/>
      <c r="D244" s="2277"/>
      <c r="E244" s="2675">
        <f t="shared" si="125"/>
        <v>0</v>
      </c>
      <c r="F244" s="2676"/>
      <c r="G244" s="2677">
        <f t="shared" si="126"/>
        <v>0</v>
      </c>
      <c r="H244" s="2678">
        <f t="shared" si="127"/>
        <v>0</v>
      </c>
      <c r="I244" s="2685"/>
      <c r="J244" s="2685"/>
      <c r="K244" s="2685"/>
      <c r="L244" s="2685"/>
      <c r="M244" s="2685"/>
      <c r="N244" s="2685"/>
      <c r="O244" s="2685"/>
      <c r="P244" s="2685"/>
      <c r="Q244" s="2685"/>
      <c r="R244" s="2685"/>
      <c r="S244" s="2685"/>
      <c r="T244" s="2685"/>
      <c r="U244" s="2685"/>
      <c r="V244" s="2685"/>
      <c r="W244" s="2685"/>
      <c r="X244" s="2685"/>
      <c r="Y244" s="2685"/>
      <c r="Z244" s="2685"/>
      <c r="AA244" s="2685"/>
      <c r="AB244" s="2685"/>
      <c r="AC244" s="2675">
        <f t="shared" si="128"/>
        <v>0</v>
      </c>
      <c r="AD244" s="2695"/>
      <c r="AE244" s="2695"/>
      <c r="AF244" s="2695"/>
      <c r="AG244" s="2695"/>
      <c r="AH244" s="2695"/>
      <c r="AI244" s="2695"/>
      <c r="AJ244" s="2695"/>
      <c r="AK244" s="2695"/>
      <c r="AL244" s="2695"/>
      <c r="AM244" s="2695"/>
      <c r="AN244" s="2695"/>
      <c r="AO244" s="2695"/>
      <c r="AP244" s="2695"/>
      <c r="AQ244" s="2695"/>
      <c r="AR244" s="2695"/>
      <c r="AS244" s="2695"/>
      <c r="AT244" s="2703"/>
      <c r="AU244" s="2704"/>
      <c r="AV244" s="1074">
        <f t="shared" si="129"/>
        <v>0</v>
      </c>
      <c r="AW244" s="1074">
        <f t="shared" si="130"/>
        <v>0</v>
      </c>
      <c r="AX244" s="1074">
        <f t="shared" si="131"/>
        <v>0</v>
      </c>
      <c r="AY244" s="2279">
        <f t="shared" si="132"/>
        <v>0</v>
      </c>
      <c r="AZ244" s="2675">
        <f t="shared" si="133"/>
        <v>0</v>
      </c>
      <c r="BA244" s="2675">
        <f t="shared" si="134"/>
        <v>0</v>
      </c>
      <c r="BB244" s="2675">
        <f t="shared" si="135"/>
        <v>0</v>
      </c>
      <c r="BC244" s="2675">
        <f t="shared" si="136"/>
        <v>0</v>
      </c>
      <c r="BD244" s="2675">
        <f t="shared" si="137"/>
        <v>0</v>
      </c>
      <c r="BE244" s="2675">
        <f t="shared" si="138"/>
        <v>0</v>
      </c>
      <c r="BF244" s="2675">
        <f t="shared" si="139"/>
        <v>0</v>
      </c>
      <c r="BG244" s="2675">
        <f t="shared" si="140"/>
        <v>0</v>
      </c>
      <c r="BH244" s="2675">
        <f t="shared" si="141"/>
        <v>0</v>
      </c>
      <c r="BI244" s="2675">
        <f t="shared" si="142"/>
        <v>0</v>
      </c>
      <c r="BJ244" s="2675">
        <f t="shared" si="143"/>
        <v>0</v>
      </c>
      <c r="BK244" s="2675">
        <f t="shared" si="144"/>
        <v>0</v>
      </c>
      <c r="BL244" s="2675">
        <f t="shared" si="145"/>
        <v>0</v>
      </c>
      <c r="BM244" s="2675">
        <f t="shared" si="146"/>
        <v>0</v>
      </c>
      <c r="BN244" s="2675">
        <f t="shared" si="147"/>
        <v>0</v>
      </c>
      <c r="BO244" s="2675">
        <f t="shared" si="148"/>
        <v>0</v>
      </c>
      <c r="BP244" s="2675">
        <f t="shared" si="149"/>
        <v>0</v>
      </c>
      <c r="BQ244" s="2675">
        <f t="shared" si="150"/>
        <v>0</v>
      </c>
      <c r="BR244" s="2675">
        <f t="shared" si="151"/>
        <v>0</v>
      </c>
      <c r="BS244" s="2675">
        <f t="shared" si="152"/>
        <v>0</v>
      </c>
      <c r="BT244" s="2722">
        <f t="shared" si="153"/>
        <v>0</v>
      </c>
    </row>
    <row r="245" spans="1:72">
      <c r="A245" s="2673"/>
      <c r="B245" s="2674"/>
      <c r="C245" s="2674"/>
      <c r="D245" s="2277"/>
      <c r="E245" s="2675">
        <f t="shared" si="125"/>
        <v>0</v>
      </c>
      <c r="F245" s="2676"/>
      <c r="G245" s="2677">
        <f t="shared" si="126"/>
        <v>0</v>
      </c>
      <c r="H245" s="2678">
        <f t="shared" si="127"/>
        <v>0</v>
      </c>
      <c r="I245" s="2685"/>
      <c r="J245" s="2685"/>
      <c r="K245" s="2685"/>
      <c r="L245" s="2685"/>
      <c r="M245" s="2685"/>
      <c r="N245" s="2685"/>
      <c r="O245" s="2685"/>
      <c r="P245" s="2685"/>
      <c r="Q245" s="2685"/>
      <c r="R245" s="2685"/>
      <c r="S245" s="2685"/>
      <c r="T245" s="2685"/>
      <c r="U245" s="2685"/>
      <c r="V245" s="2685"/>
      <c r="W245" s="2685"/>
      <c r="X245" s="2685"/>
      <c r="Y245" s="2685"/>
      <c r="Z245" s="2685"/>
      <c r="AA245" s="2685"/>
      <c r="AB245" s="2685"/>
      <c r="AC245" s="2675">
        <f t="shared" si="128"/>
        <v>0</v>
      </c>
      <c r="AD245" s="2695"/>
      <c r="AE245" s="2695"/>
      <c r="AF245" s="2695"/>
      <c r="AG245" s="2695"/>
      <c r="AH245" s="2695"/>
      <c r="AI245" s="2695"/>
      <c r="AJ245" s="2695"/>
      <c r="AK245" s="2695"/>
      <c r="AL245" s="2695"/>
      <c r="AM245" s="2695"/>
      <c r="AN245" s="2695"/>
      <c r="AO245" s="2695"/>
      <c r="AP245" s="2695"/>
      <c r="AQ245" s="2695"/>
      <c r="AR245" s="2695"/>
      <c r="AS245" s="2695"/>
      <c r="AT245" s="2703"/>
      <c r="AU245" s="2704"/>
      <c r="AV245" s="1074">
        <f t="shared" si="129"/>
        <v>0</v>
      </c>
      <c r="AW245" s="1074">
        <f t="shared" si="130"/>
        <v>0</v>
      </c>
      <c r="AX245" s="1074">
        <f t="shared" si="131"/>
        <v>0</v>
      </c>
      <c r="AY245" s="2279">
        <f t="shared" si="132"/>
        <v>0</v>
      </c>
      <c r="AZ245" s="2675">
        <f t="shared" si="133"/>
        <v>0</v>
      </c>
      <c r="BA245" s="2675">
        <f t="shared" si="134"/>
        <v>0</v>
      </c>
      <c r="BB245" s="2675">
        <f t="shared" si="135"/>
        <v>0</v>
      </c>
      <c r="BC245" s="2675">
        <f t="shared" si="136"/>
        <v>0</v>
      </c>
      <c r="BD245" s="2675">
        <f t="shared" si="137"/>
        <v>0</v>
      </c>
      <c r="BE245" s="2675">
        <f t="shared" si="138"/>
        <v>0</v>
      </c>
      <c r="BF245" s="2675">
        <f t="shared" si="139"/>
        <v>0</v>
      </c>
      <c r="BG245" s="2675">
        <f t="shared" si="140"/>
        <v>0</v>
      </c>
      <c r="BH245" s="2675">
        <f t="shared" si="141"/>
        <v>0</v>
      </c>
      <c r="BI245" s="2675">
        <f t="shared" si="142"/>
        <v>0</v>
      </c>
      <c r="BJ245" s="2675">
        <f t="shared" si="143"/>
        <v>0</v>
      </c>
      <c r="BK245" s="2675">
        <f t="shared" si="144"/>
        <v>0</v>
      </c>
      <c r="BL245" s="2675">
        <f t="shared" si="145"/>
        <v>0</v>
      </c>
      <c r="BM245" s="2675">
        <f t="shared" si="146"/>
        <v>0</v>
      </c>
      <c r="BN245" s="2675">
        <f t="shared" si="147"/>
        <v>0</v>
      </c>
      <c r="BO245" s="2675">
        <f t="shared" si="148"/>
        <v>0</v>
      </c>
      <c r="BP245" s="2675">
        <f t="shared" si="149"/>
        <v>0</v>
      </c>
      <c r="BQ245" s="2675">
        <f t="shared" si="150"/>
        <v>0</v>
      </c>
      <c r="BR245" s="2675">
        <f t="shared" si="151"/>
        <v>0</v>
      </c>
      <c r="BS245" s="2675">
        <f t="shared" si="152"/>
        <v>0</v>
      </c>
      <c r="BT245" s="2722">
        <f t="shared" si="153"/>
        <v>0</v>
      </c>
    </row>
    <row r="246" spans="1:72">
      <c r="A246" s="2673"/>
      <c r="B246" s="2674"/>
      <c r="C246" s="2674"/>
      <c r="D246" s="2277"/>
      <c r="E246" s="2675">
        <f t="shared" si="125"/>
        <v>0</v>
      </c>
      <c r="F246" s="2676"/>
      <c r="G246" s="2677">
        <f t="shared" si="126"/>
        <v>0</v>
      </c>
      <c r="H246" s="2678">
        <f t="shared" si="127"/>
        <v>0</v>
      </c>
      <c r="I246" s="2685"/>
      <c r="J246" s="2685"/>
      <c r="K246" s="2685"/>
      <c r="L246" s="2685"/>
      <c r="M246" s="2685"/>
      <c r="N246" s="2685"/>
      <c r="O246" s="2685"/>
      <c r="P246" s="2685"/>
      <c r="Q246" s="2685"/>
      <c r="R246" s="2685"/>
      <c r="S246" s="2685"/>
      <c r="T246" s="2685"/>
      <c r="U246" s="2685"/>
      <c r="V246" s="2685"/>
      <c r="W246" s="2685"/>
      <c r="X246" s="2685"/>
      <c r="Y246" s="2685"/>
      <c r="Z246" s="2685"/>
      <c r="AA246" s="2685"/>
      <c r="AB246" s="2685"/>
      <c r="AC246" s="2675">
        <f t="shared" si="128"/>
        <v>0</v>
      </c>
      <c r="AD246" s="2695"/>
      <c r="AE246" s="2695"/>
      <c r="AF246" s="2695"/>
      <c r="AG246" s="2695"/>
      <c r="AH246" s="2695"/>
      <c r="AI246" s="2695"/>
      <c r="AJ246" s="2695"/>
      <c r="AK246" s="2695"/>
      <c r="AL246" s="2695"/>
      <c r="AM246" s="2695"/>
      <c r="AN246" s="2695"/>
      <c r="AO246" s="2695"/>
      <c r="AP246" s="2695"/>
      <c r="AQ246" s="2695"/>
      <c r="AR246" s="2695"/>
      <c r="AS246" s="2695"/>
      <c r="AT246" s="2703"/>
      <c r="AU246" s="2704"/>
      <c r="AV246" s="1074">
        <f t="shared" si="129"/>
        <v>0</v>
      </c>
      <c r="AW246" s="1074">
        <f t="shared" si="130"/>
        <v>0</v>
      </c>
      <c r="AX246" s="1074">
        <f t="shared" si="131"/>
        <v>0</v>
      </c>
      <c r="AY246" s="2279">
        <f t="shared" si="132"/>
        <v>0</v>
      </c>
      <c r="AZ246" s="2675">
        <f t="shared" si="133"/>
        <v>0</v>
      </c>
      <c r="BA246" s="2675">
        <f t="shared" si="134"/>
        <v>0</v>
      </c>
      <c r="BB246" s="2675">
        <f t="shared" si="135"/>
        <v>0</v>
      </c>
      <c r="BC246" s="2675">
        <f t="shared" si="136"/>
        <v>0</v>
      </c>
      <c r="BD246" s="2675">
        <f t="shared" si="137"/>
        <v>0</v>
      </c>
      <c r="BE246" s="2675">
        <f t="shared" si="138"/>
        <v>0</v>
      </c>
      <c r="BF246" s="2675">
        <f t="shared" si="139"/>
        <v>0</v>
      </c>
      <c r="BG246" s="2675">
        <f t="shared" si="140"/>
        <v>0</v>
      </c>
      <c r="BH246" s="2675">
        <f t="shared" si="141"/>
        <v>0</v>
      </c>
      <c r="BI246" s="2675">
        <f t="shared" si="142"/>
        <v>0</v>
      </c>
      <c r="BJ246" s="2675">
        <f t="shared" si="143"/>
        <v>0</v>
      </c>
      <c r="BK246" s="2675">
        <f t="shared" si="144"/>
        <v>0</v>
      </c>
      <c r="BL246" s="2675">
        <f t="shared" si="145"/>
        <v>0</v>
      </c>
      <c r="BM246" s="2675">
        <f t="shared" si="146"/>
        <v>0</v>
      </c>
      <c r="BN246" s="2675">
        <f t="shared" si="147"/>
        <v>0</v>
      </c>
      <c r="BO246" s="2675">
        <f t="shared" si="148"/>
        <v>0</v>
      </c>
      <c r="BP246" s="2675">
        <f t="shared" si="149"/>
        <v>0</v>
      </c>
      <c r="BQ246" s="2675">
        <f t="shared" si="150"/>
        <v>0</v>
      </c>
      <c r="BR246" s="2675">
        <f t="shared" si="151"/>
        <v>0</v>
      </c>
      <c r="BS246" s="2675">
        <f t="shared" si="152"/>
        <v>0</v>
      </c>
      <c r="BT246" s="2722">
        <f t="shared" si="153"/>
        <v>0</v>
      </c>
    </row>
    <row r="247" spans="1:72">
      <c r="A247" s="2673"/>
      <c r="B247" s="2674"/>
      <c r="C247" s="2674"/>
      <c r="D247" s="2277"/>
      <c r="E247" s="2675">
        <f t="shared" si="125"/>
        <v>0</v>
      </c>
      <c r="F247" s="2676"/>
      <c r="G247" s="2677">
        <f t="shared" si="126"/>
        <v>0</v>
      </c>
      <c r="H247" s="2678">
        <f t="shared" si="127"/>
        <v>0</v>
      </c>
      <c r="I247" s="2685"/>
      <c r="J247" s="2685"/>
      <c r="K247" s="2685"/>
      <c r="L247" s="2685"/>
      <c r="M247" s="2685"/>
      <c r="N247" s="2685"/>
      <c r="O247" s="2685"/>
      <c r="P247" s="2685"/>
      <c r="Q247" s="2685"/>
      <c r="R247" s="2685"/>
      <c r="S247" s="2685"/>
      <c r="T247" s="2685"/>
      <c r="U247" s="2685"/>
      <c r="V247" s="2685"/>
      <c r="W247" s="2685"/>
      <c r="X247" s="2685"/>
      <c r="Y247" s="2685"/>
      <c r="Z247" s="2685"/>
      <c r="AA247" s="2685"/>
      <c r="AB247" s="2685"/>
      <c r="AC247" s="2675">
        <f t="shared" si="128"/>
        <v>0</v>
      </c>
      <c r="AD247" s="2695"/>
      <c r="AE247" s="2695"/>
      <c r="AF247" s="2695"/>
      <c r="AG247" s="2695"/>
      <c r="AH247" s="2695"/>
      <c r="AI247" s="2695"/>
      <c r="AJ247" s="2695"/>
      <c r="AK247" s="2695"/>
      <c r="AL247" s="2695"/>
      <c r="AM247" s="2695"/>
      <c r="AN247" s="2695"/>
      <c r="AO247" s="2695"/>
      <c r="AP247" s="2695"/>
      <c r="AQ247" s="2695"/>
      <c r="AR247" s="2695"/>
      <c r="AS247" s="2695"/>
      <c r="AT247" s="2703"/>
      <c r="AU247" s="2704"/>
      <c r="AV247" s="1074">
        <f t="shared" si="129"/>
        <v>0</v>
      </c>
      <c r="AW247" s="1074">
        <f t="shared" si="130"/>
        <v>0</v>
      </c>
      <c r="AX247" s="1074">
        <f t="shared" si="131"/>
        <v>0</v>
      </c>
      <c r="AY247" s="2279">
        <f t="shared" si="132"/>
        <v>0</v>
      </c>
      <c r="AZ247" s="2675">
        <f t="shared" si="133"/>
        <v>0</v>
      </c>
      <c r="BA247" s="2675">
        <f t="shared" si="134"/>
        <v>0</v>
      </c>
      <c r="BB247" s="2675">
        <f t="shared" si="135"/>
        <v>0</v>
      </c>
      <c r="BC247" s="2675">
        <f t="shared" si="136"/>
        <v>0</v>
      </c>
      <c r="BD247" s="2675">
        <f t="shared" si="137"/>
        <v>0</v>
      </c>
      <c r="BE247" s="2675">
        <f t="shared" si="138"/>
        <v>0</v>
      </c>
      <c r="BF247" s="2675">
        <f t="shared" si="139"/>
        <v>0</v>
      </c>
      <c r="BG247" s="2675">
        <f t="shared" si="140"/>
        <v>0</v>
      </c>
      <c r="BH247" s="2675">
        <f t="shared" si="141"/>
        <v>0</v>
      </c>
      <c r="BI247" s="2675">
        <f t="shared" si="142"/>
        <v>0</v>
      </c>
      <c r="BJ247" s="2675">
        <f t="shared" si="143"/>
        <v>0</v>
      </c>
      <c r="BK247" s="2675">
        <f t="shared" si="144"/>
        <v>0</v>
      </c>
      <c r="BL247" s="2675">
        <f t="shared" si="145"/>
        <v>0</v>
      </c>
      <c r="BM247" s="2675">
        <f t="shared" si="146"/>
        <v>0</v>
      </c>
      <c r="BN247" s="2675">
        <f t="shared" si="147"/>
        <v>0</v>
      </c>
      <c r="BO247" s="2675">
        <f t="shared" si="148"/>
        <v>0</v>
      </c>
      <c r="BP247" s="2675">
        <f t="shared" si="149"/>
        <v>0</v>
      </c>
      <c r="BQ247" s="2675">
        <f t="shared" si="150"/>
        <v>0</v>
      </c>
      <c r="BR247" s="2675">
        <f t="shared" si="151"/>
        <v>0</v>
      </c>
      <c r="BS247" s="2675">
        <f t="shared" si="152"/>
        <v>0</v>
      </c>
      <c r="BT247" s="2722">
        <f t="shared" si="153"/>
        <v>0</v>
      </c>
    </row>
    <row r="248" spans="1:72">
      <c r="A248" s="2673"/>
      <c r="B248" s="2674"/>
      <c r="C248" s="2674"/>
      <c r="D248" s="2277"/>
      <c r="E248" s="2675">
        <f t="shared" si="125"/>
        <v>0</v>
      </c>
      <c r="F248" s="2676"/>
      <c r="G248" s="2677">
        <f t="shared" si="126"/>
        <v>0</v>
      </c>
      <c r="H248" s="2678">
        <f t="shared" si="127"/>
        <v>0</v>
      </c>
      <c r="I248" s="2685"/>
      <c r="J248" s="2685"/>
      <c r="K248" s="2685"/>
      <c r="L248" s="2685"/>
      <c r="M248" s="2685"/>
      <c r="N248" s="2685"/>
      <c r="O248" s="2685"/>
      <c r="P248" s="2685"/>
      <c r="Q248" s="2685"/>
      <c r="R248" s="2685"/>
      <c r="S248" s="2685"/>
      <c r="T248" s="2685"/>
      <c r="U248" s="2685"/>
      <c r="V248" s="2685"/>
      <c r="W248" s="2685"/>
      <c r="X248" s="2685"/>
      <c r="Y248" s="2685"/>
      <c r="Z248" s="2685"/>
      <c r="AA248" s="2685"/>
      <c r="AB248" s="2685"/>
      <c r="AC248" s="2675">
        <f t="shared" si="128"/>
        <v>0</v>
      </c>
      <c r="AD248" s="2695"/>
      <c r="AE248" s="2695"/>
      <c r="AF248" s="2695"/>
      <c r="AG248" s="2695"/>
      <c r="AH248" s="2695"/>
      <c r="AI248" s="2695"/>
      <c r="AJ248" s="2695"/>
      <c r="AK248" s="2695"/>
      <c r="AL248" s="2695"/>
      <c r="AM248" s="2695"/>
      <c r="AN248" s="2695"/>
      <c r="AO248" s="2695"/>
      <c r="AP248" s="2695"/>
      <c r="AQ248" s="2695"/>
      <c r="AR248" s="2695"/>
      <c r="AS248" s="2695"/>
      <c r="AT248" s="2703"/>
      <c r="AU248" s="2704"/>
      <c r="AV248" s="1074">
        <f t="shared" si="129"/>
        <v>0</v>
      </c>
      <c r="AW248" s="1074">
        <f t="shared" si="130"/>
        <v>0</v>
      </c>
      <c r="AX248" s="1074">
        <f t="shared" si="131"/>
        <v>0</v>
      </c>
      <c r="AY248" s="2279">
        <f t="shared" si="132"/>
        <v>0</v>
      </c>
      <c r="AZ248" s="2675">
        <f t="shared" si="133"/>
        <v>0</v>
      </c>
      <c r="BA248" s="2675">
        <f t="shared" si="134"/>
        <v>0</v>
      </c>
      <c r="BB248" s="2675">
        <f t="shared" si="135"/>
        <v>0</v>
      </c>
      <c r="BC248" s="2675">
        <f t="shared" si="136"/>
        <v>0</v>
      </c>
      <c r="BD248" s="2675">
        <f t="shared" si="137"/>
        <v>0</v>
      </c>
      <c r="BE248" s="2675">
        <f t="shared" si="138"/>
        <v>0</v>
      </c>
      <c r="BF248" s="2675">
        <f t="shared" si="139"/>
        <v>0</v>
      </c>
      <c r="BG248" s="2675">
        <f t="shared" si="140"/>
        <v>0</v>
      </c>
      <c r="BH248" s="2675">
        <f t="shared" si="141"/>
        <v>0</v>
      </c>
      <c r="BI248" s="2675">
        <f t="shared" si="142"/>
        <v>0</v>
      </c>
      <c r="BJ248" s="2675">
        <f t="shared" si="143"/>
        <v>0</v>
      </c>
      <c r="BK248" s="2675">
        <f t="shared" si="144"/>
        <v>0</v>
      </c>
      <c r="BL248" s="2675">
        <f t="shared" si="145"/>
        <v>0</v>
      </c>
      <c r="BM248" s="2675">
        <f t="shared" si="146"/>
        <v>0</v>
      </c>
      <c r="BN248" s="2675">
        <f t="shared" si="147"/>
        <v>0</v>
      </c>
      <c r="BO248" s="2675">
        <f t="shared" si="148"/>
        <v>0</v>
      </c>
      <c r="BP248" s="2675">
        <f t="shared" si="149"/>
        <v>0</v>
      </c>
      <c r="BQ248" s="2675">
        <f t="shared" si="150"/>
        <v>0</v>
      </c>
      <c r="BR248" s="2675">
        <f t="shared" si="151"/>
        <v>0</v>
      </c>
      <c r="BS248" s="2675">
        <f t="shared" si="152"/>
        <v>0</v>
      </c>
      <c r="BT248" s="2722">
        <f t="shared" si="153"/>
        <v>0</v>
      </c>
    </row>
    <row r="249" spans="1:72">
      <c r="A249" s="2673"/>
      <c r="B249" s="2674"/>
      <c r="C249" s="2674"/>
      <c r="D249" s="2277"/>
      <c r="E249" s="2675">
        <f t="shared" si="125"/>
        <v>0</v>
      </c>
      <c r="F249" s="2676"/>
      <c r="G249" s="2677">
        <f t="shared" si="126"/>
        <v>0</v>
      </c>
      <c r="H249" s="2678">
        <f t="shared" si="127"/>
        <v>0</v>
      </c>
      <c r="I249" s="2685"/>
      <c r="J249" s="2685"/>
      <c r="K249" s="2685"/>
      <c r="L249" s="2685"/>
      <c r="M249" s="2685"/>
      <c r="N249" s="2685"/>
      <c r="O249" s="2685"/>
      <c r="P249" s="2685"/>
      <c r="Q249" s="2685"/>
      <c r="R249" s="2685"/>
      <c r="S249" s="2685"/>
      <c r="T249" s="2685"/>
      <c r="U249" s="2685"/>
      <c r="V249" s="2685"/>
      <c r="W249" s="2685"/>
      <c r="X249" s="2685"/>
      <c r="Y249" s="2685"/>
      <c r="Z249" s="2685"/>
      <c r="AA249" s="2685"/>
      <c r="AB249" s="2685"/>
      <c r="AC249" s="2675">
        <f t="shared" si="128"/>
        <v>0</v>
      </c>
      <c r="AD249" s="2695"/>
      <c r="AE249" s="2695"/>
      <c r="AF249" s="2695"/>
      <c r="AG249" s="2695"/>
      <c r="AH249" s="2695"/>
      <c r="AI249" s="2695"/>
      <c r="AJ249" s="2695"/>
      <c r="AK249" s="2695"/>
      <c r="AL249" s="2695"/>
      <c r="AM249" s="2695"/>
      <c r="AN249" s="2695"/>
      <c r="AO249" s="2695"/>
      <c r="AP249" s="2695"/>
      <c r="AQ249" s="2695"/>
      <c r="AR249" s="2695"/>
      <c r="AS249" s="2695"/>
      <c r="AT249" s="2703"/>
      <c r="AU249" s="2704"/>
      <c r="AV249" s="1074">
        <f t="shared" si="129"/>
        <v>0</v>
      </c>
      <c r="AW249" s="1074">
        <f t="shared" si="130"/>
        <v>0</v>
      </c>
      <c r="AX249" s="1074">
        <f t="shared" si="131"/>
        <v>0</v>
      </c>
      <c r="AY249" s="2279">
        <f t="shared" si="132"/>
        <v>0</v>
      </c>
      <c r="AZ249" s="2675">
        <f t="shared" si="133"/>
        <v>0</v>
      </c>
      <c r="BA249" s="2675">
        <f t="shared" si="134"/>
        <v>0</v>
      </c>
      <c r="BB249" s="2675">
        <f t="shared" si="135"/>
        <v>0</v>
      </c>
      <c r="BC249" s="2675">
        <f t="shared" si="136"/>
        <v>0</v>
      </c>
      <c r="BD249" s="2675">
        <f t="shared" si="137"/>
        <v>0</v>
      </c>
      <c r="BE249" s="2675">
        <f t="shared" si="138"/>
        <v>0</v>
      </c>
      <c r="BF249" s="2675">
        <f t="shared" si="139"/>
        <v>0</v>
      </c>
      <c r="BG249" s="2675">
        <f t="shared" si="140"/>
        <v>0</v>
      </c>
      <c r="BH249" s="2675">
        <f t="shared" si="141"/>
        <v>0</v>
      </c>
      <c r="BI249" s="2675">
        <f t="shared" si="142"/>
        <v>0</v>
      </c>
      <c r="BJ249" s="2675">
        <f t="shared" si="143"/>
        <v>0</v>
      </c>
      <c r="BK249" s="2675">
        <f t="shared" si="144"/>
        <v>0</v>
      </c>
      <c r="BL249" s="2675">
        <f t="shared" si="145"/>
        <v>0</v>
      </c>
      <c r="BM249" s="2675">
        <f t="shared" si="146"/>
        <v>0</v>
      </c>
      <c r="BN249" s="2675">
        <f t="shared" si="147"/>
        <v>0</v>
      </c>
      <c r="BO249" s="2675">
        <f t="shared" si="148"/>
        <v>0</v>
      </c>
      <c r="BP249" s="2675">
        <f t="shared" si="149"/>
        <v>0</v>
      </c>
      <c r="BQ249" s="2675">
        <f t="shared" si="150"/>
        <v>0</v>
      </c>
      <c r="BR249" s="2675">
        <f t="shared" si="151"/>
        <v>0</v>
      </c>
      <c r="BS249" s="2675">
        <f t="shared" si="152"/>
        <v>0</v>
      </c>
      <c r="BT249" s="2722">
        <f t="shared" si="153"/>
        <v>0</v>
      </c>
    </row>
    <row r="250" spans="1:72">
      <c r="A250" s="2673"/>
      <c r="B250" s="2674"/>
      <c r="C250" s="2674"/>
      <c r="D250" s="2277"/>
      <c r="E250" s="2675">
        <f t="shared" si="125"/>
        <v>0</v>
      </c>
      <c r="F250" s="2676"/>
      <c r="G250" s="2677">
        <f t="shared" si="126"/>
        <v>0</v>
      </c>
      <c r="H250" s="2678">
        <f t="shared" si="127"/>
        <v>0</v>
      </c>
      <c r="I250" s="2685"/>
      <c r="J250" s="2685"/>
      <c r="K250" s="2685"/>
      <c r="L250" s="2685"/>
      <c r="M250" s="2685"/>
      <c r="N250" s="2685"/>
      <c r="O250" s="2685"/>
      <c r="P250" s="2685"/>
      <c r="Q250" s="2685"/>
      <c r="R250" s="2685"/>
      <c r="S250" s="2685"/>
      <c r="T250" s="2685"/>
      <c r="U250" s="2685"/>
      <c r="V250" s="2685"/>
      <c r="W250" s="2685"/>
      <c r="X250" s="2685"/>
      <c r="Y250" s="2685"/>
      <c r="Z250" s="2685"/>
      <c r="AA250" s="2685"/>
      <c r="AB250" s="2685"/>
      <c r="AC250" s="2675">
        <f t="shared" si="128"/>
        <v>0</v>
      </c>
      <c r="AD250" s="2695"/>
      <c r="AE250" s="2695"/>
      <c r="AF250" s="2695"/>
      <c r="AG250" s="2695"/>
      <c r="AH250" s="2695"/>
      <c r="AI250" s="2695"/>
      <c r="AJ250" s="2695"/>
      <c r="AK250" s="2695"/>
      <c r="AL250" s="2695"/>
      <c r="AM250" s="2695"/>
      <c r="AN250" s="2695"/>
      <c r="AO250" s="2695"/>
      <c r="AP250" s="2695"/>
      <c r="AQ250" s="2695"/>
      <c r="AR250" s="2695"/>
      <c r="AS250" s="2695"/>
      <c r="AT250" s="2703"/>
      <c r="AU250" s="2704"/>
      <c r="AV250" s="1074">
        <f t="shared" si="129"/>
        <v>0</v>
      </c>
      <c r="AW250" s="1074">
        <f t="shared" si="130"/>
        <v>0</v>
      </c>
      <c r="AX250" s="1074">
        <f t="shared" si="131"/>
        <v>0</v>
      </c>
      <c r="AY250" s="2279">
        <f t="shared" si="132"/>
        <v>0</v>
      </c>
      <c r="AZ250" s="2675">
        <f t="shared" si="133"/>
        <v>0</v>
      </c>
      <c r="BA250" s="2675">
        <f t="shared" si="134"/>
        <v>0</v>
      </c>
      <c r="BB250" s="2675">
        <f t="shared" si="135"/>
        <v>0</v>
      </c>
      <c r="BC250" s="2675">
        <f t="shared" si="136"/>
        <v>0</v>
      </c>
      <c r="BD250" s="2675">
        <f t="shared" si="137"/>
        <v>0</v>
      </c>
      <c r="BE250" s="2675">
        <f t="shared" si="138"/>
        <v>0</v>
      </c>
      <c r="BF250" s="2675">
        <f t="shared" si="139"/>
        <v>0</v>
      </c>
      <c r="BG250" s="2675">
        <f t="shared" si="140"/>
        <v>0</v>
      </c>
      <c r="BH250" s="2675">
        <f t="shared" si="141"/>
        <v>0</v>
      </c>
      <c r="BI250" s="2675">
        <f t="shared" si="142"/>
        <v>0</v>
      </c>
      <c r="BJ250" s="2675">
        <f t="shared" si="143"/>
        <v>0</v>
      </c>
      <c r="BK250" s="2675">
        <f t="shared" si="144"/>
        <v>0</v>
      </c>
      <c r="BL250" s="2675">
        <f t="shared" si="145"/>
        <v>0</v>
      </c>
      <c r="BM250" s="2675">
        <f t="shared" si="146"/>
        <v>0</v>
      </c>
      <c r="BN250" s="2675">
        <f t="shared" si="147"/>
        <v>0</v>
      </c>
      <c r="BO250" s="2675">
        <f t="shared" si="148"/>
        <v>0</v>
      </c>
      <c r="BP250" s="2675">
        <f t="shared" si="149"/>
        <v>0</v>
      </c>
      <c r="BQ250" s="2675">
        <f t="shared" si="150"/>
        <v>0</v>
      </c>
      <c r="BR250" s="2675">
        <f t="shared" si="151"/>
        <v>0</v>
      </c>
      <c r="BS250" s="2675">
        <f t="shared" si="152"/>
        <v>0</v>
      </c>
      <c r="BT250" s="2722">
        <f t="shared" si="153"/>
        <v>0</v>
      </c>
    </row>
    <row r="251" spans="1:72">
      <c r="A251" s="2673"/>
      <c r="B251" s="2674"/>
      <c r="C251" s="2674"/>
      <c r="D251" s="2277"/>
      <c r="E251" s="2675">
        <f t="shared" si="125"/>
        <v>0</v>
      </c>
      <c r="F251" s="2676"/>
      <c r="G251" s="2677">
        <f t="shared" si="126"/>
        <v>0</v>
      </c>
      <c r="H251" s="2678">
        <f t="shared" si="127"/>
        <v>0</v>
      </c>
      <c r="I251" s="2685"/>
      <c r="J251" s="2685"/>
      <c r="K251" s="2685"/>
      <c r="L251" s="2685"/>
      <c r="M251" s="2685"/>
      <c r="N251" s="2685"/>
      <c r="O251" s="2685"/>
      <c r="P251" s="2685"/>
      <c r="Q251" s="2685"/>
      <c r="R251" s="2685"/>
      <c r="S251" s="2685"/>
      <c r="T251" s="2685"/>
      <c r="U251" s="2685"/>
      <c r="V251" s="2685"/>
      <c r="W251" s="2685"/>
      <c r="X251" s="2685"/>
      <c r="Y251" s="2685"/>
      <c r="Z251" s="2685"/>
      <c r="AA251" s="2685"/>
      <c r="AB251" s="2685"/>
      <c r="AC251" s="2675">
        <f t="shared" si="128"/>
        <v>0</v>
      </c>
      <c r="AD251" s="2695"/>
      <c r="AE251" s="2695"/>
      <c r="AF251" s="2695"/>
      <c r="AG251" s="2695"/>
      <c r="AH251" s="2695"/>
      <c r="AI251" s="2695"/>
      <c r="AJ251" s="2695"/>
      <c r="AK251" s="2695"/>
      <c r="AL251" s="2695"/>
      <c r="AM251" s="2695"/>
      <c r="AN251" s="2695"/>
      <c r="AO251" s="2695"/>
      <c r="AP251" s="2695"/>
      <c r="AQ251" s="2695"/>
      <c r="AR251" s="2695"/>
      <c r="AS251" s="2695"/>
      <c r="AT251" s="2703"/>
      <c r="AU251" s="2704"/>
      <c r="AV251" s="1074">
        <f t="shared" si="129"/>
        <v>0</v>
      </c>
      <c r="AW251" s="1074">
        <f t="shared" si="130"/>
        <v>0</v>
      </c>
      <c r="AX251" s="1074">
        <f t="shared" si="131"/>
        <v>0</v>
      </c>
      <c r="AY251" s="2279">
        <f t="shared" si="132"/>
        <v>0</v>
      </c>
      <c r="AZ251" s="2675">
        <f t="shared" si="133"/>
        <v>0</v>
      </c>
      <c r="BA251" s="2675">
        <f t="shared" si="134"/>
        <v>0</v>
      </c>
      <c r="BB251" s="2675">
        <f t="shared" si="135"/>
        <v>0</v>
      </c>
      <c r="BC251" s="2675">
        <f t="shared" si="136"/>
        <v>0</v>
      </c>
      <c r="BD251" s="2675">
        <f t="shared" si="137"/>
        <v>0</v>
      </c>
      <c r="BE251" s="2675">
        <f t="shared" si="138"/>
        <v>0</v>
      </c>
      <c r="BF251" s="2675">
        <f t="shared" si="139"/>
        <v>0</v>
      </c>
      <c r="BG251" s="2675">
        <f t="shared" si="140"/>
        <v>0</v>
      </c>
      <c r="BH251" s="2675">
        <f t="shared" si="141"/>
        <v>0</v>
      </c>
      <c r="BI251" s="2675">
        <f t="shared" si="142"/>
        <v>0</v>
      </c>
      <c r="BJ251" s="2675">
        <f t="shared" si="143"/>
        <v>0</v>
      </c>
      <c r="BK251" s="2675">
        <f t="shared" si="144"/>
        <v>0</v>
      </c>
      <c r="BL251" s="2675">
        <f t="shared" si="145"/>
        <v>0</v>
      </c>
      <c r="BM251" s="2675">
        <f t="shared" si="146"/>
        <v>0</v>
      </c>
      <c r="BN251" s="2675">
        <f t="shared" si="147"/>
        <v>0</v>
      </c>
      <c r="BO251" s="2675">
        <f t="shared" si="148"/>
        <v>0</v>
      </c>
      <c r="BP251" s="2675">
        <f t="shared" si="149"/>
        <v>0</v>
      </c>
      <c r="BQ251" s="2675">
        <f t="shared" si="150"/>
        <v>0</v>
      </c>
      <c r="BR251" s="2675">
        <f t="shared" si="151"/>
        <v>0</v>
      </c>
      <c r="BS251" s="2675">
        <f t="shared" si="152"/>
        <v>0</v>
      </c>
      <c r="BT251" s="2722">
        <f t="shared" si="153"/>
        <v>0</v>
      </c>
    </row>
    <row r="252" spans="1:72">
      <c r="A252" s="2673"/>
      <c r="B252" s="2674"/>
      <c r="C252" s="2674"/>
      <c r="D252" s="2277"/>
      <c r="E252" s="2675">
        <f t="shared" si="125"/>
        <v>0</v>
      </c>
      <c r="F252" s="2676"/>
      <c r="G252" s="2677">
        <f t="shared" si="126"/>
        <v>0</v>
      </c>
      <c r="H252" s="2678">
        <f t="shared" si="127"/>
        <v>0</v>
      </c>
      <c r="I252" s="2685"/>
      <c r="J252" s="2685"/>
      <c r="K252" s="2685"/>
      <c r="L252" s="2685"/>
      <c r="M252" s="2685"/>
      <c r="N252" s="2685"/>
      <c r="O252" s="2685"/>
      <c r="P252" s="2685"/>
      <c r="Q252" s="2685"/>
      <c r="R252" s="2685"/>
      <c r="S252" s="2685"/>
      <c r="T252" s="2685"/>
      <c r="U252" s="2685"/>
      <c r="V252" s="2685"/>
      <c r="W252" s="2685"/>
      <c r="X252" s="2685"/>
      <c r="Y252" s="2685"/>
      <c r="Z252" s="2685"/>
      <c r="AA252" s="2685"/>
      <c r="AB252" s="2685"/>
      <c r="AC252" s="2675">
        <f t="shared" si="128"/>
        <v>0</v>
      </c>
      <c r="AD252" s="2695"/>
      <c r="AE252" s="2695"/>
      <c r="AF252" s="2695"/>
      <c r="AG252" s="2695"/>
      <c r="AH252" s="2695"/>
      <c r="AI252" s="2695"/>
      <c r="AJ252" s="2695"/>
      <c r="AK252" s="2695"/>
      <c r="AL252" s="2695"/>
      <c r="AM252" s="2695"/>
      <c r="AN252" s="2695"/>
      <c r="AO252" s="2695"/>
      <c r="AP252" s="2695"/>
      <c r="AQ252" s="2695"/>
      <c r="AR252" s="2695"/>
      <c r="AS252" s="2695"/>
      <c r="AT252" s="2703"/>
      <c r="AU252" s="2704"/>
      <c r="AV252" s="1074">
        <f t="shared" si="129"/>
        <v>0</v>
      </c>
      <c r="AW252" s="1074">
        <f t="shared" si="130"/>
        <v>0</v>
      </c>
      <c r="AX252" s="1074">
        <f t="shared" si="131"/>
        <v>0</v>
      </c>
      <c r="AY252" s="2279">
        <f t="shared" si="132"/>
        <v>0</v>
      </c>
      <c r="AZ252" s="2675">
        <f t="shared" si="133"/>
        <v>0</v>
      </c>
      <c r="BA252" s="2675">
        <f t="shared" si="134"/>
        <v>0</v>
      </c>
      <c r="BB252" s="2675">
        <f t="shared" si="135"/>
        <v>0</v>
      </c>
      <c r="BC252" s="2675">
        <f t="shared" si="136"/>
        <v>0</v>
      </c>
      <c r="BD252" s="2675">
        <f t="shared" si="137"/>
        <v>0</v>
      </c>
      <c r="BE252" s="2675">
        <f t="shared" si="138"/>
        <v>0</v>
      </c>
      <c r="BF252" s="2675">
        <f t="shared" si="139"/>
        <v>0</v>
      </c>
      <c r="BG252" s="2675">
        <f t="shared" si="140"/>
        <v>0</v>
      </c>
      <c r="BH252" s="2675">
        <f t="shared" si="141"/>
        <v>0</v>
      </c>
      <c r="BI252" s="2675">
        <f t="shared" si="142"/>
        <v>0</v>
      </c>
      <c r="BJ252" s="2675">
        <f t="shared" si="143"/>
        <v>0</v>
      </c>
      <c r="BK252" s="2675">
        <f t="shared" si="144"/>
        <v>0</v>
      </c>
      <c r="BL252" s="2675">
        <f t="shared" si="145"/>
        <v>0</v>
      </c>
      <c r="BM252" s="2675">
        <f t="shared" si="146"/>
        <v>0</v>
      </c>
      <c r="BN252" s="2675">
        <f t="shared" si="147"/>
        <v>0</v>
      </c>
      <c r="BO252" s="2675">
        <f t="shared" si="148"/>
        <v>0</v>
      </c>
      <c r="BP252" s="2675">
        <f t="shared" si="149"/>
        <v>0</v>
      </c>
      <c r="BQ252" s="2675">
        <f t="shared" si="150"/>
        <v>0</v>
      </c>
      <c r="BR252" s="2675">
        <f t="shared" si="151"/>
        <v>0</v>
      </c>
      <c r="BS252" s="2675">
        <f t="shared" si="152"/>
        <v>0</v>
      </c>
      <c r="BT252" s="2722">
        <f t="shared" si="153"/>
        <v>0</v>
      </c>
    </row>
    <row r="253" spans="1:72">
      <c r="A253" s="2673"/>
      <c r="B253" s="2674"/>
      <c r="C253" s="2674"/>
      <c r="D253" s="2277"/>
      <c r="E253" s="2675">
        <f t="shared" si="125"/>
        <v>0</v>
      </c>
      <c r="F253" s="2676"/>
      <c r="G253" s="2677">
        <f t="shared" si="126"/>
        <v>0</v>
      </c>
      <c r="H253" s="2678">
        <f t="shared" si="127"/>
        <v>0</v>
      </c>
      <c r="I253" s="2685"/>
      <c r="J253" s="2685"/>
      <c r="K253" s="2685"/>
      <c r="L253" s="2685"/>
      <c r="M253" s="2685"/>
      <c r="N253" s="2685"/>
      <c r="O253" s="2685"/>
      <c r="P253" s="2685"/>
      <c r="Q253" s="2685"/>
      <c r="R253" s="2685"/>
      <c r="S253" s="2685"/>
      <c r="T253" s="2685"/>
      <c r="U253" s="2685"/>
      <c r="V253" s="2685"/>
      <c r="W253" s="2685"/>
      <c r="X253" s="2685"/>
      <c r="Y253" s="2685"/>
      <c r="Z253" s="2685"/>
      <c r="AA253" s="2685"/>
      <c r="AB253" s="2685"/>
      <c r="AC253" s="2675">
        <f t="shared" si="128"/>
        <v>0</v>
      </c>
      <c r="AD253" s="2695"/>
      <c r="AE253" s="2695"/>
      <c r="AF253" s="2695"/>
      <c r="AG253" s="2695"/>
      <c r="AH253" s="2695"/>
      <c r="AI253" s="2695"/>
      <c r="AJ253" s="2695"/>
      <c r="AK253" s="2695"/>
      <c r="AL253" s="2695"/>
      <c r="AM253" s="2695"/>
      <c r="AN253" s="2695"/>
      <c r="AO253" s="2695"/>
      <c r="AP253" s="2695"/>
      <c r="AQ253" s="2695"/>
      <c r="AR253" s="2695"/>
      <c r="AS253" s="2695"/>
      <c r="AT253" s="2703"/>
      <c r="AU253" s="2704"/>
      <c r="AV253" s="1074">
        <f t="shared" si="129"/>
        <v>0</v>
      </c>
      <c r="AW253" s="1074">
        <f t="shared" si="130"/>
        <v>0</v>
      </c>
      <c r="AX253" s="1074">
        <f t="shared" si="131"/>
        <v>0</v>
      </c>
      <c r="AY253" s="2279">
        <f t="shared" si="132"/>
        <v>0</v>
      </c>
      <c r="AZ253" s="2675">
        <f t="shared" si="133"/>
        <v>0</v>
      </c>
      <c r="BA253" s="2675">
        <f t="shared" si="134"/>
        <v>0</v>
      </c>
      <c r="BB253" s="2675">
        <f t="shared" si="135"/>
        <v>0</v>
      </c>
      <c r="BC253" s="2675">
        <f t="shared" si="136"/>
        <v>0</v>
      </c>
      <c r="BD253" s="2675">
        <f t="shared" si="137"/>
        <v>0</v>
      </c>
      <c r="BE253" s="2675">
        <f t="shared" si="138"/>
        <v>0</v>
      </c>
      <c r="BF253" s="2675">
        <f t="shared" si="139"/>
        <v>0</v>
      </c>
      <c r="BG253" s="2675">
        <f t="shared" si="140"/>
        <v>0</v>
      </c>
      <c r="BH253" s="2675">
        <f t="shared" si="141"/>
        <v>0</v>
      </c>
      <c r="BI253" s="2675">
        <f t="shared" si="142"/>
        <v>0</v>
      </c>
      <c r="BJ253" s="2675">
        <f t="shared" si="143"/>
        <v>0</v>
      </c>
      <c r="BK253" s="2675">
        <f t="shared" si="144"/>
        <v>0</v>
      </c>
      <c r="BL253" s="2675">
        <f t="shared" si="145"/>
        <v>0</v>
      </c>
      <c r="BM253" s="2675">
        <f t="shared" si="146"/>
        <v>0</v>
      </c>
      <c r="BN253" s="2675">
        <f t="shared" si="147"/>
        <v>0</v>
      </c>
      <c r="BO253" s="2675">
        <f t="shared" si="148"/>
        <v>0</v>
      </c>
      <c r="BP253" s="2675">
        <f t="shared" si="149"/>
        <v>0</v>
      </c>
      <c r="BQ253" s="2675">
        <f t="shared" si="150"/>
        <v>0</v>
      </c>
      <c r="BR253" s="2675">
        <f t="shared" si="151"/>
        <v>0</v>
      </c>
      <c r="BS253" s="2675">
        <f t="shared" si="152"/>
        <v>0</v>
      </c>
      <c r="BT253" s="2722">
        <f t="shared" si="153"/>
        <v>0</v>
      </c>
    </row>
    <row r="254" spans="1:72">
      <c r="A254" s="2673"/>
      <c r="B254" s="2674"/>
      <c r="C254" s="2674"/>
      <c r="D254" s="2277"/>
      <c r="E254" s="2675">
        <f t="shared" si="125"/>
        <v>0</v>
      </c>
      <c r="F254" s="2676"/>
      <c r="G254" s="2677">
        <f t="shared" si="126"/>
        <v>0</v>
      </c>
      <c r="H254" s="2678">
        <f t="shared" si="127"/>
        <v>0</v>
      </c>
      <c r="I254" s="2685"/>
      <c r="J254" s="2685"/>
      <c r="K254" s="2685"/>
      <c r="L254" s="2685"/>
      <c r="M254" s="2685"/>
      <c r="N254" s="2685"/>
      <c r="O254" s="2685"/>
      <c r="P254" s="2685"/>
      <c r="Q254" s="2685"/>
      <c r="R254" s="2685"/>
      <c r="S254" s="2685"/>
      <c r="T254" s="2685"/>
      <c r="U254" s="2685"/>
      <c r="V254" s="2685"/>
      <c r="W254" s="2685"/>
      <c r="X254" s="2685"/>
      <c r="Y254" s="2685"/>
      <c r="Z254" s="2685"/>
      <c r="AA254" s="2685"/>
      <c r="AB254" s="2685"/>
      <c r="AC254" s="2675">
        <f t="shared" si="128"/>
        <v>0</v>
      </c>
      <c r="AD254" s="2695"/>
      <c r="AE254" s="2695"/>
      <c r="AF254" s="2695"/>
      <c r="AG254" s="2695"/>
      <c r="AH254" s="2695"/>
      <c r="AI254" s="2695"/>
      <c r="AJ254" s="2695"/>
      <c r="AK254" s="2695"/>
      <c r="AL254" s="2695"/>
      <c r="AM254" s="2695"/>
      <c r="AN254" s="2695"/>
      <c r="AO254" s="2695"/>
      <c r="AP254" s="2695"/>
      <c r="AQ254" s="2695"/>
      <c r="AR254" s="2695"/>
      <c r="AS254" s="2695"/>
      <c r="AT254" s="2703"/>
      <c r="AU254" s="2704"/>
      <c r="AV254" s="1074">
        <f t="shared" si="129"/>
        <v>0</v>
      </c>
      <c r="AW254" s="1074">
        <f t="shared" si="130"/>
        <v>0</v>
      </c>
      <c r="AX254" s="1074">
        <f t="shared" si="131"/>
        <v>0</v>
      </c>
      <c r="AY254" s="2279">
        <f t="shared" si="132"/>
        <v>0</v>
      </c>
      <c r="AZ254" s="2675">
        <f t="shared" si="133"/>
        <v>0</v>
      </c>
      <c r="BA254" s="2675">
        <f t="shared" si="134"/>
        <v>0</v>
      </c>
      <c r="BB254" s="2675">
        <f t="shared" si="135"/>
        <v>0</v>
      </c>
      <c r="BC254" s="2675">
        <f t="shared" si="136"/>
        <v>0</v>
      </c>
      <c r="BD254" s="2675">
        <f t="shared" si="137"/>
        <v>0</v>
      </c>
      <c r="BE254" s="2675">
        <f t="shared" si="138"/>
        <v>0</v>
      </c>
      <c r="BF254" s="2675">
        <f t="shared" si="139"/>
        <v>0</v>
      </c>
      <c r="BG254" s="2675">
        <f t="shared" si="140"/>
        <v>0</v>
      </c>
      <c r="BH254" s="2675">
        <f t="shared" si="141"/>
        <v>0</v>
      </c>
      <c r="BI254" s="2675">
        <f t="shared" si="142"/>
        <v>0</v>
      </c>
      <c r="BJ254" s="2675">
        <f t="shared" si="143"/>
        <v>0</v>
      </c>
      <c r="BK254" s="2675">
        <f t="shared" si="144"/>
        <v>0</v>
      </c>
      <c r="BL254" s="2675">
        <f t="shared" si="145"/>
        <v>0</v>
      </c>
      <c r="BM254" s="2675">
        <f t="shared" si="146"/>
        <v>0</v>
      </c>
      <c r="BN254" s="2675">
        <f t="shared" si="147"/>
        <v>0</v>
      </c>
      <c r="BO254" s="2675">
        <f t="shared" si="148"/>
        <v>0</v>
      </c>
      <c r="BP254" s="2675">
        <f t="shared" si="149"/>
        <v>0</v>
      </c>
      <c r="BQ254" s="2675">
        <f t="shared" si="150"/>
        <v>0</v>
      </c>
      <c r="BR254" s="2675">
        <f t="shared" si="151"/>
        <v>0</v>
      </c>
      <c r="BS254" s="2675">
        <f t="shared" si="152"/>
        <v>0</v>
      </c>
      <c r="BT254" s="2722">
        <f t="shared" si="153"/>
        <v>0</v>
      </c>
    </row>
    <row r="255" spans="1:72">
      <c r="A255" s="2673"/>
      <c r="B255" s="2674"/>
      <c r="C255" s="2674"/>
      <c r="D255" s="2277"/>
      <c r="E255" s="2675">
        <f t="shared" si="125"/>
        <v>0</v>
      </c>
      <c r="F255" s="2676"/>
      <c r="G255" s="2677">
        <f t="shared" si="126"/>
        <v>0</v>
      </c>
      <c r="H255" s="2678">
        <f t="shared" si="127"/>
        <v>0</v>
      </c>
      <c r="I255" s="2685"/>
      <c r="J255" s="2685"/>
      <c r="K255" s="2685"/>
      <c r="L255" s="2685"/>
      <c r="M255" s="2685"/>
      <c r="N255" s="2685"/>
      <c r="O255" s="2685"/>
      <c r="P255" s="2685"/>
      <c r="Q255" s="2685"/>
      <c r="R255" s="2685"/>
      <c r="S255" s="2685"/>
      <c r="T255" s="2685"/>
      <c r="U255" s="2685"/>
      <c r="V255" s="2685"/>
      <c r="W255" s="2685"/>
      <c r="X255" s="2685"/>
      <c r="Y255" s="2685"/>
      <c r="Z255" s="2685"/>
      <c r="AA255" s="2685"/>
      <c r="AB255" s="2685"/>
      <c r="AC255" s="2675">
        <f t="shared" si="128"/>
        <v>0</v>
      </c>
      <c r="AD255" s="2695"/>
      <c r="AE255" s="2695"/>
      <c r="AF255" s="2695"/>
      <c r="AG255" s="2695"/>
      <c r="AH255" s="2695"/>
      <c r="AI255" s="2695"/>
      <c r="AJ255" s="2695"/>
      <c r="AK255" s="2695"/>
      <c r="AL255" s="2695"/>
      <c r="AM255" s="2695"/>
      <c r="AN255" s="2695"/>
      <c r="AO255" s="2695"/>
      <c r="AP255" s="2695"/>
      <c r="AQ255" s="2695"/>
      <c r="AR255" s="2695"/>
      <c r="AS255" s="2695"/>
      <c r="AT255" s="2703"/>
      <c r="AU255" s="2704"/>
      <c r="AV255" s="1074">
        <f t="shared" si="129"/>
        <v>0</v>
      </c>
      <c r="AW255" s="1074">
        <f t="shared" si="130"/>
        <v>0</v>
      </c>
      <c r="AX255" s="1074">
        <f t="shared" si="131"/>
        <v>0</v>
      </c>
      <c r="AY255" s="2279">
        <f t="shared" si="132"/>
        <v>0</v>
      </c>
      <c r="AZ255" s="2675">
        <f t="shared" si="133"/>
        <v>0</v>
      </c>
      <c r="BA255" s="2675">
        <f t="shared" si="134"/>
        <v>0</v>
      </c>
      <c r="BB255" s="2675">
        <f t="shared" si="135"/>
        <v>0</v>
      </c>
      <c r="BC255" s="2675">
        <f t="shared" si="136"/>
        <v>0</v>
      </c>
      <c r="BD255" s="2675">
        <f t="shared" si="137"/>
        <v>0</v>
      </c>
      <c r="BE255" s="2675">
        <f t="shared" si="138"/>
        <v>0</v>
      </c>
      <c r="BF255" s="2675">
        <f t="shared" si="139"/>
        <v>0</v>
      </c>
      <c r="BG255" s="2675">
        <f t="shared" si="140"/>
        <v>0</v>
      </c>
      <c r="BH255" s="2675">
        <f t="shared" si="141"/>
        <v>0</v>
      </c>
      <c r="BI255" s="2675">
        <f t="shared" si="142"/>
        <v>0</v>
      </c>
      <c r="BJ255" s="2675">
        <f t="shared" si="143"/>
        <v>0</v>
      </c>
      <c r="BK255" s="2675">
        <f t="shared" si="144"/>
        <v>0</v>
      </c>
      <c r="BL255" s="2675">
        <f t="shared" si="145"/>
        <v>0</v>
      </c>
      <c r="BM255" s="2675">
        <f t="shared" si="146"/>
        <v>0</v>
      </c>
      <c r="BN255" s="2675">
        <f t="shared" si="147"/>
        <v>0</v>
      </c>
      <c r="BO255" s="2675">
        <f t="shared" si="148"/>
        <v>0</v>
      </c>
      <c r="BP255" s="2675">
        <f t="shared" si="149"/>
        <v>0</v>
      </c>
      <c r="BQ255" s="2675">
        <f t="shared" si="150"/>
        <v>0</v>
      </c>
      <c r="BR255" s="2675">
        <f t="shared" si="151"/>
        <v>0</v>
      </c>
      <c r="BS255" s="2675">
        <f t="shared" si="152"/>
        <v>0</v>
      </c>
      <c r="BT255" s="2722">
        <f t="shared" si="153"/>
        <v>0</v>
      </c>
    </row>
    <row r="256" spans="1:72">
      <c r="A256" s="2673"/>
      <c r="B256" s="2674"/>
      <c r="C256" s="2674"/>
      <c r="D256" s="2277"/>
      <c r="E256" s="2675">
        <f t="shared" si="125"/>
        <v>0</v>
      </c>
      <c r="F256" s="2676"/>
      <c r="G256" s="2677">
        <f t="shared" si="126"/>
        <v>0</v>
      </c>
      <c r="H256" s="2678">
        <f t="shared" si="127"/>
        <v>0</v>
      </c>
      <c r="I256" s="2685"/>
      <c r="J256" s="2685"/>
      <c r="K256" s="2685"/>
      <c r="L256" s="2685"/>
      <c r="M256" s="2685"/>
      <c r="N256" s="2685"/>
      <c r="O256" s="2685"/>
      <c r="P256" s="2685"/>
      <c r="Q256" s="2685"/>
      <c r="R256" s="2685"/>
      <c r="S256" s="2685"/>
      <c r="T256" s="2685"/>
      <c r="U256" s="2685"/>
      <c r="V256" s="2685"/>
      <c r="W256" s="2685"/>
      <c r="X256" s="2685"/>
      <c r="Y256" s="2685"/>
      <c r="Z256" s="2685"/>
      <c r="AA256" s="2685"/>
      <c r="AB256" s="2685"/>
      <c r="AC256" s="2675">
        <f t="shared" si="128"/>
        <v>0</v>
      </c>
      <c r="AD256" s="2695"/>
      <c r="AE256" s="2695"/>
      <c r="AF256" s="2695"/>
      <c r="AG256" s="2695"/>
      <c r="AH256" s="2695"/>
      <c r="AI256" s="2695"/>
      <c r="AJ256" s="2695"/>
      <c r="AK256" s="2695"/>
      <c r="AL256" s="2695"/>
      <c r="AM256" s="2695"/>
      <c r="AN256" s="2695"/>
      <c r="AO256" s="2695"/>
      <c r="AP256" s="2695"/>
      <c r="AQ256" s="2695"/>
      <c r="AR256" s="2695"/>
      <c r="AS256" s="2695"/>
      <c r="AT256" s="2703"/>
      <c r="AU256" s="2704"/>
      <c r="AV256" s="1074">
        <f t="shared" si="129"/>
        <v>0</v>
      </c>
      <c r="AW256" s="1074">
        <f t="shared" si="130"/>
        <v>0</v>
      </c>
      <c r="AX256" s="1074">
        <f t="shared" si="131"/>
        <v>0</v>
      </c>
      <c r="AY256" s="2279">
        <f t="shared" si="132"/>
        <v>0</v>
      </c>
      <c r="AZ256" s="2675">
        <f t="shared" si="133"/>
        <v>0</v>
      </c>
      <c r="BA256" s="2675">
        <f t="shared" si="134"/>
        <v>0</v>
      </c>
      <c r="BB256" s="2675">
        <f t="shared" si="135"/>
        <v>0</v>
      </c>
      <c r="BC256" s="2675">
        <f t="shared" si="136"/>
        <v>0</v>
      </c>
      <c r="BD256" s="2675">
        <f t="shared" si="137"/>
        <v>0</v>
      </c>
      <c r="BE256" s="2675">
        <f t="shared" si="138"/>
        <v>0</v>
      </c>
      <c r="BF256" s="2675">
        <f t="shared" si="139"/>
        <v>0</v>
      </c>
      <c r="BG256" s="2675">
        <f t="shared" si="140"/>
        <v>0</v>
      </c>
      <c r="BH256" s="2675">
        <f t="shared" si="141"/>
        <v>0</v>
      </c>
      <c r="BI256" s="2675">
        <f t="shared" si="142"/>
        <v>0</v>
      </c>
      <c r="BJ256" s="2675">
        <f t="shared" si="143"/>
        <v>0</v>
      </c>
      <c r="BK256" s="2675">
        <f t="shared" si="144"/>
        <v>0</v>
      </c>
      <c r="BL256" s="2675">
        <f t="shared" si="145"/>
        <v>0</v>
      </c>
      <c r="BM256" s="2675">
        <f t="shared" si="146"/>
        <v>0</v>
      </c>
      <c r="BN256" s="2675">
        <f t="shared" si="147"/>
        <v>0</v>
      </c>
      <c r="BO256" s="2675">
        <f t="shared" si="148"/>
        <v>0</v>
      </c>
      <c r="BP256" s="2675">
        <f t="shared" si="149"/>
        <v>0</v>
      </c>
      <c r="BQ256" s="2675">
        <f t="shared" si="150"/>
        <v>0</v>
      </c>
      <c r="BR256" s="2675">
        <f t="shared" si="151"/>
        <v>0</v>
      </c>
      <c r="BS256" s="2675">
        <f t="shared" si="152"/>
        <v>0</v>
      </c>
      <c r="BT256" s="2722">
        <f t="shared" si="153"/>
        <v>0</v>
      </c>
    </row>
    <row r="257" spans="1:72">
      <c r="A257" s="2673"/>
      <c r="B257" s="2674"/>
      <c r="C257" s="2674"/>
      <c r="D257" s="2277"/>
      <c r="E257" s="2675">
        <f t="shared" si="125"/>
        <v>0</v>
      </c>
      <c r="F257" s="2676"/>
      <c r="G257" s="2677">
        <f t="shared" si="126"/>
        <v>0</v>
      </c>
      <c r="H257" s="2678">
        <f t="shared" si="127"/>
        <v>0</v>
      </c>
      <c r="I257" s="2685"/>
      <c r="J257" s="2685"/>
      <c r="K257" s="2685"/>
      <c r="L257" s="2685"/>
      <c r="M257" s="2685"/>
      <c r="N257" s="2685"/>
      <c r="O257" s="2685"/>
      <c r="P257" s="2685"/>
      <c r="Q257" s="2685"/>
      <c r="R257" s="2685"/>
      <c r="S257" s="2685"/>
      <c r="T257" s="2685"/>
      <c r="U257" s="2685"/>
      <c r="V257" s="2685"/>
      <c r="W257" s="2685"/>
      <c r="X257" s="2685"/>
      <c r="Y257" s="2685"/>
      <c r="Z257" s="2685"/>
      <c r="AA257" s="2685"/>
      <c r="AB257" s="2685"/>
      <c r="AC257" s="2675">
        <f t="shared" si="128"/>
        <v>0</v>
      </c>
      <c r="AD257" s="2695"/>
      <c r="AE257" s="2695"/>
      <c r="AF257" s="2695"/>
      <c r="AG257" s="2695"/>
      <c r="AH257" s="2695"/>
      <c r="AI257" s="2695"/>
      <c r="AJ257" s="2695"/>
      <c r="AK257" s="2695"/>
      <c r="AL257" s="2695"/>
      <c r="AM257" s="2695"/>
      <c r="AN257" s="2695"/>
      <c r="AO257" s="2695"/>
      <c r="AP257" s="2695"/>
      <c r="AQ257" s="2695"/>
      <c r="AR257" s="2695"/>
      <c r="AS257" s="2695"/>
      <c r="AT257" s="2703"/>
      <c r="AU257" s="2704"/>
      <c r="AV257" s="1074">
        <f t="shared" si="129"/>
        <v>0</v>
      </c>
      <c r="AW257" s="1074">
        <f t="shared" si="130"/>
        <v>0</v>
      </c>
      <c r="AX257" s="1074">
        <f t="shared" si="131"/>
        <v>0</v>
      </c>
      <c r="AY257" s="2279">
        <f t="shared" si="132"/>
        <v>0</v>
      </c>
      <c r="AZ257" s="2675">
        <f t="shared" si="133"/>
        <v>0</v>
      </c>
      <c r="BA257" s="2675">
        <f t="shared" si="134"/>
        <v>0</v>
      </c>
      <c r="BB257" s="2675">
        <f t="shared" si="135"/>
        <v>0</v>
      </c>
      <c r="BC257" s="2675">
        <f t="shared" si="136"/>
        <v>0</v>
      </c>
      <c r="BD257" s="2675">
        <f t="shared" si="137"/>
        <v>0</v>
      </c>
      <c r="BE257" s="2675">
        <f t="shared" si="138"/>
        <v>0</v>
      </c>
      <c r="BF257" s="2675">
        <f t="shared" si="139"/>
        <v>0</v>
      </c>
      <c r="BG257" s="2675">
        <f t="shared" si="140"/>
        <v>0</v>
      </c>
      <c r="BH257" s="2675">
        <f t="shared" si="141"/>
        <v>0</v>
      </c>
      <c r="BI257" s="2675">
        <f t="shared" si="142"/>
        <v>0</v>
      </c>
      <c r="BJ257" s="2675">
        <f t="shared" si="143"/>
        <v>0</v>
      </c>
      <c r="BK257" s="2675">
        <f t="shared" si="144"/>
        <v>0</v>
      </c>
      <c r="BL257" s="2675">
        <f t="shared" si="145"/>
        <v>0</v>
      </c>
      <c r="BM257" s="2675">
        <f t="shared" si="146"/>
        <v>0</v>
      </c>
      <c r="BN257" s="2675">
        <f t="shared" si="147"/>
        <v>0</v>
      </c>
      <c r="BO257" s="2675">
        <f t="shared" si="148"/>
        <v>0</v>
      </c>
      <c r="BP257" s="2675">
        <f t="shared" si="149"/>
        <v>0</v>
      </c>
      <c r="BQ257" s="2675">
        <f t="shared" si="150"/>
        <v>0</v>
      </c>
      <c r="BR257" s="2675">
        <f t="shared" si="151"/>
        <v>0</v>
      </c>
      <c r="BS257" s="2675">
        <f t="shared" si="152"/>
        <v>0</v>
      </c>
      <c r="BT257" s="2722">
        <f t="shared" si="153"/>
        <v>0</v>
      </c>
    </row>
    <row r="258" spans="1:72">
      <c r="A258" s="2673"/>
      <c r="B258" s="2674"/>
      <c r="C258" s="2674"/>
      <c r="D258" s="2277"/>
      <c r="E258" s="2675">
        <f t="shared" si="125"/>
        <v>0</v>
      </c>
      <c r="F258" s="2676"/>
      <c r="G258" s="2677">
        <f t="shared" si="126"/>
        <v>0</v>
      </c>
      <c r="H258" s="2678">
        <f t="shared" si="127"/>
        <v>0</v>
      </c>
      <c r="I258" s="2685"/>
      <c r="J258" s="2685"/>
      <c r="K258" s="2685"/>
      <c r="L258" s="2685"/>
      <c r="M258" s="2685"/>
      <c r="N258" s="2685"/>
      <c r="O258" s="2685"/>
      <c r="P258" s="2685"/>
      <c r="Q258" s="2685"/>
      <c r="R258" s="2685"/>
      <c r="S258" s="2685"/>
      <c r="T258" s="2685"/>
      <c r="U258" s="2685"/>
      <c r="V258" s="2685"/>
      <c r="W258" s="2685"/>
      <c r="X258" s="2685"/>
      <c r="Y258" s="2685"/>
      <c r="Z258" s="2685"/>
      <c r="AA258" s="2685"/>
      <c r="AB258" s="2685"/>
      <c r="AC258" s="2675">
        <f t="shared" si="128"/>
        <v>0</v>
      </c>
      <c r="AD258" s="2695"/>
      <c r="AE258" s="2695"/>
      <c r="AF258" s="2695"/>
      <c r="AG258" s="2695"/>
      <c r="AH258" s="2695"/>
      <c r="AI258" s="2695"/>
      <c r="AJ258" s="2695"/>
      <c r="AK258" s="2695"/>
      <c r="AL258" s="2695"/>
      <c r="AM258" s="2695"/>
      <c r="AN258" s="2695"/>
      <c r="AO258" s="2695"/>
      <c r="AP258" s="2695"/>
      <c r="AQ258" s="2695"/>
      <c r="AR258" s="2695"/>
      <c r="AS258" s="2695"/>
      <c r="AT258" s="2703"/>
      <c r="AU258" s="2704"/>
      <c r="AV258" s="1074">
        <f t="shared" si="129"/>
        <v>0</v>
      </c>
      <c r="AW258" s="1074">
        <f t="shared" si="130"/>
        <v>0</v>
      </c>
      <c r="AX258" s="1074">
        <f t="shared" si="131"/>
        <v>0</v>
      </c>
      <c r="AY258" s="2279">
        <f t="shared" si="132"/>
        <v>0</v>
      </c>
      <c r="AZ258" s="2675">
        <f t="shared" si="133"/>
        <v>0</v>
      </c>
      <c r="BA258" s="2675">
        <f t="shared" si="134"/>
        <v>0</v>
      </c>
      <c r="BB258" s="2675">
        <f t="shared" si="135"/>
        <v>0</v>
      </c>
      <c r="BC258" s="2675">
        <f t="shared" si="136"/>
        <v>0</v>
      </c>
      <c r="BD258" s="2675">
        <f t="shared" si="137"/>
        <v>0</v>
      </c>
      <c r="BE258" s="2675">
        <f t="shared" si="138"/>
        <v>0</v>
      </c>
      <c r="BF258" s="2675">
        <f t="shared" si="139"/>
        <v>0</v>
      </c>
      <c r="BG258" s="2675">
        <f t="shared" si="140"/>
        <v>0</v>
      </c>
      <c r="BH258" s="2675">
        <f t="shared" si="141"/>
        <v>0</v>
      </c>
      <c r="BI258" s="2675">
        <f t="shared" si="142"/>
        <v>0</v>
      </c>
      <c r="BJ258" s="2675">
        <f t="shared" si="143"/>
        <v>0</v>
      </c>
      <c r="BK258" s="2675">
        <f t="shared" si="144"/>
        <v>0</v>
      </c>
      <c r="BL258" s="2675">
        <f t="shared" si="145"/>
        <v>0</v>
      </c>
      <c r="BM258" s="2675">
        <f t="shared" si="146"/>
        <v>0</v>
      </c>
      <c r="BN258" s="2675">
        <f t="shared" si="147"/>
        <v>0</v>
      </c>
      <c r="BO258" s="2675">
        <f t="shared" si="148"/>
        <v>0</v>
      </c>
      <c r="BP258" s="2675">
        <f t="shared" si="149"/>
        <v>0</v>
      </c>
      <c r="BQ258" s="2675">
        <f t="shared" si="150"/>
        <v>0</v>
      </c>
      <c r="BR258" s="2675">
        <f t="shared" si="151"/>
        <v>0</v>
      </c>
      <c r="BS258" s="2675">
        <f t="shared" si="152"/>
        <v>0</v>
      </c>
      <c r="BT258" s="2722">
        <f t="shared" si="153"/>
        <v>0</v>
      </c>
    </row>
    <row r="259" spans="1:72">
      <c r="A259" s="2673"/>
      <c r="B259" s="2674"/>
      <c r="C259" s="2674"/>
      <c r="D259" s="2277"/>
      <c r="E259" s="2675">
        <f t="shared" si="125"/>
        <v>0</v>
      </c>
      <c r="F259" s="2676"/>
      <c r="G259" s="2677">
        <f t="shared" si="126"/>
        <v>0</v>
      </c>
      <c r="H259" s="2678">
        <f t="shared" si="127"/>
        <v>0</v>
      </c>
      <c r="I259" s="2685"/>
      <c r="J259" s="2685"/>
      <c r="K259" s="2685"/>
      <c r="L259" s="2685"/>
      <c r="M259" s="2685"/>
      <c r="N259" s="2685"/>
      <c r="O259" s="2685"/>
      <c r="P259" s="2685"/>
      <c r="Q259" s="2685"/>
      <c r="R259" s="2685"/>
      <c r="S259" s="2685"/>
      <c r="T259" s="2685"/>
      <c r="U259" s="2685"/>
      <c r="V259" s="2685"/>
      <c r="W259" s="2685"/>
      <c r="X259" s="2685"/>
      <c r="Y259" s="2685"/>
      <c r="Z259" s="2685"/>
      <c r="AA259" s="2685"/>
      <c r="AB259" s="2685"/>
      <c r="AC259" s="2675">
        <f t="shared" si="128"/>
        <v>0</v>
      </c>
      <c r="AD259" s="2695"/>
      <c r="AE259" s="2695"/>
      <c r="AF259" s="2695"/>
      <c r="AG259" s="2695"/>
      <c r="AH259" s="2695"/>
      <c r="AI259" s="2695"/>
      <c r="AJ259" s="2695"/>
      <c r="AK259" s="2695"/>
      <c r="AL259" s="2695"/>
      <c r="AM259" s="2695"/>
      <c r="AN259" s="2695"/>
      <c r="AO259" s="2695"/>
      <c r="AP259" s="2695"/>
      <c r="AQ259" s="2695"/>
      <c r="AR259" s="2695"/>
      <c r="AS259" s="2695"/>
      <c r="AT259" s="2703"/>
      <c r="AU259" s="2704"/>
      <c r="AV259" s="1074">
        <f t="shared" si="129"/>
        <v>0</v>
      </c>
      <c r="AW259" s="1074">
        <f t="shared" si="130"/>
        <v>0</v>
      </c>
      <c r="AX259" s="1074">
        <f t="shared" si="131"/>
        <v>0</v>
      </c>
      <c r="AY259" s="2279">
        <f t="shared" si="132"/>
        <v>0</v>
      </c>
      <c r="AZ259" s="2675">
        <f t="shared" si="133"/>
        <v>0</v>
      </c>
      <c r="BA259" s="2675">
        <f t="shared" si="134"/>
        <v>0</v>
      </c>
      <c r="BB259" s="2675">
        <f t="shared" si="135"/>
        <v>0</v>
      </c>
      <c r="BC259" s="2675">
        <f t="shared" si="136"/>
        <v>0</v>
      </c>
      <c r="BD259" s="2675">
        <f t="shared" si="137"/>
        <v>0</v>
      </c>
      <c r="BE259" s="2675">
        <f t="shared" si="138"/>
        <v>0</v>
      </c>
      <c r="BF259" s="2675">
        <f t="shared" si="139"/>
        <v>0</v>
      </c>
      <c r="BG259" s="2675">
        <f t="shared" si="140"/>
        <v>0</v>
      </c>
      <c r="BH259" s="2675">
        <f t="shared" si="141"/>
        <v>0</v>
      </c>
      <c r="BI259" s="2675">
        <f t="shared" si="142"/>
        <v>0</v>
      </c>
      <c r="BJ259" s="2675">
        <f t="shared" si="143"/>
        <v>0</v>
      </c>
      <c r="BK259" s="2675">
        <f t="shared" si="144"/>
        <v>0</v>
      </c>
      <c r="BL259" s="2675">
        <f t="shared" si="145"/>
        <v>0</v>
      </c>
      <c r="BM259" s="2675">
        <f t="shared" si="146"/>
        <v>0</v>
      </c>
      <c r="BN259" s="2675">
        <f t="shared" si="147"/>
        <v>0</v>
      </c>
      <c r="BO259" s="2675">
        <f t="shared" si="148"/>
        <v>0</v>
      </c>
      <c r="BP259" s="2675">
        <f t="shared" si="149"/>
        <v>0</v>
      </c>
      <c r="BQ259" s="2675">
        <f t="shared" si="150"/>
        <v>0</v>
      </c>
      <c r="BR259" s="2675">
        <f t="shared" si="151"/>
        <v>0</v>
      </c>
      <c r="BS259" s="2675">
        <f t="shared" si="152"/>
        <v>0</v>
      </c>
      <c r="BT259" s="2722">
        <f t="shared" si="153"/>
        <v>0</v>
      </c>
    </row>
    <row r="260" spans="1:72">
      <c r="A260" s="2673"/>
      <c r="B260" s="2674"/>
      <c r="C260" s="2674"/>
      <c r="D260" s="2277"/>
      <c r="E260" s="2675">
        <f t="shared" si="125"/>
        <v>0</v>
      </c>
      <c r="F260" s="2676"/>
      <c r="G260" s="2677">
        <f t="shared" si="126"/>
        <v>0</v>
      </c>
      <c r="H260" s="2678">
        <f t="shared" si="127"/>
        <v>0</v>
      </c>
      <c r="I260" s="2685"/>
      <c r="J260" s="2685"/>
      <c r="K260" s="2685"/>
      <c r="L260" s="2685"/>
      <c r="M260" s="2685"/>
      <c r="N260" s="2685"/>
      <c r="O260" s="2685"/>
      <c r="P260" s="2685"/>
      <c r="Q260" s="2685"/>
      <c r="R260" s="2685"/>
      <c r="S260" s="2685"/>
      <c r="T260" s="2685"/>
      <c r="U260" s="2685"/>
      <c r="V260" s="2685"/>
      <c r="W260" s="2685"/>
      <c r="X260" s="2685"/>
      <c r="Y260" s="2685"/>
      <c r="Z260" s="2685"/>
      <c r="AA260" s="2685"/>
      <c r="AB260" s="2685"/>
      <c r="AC260" s="2675">
        <f t="shared" si="128"/>
        <v>0</v>
      </c>
      <c r="AD260" s="2695"/>
      <c r="AE260" s="2695"/>
      <c r="AF260" s="2695"/>
      <c r="AG260" s="2695"/>
      <c r="AH260" s="2695"/>
      <c r="AI260" s="2695"/>
      <c r="AJ260" s="2695"/>
      <c r="AK260" s="2695"/>
      <c r="AL260" s="2695"/>
      <c r="AM260" s="2695"/>
      <c r="AN260" s="2695"/>
      <c r="AO260" s="2695"/>
      <c r="AP260" s="2695"/>
      <c r="AQ260" s="2695"/>
      <c r="AR260" s="2695"/>
      <c r="AS260" s="2695"/>
      <c r="AT260" s="2703"/>
      <c r="AU260" s="2704"/>
      <c r="AV260" s="1074">
        <f t="shared" si="129"/>
        <v>0</v>
      </c>
      <c r="AW260" s="1074">
        <f t="shared" si="130"/>
        <v>0</v>
      </c>
      <c r="AX260" s="1074">
        <f t="shared" si="131"/>
        <v>0</v>
      </c>
      <c r="AY260" s="2279">
        <f t="shared" si="132"/>
        <v>0</v>
      </c>
      <c r="AZ260" s="2675">
        <f t="shared" si="133"/>
        <v>0</v>
      </c>
      <c r="BA260" s="2675">
        <f t="shared" si="134"/>
        <v>0</v>
      </c>
      <c r="BB260" s="2675">
        <f t="shared" si="135"/>
        <v>0</v>
      </c>
      <c r="BC260" s="2675">
        <f t="shared" si="136"/>
        <v>0</v>
      </c>
      <c r="BD260" s="2675">
        <f t="shared" si="137"/>
        <v>0</v>
      </c>
      <c r="BE260" s="2675">
        <f t="shared" si="138"/>
        <v>0</v>
      </c>
      <c r="BF260" s="2675">
        <f t="shared" si="139"/>
        <v>0</v>
      </c>
      <c r="BG260" s="2675">
        <f t="shared" si="140"/>
        <v>0</v>
      </c>
      <c r="BH260" s="2675">
        <f t="shared" si="141"/>
        <v>0</v>
      </c>
      <c r="BI260" s="2675">
        <f t="shared" si="142"/>
        <v>0</v>
      </c>
      <c r="BJ260" s="2675">
        <f t="shared" si="143"/>
        <v>0</v>
      </c>
      <c r="BK260" s="2675">
        <f t="shared" si="144"/>
        <v>0</v>
      </c>
      <c r="BL260" s="2675">
        <f t="shared" si="145"/>
        <v>0</v>
      </c>
      <c r="BM260" s="2675">
        <f t="shared" si="146"/>
        <v>0</v>
      </c>
      <c r="BN260" s="2675">
        <f t="shared" si="147"/>
        <v>0</v>
      </c>
      <c r="BO260" s="2675">
        <f t="shared" si="148"/>
        <v>0</v>
      </c>
      <c r="BP260" s="2675">
        <f t="shared" si="149"/>
        <v>0</v>
      </c>
      <c r="BQ260" s="2675">
        <f t="shared" si="150"/>
        <v>0</v>
      </c>
      <c r="BR260" s="2675">
        <f t="shared" si="151"/>
        <v>0</v>
      </c>
      <c r="BS260" s="2675">
        <f t="shared" si="152"/>
        <v>0</v>
      </c>
      <c r="BT260" s="2722">
        <f t="shared" si="153"/>
        <v>0</v>
      </c>
    </row>
    <row r="261" spans="1:72">
      <c r="A261" s="2673"/>
      <c r="B261" s="2674"/>
      <c r="C261" s="2674"/>
      <c r="D261" s="2277"/>
      <c r="E261" s="2675">
        <f t="shared" si="125"/>
        <v>0</v>
      </c>
      <c r="F261" s="2676"/>
      <c r="G261" s="2677">
        <f t="shared" si="126"/>
        <v>0</v>
      </c>
      <c r="H261" s="2678">
        <f t="shared" si="127"/>
        <v>0</v>
      </c>
      <c r="I261" s="2685"/>
      <c r="J261" s="2685"/>
      <c r="K261" s="2685"/>
      <c r="L261" s="2685"/>
      <c r="M261" s="2685"/>
      <c r="N261" s="2685"/>
      <c r="O261" s="2685"/>
      <c r="P261" s="2685"/>
      <c r="Q261" s="2685"/>
      <c r="R261" s="2685"/>
      <c r="S261" s="2685"/>
      <c r="T261" s="2685"/>
      <c r="U261" s="2685"/>
      <c r="V261" s="2685"/>
      <c r="W261" s="2685"/>
      <c r="X261" s="2685"/>
      <c r="Y261" s="2685"/>
      <c r="Z261" s="2685"/>
      <c r="AA261" s="2685"/>
      <c r="AB261" s="2685"/>
      <c r="AC261" s="2675">
        <f t="shared" si="128"/>
        <v>0</v>
      </c>
      <c r="AD261" s="2695"/>
      <c r="AE261" s="2695"/>
      <c r="AF261" s="2695"/>
      <c r="AG261" s="2695"/>
      <c r="AH261" s="2695"/>
      <c r="AI261" s="2695"/>
      <c r="AJ261" s="2695"/>
      <c r="AK261" s="2695"/>
      <c r="AL261" s="2695"/>
      <c r="AM261" s="2695"/>
      <c r="AN261" s="2695"/>
      <c r="AO261" s="2695"/>
      <c r="AP261" s="2695"/>
      <c r="AQ261" s="2695"/>
      <c r="AR261" s="2695"/>
      <c r="AS261" s="2695"/>
      <c r="AT261" s="2703"/>
      <c r="AU261" s="2704"/>
      <c r="AV261" s="1074">
        <f t="shared" si="129"/>
        <v>0</v>
      </c>
      <c r="AW261" s="1074">
        <f t="shared" si="130"/>
        <v>0</v>
      </c>
      <c r="AX261" s="1074">
        <f t="shared" si="131"/>
        <v>0</v>
      </c>
      <c r="AY261" s="2279">
        <f t="shared" si="132"/>
        <v>0</v>
      </c>
      <c r="AZ261" s="2675">
        <f t="shared" si="133"/>
        <v>0</v>
      </c>
      <c r="BA261" s="2675">
        <f t="shared" si="134"/>
        <v>0</v>
      </c>
      <c r="BB261" s="2675">
        <f t="shared" si="135"/>
        <v>0</v>
      </c>
      <c r="BC261" s="2675">
        <f t="shared" si="136"/>
        <v>0</v>
      </c>
      <c r="BD261" s="2675">
        <f t="shared" si="137"/>
        <v>0</v>
      </c>
      <c r="BE261" s="2675">
        <f t="shared" si="138"/>
        <v>0</v>
      </c>
      <c r="BF261" s="2675">
        <f t="shared" si="139"/>
        <v>0</v>
      </c>
      <c r="BG261" s="2675">
        <f t="shared" si="140"/>
        <v>0</v>
      </c>
      <c r="BH261" s="2675">
        <f t="shared" si="141"/>
        <v>0</v>
      </c>
      <c r="BI261" s="2675">
        <f t="shared" si="142"/>
        <v>0</v>
      </c>
      <c r="BJ261" s="2675">
        <f t="shared" si="143"/>
        <v>0</v>
      </c>
      <c r="BK261" s="2675">
        <f t="shared" si="144"/>
        <v>0</v>
      </c>
      <c r="BL261" s="2675">
        <f t="shared" si="145"/>
        <v>0</v>
      </c>
      <c r="BM261" s="2675">
        <f t="shared" si="146"/>
        <v>0</v>
      </c>
      <c r="BN261" s="2675">
        <f t="shared" si="147"/>
        <v>0</v>
      </c>
      <c r="BO261" s="2675">
        <f t="shared" si="148"/>
        <v>0</v>
      </c>
      <c r="BP261" s="2675">
        <f t="shared" si="149"/>
        <v>0</v>
      </c>
      <c r="BQ261" s="2675">
        <f t="shared" si="150"/>
        <v>0</v>
      </c>
      <c r="BR261" s="2675">
        <f t="shared" si="151"/>
        <v>0</v>
      </c>
      <c r="BS261" s="2675">
        <f t="shared" si="152"/>
        <v>0</v>
      </c>
      <c r="BT261" s="2722">
        <f t="shared" si="153"/>
        <v>0</v>
      </c>
    </row>
    <row r="262" spans="1:72">
      <c r="A262" s="2673"/>
      <c r="B262" s="2674"/>
      <c r="C262" s="2674"/>
      <c r="D262" s="2277"/>
      <c r="E262" s="2675">
        <f t="shared" si="125"/>
        <v>0</v>
      </c>
      <c r="F262" s="2676"/>
      <c r="G262" s="2677">
        <f t="shared" si="126"/>
        <v>0</v>
      </c>
      <c r="H262" s="2678">
        <f t="shared" si="127"/>
        <v>0</v>
      </c>
      <c r="I262" s="2685"/>
      <c r="J262" s="2685"/>
      <c r="K262" s="2685"/>
      <c r="L262" s="2685"/>
      <c r="M262" s="2685"/>
      <c r="N262" s="2685"/>
      <c r="O262" s="2685"/>
      <c r="P262" s="2685"/>
      <c r="Q262" s="2685"/>
      <c r="R262" s="2685"/>
      <c r="S262" s="2685"/>
      <c r="T262" s="2685"/>
      <c r="U262" s="2685"/>
      <c r="V262" s="2685"/>
      <c r="W262" s="2685"/>
      <c r="X262" s="2685"/>
      <c r="Y262" s="2685"/>
      <c r="Z262" s="2685"/>
      <c r="AA262" s="2685"/>
      <c r="AB262" s="2685"/>
      <c r="AC262" s="2675">
        <f t="shared" si="128"/>
        <v>0</v>
      </c>
      <c r="AD262" s="2695"/>
      <c r="AE262" s="2695"/>
      <c r="AF262" s="2695"/>
      <c r="AG262" s="2695"/>
      <c r="AH262" s="2695"/>
      <c r="AI262" s="2695"/>
      <c r="AJ262" s="2695"/>
      <c r="AK262" s="2695"/>
      <c r="AL262" s="2695"/>
      <c r="AM262" s="2695"/>
      <c r="AN262" s="2695"/>
      <c r="AO262" s="2695"/>
      <c r="AP262" s="2695"/>
      <c r="AQ262" s="2695"/>
      <c r="AR262" s="2695"/>
      <c r="AS262" s="2695"/>
      <c r="AT262" s="2703"/>
      <c r="AU262" s="2704"/>
      <c r="AV262" s="1074">
        <f t="shared" si="129"/>
        <v>0</v>
      </c>
      <c r="AW262" s="1074">
        <f t="shared" si="130"/>
        <v>0</v>
      </c>
      <c r="AX262" s="1074">
        <f t="shared" si="131"/>
        <v>0</v>
      </c>
      <c r="AY262" s="2279">
        <f t="shared" si="132"/>
        <v>0</v>
      </c>
      <c r="AZ262" s="2675">
        <f t="shared" si="133"/>
        <v>0</v>
      </c>
      <c r="BA262" s="2675">
        <f t="shared" si="134"/>
        <v>0</v>
      </c>
      <c r="BB262" s="2675">
        <f t="shared" si="135"/>
        <v>0</v>
      </c>
      <c r="BC262" s="2675">
        <f t="shared" si="136"/>
        <v>0</v>
      </c>
      <c r="BD262" s="2675">
        <f t="shared" si="137"/>
        <v>0</v>
      </c>
      <c r="BE262" s="2675">
        <f t="shared" si="138"/>
        <v>0</v>
      </c>
      <c r="BF262" s="2675">
        <f t="shared" si="139"/>
        <v>0</v>
      </c>
      <c r="BG262" s="2675">
        <f t="shared" si="140"/>
        <v>0</v>
      </c>
      <c r="BH262" s="2675">
        <f t="shared" si="141"/>
        <v>0</v>
      </c>
      <c r="BI262" s="2675">
        <f t="shared" si="142"/>
        <v>0</v>
      </c>
      <c r="BJ262" s="2675">
        <f t="shared" si="143"/>
        <v>0</v>
      </c>
      <c r="BK262" s="2675">
        <f t="shared" si="144"/>
        <v>0</v>
      </c>
      <c r="BL262" s="2675">
        <f t="shared" si="145"/>
        <v>0</v>
      </c>
      <c r="BM262" s="2675">
        <f t="shared" si="146"/>
        <v>0</v>
      </c>
      <c r="BN262" s="2675">
        <f t="shared" si="147"/>
        <v>0</v>
      </c>
      <c r="BO262" s="2675">
        <f t="shared" si="148"/>
        <v>0</v>
      </c>
      <c r="BP262" s="2675">
        <f t="shared" si="149"/>
        <v>0</v>
      </c>
      <c r="BQ262" s="2675">
        <f t="shared" si="150"/>
        <v>0</v>
      </c>
      <c r="BR262" s="2675">
        <f t="shared" si="151"/>
        <v>0</v>
      </c>
      <c r="BS262" s="2675">
        <f t="shared" si="152"/>
        <v>0</v>
      </c>
      <c r="BT262" s="2722">
        <f t="shared" si="153"/>
        <v>0</v>
      </c>
    </row>
    <row r="263" spans="1:72">
      <c r="A263" s="2673"/>
      <c r="B263" s="2674"/>
      <c r="C263" s="2674"/>
      <c r="D263" s="2277"/>
      <c r="E263" s="2675">
        <f t="shared" si="125"/>
        <v>0</v>
      </c>
      <c r="F263" s="2676"/>
      <c r="G263" s="2677">
        <f t="shared" si="126"/>
        <v>0</v>
      </c>
      <c r="H263" s="2678">
        <f t="shared" si="127"/>
        <v>0</v>
      </c>
      <c r="I263" s="2685"/>
      <c r="J263" s="2685"/>
      <c r="K263" s="2685"/>
      <c r="L263" s="2685"/>
      <c r="M263" s="2685"/>
      <c r="N263" s="2685"/>
      <c r="O263" s="2685"/>
      <c r="P263" s="2685"/>
      <c r="Q263" s="2685"/>
      <c r="R263" s="2685"/>
      <c r="S263" s="2685"/>
      <c r="T263" s="2685"/>
      <c r="U263" s="2685"/>
      <c r="V263" s="2685"/>
      <c r="W263" s="2685"/>
      <c r="X263" s="2685"/>
      <c r="Y263" s="2685"/>
      <c r="Z263" s="2685"/>
      <c r="AA263" s="2685"/>
      <c r="AB263" s="2685"/>
      <c r="AC263" s="2675">
        <f t="shared" si="128"/>
        <v>0</v>
      </c>
      <c r="AD263" s="2695"/>
      <c r="AE263" s="2695"/>
      <c r="AF263" s="2695"/>
      <c r="AG263" s="2695"/>
      <c r="AH263" s="2695"/>
      <c r="AI263" s="2695"/>
      <c r="AJ263" s="2695"/>
      <c r="AK263" s="2695"/>
      <c r="AL263" s="2695"/>
      <c r="AM263" s="2695"/>
      <c r="AN263" s="2695"/>
      <c r="AO263" s="2695"/>
      <c r="AP263" s="2695"/>
      <c r="AQ263" s="2695"/>
      <c r="AR263" s="2695"/>
      <c r="AS263" s="2695"/>
      <c r="AT263" s="2703"/>
      <c r="AU263" s="2704"/>
      <c r="AV263" s="1074">
        <f t="shared" si="129"/>
        <v>0</v>
      </c>
      <c r="AW263" s="1074">
        <f t="shared" si="130"/>
        <v>0</v>
      </c>
      <c r="AX263" s="1074">
        <f t="shared" si="131"/>
        <v>0</v>
      </c>
      <c r="AY263" s="2279">
        <f t="shared" si="132"/>
        <v>0</v>
      </c>
      <c r="AZ263" s="2675">
        <f t="shared" si="133"/>
        <v>0</v>
      </c>
      <c r="BA263" s="2675">
        <f t="shared" si="134"/>
        <v>0</v>
      </c>
      <c r="BB263" s="2675">
        <f t="shared" si="135"/>
        <v>0</v>
      </c>
      <c r="BC263" s="2675">
        <f t="shared" si="136"/>
        <v>0</v>
      </c>
      <c r="BD263" s="2675">
        <f t="shared" si="137"/>
        <v>0</v>
      </c>
      <c r="BE263" s="2675">
        <f t="shared" si="138"/>
        <v>0</v>
      </c>
      <c r="BF263" s="2675">
        <f t="shared" si="139"/>
        <v>0</v>
      </c>
      <c r="BG263" s="2675">
        <f t="shared" si="140"/>
        <v>0</v>
      </c>
      <c r="BH263" s="2675">
        <f t="shared" si="141"/>
        <v>0</v>
      </c>
      <c r="BI263" s="2675">
        <f t="shared" si="142"/>
        <v>0</v>
      </c>
      <c r="BJ263" s="2675">
        <f t="shared" si="143"/>
        <v>0</v>
      </c>
      <c r="BK263" s="2675">
        <f t="shared" si="144"/>
        <v>0</v>
      </c>
      <c r="BL263" s="2675">
        <f t="shared" si="145"/>
        <v>0</v>
      </c>
      <c r="BM263" s="2675">
        <f t="shared" si="146"/>
        <v>0</v>
      </c>
      <c r="BN263" s="2675">
        <f t="shared" si="147"/>
        <v>0</v>
      </c>
      <c r="BO263" s="2675">
        <f t="shared" si="148"/>
        <v>0</v>
      </c>
      <c r="BP263" s="2675">
        <f t="shared" si="149"/>
        <v>0</v>
      </c>
      <c r="BQ263" s="2675">
        <f t="shared" si="150"/>
        <v>0</v>
      </c>
      <c r="BR263" s="2675">
        <f t="shared" si="151"/>
        <v>0</v>
      </c>
      <c r="BS263" s="2675">
        <f t="shared" si="152"/>
        <v>0</v>
      </c>
      <c r="BT263" s="2722">
        <f t="shared" si="153"/>
        <v>0</v>
      </c>
    </row>
    <row r="264" spans="1:72">
      <c r="A264" s="2673"/>
      <c r="B264" s="2674"/>
      <c r="C264" s="2674"/>
      <c r="D264" s="2277"/>
      <c r="E264" s="2675">
        <f t="shared" si="125"/>
        <v>0</v>
      </c>
      <c r="F264" s="2676"/>
      <c r="G264" s="2677">
        <f t="shared" si="126"/>
        <v>0</v>
      </c>
      <c r="H264" s="2678">
        <f t="shared" si="127"/>
        <v>0</v>
      </c>
      <c r="I264" s="2685"/>
      <c r="J264" s="2685"/>
      <c r="K264" s="2685"/>
      <c r="L264" s="2685"/>
      <c r="M264" s="2685"/>
      <c r="N264" s="2685"/>
      <c r="O264" s="2685"/>
      <c r="P264" s="2685"/>
      <c r="Q264" s="2685"/>
      <c r="R264" s="2685"/>
      <c r="S264" s="2685"/>
      <c r="T264" s="2685"/>
      <c r="U264" s="2685"/>
      <c r="V264" s="2685"/>
      <c r="W264" s="2685"/>
      <c r="X264" s="2685"/>
      <c r="Y264" s="2685"/>
      <c r="Z264" s="2685"/>
      <c r="AA264" s="2685"/>
      <c r="AB264" s="2685"/>
      <c r="AC264" s="2675">
        <f t="shared" si="128"/>
        <v>0</v>
      </c>
      <c r="AD264" s="2695"/>
      <c r="AE264" s="2695"/>
      <c r="AF264" s="2695"/>
      <c r="AG264" s="2695"/>
      <c r="AH264" s="2695"/>
      <c r="AI264" s="2695"/>
      <c r="AJ264" s="2695"/>
      <c r="AK264" s="2695"/>
      <c r="AL264" s="2695"/>
      <c r="AM264" s="2695"/>
      <c r="AN264" s="2695"/>
      <c r="AO264" s="2695"/>
      <c r="AP264" s="2695"/>
      <c r="AQ264" s="2695"/>
      <c r="AR264" s="2695"/>
      <c r="AS264" s="2695"/>
      <c r="AT264" s="2703"/>
      <c r="AU264" s="2704"/>
      <c r="AV264" s="1074">
        <f t="shared" si="129"/>
        <v>0</v>
      </c>
      <c r="AW264" s="1074">
        <f t="shared" si="130"/>
        <v>0</v>
      </c>
      <c r="AX264" s="1074">
        <f t="shared" si="131"/>
        <v>0</v>
      </c>
      <c r="AY264" s="2279">
        <f t="shared" si="132"/>
        <v>0</v>
      </c>
      <c r="AZ264" s="2675">
        <f t="shared" si="133"/>
        <v>0</v>
      </c>
      <c r="BA264" s="2675">
        <f t="shared" si="134"/>
        <v>0</v>
      </c>
      <c r="BB264" s="2675">
        <f t="shared" si="135"/>
        <v>0</v>
      </c>
      <c r="BC264" s="2675">
        <f t="shared" si="136"/>
        <v>0</v>
      </c>
      <c r="BD264" s="2675">
        <f t="shared" si="137"/>
        <v>0</v>
      </c>
      <c r="BE264" s="2675">
        <f t="shared" si="138"/>
        <v>0</v>
      </c>
      <c r="BF264" s="2675">
        <f t="shared" si="139"/>
        <v>0</v>
      </c>
      <c r="BG264" s="2675">
        <f t="shared" si="140"/>
        <v>0</v>
      </c>
      <c r="BH264" s="2675">
        <f t="shared" si="141"/>
        <v>0</v>
      </c>
      <c r="BI264" s="2675">
        <f t="shared" si="142"/>
        <v>0</v>
      </c>
      <c r="BJ264" s="2675">
        <f t="shared" si="143"/>
        <v>0</v>
      </c>
      <c r="BK264" s="2675">
        <f t="shared" si="144"/>
        <v>0</v>
      </c>
      <c r="BL264" s="2675">
        <f t="shared" si="145"/>
        <v>0</v>
      </c>
      <c r="BM264" s="2675">
        <f t="shared" si="146"/>
        <v>0</v>
      </c>
      <c r="BN264" s="2675">
        <f t="shared" si="147"/>
        <v>0</v>
      </c>
      <c r="BO264" s="2675">
        <f t="shared" si="148"/>
        <v>0</v>
      </c>
      <c r="BP264" s="2675">
        <f t="shared" si="149"/>
        <v>0</v>
      </c>
      <c r="BQ264" s="2675">
        <f t="shared" si="150"/>
        <v>0</v>
      </c>
      <c r="BR264" s="2675">
        <f t="shared" si="151"/>
        <v>0</v>
      </c>
      <c r="BS264" s="2675">
        <f t="shared" si="152"/>
        <v>0</v>
      </c>
      <c r="BT264" s="2722">
        <f t="shared" si="153"/>
        <v>0</v>
      </c>
    </row>
    <row r="265" spans="1:72">
      <c r="A265" s="2673"/>
      <c r="B265" s="2674"/>
      <c r="C265" s="2674"/>
      <c r="D265" s="2277"/>
      <c r="E265" s="2675">
        <f t="shared" si="125"/>
        <v>0</v>
      </c>
      <c r="F265" s="2676"/>
      <c r="G265" s="2677">
        <f t="shared" si="126"/>
        <v>0</v>
      </c>
      <c r="H265" s="2678">
        <f t="shared" si="127"/>
        <v>0</v>
      </c>
      <c r="I265" s="2685"/>
      <c r="J265" s="2685"/>
      <c r="K265" s="2685"/>
      <c r="L265" s="2685"/>
      <c r="M265" s="2685"/>
      <c r="N265" s="2685"/>
      <c r="O265" s="2685"/>
      <c r="P265" s="2685"/>
      <c r="Q265" s="2685"/>
      <c r="R265" s="2685"/>
      <c r="S265" s="2685"/>
      <c r="T265" s="2685"/>
      <c r="U265" s="2685"/>
      <c r="V265" s="2685"/>
      <c r="W265" s="2685"/>
      <c r="X265" s="2685"/>
      <c r="Y265" s="2685"/>
      <c r="Z265" s="2685"/>
      <c r="AA265" s="2685"/>
      <c r="AB265" s="2685"/>
      <c r="AC265" s="2675">
        <f t="shared" si="128"/>
        <v>0</v>
      </c>
      <c r="AD265" s="2695"/>
      <c r="AE265" s="2695"/>
      <c r="AF265" s="2695"/>
      <c r="AG265" s="2695"/>
      <c r="AH265" s="2695"/>
      <c r="AI265" s="2695"/>
      <c r="AJ265" s="2695"/>
      <c r="AK265" s="2695"/>
      <c r="AL265" s="2695"/>
      <c r="AM265" s="2695"/>
      <c r="AN265" s="2695"/>
      <c r="AO265" s="2695"/>
      <c r="AP265" s="2695"/>
      <c r="AQ265" s="2695"/>
      <c r="AR265" s="2695"/>
      <c r="AS265" s="2695"/>
      <c r="AT265" s="2703"/>
      <c r="AU265" s="2704"/>
      <c r="AV265" s="1074">
        <f t="shared" si="129"/>
        <v>0</v>
      </c>
      <c r="AW265" s="1074">
        <f t="shared" si="130"/>
        <v>0</v>
      </c>
      <c r="AX265" s="1074">
        <f t="shared" si="131"/>
        <v>0</v>
      </c>
      <c r="AY265" s="2279">
        <f t="shared" si="132"/>
        <v>0</v>
      </c>
      <c r="AZ265" s="2675">
        <f t="shared" si="133"/>
        <v>0</v>
      </c>
      <c r="BA265" s="2675">
        <f t="shared" si="134"/>
        <v>0</v>
      </c>
      <c r="BB265" s="2675">
        <f t="shared" si="135"/>
        <v>0</v>
      </c>
      <c r="BC265" s="2675">
        <f t="shared" si="136"/>
        <v>0</v>
      </c>
      <c r="BD265" s="2675">
        <f t="shared" si="137"/>
        <v>0</v>
      </c>
      <c r="BE265" s="2675">
        <f t="shared" si="138"/>
        <v>0</v>
      </c>
      <c r="BF265" s="2675">
        <f t="shared" si="139"/>
        <v>0</v>
      </c>
      <c r="BG265" s="2675">
        <f t="shared" si="140"/>
        <v>0</v>
      </c>
      <c r="BH265" s="2675">
        <f t="shared" si="141"/>
        <v>0</v>
      </c>
      <c r="BI265" s="2675">
        <f t="shared" si="142"/>
        <v>0</v>
      </c>
      <c r="BJ265" s="2675">
        <f t="shared" si="143"/>
        <v>0</v>
      </c>
      <c r="BK265" s="2675">
        <f t="shared" si="144"/>
        <v>0</v>
      </c>
      <c r="BL265" s="2675">
        <f t="shared" si="145"/>
        <v>0</v>
      </c>
      <c r="BM265" s="2675">
        <f t="shared" si="146"/>
        <v>0</v>
      </c>
      <c r="BN265" s="2675">
        <f t="shared" si="147"/>
        <v>0</v>
      </c>
      <c r="BO265" s="2675">
        <f t="shared" si="148"/>
        <v>0</v>
      </c>
      <c r="BP265" s="2675">
        <f t="shared" si="149"/>
        <v>0</v>
      </c>
      <c r="BQ265" s="2675">
        <f t="shared" si="150"/>
        <v>0</v>
      </c>
      <c r="BR265" s="2675">
        <f t="shared" si="151"/>
        <v>0</v>
      </c>
      <c r="BS265" s="2675">
        <f t="shared" si="152"/>
        <v>0</v>
      </c>
      <c r="BT265" s="2722">
        <f t="shared" si="153"/>
        <v>0</v>
      </c>
    </row>
    <row r="266" spans="1:72">
      <c r="A266" s="2673"/>
      <c r="B266" s="2674"/>
      <c r="C266" s="2674"/>
      <c r="D266" s="2277"/>
      <c r="E266" s="2675">
        <f t="shared" si="125"/>
        <v>0</v>
      </c>
      <c r="F266" s="2676"/>
      <c r="G266" s="2677">
        <f t="shared" si="126"/>
        <v>0</v>
      </c>
      <c r="H266" s="2678">
        <f t="shared" si="127"/>
        <v>0</v>
      </c>
      <c r="I266" s="2685"/>
      <c r="J266" s="2685"/>
      <c r="K266" s="2685"/>
      <c r="L266" s="2685"/>
      <c r="M266" s="2685"/>
      <c r="N266" s="2685"/>
      <c r="O266" s="2685"/>
      <c r="P266" s="2685"/>
      <c r="Q266" s="2685"/>
      <c r="R266" s="2685"/>
      <c r="S266" s="2685"/>
      <c r="T266" s="2685"/>
      <c r="U266" s="2685"/>
      <c r="V266" s="2685"/>
      <c r="W266" s="2685"/>
      <c r="X266" s="2685"/>
      <c r="Y266" s="2685"/>
      <c r="Z266" s="2685"/>
      <c r="AA266" s="2685"/>
      <c r="AB266" s="2685"/>
      <c r="AC266" s="2675">
        <f t="shared" si="128"/>
        <v>0</v>
      </c>
      <c r="AD266" s="2695"/>
      <c r="AE266" s="2695"/>
      <c r="AF266" s="2695"/>
      <c r="AG266" s="2695"/>
      <c r="AH266" s="2695"/>
      <c r="AI266" s="2695"/>
      <c r="AJ266" s="2695"/>
      <c r="AK266" s="2695"/>
      <c r="AL266" s="2695"/>
      <c r="AM266" s="2695"/>
      <c r="AN266" s="2695"/>
      <c r="AO266" s="2695"/>
      <c r="AP266" s="2695"/>
      <c r="AQ266" s="2695"/>
      <c r="AR266" s="2695"/>
      <c r="AS266" s="2695"/>
      <c r="AT266" s="2703"/>
      <c r="AU266" s="2704"/>
      <c r="AV266" s="1074">
        <f t="shared" si="129"/>
        <v>0</v>
      </c>
      <c r="AW266" s="1074">
        <f t="shared" si="130"/>
        <v>0</v>
      </c>
      <c r="AX266" s="1074">
        <f t="shared" si="131"/>
        <v>0</v>
      </c>
      <c r="AY266" s="2279">
        <f t="shared" si="132"/>
        <v>0</v>
      </c>
      <c r="AZ266" s="2675">
        <f t="shared" si="133"/>
        <v>0</v>
      </c>
      <c r="BA266" s="2675">
        <f t="shared" si="134"/>
        <v>0</v>
      </c>
      <c r="BB266" s="2675">
        <f t="shared" si="135"/>
        <v>0</v>
      </c>
      <c r="BC266" s="2675">
        <f t="shared" si="136"/>
        <v>0</v>
      </c>
      <c r="BD266" s="2675">
        <f t="shared" si="137"/>
        <v>0</v>
      </c>
      <c r="BE266" s="2675">
        <f t="shared" si="138"/>
        <v>0</v>
      </c>
      <c r="BF266" s="2675">
        <f t="shared" si="139"/>
        <v>0</v>
      </c>
      <c r="BG266" s="2675">
        <f t="shared" si="140"/>
        <v>0</v>
      </c>
      <c r="BH266" s="2675">
        <f t="shared" si="141"/>
        <v>0</v>
      </c>
      <c r="BI266" s="2675">
        <f t="shared" si="142"/>
        <v>0</v>
      </c>
      <c r="BJ266" s="2675">
        <f t="shared" si="143"/>
        <v>0</v>
      </c>
      <c r="BK266" s="2675">
        <f t="shared" si="144"/>
        <v>0</v>
      </c>
      <c r="BL266" s="2675">
        <f t="shared" si="145"/>
        <v>0</v>
      </c>
      <c r="BM266" s="2675">
        <f t="shared" si="146"/>
        <v>0</v>
      </c>
      <c r="BN266" s="2675">
        <f t="shared" si="147"/>
        <v>0</v>
      </c>
      <c r="BO266" s="2675">
        <f t="shared" si="148"/>
        <v>0</v>
      </c>
      <c r="BP266" s="2675">
        <f t="shared" si="149"/>
        <v>0</v>
      </c>
      <c r="BQ266" s="2675">
        <f t="shared" si="150"/>
        <v>0</v>
      </c>
      <c r="BR266" s="2675">
        <f t="shared" si="151"/>
        <v>0</v>
      </c>
      <c r="BS266" s="2675">
        <f t="shared" si="152"/>
        <v>0</v>
      </c>
      <c r="BT266" s="2722">
        <f t="shared" si="153"/>
        <v>0</v>
      </c>
    </row>
    <row r="267" spans="1:72">
      <c r="A267" s="2673"/>
      <c r="B267" s="2674"/>
      <c r="C267" s="2674"/>
      <c r="D267" s="2277"/>
      <c r="E267" s="2675">
        <f t="shared" si="125"/>
        <v>0</v>
      </c>
      <c r="F267" s="2676"/>
      <c r="G267" s="2677">
        <f t="shared" si="126"/>
        <v>0</v>
      </c>
      <c r="H267" s="2678">
        <f t="shared" si="127"/>
        <v>0</v>
      </c>
      <c r="I267" s="2685"/>
      <c r="J267" s="2685"/>
      <c r="K267" s="2685"/>
      <c r="L267" s="2685"/>
      <c r="M267" s="2685"/>
      <c r="N267" s="2685"/>
      <c r="O267" s="2685"/>
      <c r="P267" s="2685"/>
      <c r="Q267" s="2685"/>
      <c r="R267" s="2685"/>
      <c r="S267" s="2685"/>
      <c r="T267" s="2685"/>
      <c r="U267" s="2685"/>
      <c r="V267" s="2685"/>
      <c r="W267" s="2685"/>
      <c r="X267" s="2685"/>
      <c r="Y267" s="2685"/>
      <c r="Z267" s="2685"/>
      <c r="AA267" s="2685"/>
      <c r="AB267" s="2685"/>
      <c r="AC267" s="2675">
        <f t="shared" si="128"/>
        <v>0</v>
      </c>
      <c r="AD267" s="2695"/>
      <c r="AE267" s="2695"/>
      <c r="AF267" s="2695"/>
      <c r="AG267" s="2695"/>
      <c r="AH267" s="2695"/>
      <c r="AI267" s="2695"/>
      <c r="AJ267" s="2695"/>
      <c r="AK267" s="2695"/>
      <c r="AL267" s="2695"/>
      <c r="AM267" s="2695"/>
      <c r="AN267" s="2695"/>
      <c r="AO267" s="2695"/>
      <c r="AP267" s="2695"/>
      <c r="AQ267" s="2695"/>
      <c r="AR267" s="2695"/>
      <c r="AS267" s="2695"/>
      <c r="AT267" s="2703"/>
      <c r="AU267" s="2704"/>
      <c r="AV267" s="1074">
        <f t="shared" si="129"/>
        <v>0</v>
      </c>
      <c r="AW267" s="1074">
        <f t="shared" si="130"/>
        <v>0</v>
      </c>
      <c r="AX267" s="1074">
        <f t="shared" si="131"/>
        <v>0</v>
      </c>
      <c r="AY267" s="2279">
        <f t="shared" si="132"/>
        <v>0</v>
      </c>
      <c r="AZ267" s="2675">
        <f t="shared" si="133"/>
        <v>0</v>
      </c>
      <c r="BA267" s="2675">
        <f t="shared" si="134"/>
        <v>0</v>
      </c>
      <c r="BB267" s="2675">
        <f t="shared" si="135"/>
        <v>0</v>
      </c>
      <c r="BC267" s="2675">
        <f t="shared" si="136"/>
        <v>0</v>
      </c>
      <c r="BD267" s="2675">
        <f t="shared" si="137"/>
        <v>0</v>
      </c>
      <c r="BE267" s="2675">
        <f t="shared" si="138"/>
        <v>0</v>
      </c>
      <c r="BF267" s="2675">
        <f t="shared" si="139"/>
        <v>0</v>
      </c>
      <c r="BG267" s="2675">
        <f t="shared" si="140"/>
        <v>0</v>
      </c>
      <c r="BH267" s="2675">
        <f t="shared" si="141"/>
        <v>0</v>
      </c>
      <c r="BI267" s="2675">
        <f t="shared" si="142"/>
        <v>0</v>
      </c>
      <c r="BJ267" s="2675">
        <f t="shared" si="143"/>
        <v>0</v>
      </c>
      <c r="BK267" s="2675">
        <f t="shared" si="144"/>
        <v>0</v>
      </c>
      <c r="BL267" s="2675">
        <f t="shared" si="145"/>
        <v>0</v>
      </c>
      <c r="BM267" s="2675">
        <f t="shared" si="146"/>
        <v>0</v>
      </c>
      <c r="BN267" s="2675">
        <f t="shared" si="147"/>
        <v>0</v>
      </c>
      <c r="BO267" s="2675">
        <f t="shared" si="148"/>
        <v>0</v>
      </c>
      <c r="BP267" s="2675">
        <f t="shared" si="149"/>
        <v>0</v>
      </c>
      <c r="BQ267" s="2675">
        <f t="shared" si="150"/>
        <v>0</v>
      </c>
      <c r="BR267" s="2675">
        <f t="shared" si="151"/>
        <v>0</v>
      </c>
      <c r="BS267" s="2675">
        <f t="shared" si="152"/>
        <v>0</v>
      </c>
      <c r="BT267" s="2722">
        <f t="shared" si="153"/>
        <v>0</v>
      </c>
    </row>
    <row r="268" spans="1:72">
      <c r="A268" s="2673"/>
      <c r="B268" s="2674"/>
      <c r="C268" s="2674"/>
      <c r="D268" s="2277"/>
      <c r="E268" s="2675">
        <f t="shared" si="125"/>
        <v>0</v>
      </c>
      <c r="F268" s="2676"/>
      <c r="G268" s="2677">
        <f t="shared" si="126"/>
        <v>0</v>
      </c>
      <c r="H268" s="2678">
        <f t="shared" si="127"/>
        <v>0</v>
      </c>
      <c r="I268" s="2685"/>
      <c r="J268" s="2685"/>
      <c r="K268" s="2685"/>
      <c r="L268" s="2685"/>
      <c r="M268" s="2685"/>
      <c r="N268" s="2685"/>
      <c r="O268" s="2685"/>
      <c r="P268" s="2685"/>
      <c r="Q268" s="2685"/>
      <c r="R268" s="2685"/>
      <c r="S268" s="2685"/>
      <c r="T268" s="2685"/>
      <c r="U268" s="2685"/>
      <c r="V268" s="2685"/>
      <c r="W268" s="2685"/>
      <c r="X268" s="2685"/>
      <c r="Y268" s="2685"/>
      <c r="Z268" s="2685"/>
      <c r="AA268" s="2685"/>
      <c r="AB268" s="2685"/>
      <c r="AC268" s="2675">
        <f t="shared" si="128"/>
        <v>0</v>
      </c>
      <c r="AD268" s="2695"/>
      <c r="AE268" s="2695"/>
      <c r="AF268" s="2695"/>
      <c r="AG268" s="2695"/>
      <c r="AH268" s="2695"/>
      <c r="AI268" s="2695"/>
      <c r="AJ268" s="2695"/>
      <c r="AK268" s="2695"/>
      <c r="AL268" s="2695"/>
      <c r="AM268" s="2695"/>
      <c r="AN268" s="2695"/>
      <c r="AO268" s="2695"/>
      <c r="AP268" s="2695"/>
      <c r="AQ268" s="2695"/>
      <c r="AR268" s="2695"/>
      <c r="AS268" s="2695"/>
      <c r="AT268" s="2703"/>
      <c r="AU268" s="2704"/>
      <c r="AV268" s="1074">
        <f t="shared" si="129"/>
        <v>0</v>
      </c>
      <c r="AW268" s="1074">
        <f t="shared" si="130"/>
        <v>0</v>
      </c>
      <c r="AX268" s="1074">
        <f t="shared" si="131"/>
        <v>0</v>
      </c>
      <c r="AY268" s="2279">
        <f t="shared" si="132"/>
        <v>0</v>
      </c>
      <c r="AZ268" s="2675">
        <f t="shared" si="133"/>
        <v>0</v>
      </c>
      <c r="BA268" s="2675">
        <f t="shared" si="134"/>
        <v>0</v>
      </c>
      <c r="BB268" s="2675">
        <f t="shared" si="135"/>
        <v>0</v>
      </c>
      <c r="BC268" s="2675">
        <f t="shared" si="136"/>
        <v>0</v>
      </c>
      <c r="BD268" s="2675">
        <f t="shared" si="137"/>
        <v>0</v>
      </c>
      <c r="BE268" s="2675">
        <f t="shared" si="138"/>
        <v>0</v>
      </c>
      <c r="BF268" s="2675">
        <f t="shared" si="139"/>
        <v>0</v>
      </c>
      <c r="BG268" s="2675">
        <f t="shared" si="140"/>
        <v>0</v>
      </c>
      <c r="BH268" s="2675">
        <f t="shared" si="141"/>
        <v>0</v>
      </c>
      <c r="BI268" s="2675">
        <f t="shared" si="142"/>
        <v>0</v>
      </c>
      <c r="BJ268" s="2675">
        <f t="shared" si="143"/>
        <v>0</v>
      </c>
      <c r="BK268" s="2675">
        <f t="shared" si="144"/>
        <v>0</v>
      </c>
      <c r="BL268" s="2675">
        <f t="shared" si="145"/>
        <v>0</v>
      </c>
      <c r="BM268" s="2675">
        <f t="shared" si="146"/>
        <v>0</v>
      </c>
      <c r="BN268" s="2675">
        <f t="shared" si="147"/>
        <v>0</v>
      </c>
      <c r="BO268" s="2675">
        <f t="shared" si="148"/>
        <v>0</v>
      </c>
      <c r="BP268" s="2675">
        <f t="shared" si="149"/>
        <v>0</v>
      </c>
      <c r="BQ268" s="2675">
        <f t="shared" si="150"/>
        <v>0</v>
      </c>
      <c r="BR268" s="2675">
        <f t="shared" si="151"/>
        <v>0</v>
      </c>
      <c r="BS268" s="2675">
        <f t="shared" si="152"/>
        <v>0</v>
      </c>
      <c r="BT268" s="2722">
        <f t="shared" si="153"/>
        <v>0</v>
      </c>
    </row>
    <row r="269" spans="1:72">
      <c r="A269" s="2673"/>
      <c r="B269" s="2674"/>
      <c r="C269" s="2674"/>
      <c r="D269" s="2277"/>
      <c r="E269" s="2675">
        <f t="shared" si="125"/>
        <v>0</v>
      </c>
      <c r="F269" s="2676"/>
      <c r="G269" s="2677">
        <f t="shared" si="126"/>
        <v>0</v>
      </c>
      <c r="H269" s="2678">
        <f t="shared" si="127"/>
        <v>0</v>
      </c>
      <c r="I269" s="2685"/>
      <c r="J269" s="2685"/>
      <c r="K269" s="2685"/>
      <c r="L269" s="2685"/>
      <c r="M269" s="2685"/>
      <c r="N269" s="2685"/>
      <c r="O269" s="2685"/>
      <c r="P269" s="2685"/>
      <c r="Q269" s="2685"/>
      <c r="R269" s="2685"/>
      <c r="S269" s="2685"/>
      <c r="T269" s="2685"/>
      <c r="U269" s="2685"/>
      <c r="V269" s="2685"/>
      <c r="W269" s="2685"/>
      <c r="X269" s="2685"/>
      <c r="Y269" s="2685"/>
      <c r="Z269" s="2685"/>
      <c r="AA269" s="2685"/>
      <c r="AB269" s="2685"/>
      <c r="AC269" s="2675">
        <f t="shared" si="128"/>
        <v>0</v>
      </c>
      <c r="AD269" s="2695"/>
      <c r="AE269" s="2695"/>
      <c r="AF269" s="2695"/>
      <c r="AG269" s="2695"/>
      <c r="AH269" s="2695"/>
      <c r="AI269" s="2695"/>
      <c r="AJ269" s="2695"/>
      <c r="AK269" s="2695"/>
      <c r="AL269" s="2695"/>
      <c r="AM269" s="2695"/>
      <c r="AN269" s="2695"/>
      <c r="AO269" s="2695"/>
      <c r="AP269" s="2695"/>
      <c r="AQ269" s="2695"/>
      <c r="AR269" s="2695"/>
      <c r="AS269" s="2695"/>
      <c r="AT269" s="2703"/>
      <c r="AU269" s="2704"/>
      <c r="AV269" s="1074">
        <f t="shared" si="129"/>
        <v>0</v>
      </c>
      <c r="AW269" s="1074">
        <f t="shared" si="130"/>
        <v>0</v>
      </c>
      <c r="AX269" s="1074">
        <f t="shared" si="131"/>
        <v>0</v>
      </c>
      <c r="AY269" s="2279">
        <f t="shared" si="132"/>
        <v>0</v>
      </c>
      <c r="AZ269" s="2675">
        <f t="shared" si="133"/>
        <v>0</v>
      </c>
      <c r="BA269" s="2675">
        <f t="shared" si="134"/>
        <v>0</v>
      </c>
      <c r="BB269" s="2675">
        <f t="shared" si="135"/>
        <v>0</v>
      </c>
      <c r="BC269" s="2675">
        <f t="shared" si="136"/>
        <v>0</v>
      </c>
      <c r="BD269" s="2675">
        <f t="shared" si="137"/>
        <v>0</v>
      </c>
      <c r="BE269" s="2675">
        <f t="shared" si="138"/>
        <v>0</v>
      </c>
      <c r="BF269" s="2675">
        <f t="shared" si="139"/>
        <v>0</v>
      </c>
      <c r="BG269" s="2675">
        <f t="shared" si="140"/>
        <v>0</v>
      </c>
      <c r="BH269" s="2675">
        <f t="shared" si="141"/>
        <v>0</v>
      </c>
      <c r="BI269" s="2675">
        <f t="shared" si="142"/>
        <v>0</v>
      </c>
      <c r="BJ269" s="2675">
        <f t="shared" si="143"/>
        <v>0</v>
      </c>
      <c r="BK269" s="2675">
        <f t="shared" si="144"/>
        <v>0</v>
      </c>
      <c r="BL269" s="2675">
        <f t="shared" si="145"/>
        <v>0</v>
      </c>
      <c r="BM269" s="2675">
        <f t="shared" si="146"/>
        <v>0</v>
      </c>
      <c r="BN269" s="2675">
        <f t="shared" si="147"/>
        <v>0</v>
      </c>
      <c r="BO269" s="2675">
        <f t="shared" si="148"/>
        <v>0</v>
      </c>
      <c r="BP269" s="2675">
        <f t="shared" si="149"/>
        <v>0</v>
      </c>
      <c r="BQ269" s="2675">
        <f t="shared" si="150"/>
        <v>0</v>
      </c>
      <c r="BR269" s="2675">
        <f t="shared" si="151"/>
        <v>0</v>
      </c>
      <c r="BS269" s="2675">
        <f t="shared" si="152"/>
        <v>0</v>
      </c>
      <c r="BT269" s="2722">
        <f t="shared" si="153"/>
        <v>0</v>
      </c>
    </row>
    <row r="270" spans="1:72">
      <c r="A270" s="2673"/>
      <c r="B270" s="2674"/>
      <c r="C270" s="2674"/>
      <c r="D270" s="2277"/>
      <c r="E270" s="2675">
        <f t="shared" si="125"/>
        <v>0</v>
      </c>
      <c r="F270" s="2676"/>
      <c r="G270" s="2677">
        <f t="shared" si="126"/>
        <v>0</v>
      </c>
      <c r="H270" s="2678">
        <f t="shared" si="127"/>
        <v>0</v>
      </c>
      <c r="I270" s="2685"/>
      <c r="J270" s="2685"/>
      <c r="K270" s="2685"/>
      <c r="L270" s="2685"/>
      <c r="M270" s="2685"/>
      <c r="N270" s="2685"/>
      <c r="O270" s="2685"/>
      <c r="P270" s="2685"/>
      <c r="Q270" s="2685"/>
      <c r="R270" s="2685"/>
      <c r="S270" s="2685"/>
      <c r="T270" s="2685"/>
      <c r="U270" s="2685"/>
      <c r="V270" s="2685"/>
      <c r="W270" s="2685"/>
      <c r="X270" s="2685"/>
      <c r="Y270" s="2685"/>
      <c r="Z270" s="2685"/>
      <c r="AA270" s="2685"/>
      <c r="AB270" s="2685"/>
      <c r="AC270" s="2675">
        <f t="shared" si="128"/>
        <v>0</v>
      </c>
      <c r="AD270" s="2695"/>
      <c r="AE270" s="2695"/>
      <c r="AF270" s="2695"/>
      <c r="AG270" s="2695"/>
      <c r="AH270" s="2695"/>
      <c r="AI270" s="2695"/>
      <c r="AJ270" s="2695"/>
      <c r="AK270" s="2695"/>
      <c r="AL270" s="2695"/>
      <c r="AM270" s="2695"/>
      <c r="AN270" s="2695"/>
      <c r="AO270" s="2695"/>
      <c r="AP270" s="2695"/>
      <c r="AQ270" s="2695"/>
      <c r="AR270" s="2695"/>
      <c r="AS270" s="2695"/>
      <c r="AT270" s="2703"/>
      <c r="AU270" s="2704"/>
      <c r="AV270" s="1074">
        <f t="shared" si="129"/>
        <v>0</v>
      </c>
      <c r="AW270" s="1074">
        <f t="shared" si="130"/>
        <v>0</v>
      </c>
      <c r="AX270" s="1074">
        <f t="shared" si="131"/>
        <v>0</v>
      </c>
      <c r="AY270" s="2279">
        <f t="shared" si="132"/>
        <v>0</v>
      </c>
      <c r="AZ270" s="2675">
        <f t="shared" si="133"/>
        <v>0</v>
      </c>
      <c r="BA270" s="2675">
        <f t="shared" si="134"/>
        <v>0</v>
      </c>
      <c r="BB270" s="2675">
        <f t="shared" si="135"/>
        <v>0</v>
      </c>
      <c r="BC270" s="2675">
        <f t="shared" si="136"/>
        <v>0</v>
      </c>
      <c r="BD270" s="2675">
        <f t="shared" si="137"/>
        <v>0</v>
      </c>
      <c r="BE270" s="2675">
        <f t="shared" si="138"/>
        <v>0</v>
      </c>
      <c r="BF270" s="2675">
        <f t="shared" si="139"/>
        <v>0</v>
      </c>
      <c r="BG270" s="2675">
        <f t="shared" si="140"/>
        <v>0</v>
      </c>
      <c r="BH270" s="2675">
        <f t="shared" si="141"/>
        <v>0</v>
      </c>
      <c r="BI270" s="2675">
        <f t="shared" si="142"/>
        <v>0</v>
      </c>
      <c r="BJ270" s="2675">
        <f t="shared" si="143"/>
        <v>0</v>
      </c>
      <c r="BK270" s="2675">
        <f t="shared" si="144"/>
        <v>0</v>
      </c>
      <c r="BL270" s="2675">
        <f t="shared" si="145"/>
        <v>0</v>
      </c>
      <c r="BM270" s="2675">
        <f t="shared" si="146"/>
        <v>0</v>
      </c>
      <c r="BN270" s="2675">
        <f t="shared" si="147"/>
        <v>0</v>
      </c>
      <c r="BO270" s="2675">
        <f t="shared" si="148"/>
        <v>0</v>
      </c>
      <c r="BP270" s="2675">
        <f t="shared" si="149"/>
        <v>0</v>
      </c>
      <c r="BQ270" s="2675">
        <f t="shared" si="150"/>
        <v>0</v>
      </c>
      <c r="BR270" s="2675">
        <f t="shared" si="151"/>
        <v>0</v>
      </c>
      <c r="BS270" s="2675">
        <f t="shared" si="152"/>
        <v>0</v>
      </c>
      <c r="BT270" s="2722">
        <f t="shared" si="153"/>
        <v>0</v>
      </c>
    </row>
    <row r="271" spans="1:72">
      <c r="A271" s="2673"/>
      <c r="B271" s="2674"/>
      <c r="C271" s="2674"/>
      <c r="D271" s="2277"/>
      <c r="E271" s="2675">
        <f t="shared" si="125"/>
        <v>0</v>
      </c>
      <c r="F271" s="2676"/>
      <c r="G271" s="2677">
        <f t="shared" si="126"/>
        <v>0</v>
      </c>
      <c r="H271" s="2678">
        <f t="shared" si="127"/>
        <v>0</v>
      </c>
      <c r="I271" s="2685"/>
      <c r="J271" s="2685"/>
      <c r="K271" s="2685"/>
      <c r="L271" s="2685"/>
      <c r="M271" s="2685"/>
      <c r="N271" s="2685"/>
      <c r="O271" s="2685"/>
      <c r="P271" s="2685"/>
      <c r="Q271" s="2685"/>
      <c r="R271" s="2685"/>
      <c r="S271" s="2685"/>
      <c r="T271" s="2685"/>
      <c r="U271" s="2685"/>
      <c r="V271" s="2685"/>
      <c r="W271" s="2685"/>
      <c r="X271" s="2685"/>
      <c r="Y271" s="2685"/>
      <c r="Z271" s="2685"/>
      <c r="AA271" s="2685"/>
      <c r="AB271" s="2685"/>
      <c r="AC271" s="2675">
        <f t="shared" si="128"/>
        <v>0</v>
      </c>
      <c r="AD271" s="2695"/>
      <c r="AE271" s="2695"/>
      <c r="AF271" s="2695"/>
      <c r="AG271" s="2695"/>
      <c r="AH271" s="2695"/>
      <c r="AI271" s="2695"/>
      <c r="AJ271" s="2695"/>
      <c r="AK271" s="2695"/>
      <c r="AL271" s="2695"/>
      <c r="AM271" s="2695"/>
      <c r="AN271" s="2695"/>
      <c r="AO271" s="2695"/>
      <c r="AP271" s="2695"/>
      <c r="AQ271" s="2695"/>
      <c r="AR271" s="2695"/>
      <c r="AS271" s="2695"/>
      <c r="AT271" s="2703"/>
      <c r="AU271" s="2704"/>
      <c r="AV271" s="1074">
        <f t="shared" si="129"/>
        <v>0</v>
      </c>
      <c r="AW271" s="1074">
        <f t="shared" si="130"/>
        <v>0</v>
      </c>
      <c r="AX271" s="1074">
        <f t="shared" si="131"/>
        <v>0</v>
      </c>
      <c r="AY271" s="2279">
        <f t="shared" si="132"/>
        <v>0</v>
      </c>
      <c r="AZ271" s="2675">
        <f t="shared" si="133"/>
        <v>0</v>
      </c>
      <c r="BA271" s="2675">
        <f t="shared" si="134"/>
        <v>0</v>
      </c>
      <c r="BB271" s="2675">
        <f t="shared" si="135"/>
        <v>0</v>
      </c>
      <c r="BC271" s="2675">
        <f t="shared" si="136"/>
        <v>0</v>
      </c>
      <c r="BD271" s="2675">
        <f t="shared" si="137"/>
        <v>0</v>
      </c>
      <c r="BE271" s="2675">
        <f t="shared" si="138"/>
        <v>0</v>
      </c>
      <c r="BF271" s="2675">
        <f t="shared" si="139"/>
        <v>0</v>
      </c>
      <c r="BG271" s="2675">
        <f t="shared" si="140"/>
        <v>0</v>
      </c>
      <c r="BH271" s="2675">
        <f t="shared" si="141"/>
        <v>0</v>
      </c>
      <c r="BI271" s="2675">
        <f t="shared" si="142"/>
        <v>0</v>
      </c>
      <c r="BJ271" s="2675">
        <f t="shared" si="143"/>
        <v>0</v>
      </c>
      <c r="BK271" s="2675">
        <f t="shared" si="144"/>
        <v>0</v>
      </c>
      <c r="BL271" s="2675">
        <f t="shared" si="145"/>
        <v>0</v>
      </c>
      <c r="BM271" s="2675">
        <f t="shared" si="146"/>
        <v>0</v>
      </c>
      <c r="BN271" s="2675">
        <f t="shared" si="147"/>
        <v>0</v>
      </c>
      <c r="BO271" s="2675">
        <f t="shared" si="148"/>
        <v>0</v>
      </c>
      <c r="BP271" s="2675">
        <f t="shared" si="149"/>
        <v>0</v>
      </c>
      <c r="BQ271" s="2675">
        <f t="shared" si="150"/>
        <v>0</v>
      </c>
      <c r="BR271" s="2675">
        <f t="shared" si="151"/>
        <v>0</v>
      </c>
      <c r="BS271" s="2675">
        <f t="shared" si="152"/>
        <v>0</v>
      </c>
      <c r="BT271" s="2722">
        <f t="shared" si="153"/>
        <v>0</v>
      </c>
    </row>
    <row r="272" spans="1:72">
      <c r="A272" s="2673"/>
      <c r="B272" s="2674"/>
      <c r="C272" s="2674"/>
      <c r="D272" s="2277"/>
      <c r="E272" s="2675">
        <f t="shared" si="125"/>
        <v>0</v>
      </c>
      <c r="F272" s="2676"/>
      <c r="G272" s="2677">
        <f t="shared" si="126"/>
        <v>0</v>
      </c>
      <c r="H272" s="2678">
        <f t="shared" si="127"/>
        <v>0</v>
      </c>
      <c r="I272" s="2685"/>
      <c r="J272" s="2685"/>
      <c r="K272" s="2685"/>
      <c r="L272" s="2685"/>
      <c r="M272" s="2685"/>
      <c r="N272" s="2685"/>
      <c r="O272" s="2685"/>
      <c r="P272" s="2685"/>
      <c r="Q272" s="2685"/>
      <c r="R272" s="2685"/>
      <c r="S272" s="2685"/>
      <c r="T272" s="2685"/>
      <c r="U272" s="2685"/>
      <c r="V272" s="2685"/>
      <c r="W272" s="2685"/>
      <c r="X272" s="2685"/>
      <c r="Y272" s="2685"/>
      <c r="Z272" s="2685"/>
      <c r="AA272" s="2685"/>
      <c r="AB272" s="2685"/>
      <c r="AC272" s="2675">
        <f t="shared" si="128"/>
        <v>0</v>
      </c>
      <c r="AD272" s="2695"/>
      <c r="AE272" s="2695"/>
      <c r="AF272" s="2695"/>
      <c r="AG272" s="2695"/>
      <c r="AH272" s="2695"/>
      <c r="AI272" s="2695"/>
      <c r="AJ272" s="2695"/>
      <c r="AK272" s="2695"/>
      <c r="AL272" s="2695"/>
      <c r="AM272" s="2695"/>
      <c r="AN272" s="2695"/>
      <c r="AO272" s="2695"/>
      <c r="AP272" s="2695"/>
      <c r="AQ272" s="2695"/>
      <c r="AR272" s="2695"/>
      <c r="AS272" s="2695"/>
      <c r="AT272" s="2703"/>
      <c r="AU272" s="2704"/>
      <c r="AV272" s="1074">
        <f t="shared" si="129"/>
        <v>0</v>
      </c>
      <c r="AW272" s="1074">
        <f t="shared" si="130"/>
        <v>0</v>
      </c>
      <c r="AX272" s="1074">
        <f t="shared" si="131"/>
        <v>0</v>
      </c>
      <c r="AY272" s="2279">
        <f t="shared" si="132"/>
        <v>0</v>
      </c>
      <c r="AZ272" s="2675">
        <f t="shared" si="133"/>
        <v>0</v>
      </c>
      <c r="BA272" s="2675">
        <f t="shared" si="134"/>
        <v>0</v>
      </c>
      <c r="BB272" s="2675">
        <f t="shared" si="135"/>
        <v>0</v>
      </c>
      <c r="BC272" s="2675">
        <f t="shared" si="136"/>
        <v>0</v>
      </c>
      <c r="BD272" s="2675">
        <f t="shared" si="137"/>
        <v>0</v>
      </c>
      <c r="BE272" s="2675">
        <f t="shared" si="138"/>
        <v>0</v>
      </c>
      <c r="BF272" s="2675">
        <f t="shared" si="139"/>
        <v>0</v>
      </c>
      <c r="BG272" s="2675">
        <f t="shared" si="140"/>
        <v>0</v>
      </c>
      <c r="BH272" s="2675">
        <f t="shared" si="141"/>
        <v>0</v>
      </c>
      <c r="BI272" s="2675">
        <f t="shared" si="142"/>
        <v>0</v>
      </c>
      <c r="BJ272" s="2675">
        <f t="shared" si="143"/>
        <v>0</v>
      </c>
      <c r="BK272" s="2675">
        <f t="shared" si="144"/>
        <v>0</v>
      </c>
      <c r="BL272" s="2675">
        <f t="shared" si="145"/>
        <v>0</v>
      </c>
      <c r="BM272" s="2675">
        <f t="shared" si="146"/>
        <v>0</v>
      </c>
      <c r="BN272" s="2675">
        <f t="shared" si="147"/>
        <v>0</v>
      </c>
      <c r="BO272" s="2675">
        <f t="shared" si="148"/>
        <v>0</v>
      </c>
      <c r="BP272" s="2675">
        <f t="shared" si="149"/>
        <v>0</v>
      </c>
      <c r="BQ272" s="2675">
        <f t="shared" si="150"/>
        <v>0</v>
      </c>
      <c r="BR272" s="2675">
        <f t="shared" si="151"/>
        <v>0</v>
      </c>
      <c r="BS272" s="2675">
        <f t="shared" si="152"/>
        <v>0</v>
      </c>
      <c r="BT272" s="2722">
        <f t="shared" si="153"/>
        <v>0</v>
      </c>
    </row>
    <row r="273" spans="1:72">
      <c r="A273" s="2673"/>
      <c r="B273" s="2674"/>
      <c r="C273" s="2674"/>
      <c r="D273" s="2277"/>
      <c r="E273" s="2675">
        <f t="shared" si="125"/>
        <v>0</v>
      </c>
      <c r="F273" s="2676"/>
      <c r="G273" s="2677">
        <f t="shared" si="126"/>
        <v>0</v>
      </c>
      <c r="H273" s="2678">
        <f t="shared" si="127"/>
        <v>0</v>
      </c>
      <c r="I273" s="2685"/>
      <c r="J273" s="2685"/>
      <c r="K273" s="2685"/>
      <c r="L273" s="2685"/>
      <c r="M273" s="2685"/>
      <c r="N273" s="2685"/>
      <c r="O273" s="2685"/>
      <c r="P273" s="2685"/>
      <c r="Q273" s="2685"/>
      <c r="R273" s="2685"/>
      <c r="S273" s="2685"/>
      <c r="T273" s="2685"/>
      <c r="U273" s="2685"/>
      <c r="V273" s="2685"/>
      <c r="W273" s="2685"/>
      <c r="X273" s="2685"/>
      <c r="Y273" s="2685"/>
      <c r="Z273" s="2685"/>
      <c r="AA273" s="2685"/>
      <c r="AB273" s="2685"/>
      <c r="AC273" s="2675">
        <f t="shared" si="128"/>
        <v>0</v>
      </c>
      <c r="AD273" s="2695"/>
      <c r="AE273" s="2695"/>
      <c r="AF273" s="2695"/>
      <c r="AG273" s="2695"/>
      <c r="AH273" s="2695"/>
      <c r="AI273" s="2695"/>
      <c r="AJ273" s="2695"/>
      <c r="AK273" s="2695"/>
      <c r="AL273" s="2695"/>
      <c r="AM273" s="2695"/>
      <c r="AN273" s="2695"/>
      <c r="AO273" s="2695"/>
      <c r="AP273" s="2695"/>
      <c r="AQ273" s="2695"/>
      <c r="AR273" s="2695"/>
      <c r="AS273" s="2695"/>
      <c r="AT273" s="2703"/>
      <c r="AU273" s="2704"/>
      <c r="AV273" s="1074">
        <f t="shared" si="129"/>
        <v>0</v>
      </c>
      <c r="AW273" s="1074">
        <f t="shared" si="130"/>
        <v>0</v>
      </c>
      <c r="AX273" s="1074">
        <f t="shared" si="131"/>
        <v>0</v>
      </c>
      <c r="AY273" s="2279">
        <f t="shared" si="132"/>
        <v>0</v>
      </c>
      <c r="AZ273" s="2675">
        <f t="shared" si="133"/>
        <v>0</v>
      </c>
      <c r="BA273" s="2675">
        <f t="shared" si="134"/>
        <v>0</v>
      </c>
      <c r="BB273" s="2675">
        <f t="shared" si="135"/>
        <v>0</v>
      </c>
      <c r="BC273" s="2675">
        <f t="shared" si="136"/>
        <v>0</v>
      </c>
      <c r="BD273" s="2675">
        <f t="shared" si="137"/>
        <v>0</v>
      </c>
      <c r="BE273" s="2675">
        <f t="shared" si="138"/>
        <v>0</v>
      </c>
      <c r="BF273" s="2675">
        <f t="shared" si="139"/>
        <v>0</v>
      </c>
      <c r="BG273" s="2675">
        <f t="shared" si="140"/>
        <v>0</v>
      </c>
      <c r="BH273" s="2675">
        <f t="shared" si="141"/>
        <v>0</v>
      </c>
      <c r="BI273" s="2675">
        <f t="shared" si="142"/>
        <v>0</v>
      </c>
      <c r="BJ273" s="2675">
        <f t="shared" si="143"/>
        <v>0</v>
      </c>
      <c r="BK273" s="2675">
        <f t="shared" si="144"/>
        <v>0</v>
      </c>
      <c r="BL273" s="2675">
        <f t="shared" si="145"/>
        <v>0</v>
      </c>
      <c r="BM273" s="2675">
        <f t="shared" si="146"/>
        <v>0</v>
      </c>
      <c r="BN273" s="2675">
        <f t="shared" si="147"/>
        <v>0</v>
      </c>
      <c r="BO273" s="2675">
        <f t="shared" si="148"/>
        <v>0</v>
      </c>
      <c r="BP273" s="2675">
        <f t="shared" si="149"/>
        <v>0</v>
      </c>
      <c r="BQ273" s="2675">
        <f t="shared" si="150"/>
        <v>0</v>
      </c>
      <c r="BR273" s="2675">
        <f t="shared" si="151"/>
        <v>0</v>
      </c>
      <c r="BS273" s="2675">
        <f t="shared" si="152"/>
        <v>0</v>
      </c>
      <c r="BT273" s="2722">
        <f t="shared" si="153"/>
        <v>0</v>
      </c>
    </row>
    <row r="274" spans="1:72">
      <c r="A274" s="2673"/>
      <c r="B274" s="2674"/>
      <c r="C274" s="2674"/>
      <c r="D274" s="2277"/>
      <c r="E274" s="2675">
        <f t="shared" si="125"/>
        <v>0</v>
      </c>
      <c r="F274" s="2676"/>
      <c r="G274" s="2677">
        <f t="shared" si="126"/>
        <v>0</v>
      </c>
      <c r="H274" s="2678">
        <f t="shared" si="127"/>
        <v>0</v>
      </c>
      <c r="I274" s="2685"/>
      <c r="J274" s="2685"/>
      <c r="K274" s="2685"/>
      <c r="L274" s="2685"/>
      <c r="M274" s="2685"/>
      <c r="N274" s="2685"/>
      <c r="O274" s="2685"/>
      <c r="P274" s="2685"/>
      <c r="Q274" s="2685"/>
      <c r="R274" s="2685"/>
      <c r="S274" s="2685"/>
      <c r="T274" s="2685"/>
      <c r="U274" s="2685"/>
      <c r="V274" s="2685"/>
      <c r="W274" s="2685"/>
      <c r="X274" s="2685"/>
      <c r="Y274" s="2685"/>
      <c r="Z274" s="2685"/>
      <c r="AA274" s="2685"/>
      <c r="AB274" s="2685"/>
      <c r="AC274" s="2675">
        <f t="shared" si="128"/>
        <v>0</v>
      </c>
      <c r="AD274" s="2695"/>
      <c r="AE274" s="2695"/>
      <c r="AF274" s="2695"/>
      <c r="AG274" s="2695"/>
      <c r="AH274" s="2695"/>
      <c r="AI274" s="2695"/>
      <c r="AJ274" s="2695"/>
      <c r="AK274" s="2695"/>
      <c r="AL274" s="2695"/>
      <c r="AM274" s="2695"/>
      <c r="AN274" s="2695"/>
      <c r="AO274" s="2695"/>
      <c r="AP274" s="2695"/>
      <c r="AQ274" s="2695"/>
      <c r="AR274" s="2695"/>
      <c r="AS274" s="2695"/>
      <c r="AT274" s="2703"/>
      <c r="AU274" s="2704"/>
      <c r="AV274" s="1074">
        <f t="shared" si="129"/>
        <v>0</v>
      </c>
      <c r="AW274" s="1074">
        <f t="shared" si="130"/>
        <v>0</v>
      </c>
      <c r="AX274" s="1074">
        <f t="shared" si="131"/>
        <v>0</v>
      </c>
      <c r="AY274" s="2279">
        <f t="shared" si="132"/>
        <v>0</v>
      </c>
      <c r="AZ274" s="2675">
        <f t="shared" si="133"/>
        <v>0</v>
      </c>
      <c r="BA274" s="2675">
        <f t="shared" si="134"/>
        <v>0</v>
      </c>
      <c r="BB274" s="2675">
        <f t="shared" si="135"/>
        <v>0</v>
      </c>
      <c r="BC274" s="2675">
        <f t="shared" si="136"/>
        <v>0</v>
      </c>
      <c r="BD274" s="2675">
        <f t="shared" si="137"/>
        <v>0</v>
      </c>
      <c r="BE274" s="2675">
        <f t="shared" si="138"/>
        <v>0</v>
      </c>
      <c r="BF274" s="2675">
        <f t="shared" si="139"/>
        <v>0</v>
      </c>
      <c r="BG274" s="2675">
        <f t="shared" si="140"/>
        <v>0</v>
      </c>
      <c r="BH274" s="2675">
        <f t="shared" si="141"/>
        <v>0</v>
      </c>
      <c r="BI274" s="2675">
        <f t="shared" si="142"/>
        <v>0</v>
      </c>
      <c r="BJ274" s="2675">
        <f t="shared" si="143"/>
        <v>0</v>
      </c>
      <c r="BK274" s="2675">
        <f t="shared" si="144"/>
        <v>0</v>
      </c>
      <c r="BL274" s="2675">
        <f t="shared" si="145"/>
        <v>0</v>
      </c>
      <c r="BM274" s="2675">
        <f t="shared" si="146"/>
        <v>0</v>
      </c>
      <c r="BN274" s="2675">
        <f t="shared" si="147"/>
        <v>0</v>
      </c>
      <c r="BO274" s="2675">
        <f t="shared" si="148"/>
        <v>0</v>
      </c>
      <c r="BP274" s="2675">
        <f t="shared" si="149"/>
        <v>0</v>
      </c>
      <c r="BQ274" s="2675">
        <f t="shared" si="150"/>
        <v>0</v>
      </c>
      <c r="BR274" s="2675">
        <f t="shared" si="151"/>
        <v>0</v>
      </c>
      <c r="BS274" s="2675">
        <f t="shared" si="152"/>
        <v>0</v>
      </c>
      <c r="BT274" s="2722">
        <f t="shared" si="153"/>
        <v>0</v>
      </c>
    </row>
    <row r="275" spans="1:72">
      <c r="A275" s="2673"/>
      <c r="B275" s="2674"/>
      <c r="C275" s="2674"/>
      <c r="D275" s="2277"/>
      <c r="E275" s="2675">
        <f t="shared" si="125"/>
        <v>0</v>
      </c>
      <c r="F275" s="2676"/>
      <c r="G275" s="2677">
        <f t="shared" si="126"/>
        <v>0</v>
      </c>
      <c r="H275" s="2678">
        <f t="shared" si="127"/>
        <v>0</v>
      </c>
      <c r="I275" s="2685"/>
      <c r="J275" s="2685"/>
      <c r="K275" s="2685"/>
      <c r="L275" s="2685"/>
      <c r="M275" s="2685"/>
      <c r="N275" s="2685"/>
      <c r="O275" s="2685"/>
      <c r="P275" s="2685"/>
      <c r="Q275" s="2685"/>
      <c r="R275" s="2685"/>
      <c r="S275" s="2685"/>
      <c r="T275" s="2685"/>
      <c r="U275" s="2685"/>
      <c r="V275" s="2685"/>
      <c r="W275" s="2685"/>
      <c r="X275" s="2685"/>
      <c r="Y275" s="2685"/>
      <c r="Z275" s="2685"/>
      <c r="AA275" s="2685"/>
      <c r="AB275" s="2685"/>
      <c r="AC275" s="2675">
        <f t="shared" si="128"/>
        <v>0</v>
      </c>
      <c r="AD275" s="2695"/>
      <c r="AE275" s="2695"/>
      <c r="AF275" s="2695"/>
      <c r="AG275" s="2695"/>
      <c r="AH275" s="2695"/>
      <c r="AI275" s="2695"/>
      <c r="AJ275" s="2695"/>
      <c r="AK275" s="2695"/>
      <c r="AL275" s="2695"/>
      <c r="AM275" s="2695"/>
      <c r="AN275" s="2695"/>
      <c r="AO275" s="2695"/>
      <c r="AP275" s="2695"/>
      <c r="AQ275" s="2695"/>
      <c r="AR275" s="2695"/>
      <c r="AS275" s="2695"/>
      <c r="AT275" s="2703"/>
      <c r="AU275" s="2704"/>
      <c r="AV275" s="1074">
        <f t="shared" si="129"/>
        <v>0</v>
      </c>
      <c r="AW275" s="1074">
        <f t="shared" si="130"/>
        <v>0</v>
      </c>
      <c r="AX275" s="1074">
        <f t="shared" si="131"/>
        <v>0</v>
      </c>
      <c r="AY275" s="2279">
        <f t="shared" si="132"/>
        <v>0</v>
      </c>
      <c r="AZ275" s="2675">
        <f t="shared" si="133"/>
        <v>0</v>
      </c>
      <c r="BA275" s="2675">
        <f t="shared" si="134"/>
        <v>0</v>
      </c>
      <c r="BB275" s="2675">
        <f t="shared" si="135"/>
        <v>0</v>
      </c>
      <c r="BC275" s="2675">
        <f t="shared" si="136"/>
        <v>0</v>
      </c>
      <c r="BD275" s="2675">
        <f t="shared" si="137"/>
        <v>0</v>
      </c>
      <c r="BE275" s="2675">
        <f t="shared" si="138"/>
        <v>0</v>
      </c>
      <c r="BF275" s="2675">
        <f t="shared" si="139"/>
        <v>0</v>
      </c>
      <c r="BG275" s="2675">
        <f t="shared" si="140"/>
        <v>0</v>
      </c>
      <c r="BH275" s="2675">
        <f t="shared" si="141"/>
        <v>0</v>
      </c>
      <c r="BI275" s="2675">
        <f t="shared" si="142"/>
        <v>0</v>
      </c>
      <c r="BJ275" s="2675">
        <f t="shared" si="143"/>
        <v>0</v>
      </c>
      <c r="BK275" s="2675">
        <f t="shared" si="144"/>
        <v>0</v>
      </c>
      <c r="BL275" s="2675">
        <f t="shared" si="145"/>
        <v>0</v>
      </c>
      <c r="BM275" s="2675">
        <f t="shared" si="146"/>
        <v>0</v>
      </c>
      <c r="BN275" s="2675">
        <f t="shared" si="147"/>
        <v>0</v>
      </c>
      <c r="BO275" s="2675">
        <f t="shared" si="148"/>
        <v>0</v>
      </c>
      <c r="BP275" s="2675">
        <f t="shared" si="149"/>
        <v>0</v>
      </c>
      <c r="BQ275" s="2675">
        <f t="shared" si="150"/>
        <v>0</v>
      </c>
      <c r="BR275" s="2675">
        <f t="shared" si="151"/>
        <v>0</v>
      </c>
      <c r="BS275" s="2675">
        <f t="shared" si="152"/>
        <v>0</v>
      </c>
      <c r="BT275" s="2722">
        <f t="shared" si="153"/>
        <v>0</v>
      </c>
    </row>
    <row r="276" spans="1:72">
      <c r="A276" s="2673"/>
      <c r="B276" s="2674"/>
      <c r="C276" s="2674"/>
      <c r="D276" s="2277"/>
      <c r="E276" s="2675">
        <f t="shared" si="125"/>
        <v>0</v>
      </c>
      <c r="F276" s="2676"/>
      <c r="G276" s="2677">
        <f t="shared" si="126"/>
        <v>0</v>
      </c>
      <c r="H276" s="2678">
        <f t="shared" si="127"/>
        <v>0</v>
      </c>
      <c r="I276" s="2685"/>
      <c r="J276" s="2685"/>
      <c r="K276" s="2685"/>
      <c r="L276" s="2685"/>
      <c r="M276" s="2685"/>
      <c r="N276" s="2685"/>
      <c r="O276" s="2685"/>
      <c r="P276" s="2685"/>
      <c r="Q276" s="2685"/>
      <c r="R276" s="2685"/>
      <c r="S276" s="2685"/>
      <c r="T276" s="2685"/>
      <c r="U276" s="2685"/>
      <c r="V276" s="2685"/>
      <c r="W276" s="2685"/>
      <c r="X276" s="2685"/>
      <c r="Y276" s="2685"/>
      <c r="Z276" s="2685"/>
      <c r="AA276" s="2685"/>
      <c r="AB276" s="2685"/>
      <c r="AC276" s="2675">
        <f t="shared" si="128"/>
        <v>0</v>
      </c>
      <c r="AD276" s="2695"/>
      <c r="AE276" s="2695"/>
      <c r="AF276" s="2695"/>
      <c r="AG276" s="2695"/>
      <c r="AH276" s="2695"/>
      <c r="AI276" s="2695"/>
      <c r="AJ276" s="2695"/>
      <c r="AK276" s="2695"/>
      <c r="AL276" s="2695"/>
      <c r="AM276" s="2695"/>
      <c r="AN276" s="2695"/>
      <c r="AO276" s="2695"/>
      <c r="AP276" s="2695"/>
      <c r="AQ276" s="2695"/>
      <c r="AR276" s="2695"/>
      <c r="AS276" s="2695"/>
      <c r="AT276" s="2703"/>
      <c r="AU276" s="2704"/>
      <c r="AV276" s="1074">
        <f t="shared" si="129"/>
        <v>0</v>
      </c>
      <c r="AW276" s="1074">
        <f t="shared" si="130"/>
        <v>0</v>
      </c>
      <c r="AX276" s="1074">
        <f t="shared" si="131"/>
        <v>0</v>
      </c>
      <c r="AY276" s="2279">
        <f t="shared" si="132"/>
        <v>0</v>
      </c>
      <c r="AZ276" s="2675">
        <f t="shared" si="133"/>
        <v>0</v>
      </c>
      <c r="BA276" s="2675">
        <f t="shared" si="134"/>
        <v>0</v>
      </c>
      <c r="BB276" s="2675">
        <f t="shared" si="135"/>
        <v>0</v>
      </c>
      <c r="BC276" s="2675">
        <f t="shared" si="136"/>
        <v>0</v>
      </c>
      <c r="BD276" s="2675">
        <f t="shared" si="137"/>
        <v>0</v>
      </c>
      <c r="BE276" s="2675">
        <f t="shared" si="138"/>
        <v>0</v>
      </c>
      <c r="BF276" s="2675">
        <f t="shared" si="139"/>
        <v>0</v>
      </c>
      <c r="BG276" s="2675">
        <f t="shared" si="140"/>
        <v>0</v>
      </c>
      <c r="BH276" s="2675">
        <f t="shared" si="141"/>
        <v>0</v>
      </c>
      <c r="BI276" s="2675">
        <f t="shared" si="142"/>
        <v>0</v>
      </c>
      <c r="BJ276" s="2675">
        <f t="shared" si="143"/>
        <v>0</v>
      </c>
      <c r="BK276" s="2675">
        <f t="shared" si="144"/>
        <v>0</v>
      </c>
      <c r="BL276" s="2675">
        <f t="shared" si="145"/>
        <v>0</v>
      </c>
      <c r="BM276" s="2675">
        <f t="shared" si="146"/>
        <v>0</v>
      </c>
      <c r="BN276" s="2675">
        <f t="shared" si="147"/>
        <v>0</v>
      </c>
      <c r="BO276" s="2675">
        <f t="shared" si="148"/>
        <v>0</v>
      </c>
      <c r="BP276" s="2675">
        <f t="shared" si="149"/>
        <v>0</v>
      </c>
      <c r="BQ276" s="2675">
        <f t="shared" si="150"/>
        <v>0</v>
      </c>
      <c r="BR276" s="2675">
        <f t="shared" si="151"/>
        <v>0</v>
      </c>
      <c r="BS276" s="2675">
        <f t="shared" si="152"/>
        <v>0</v>
      </c>
      <c r="BT276" s="2722">
        <f t="shared" si="153"/>
        <v>0</v>
      </c>
    </row>
    <row r="277" spans="1:72">
      <c r="A277" s="2673"/>
      <c r="B277" s="2674"/>
      <c r="C277" s="2674"/>
      <c r="D277" s="2277"/>
      <c r="E277" s="2675">
        <f t="shared" si="125"/>
        <v>0</v>
      </c>
      <c r="F277" s="2676"/>
      <c r="G277" s="2677">
        <f t="shared" si="126"/>
        <v>0</v>
      </c>
      <c r="H277" s="2678">
        <f t="shared" si="127"/>
        <v>0</v>
      </c>
      <c r="I277" s="2685"/>
      <c r="J277" s="2685"/>
      <c r="K277" s="2685"/>
      <c r="L277" s="2685"/>
      <c r="M277" s="2685"/>
      <c r="N277" s="2685"/>
      <c r="O277" s="2685"/>
      <c r="P277" s="2685"/>
      <c r="Q277" s="2685"/>
      <c r="R277" s="2685"/>
      <c r="S277" s="2685"/>
      <c r="T277" s="2685"/>
      <c r="U277" s="2685"/>
      <c r="V277" s="2685"/>
      <c r="W277" s="2685"/>
      <c r="X277" s="2685"/>
      <c r="Y277" s="2685"/>
      <c r="Z277" s="2685"/>
      <c r="AA277" s="2685"/>
      <c r="AB277" s="2685"/>
      <c r="AC277" s="2675">
        <f t="shared" si="128"/>
        <v>0</v>
      </c>
      <c r="AD277" s="2695"/>
      <c r="AE277" s="2695"/>
      <c r="AF277" s="2695"/>
      <c r="AG277" s="2695"/>
      <c r="AH277" s="2695"/>
      <c r="AI277" s="2695"/>
      <c r="AJ277" s="2695"/>
      <c r="AK277" s="2695"/>
      <c r="AL277" s="2695"/>
      <c r="AM277" s="2695"/>
      <c r="AN277" s="2695"/>
      <c r="AO277" s="2695"/>
      <c r="AP277" s="2695"/>
      <c r="AQ277" s="2695"/>
      <c r="AR277" s="2695"/>
      <c r="AS277" s="2695"/>
      <c r="AT277" s="2703"/>
      <c r="AU277" s="2704"/>
      <c r="AV277" s="1074">
        <f t="shared" si="129"/>
        <v>0</v>
      </c>
      <c r="AW277" s="1074">
        <f t="shared" si="130"/>
        <v>0</v>
      </c>
      <c r="AX277" s="1074">
        <f t="shared" si="131"/>
        <v>0</v>
      </c>
      <c r="AY277" s="2279">
        <f t="shared" si="132"/>
        <v>0</v>
      </c>
      <c r="AZ277" s="2675">
        <f t="shared" si="133"/>
        <v>0</v>
      </c>
      <c r="BA277" s="2675">
        <f t="shared" si="134"/>
        <v>0</v>
      </c>
      <c r="BB277" s="2675">
        <f t="shared" si="135"/>
        <v>0</v>
      </c>
      <c r="BC277" s="2675">
        <f t="shared" si="136"/>
        <v>0</v>
      </c>
      <c r="BD277" s="2675">
        <f t="shared" si="137"/>
        <v>0</v>
      </c>
      <c r="BE277" s="2675">
        <f t="shared" si="138"/>
        <v>0</v>
      </c>
      <c r="BF277" s="2675">
        <f t="shared" si="139"/>
        <v>0</v>
      </c>
      <c r="BG277" s="2675">
        <f t="shared" si="140"/>
        <v>0</v>
      </c>
      <c r="BH277" s="2675">
        <f t="shared" si="141"/>
        <v>0</v>
      </c>
      <c r="BI277" s="2675">
        <f t="shared" si="142"/>
        <v>0</v>
      </c>
      <c r="BJ277" s="2675">
        <f t="shared" si="143"/>
        <v>0</v>
      </c>
      <c r="BK277" s="2675">
        <f t="shared" si="144"/>
        <v>0</v>
      </c>
      <c r="BL277" s="2675">
        <f t="shared" si="145"/>
        <v>0</v>
      </c>
      <c r="BM277" s="2675">
        <f t="shared" si="146"/>
        <v>0</v>
      </c>
      <c r="BN277" s="2675">
        <f t="shared" si="147"/>
        <v>0</v>
      </c>
      <c r="BO277" s="2675">
        <f t="shared" si="148"/>
        <v>0</v>
      </c>
      <c r="BP277" s="2675">
        <f t="shared" si="149"/>
        <v>0</v>
      </c>
      <c r="BQ277" s="2675">
        <f t="shared" si="150"/>
        <v>0</v>
      </c>
      <c r="BR277" s="2675">
        <f t="shared" si="151"/>
        <v>0</v>
      </c>
      <c r="BS277" s="2675">
        <f t="shared" si="152"/>
        <v>0</v>
      </c>
      <c r="BT277" s="2722">
        <f t="shared" si="153"/>
        <v>0</v>
      </c>
    </row>
    <row r="278" spans="1:72">
      <c r="A278" s="2673"/>
      <c r="B278" s="2674"/>
      <c r="C278" s="2674"/>
      <c r="D278" s="2277"/>
      <c r="E278" s="2675">
        <f t="shared" si="125"/>
        <v>0</v>
      </c>
      <c r="F278" s="2676"/>
      <c r="G278" s="2677">
        <f t="shared" si="126"/>
        <v>0</v>
      </c>
      <c r="H278" s="2678">
        <f t="shared" si="127"/>
        <v>0</v>
      </c>
      <c r="I278" s="2685"/>
      <c r="J278" s="2685"/>
      <c r="K278" s="2685"/>
      <c r="L278" s="2685"/>
      <c r="M278" s="2685"/>
      <c r="N278" s="2685"/>
      <c r="O278" s="2685"/>
      <c r="P278" s="2685"/>
      <c r="Q278" s="2685"/>
      <c r="R278" s="2685"/>
      <c r="S278" s="2685"/>
      <c r="T278" s="2685"/>
      <c r="U278" s="2685"/>
      <c r="V278" s="2685"/>
      <c r="W278" s="2685"/>
      <c r="X278" s="2685"/>
      <c r="Y278" s="2685"/>
      <c r="Z278" s="2685"/>
      <c r="AA278" s="2685"/>
      <c r="AB278" s="2685"/>
      <c r="AC278" s="2675">
        <f t="shared" si="128"/>
        <v>0</v>
      </c>
      <c r="AD278" s="2695"/>
      <c r="AE278" s="2695"/>
      <c r="AF278" s="2695"/>
      <c r="AG278" s="2695"/>
      <c r="AH278" s="2695"/>
      <c r="AI278" s="2695"/>
      <c r="AJ278" s="2695"/>
      <c r="AK278" s="2695"/>
      <c r="AL278" s="2695"/>
      <c r="AM278" s="2695"/>
      <c r="AN278" s="2695"/>
      <c r="AO278" s="2695"/>
      <c r="AP278" s="2695"/>
      <c r="AQ278" s="2695"/>
      <c r="AR278" s="2695"/>
      <c r="AS278" s="2695"/>
      <c r="AT278" s="2703"/>
      <c r="AU278" s="2704"/>
      <c r="AV278" s="1074">
        <f t="shared" si="129"/>
        <v>0</v>
      </c>
      <c r="AW278" s="1074">
        <f t="shared" si="130"/>
        <v>0</v>
      </c>
      <c r="AX278" s="1074">
        <f t="shared" si="131"/>
        <v>0</v>
      </c>
      <c r="AY278" s="2279">
        <f t="shared" si="132"/>
        <v>0</v>
      </c>
      <c r="AZ278" s="2675">
        <f t="shared" si="133"/>
        <v>0</v>
      </c>
      <c r="BA278" s="2675">
        <f t="shared" si="134"/>
        <v>0</v>
      </c>
      <c r="BB278" s="2675">
        <f t="shared" si="135"/>
        <v>0</v>
      </c>
      <c r="BC278" s="2675">
        <f t="shared" si="136"/>
        <v>0</v>
      </c>
      <c r="BD278" s="2675">
        <f t="shared" si="137"/>
        <v>0</v>
      </c>
      <c r="BE278" s="2675">
        <f t="shared" si="138"/>
        <v>0</v>
      </c>
      <c r="BF278" s="2675">
        <f t="shared" si="139"/>
        <v>0</v>
      </c>
      <c r="BG278" s="2675">
        <f t="shared" si="140"/>
        <v>0</v>
      </c>
      <c r="BH278" s="2675">
        <f t="shared" si="141"/>
        <v>0</v>
      </c>
      <c r="BI278" s="2675">
        <f t="shared" si="142"/>
        <v>0</v>
      </c>
      <c r="BJ278" s="2675">
        <f t="shared" si="143"/>
        <v>0</v>
      </c>
      <c r="BK278" s="2675">
        <f t="shared" si="144"/>
        <v>0</v>
      </c>
      <c r="BL278" s="2675">
        <f t="shared" si="145"/>
        <v>0</v>
      </c>
      <c r="BM278" s="2675">
        <f t="shared" si="146"/>
        <v>0</v>
      </c>
      <c r="BN278" s="2675">
        <f t="shared" si="147"/>
        <v>0</v>
      </c>
      <c r="BO278" s="2675">
        <f t="shared" si="148"/>
        <v>0</v>
      </c>
      <c r="BP278" s="2675">
        <f t="shared" si="149"/>
        <v>0</v>
      </c>
      <c r="BQ278" s="2675">
        <f t="shared" si="150"/>
        <v>0</v>
      </c>
      <c r="BR278" s="2675">
        <f t="shared" si="151"/>
        <v>0</v>
      </c>
      <c r="BS278" s="2675">
        <f t="shared" si="152"/>
        <v>0</v>
      </c>
      <c r="BT278" s="2722">
        <f t="shared" si="153"/>
        <v>0</v>
      </c>
    </row>
    <row r="279" spans="1:72">
      <c r="A279" s="2673"/>
      <c r="B279" s="2674"/>
      <c r="C279" s="2674"/>
      <c r="D279" s="2277"/>
      <c r="E279" s="2675">
        <f t="shared" si="125"/>
        <v>0</v>
      </c>
      <c r="F279" s="2676"/>
      <c r="G279" s="2677">
        <f t="shared" si="126"/>
        <v>0</v>
      </c>
      <c r="H279" s="2678">
        <f t="shared" si="127"/>
        <v>0</v>
      </c>
      <c r="I279" s="2685"/>
      <c r="J279" s="2685"/>
      <c r="K279" s="2685"/>
      <c r="L279" s="2685"/>
      <c r="M279" s="2685"/>
      <c r="N279" s="2685"/>
      <c r="O279" s="2685"/>
      <c r="P279" s="2685"/>
      <c r="Q279" s="2685"/>
      <c r="R279" s="2685"/>
      <c r="S279" s="2685"/>
      <c r="T279" s="2685"/>
      <c r="U279" s="2685"/>
      <c r="V279" s="2685"/>
      <c r="W279" s="2685"/>
      <c r="X279" s="2685"/>
      <c r="Y279" s="2685"/>
      <c r="Z279" s="2685"/>
      <c r="AA279" s="2685"/>
      <c r="AB279" s="2685"/>
      <c r="AC279" s="2675">
        <f t="shared" si="128"/>
        <v>0</v>
      </c>
      <c r="AD279" s="2695"/>
      <c r="AE279" s="2695"/>
      <c r="AF279" s="2695"/>
      <c r="AG279" s="2695"/>
      <c r="AH279" s="2695"/>
      <c r="AI279" s="2695"/>
      <c r="AJ279" s="2695"/>
      <c r="AK279" s="2695"/>
      <c r="AL279" s="2695"/>
      <c r="AM279" s="2695"/>
      <c r="AN279" s="2695"/>
      <c r="AO279" s="2695"/>
      <c r="AP279" s="2695"/>
      <c r="AQ279" s="2695"/>
      <c r="AR279" s="2695"/>
      <c r="AS279" s="2695"/>
      <c r="AT279" s="2703"/>
      <c r="AU279" s="2704"/>
      <c r="AV279" s="1074">
        <f t="shared" si="129"/>
        <v>0</v>
      </c>
      <c r="AW279" s="1074">
        <f t="shared" si="130"/>
        <v>0</v>
      </c>
      <c r="AX279" s="1074">
        <f t="shared" si="131"/>
        <v>0</v>
      </c>
      <c r="AY279" s="2279">
        <f t="shared" si="132"/>
        <v>0</v>
      </c>
      <c r="AZ279" s="2675">
        <f t="shared" si="133"/>
        <v>0</v>
      </c>
      <c r="BA279" s="2675">
        <f t="shared" si="134"/>
        <v>0</v>
      </c>
      <c r="BB279" s="2675">
        <f t="shared" si="135"/>
        <v>0</v>
      </c>
      <c r="BC279" s="2675">
        <f t="shared" si="136"/>
        <v>0</v>
      </c>
      <c r="BD279" s="2675">
        <f t="shared" si="137"/>
        <v>0</v>
      </c>
      <c r="BE279" s="2675">
        <f t="shared" si="138"/>
        <v>0</v>
      </c>
      <c r="BF279" s="2675">
        <f t="shared" si="139"/>
        <v>0</v>
      </c>
      <c r="BG279" s="2675">
        <f t="shared" si="140"/>
        <v>0</v>
      </c>
      <c r="BH279" s="2675">
        <f t="shared" si="141"/>
        <v>0</v>
      </c>
      <c r="BI279" s="2675">
        <f t="shared" si="142"/>
        <v>0</v>
      </c>
      <c r="BJ279" s="2675">
        <f t="shared" si="143"/>
        <v>0</v>
      </c>
      <c r="BK279" s="2675">
        <f t="shared" si="144"/>
        <v>0</v>
      </c>
      <c r="BL279" s="2675">
        <f t="shared" si="145"/>
        <v>0</v>
      </c>
      <c r="BM279" s="2675">
        <f t="shared" si="146"/>
        <v>0</v>
      </c>
      <c r="BN279" s="2675">
        <f t="shared" si="147"/>
        <v>0</v>
      </c>
      <c r="BO279" s="2675">
        <f t="shared" si="148"/>
        <v>0</v>
      </c>
      <c r="BP279" s="2675">
        <f t="shared" si="149"/>
        <v>0</v>
      </c>
      <c r="BQ279" s="2675">
        <f t="shared" si="150"/>
        <v>0</v>
      </c>
      <c r="BR279" s="2675">
        <f t="shared" si="151"/>
        <v>0</v>
      </c>
      <c r="BS279" s="2675">
        <f t="shared" si="152"/>
        <v>0</v>
      </c>
      <c r="BT279" s="2722">
        <f t="shared" si="153"/>
        <v>0</v>
      </c>
    </row>
    <row r="280" spans="1:72">
      <c r="A280" s="2673"/>
      <c r="B280" s="2674"/>
      <c r="C280" s="2674"/>
      <c r="D280" s="2277"/>
      <c r="E280" s="2675">
        <f t="shared" si="125"/>
        <v>0</v>
      </c>
      <c r="F280" s="2676"/>
      <c r="G280" s="2677">
        <f t="shared" si="126"/>
        <v>0</v>
      </c>
      <c r="H280" s="2678">
        <f t="shared" si="127"/>
        <v>0</v>
      </c>
      <c r="I280" s="2685"/>
      <c r="J280" s="2685"/>
      <c r="K280" s="2685"/>
      <c r="L280" s="2685"/>
      <c r="M280" s="2685"/>
      <c r="N280" s="2685"/>
      <c r="O280" s="2685"/>
      <c r="P280" s="2685"/>
      <c r="Q280" s="2685"/>
      <c r="R280" s="2685"/>
      <c r="S280" s="2685"/>
      <c r="T280" s="2685"/>
      <c r="U280" s="2685"/>
      <c r="V280" s="2685"/>
      <c r="W280" s="2685"/>
      <c r="X280" s="2685"/>
      <c r="Y280" s="2685"/>
      <c r="Z280" s="2685"/>
      <c r="AA280" s="2685"/>
      <c r="AB280" s="2685"/>
      <c r="AC280" s="2675">
        <f t="shared" si="128"/>
        <v>0</v>
      </c>
      <c r="AD280" s="2695"/>
      <c r="AE280" s="2695"/>
      <c r="AF280" s="2695"/>
      <c r="AG280" s="2695"/>
      <c r="AH280" s="2695"/>
      <c r="AI280" s="2695"/>
      <c r="AJ280" s="2695"/>
      <c r="AK280" s="2695"/>
      <c r="AL280" s="2695"/>
      <c r="AM280" s="2695"/>
      <c r="AN280" s="2695"/>
      <c r="AO280" s="2695"/>
      <c r="AP280" s="2695"/>
      <c r="AQ280" s="2695"/>
      <c r="AR280" s="2695"/>
      <c r="AS280" s="2695"/>
      <c r="AT280" s="2703"/>
      <c r="AU280" s="2704"/>
      <c r="AV280" s="1074">
        <f t="shared" si="129"/>
        <v>0</v>
      </c>
      <c r="AW280" s="1074">
        <f t="shared" si="130"/>
        <v>0</v>
      </c>
      <c r="AX280" s="1074">
        <f t="shared" si="131"/>
        <v>0</v>
      </c>
      <c r="AY280" s="2279">
        <f t="shared" si="132"/>
        <v>0</v>
      </c>
      <c r="AZ280" s="2675">
        <f t="shared" si="133"/>
        <v>0</v>
      </c>
      <c r="BA280" s="2675">
        <f t="shared" si="134"/>
        <v>0</v>
      </c>
      <c r="BB280" s="2675">
        <f t="shared" si="135"/>
        <v>0</v>
      </c>
      <c r="BC280" s="2675">
        <f t="shared" si="136"/>
        <v>0</v>
      </c>
      <c r="BD280" s="2675">
        <f t="shared" si="137"/>
        <v>0</v>
      </c>
      <c r="BE280" s="2675">
        <f t="shared" si="138"/>
        <v>0</v>
      </c>
      <c r="BF280" s="2675">
        <f t="shared" si="139"/>
        <v>0</v>
      </c>
      <c r="BG280" s="2675">
        <f t="shared" si="140"/>
        <v>0</v>
      </c>
      <c r="BH280" s="2675">
        <f t="shared" si="141"/>
        <v>0</v>
      </c>
      <c r="BI280" s="2675">
        <f t="shared" si="142"/>
        <v>0</v>
      </c>
      <c r="BJ280" s="2675">
        <f t="shared" si="143"/>
        <v>0</v>
      </c>
      <c r="BK280" s="2675">
        <f t="shared" si="144"/>
        <v>0</v>
      </c>
      <c r="BL280" s="2675">
        <f t="shared" si="145"/>
        <v>0</v>
      </c>
      <c r="BM280" s="2675">
        <f t="shared" si="146"/>
        <v>0</v>
      </c>
      <c r="BN280" s="2675">
        <f t="shared" si="147"/>
        <v>0</v>
      </c>
      <c r="BO280" s="2675">
        <f t="shared" si="148"/>
        <v>0</v>
      </c>
      <c r="BP280" s="2675">
        <f t="shared" si="149"/>
        <v>0</v>
      </c>
      <c r="BQ280" s="2675">
        <f t="shared" si="150"/>
        <v>0</v>
      </c>
      <c r="BR280" s="2675">
        <f t="shared" si="151"/>
        <v>0</v>
      </c>
      <c r="BS280" s="2675">
        <f t="shared" si="152"/>
        <v>0</v>
      </c>
      <c r="BT280" s="2722">
        <f t="shared" si="153"/>
        <v>0</v>
      </c>
    </row>
    <row r="281" spans="1:72">
      <c r="A281" s="2673"/>
      <c r="B281" s="2674"/>
      <c r="C281" s="2674"/>
      <c r="D281" s="2277"/>
      <c r="E281" s="2675">
        <f t="shared" si="125"/>
        <v>0</v>
      </c>
      <c r="F281" s="2676"/>
      <c r="G281" s="2677">
        <f t="shared" si="126"/>
        <v>0</v>
      </c>
      <c r="H281" s="2678">
        <f t="shared" si="127"/>
        <v>0</v>
      </c>
      <c r="I281" s="2685"/>
      <c r="J281" s="2685"/>
      <c r="K281" s="2685"/>
      <c r="L281" s="2685"/>
      <c r="M281" s="2685"/>
      <c r="N281" s="2685"/>
      <c r="O281" s="2685"/>
      <c r="P281" s="2685"/>
      <c r="Q281" s="2685"/>
      <c r="R281" s="2685"/>
      <c r="S281" s="2685"/>
      <c r="T281" s="2685"/>
      <c r="U281" s="2685"/>
      <c r="V281" s="2685"/>
      <c r="W281" s="2685"/>
      <c r="X281" s="2685"/>
      <c r="Y281" s="2685"/>
      <c r="Z281" s="2685"/>
      <c r="AA281" s="2685"/>
      <c r="AB281" s="2685"/>
      <c r="AC281" s="2675">
        <f t="shared" si="128"/>
        <v>0</v>
      </c>
      <c r="AD281" s="2695"/>
      <c r="AE281" s="2695"/>
      <c r="AF281" s="2695"/>
      <c r="AG281" s="2695"/>
      <c r="AH281" s="2695"/>
      <c r="AI281" s="2695"/>
      <c r="AJ281" s="2695"/>
      <c r="AK281" s="2695"/>
      <c r="AL281" s="2695"/>
      <c r="AM281" s="2695"/>
      <c r="AN281" s="2695"/>
      <c r="AO281" s="2695"/>
      <c r="AP281" s="2695"/>
      <c r="AQ281" s="2695"/>
      <c r="AR281" s="2695"/>
      <c r="AS281" s="2695"/>
      <c r="AT281" s="2703"/>
      <c r="AU281" s="2704"/>
      <c r="AV281" s="1074">
        <f t="shared" si="129"/>
        <v>0</v>
      </c>
      <c r="AW281" s="1074">
        <f t="shared" si="130"/>
        <v>0</v>
      </c>
      <c r="AX281" s="1074">
        <f t="shared" si="131"/>
        <v>0</v>
      </c>
      <c r="AY281" s="2279">
        <f t="shared" si="132"/>
        <v>0</v>
      </c>
      <c r="AZ281" s="2675">
        <f t="shared" si="133"/>
        <v>0</v>
      </c>
      <c r="BA281" s="2675">
        <f t="shared" si="134"/>
        <v>0</v>
      </c>
      <c r="BB281" s="2675">
        <f t="shared" si="135"/>
        <v>0</v>
      </c>
      <c r="BC281" s="2675">
        <f t="shared" si="136"/>
        <v>0</v>
      </c>
      <c r="BD281" s="2675">
        <f t="shared" si="137"/>
        <v>0</v>
      </c>
      <c r="BE281" s="2675">
        <f t="shared" si="138"/>
        <v>0</v>
      </c>
      <c r="BF281" s="2675">
        <f t="shared" si="139"/>
        <v>0</v>
      </c>
      <c r="BG281" s="2675">
        <f t="shared" si="140"/>
        <v>0</v>
      </c>
      <c r="BH281" s="2675">
        <f t="shared" si="141"/>
        <v>0</v>
      </c>
      <c r="BI281" s="2675">
        <f t="shared" si="142"/>
        <v>0</v>
      </c>
      <c r="BJ281" s="2675">
        <f t="shared" si="143"/>
        <v>0</v>
      </c>
      <c r="BK281" s="2675">
        <f t="shared" si="144"/>
        <v>0</v>
      </c>
      <c r="BL281" s="2675">
        <f t="shared" si="145"/>
        <v>0</v>
      </c>
      <c r="BM281" s="2675">
        <f t="shared" si="146"/>
        <v>0</v>
      </c>
      <c r="BN281" s="2675">
        <f t="shared" si="147"/>
        <v>0</v>
      </c>
      <c r="BO281" s="2675">
        <f t="shared" si="148"/>
        <v>0</v>
      </c>
      <c r="BP281" s="2675">
        <f t="shared" si="149"/>
        <v>0</v>
      </c>
      <c r="BQ281" s="2675">
        <f t="shared" si="150"/>
        <v>0</v>
      </c>
      <c r="BR281" s="2675">
        <f t="shared" si="151"/>
        <v>0</v>
      </c>
      <c r="BS281" s="2675">
        <f t="shared" si="152"/>
        <v>0</v>
      </c>
      <c r="BT281" s="2722">
        <f t="shared" si="153"/>
        <v>0</v>
      </c>
    </row>
    <row r="282" spans="1:72">
      <c r="A282" s="2673"/>
      <c r="B282" s="2674"/>
      <c r="C282" s="2674"/>
      <c r="D282" s="2277"/>
      <c r="E282" s="2675">
        <f t="shared" si="125"/>
        <v>0</v>
      </c>
      <c r="F282" s="2676"/>
      <c r="G282" s="2677">
        <f t="shared" si="126"/>
        <v>0</v>
      </c>
      <c r="H282" s="2678">
        <f t="shared" si="127"/>
        <v>0</v>
      </c>
      <c r="I282" s="2685"/>
      <c r="J282" s="2685"/>
      <c r="K282" s="2685"/>
      <c r="L282" s="2685"/>
      <c r="M282" s="2685"/>
      <c r="N282" s="2685"/>
      <c r="O282" s="2685"/>
      <c r="P282" s="2685"/>
      <c r="Q282" s="2685"/>
      <c r="R282" s="2685"/>
      <c r="S282" s="2685"/>
      <c r="T282" s="2685"/>
      <c r="U282" s="2685"/>
      <c r="V282" s="2685"/>
      <c r="W282" s="2685"/>
      <c r="X282" s="2685"/>
      <c r="Y282" s="2685"/>
      <c r="Z282" s="2685"/>
      <c r="AA282" s="2685"/>
      <c r="AB282" s="2685"/>
      <c r="AC282" s="2675">
        <f t="shared" si="128"/>
        <v>0</v>
      </c>
      <c r="AD282" s="2695"/>
      <c r="AE282" s="2695"/>
      <c r="AF282" s="2695"/>
      <c r="AG282" s="2695"/>
      <c r="AH282" s="2695"/>
      <c r="AI282" s="2695"/>
      <c r="AJ282" s="2695"/>
      <c r="AK282" s="2695"/>
      <c r="AL282" s="2695"/>
      <c r="AM282" s="2695"/>
      <c r="AN282" s="2695"/>
      <c r="AO282" s="2695"/>
      <c r="AP282" s="2695"/>
      <c r="AQ282" s="2695"/>
      <c r="AR282" s="2695"/>
      <c r="AS282" s="2695"/>
      <c r="AT282" s="2703"/>
      <c r="AU282" s="2704"/>
      <c r="AV282" s="1074">
        <f t="shared" si="129"/>
        <v>0</v>
      </c>
      <c r="AW282" s="1074">
        <f t="shared" si="130"/>
        <v>0</v>
      </c>
      <c r="AX282" s="1074">
        <f t="shared" si="131"/>
        <v>0</v>
      </c>
      <c r="AY282" s="2279">
        <f t="shared" si="132"/>
        <v>0</v>
      </c>
      <c r="AZ282" s="2675">
        <f t="shared" si="133"/>
        <v>0</v>
      </c>
      <c r="BA282" s="2675">
        <f t="shared" si="134"/>
        <v>0</v>
      </c>
      <c r="BB282" s="2675">
        <f t="shared" si="135"/>
        <v>0</v>
      </c>
      <c r="BC282" s="2675">
        <f t="shared" si="136"/>
        <v>0</v>
      </c>
      <c r="BD282" s="2675">
        <f t="shared" si="137"/>
        <v>0</v>
      </c>
      <c r="BE282" s="2675">
        <f t="shared" si="138"/>
        <v>0</v>
      </c>
      <c r="BF282" s="2675">
        <f t="shared" si="139"/>
        <v>0</v>
      </c>
      <c r="BG282" s="2675">
        <f t="shared" si="140"/>
        <v>0</v>
      </c>
      <c r="BH282" s="2675">
        <f t="shared" si="141"/>
        <v>0</v>
      </c>
      <c r="BI282" s="2675">
        <f t="shared" si="142"/>
        <v>0</v>
      </c>
      <c r="BJ282" s="2675">
        <f t="shared" si="143"/>
        <v>0</v>
      </c>
      <c r="BK282" s="2675">
        <f t="shared" si="144"/>
        <v>0</v>
      </c>
      <c r="BL282" s="2675">
        <f t="shared" si="145"/>
        <v>0</v>
      </c>
      <c r="BM282" s="2675">
        <f t="shared" si="146"/>
        <v>0</v>
      </c>
      <c r="BN282" s="2675">
        <f t="shared" si="147"/>
        <v>0</v>
      </c>
      <c r="BO282" s="2675">
        <f t="shared" si="148"/>
        <v>0</v>
      </c>
      <c r="BP282" s="2675">
        <f t="shared" si="149"/>
        <v>0</v>
      </c>
      <c r="BQ282" s="2675">
        <f t="shared" si="150"/>
        <v>0</v>
      </c>
      <c r="BR282" s="2675">
        <f t="shared" si="151"/>
        <v>0</v>
      </c>
      <c r="BS282" s="2675">
        <f t="shared" si="152"/>
        <v>0</v>
      </c>
      <c r="BT282" s="2722">
        <f t="shared" si="153"/>
        <v>0</v>
      </c>
    </row>
    <row r="283" spans="1:72">
      <c r="A283" s="2673"/>
      <c r="B283" s="2674"/>
      <c r="C283" s="2674"/>
      <c r="D283" s="2277"/>
      <c r="E283" s="2675">
        <f t="shared" si="125"/>
        <v>0</v>
      </c>
      <c r="F283" s="2676"/>
      <c r="G283" s="2677">
        <f t="shared" si="126"/>
        <v>0</v>
      </c>
      <c r="H283" s="2678">
        <f t="shared" si="127"/>
        <v>0</v>
      </c>
      <c r="I283" s="2685"/>
      <c r="J283" s="2685"/>
      <c r="K283" s="2685"/>
      <c r="L283" s="2685"/>
      <c r="M283" s="2685"/>
      <c r="N283" s="2685"/>
      <c r="O283" s="2685"/>
      <c r="P283" s="2685"/>
      <c r="Q283" s="2685"/>
      <c r="R283" s="2685"/>
      <c r="S283" s="2685"/>
      <c r="T283" s="2685"/>
      <c r="U283" s="2685"/>
      <c r="V283" s="2685"/>
      <c r="W283" s="2685"/>
      <c r="X283" s="2685"/>
      <c r="Y283" s="2685"/>
      <c r="Z283" s="2685"/>
      <c r="AA283" s="2685"/>
      <c r="AB283" s="2685"/>
      <c r="AC283" s="2675">
        <f t="shared" si="128"/>
        <v>0</v>
      </c>
      <c r="AD283" s="2695"/>
      <c r="AE283" s="2695"/>
      <c r="AF283" s="2695"/>
      <c r="AG283" s="2695"/>
      <c r="AH283" s="2695"/>
      <c r="AI283" s="2695"/>
      <c r="AJ283" s="2695"/>
      <c r="AK283" s="2695"/>
      <c r="AL283" s="2695"/>
      <c r="AM283" s="2695"/>
      <c r="AN283" s="2695"/>
      <c r="AO283" s="2695"/>
      <c r="AP283" s="2695"/>
      <c r="AQ283" s="2695"/>
      <c r="AR283" s="2695"/>
      <c r="AS283" s="2695"/>
      <c r="AT283" s="2703"/>
      <c r="AU283" s="2704"/>
      <c r="AV283" s="1074">
        <f t="shared" si="129"/>
        <v>0</v>
      </c>
      <c r="AW283" s="1074">
        <f t="shared" si="130"/>
        <v>0</v>
      </c>
      <c r="AX283" s="1074">
        <f t="shared" si="131"/>
        <v>0</v>
      </c>
      <c r="AY283" s="2279">
        <f t="shared" si="132"/>
        <v>0</v>
      </c>
      <c r="AZ283" s="2675">
        <f t="shared" si="133"/>
        <v>0</v>
      </c>
      <c r="BA283" s="2675">
        <f t="shared" si="134"/>
        <v>0</v>
      </c>
      <c r="BB283" s="2675">
        <f t="shared" si="135"/>
        <v>0</v>
      </c>
      <c r="BC283" s="2675">
        <f t="shared" si="136"/>
        <v>0</v>
      </c>
      <c r="BD283" s="2675">
        <f t="shared" si="137"/>
        <v>0</v>
      </c>
      <c r="BE283" s="2675">
        <f t="shared" si="138"/>
        <v>0</v>
      </c>
      <c r="BF283" s="2675">
        <f t="shared" si="139"/>
        <v>0</v>
      </c>
      <c r="BG283" s="2675">
        <f t="shared" si="140"/>
        <v>0</v>
      </c>
      <c r="BH283" s="2675">
        <f t="shared" si="141"/>
        <v>0</v>
      </c>
      <c r="BI283" s="2675">
        <f t="shared" si="142"/>
        <v>0</v>
      </c>
      <c r="BJ283" s="2675">
        <f t="shared" si="143"/>
        <v>0</v>
      </c>
      <c r="BK283" s="2675">
        <f t="shared" si="144"/>
        <v>0</v>
      </c>
      <c r="BL283" s="2675">
        <f t="shared" si="145"/>
        <v>0</v>
      </c>
      <c r="BM283" s="2675">
        <f t="shared" si="146"/>
        <v>0</v>
      </c>
      <c r="BN283" s="2675">
        <f t="shared" si="147"/>
        <v>0</v>
      </c>
      <c r="BO283" s="2675">
        <f t="shared" si="148"/>
        <v>0</v>
      </c>
      <c r="BP283" s="2675">
        <f t="shared" si="149"/>
        <v>0</v>
      </c>
      <c r="BQ283" s="2675">
        <f t="shared" si="150"/>
        <v>0</v>
      </c>
      <c r="BR283" s="2675">
        <f t="shared" si="151"/>
        <v>0</v>
      </c>
      <c r="BS283" s="2675">
        <f t="shared" si="152"/>
        <v>0</v>
      </c>
      <c r="BT283" s="2722">
        <f t="shared" si="153"/>
        <v>0</v>
      </c>
    </row>
    <row r="284" spans="1:72">
      <c r="A284" s="2673"/>
      <c r="B284" s="2674"/>
      <c r="C284" s="2674"/>
      <c r="D284" s="2277"/>
      <c r="E284" s="2675">
        <f t="shared" si="125"/>
        <v>0</v>
      </c>
      <c r="F284" s="2676"/>
      <c r="G284" s="2677">
        <f t="shared" si="126"/>
        <v>0</v>
      </c>
      <c r="H284" s="2678">
        <f t="shared" si="127"/>
        <v>0</v>
      </c>
      <c r="I284" s="2685"/>
      <c r="J284" s="2685"/>
      <c r="K284" s="2685"/>
      <c r="L284" s="2685"/>
      <c r="M284" s="2685"/>
      <c r="N284" s="2685"/>
      <c r="O284" s="2685"/>
      <c r="P284" s="2685"/>
      <c r="Q284" s="2685"/>
      <c r="R284" s="2685"/>
      <c r="S284" s="2685"/>
      <c r="T284" s="2685"/>
      <c r="U284" s="2685"/>
      <c r="V284" s="2685"/>
      <c r="W284" s="2685"/>
      <c r="X284" s="2685"/>
      <c r="Y284" s="2685"/>
      <c r="Z284" s="2685"/>
      <c r="AA284" s="2685"/>
      <c r="AB284" s="2685"/>
      <c r="AC284" s="2675">
        <f t="shared" si="128"/>
        <v>0</v>
      </c>
      <c r="AD284" s="2695"/>
      <c r="AE284" s="2695"/>
      <c r="AF284" s="2695"/>
      <c r="AG284" s="2695"/>
      <c r="AH284" s="2695"/>
      <c r="AI284" s="2695"/>
      <c r="AJ284" s="2695"/>
      <c r="AK284" s="2695"/>
      <c r="AL284" s="2695"/>
      <c r="AM284" s="2695"/>
      <c r="AN284" s="2695"/>
      <c r="AO284" s="2695"/>
      <c r="AP284" s="2695"/>
      <c r="AQ284" s="2695"/>
      <c r="AR284" s="2695"/>
      <c r="AS284" s="2695"/>
      <c r="AT284" s="2703"/>
      <c r="AU284" s="2704"/>
      <c r="AV284" s="1074">
        <f t="shared" si="129"/>
        <v>0</v>
      </c>
      <c r="AW284" s="1074">
        <f t="shared" si="130"/>
        <v>0</v>
      </c>
      <c r="AX284" s="1074">
        <f t="shared" si="131"/>
        <v>0</v>
      </c>
      <c r="AY284" s="2279">
        <f t="shared" si="132"/>
        <v>0</v>
      </c>
      <c r="AZ284" s="2675">
        <f t="shared" si="133"/>
        <v>0</v>
      </c>
      <c r="BA284" s="2675">
        <f t="shared" si="134"/>
        <v>0</v>
      </c>
      <c r="BB284" s="2675">
        <f t="shared" si="135"/>
        <v>0</v>
      </c>
      <c r="BC284" s="2675">
        <f t="shared" si="136"/>
        <v>0</v>
      </c>
      <c r="BD284" s="2675">
        <f t="shared" si="137"/>
        <v>0</v>
      </c>
      <c r="BE284" s="2675">
        <f t="shared" si="138"/>
        <v>0</v>
      </c>
      <c r="BF284" s="2675">
        <f t="shared" si="139"/>
        <v>0</v>
      </c>
      <c r="BG284" s="2675">
        <f t="shared" si="140"/>
        <v>0</v>
      </c>
      <c r="BH284" s="2675">
        <f t="shared" si="141"/>
        <v>0</v>
      </c>
      <c r="BI284" s="2675">
        <f t="shared" si="142"/>
        <v>0</v>
      </c>
      <c r="BJ284" s="2675">
        <f t="shared" si="143"/>
        <v>0</v>
      </c>
      <c r="BK284" s="2675">
        <f t="shared" si="144"/>
        <v>0</v>
      </c>
      <c r="BL284" s="2675">
        <f t="shared" si="145"/>
        <v>0</v>
      </c>
      <c r="BM284" s="2675">
        <f t="shared" si="146"/>
        <v>0</v>
      </c>
      <c r="BN284" s="2675">
        <f t="shared" si="147"/>
        <v>0</v>
      </c>
      <c r="BO284" s="2675">
        <f t="shared" si="148"/>
        <v>0</v>
      </c>
      <c r="BP284" s="2675">
        <f t="shared" si="149"/>
        <v>0</v>
      </c>
      <c r="BQ284" s="2675">
        <f t="shared" si="150"/>
        <v>0</v>
      </c>
      <c r="BR284" s="2675">
        <f t="shared" si="151"/>
        <v>0</v>
      </c>
      <c r="BS284" s="2675">
        <f t="shared" si="152"/>
        <v>0</v>
      </c>
      <c r="BT284" s="2722">
        <f t="shared" si="153"/>
        <v>0</v>
      </c>
    </row>
    <row r="285" spans="1:72">
      <c r="A285" s="2673"/>
      <c r="B285" s="2674"/>
      <c r="C285" s="2674"/>
      <c r="D285" s="2277"/>
      <c r="E285" s="2675">
        <f t="shared" si="125"/>
        <v>0</v>
      </c>
      <c r="F285" s="2676"/>
      <c r="G285" s="2677">
        <f t="shared" si="126"/>
        <v>0</v>
      </c>
      <c r="H285" s="2678">
        <f t="shared" si="127"/>
        <v>0</v>
      </c>
      <c r="I285" s="2685"/>
      <c r="J285" s="2685"/>
      <c r="K285" s="2685"/>
      <c r="L285" s="2685"/>
      <c r="M285" s="2685"/>
      <c r="N285" s="2685"/>
      <c r="O285" s="2685"/>
      <c r="P285" s="2685"/>
      <c r="Q285" s="2685"/>
      <c r="R285" s="2685"/>
      <c r="S285" s="2685"/>
      <c r="T285" s="2685"/>
      <c r="U285" s="2685"/>
      <c r="V285" s="2685"/>
      <c r="W285" s="2685"/>
      <c r="X285" s="2685"/>
      <c r="Y285" s="2685"/>
      <c r="Z285" s="2685"/>
      <c r="AA285" s="2685"/>
      <c r="AB285" s="2685"/>
      <c r="AC285" s="2675">
        <f t="shared" si="128"/>
        <v>0</v>
      </c>
      <c r="AD285" s="2695"/>
      <c r="AE285" s="2695"/>
      <c r="AF285" s="2695"/>
      <c r="AG285" s="2695"/>
      <c r="AH285" s="2695"/>
      <c r="AI285" s="2695"/>
      <c r="AJ285" s="2695"/>
      <c r="AK285" s="2695"/>
      <c r="AL285" s="2695"/>
      <c r="AM285" s="2695"/>
      <c r="AN285" s="2695"/>
      <c r="AO285" s="2695"/>
      <c r="AP285" s="2695"/>
      <c r="AQ285" s="2695"/>
      <c r="AR285" s="2695"/>
      <c r="AS285" s="2695"/>
      <c r="AT285" s="2703"/>
      <c r="AU285" s="2704"/>
      <c r="AV285" s="1074">
        <f t="shared" si="129"/>
        <v>0</v>
      </c>
      <c r="AW285" s="1074">
        <f t="shared" si="130"/>
        <v>0</v>
      </c>
      <c r="AX285" s="1074">
        <f t="shared" si="131"/>
        <v>0</v>
      </c>
      <c r="AY285" s="2279">
        <f t="shared" si="132"/>
        <v>0</v>
      </c>
      <c r="AZ285" s="2675">
        <f t="shared" si="133"/>
        <v>0</v>
      </c>
      <c r="BA285" s="2675">
        <f t="shared" si="134"/>
        <v>0</v>
      </c>
      <c r="BB285" s="2675">
        <f t="shared" si="135"/>
        <v>0</v>
      </c>
      <c r="BC285" s="2675">
        <f t="shared" si="136"/>
        <v>0</v>
      </c>
      <c r="BD285" s="2675">
        <f t="shared" si="137"/>
        <v>0</v>
      </c>
      <c r="BE285" s="2675">
        <f t="shared" si="138"/>
        <v>0</v>
      </c>
      <c r="BF285" s="2675">
        <f t="shared" si="139"/>
        <v>0</v>
      </c>
      <c r="BG285" s="2675">
        <f t="shared" si="140"/>
        <v>0</v>
      </c>
      <c r="BH285" s="2675">
        <f t="shared" si="141"/>
        <v>0</v>
      </c>
      <c r="BI285" s="2675">
        <f t="shared" si="142"/>
        <v>0</v>
      </c>
      <c r="BJ285" s="2675">
        <f t="shared" si="143"/>
        <v>0</v>
      </c>
      <c r="BK285" s="2675">
        <f t="shared" si="144"/>
        <v>0</v>
      </c>
      <c r="BL285" s="2675">
        <f t="shared" si="145"/>
        <v>0</v>
      </c>
      <c r="BM285" s="2675">
        <f t="shared" si="146"/>
        <v>0</v>
      </c>
      <c r="BN285" s="2675">
        <f t="shared" si="147"/>
        <v>0</v>
      </c>
      <c r="BO285" s="2675">
        <f t="shared" si="148"/>
        <v>0</v>
      </c>
      <c r="BP285" s="2675">
        <f t="shared" si="149"/>
        <v>0</v>
      </c>
      <c r="BQ285" s="2675">
        <f t="shared" si="150"/>
        <v>0</v>
      </c>
      <c r="BR285" s="2675">
        <f t="shared" si="151"/>
        <v>0</v>
      </c>
      <c r="BS285" s="2675">
        <f t="shared" si="152"/>
        <v>0</v>
      </c>
      <c r="BT285" s="2722">
        <f t="shared" si="153"/>
        <v>0</v>
      </c>
    </row>
    <row r="286" spans="1:72">
      <c r="A286" s="2673"/>
      <c r="B286" s="2674"/>
      <c r="C286" s="2674"/>
      <c r="D286" s="2277"/>
      <c r="E286" s="2675">
        <f t="shared" si="125"/>
        <v>0</v>
      </c>
      <c r="F286" s="2676"/>
      <c r="G286" s="2677">
        <f t="shared" si="126"/>
        <v>0</v>
      </c>
      <c r="H286" s="2678">
        <f t="shared" si="127"/>
        <v>0</v>
      </c>
      <c r="I286" s="2685"/>
      <c r="J286" s="2685"/>
      <c r="K286" s="2685"/>
      <c r="L286" s="2685"/>
      <c r="M286" s="2685"/>
      <c r="N286" s="2685"/>
      <c r="O286" s="2685"/>
      <c r="P286" s="2685"/>
      <c r="Q286" s="2685"/>
      <c r="R286" s="2685"/>
      <c r="S286" s="2685"/>
      <c r="T286" s="2685"/>
      <c r="U286" s="2685"/>
      <c r="V286" s="2685"/>
      <c r="W286" s="2685"/>
      <c r="X286" s="2685"/>
      <c r="Y286" s="2685"/>
      <c r="Z286" s="2685"/>
      <c r="AA286" s="2685"/>
      <c r="AB286" s="2685"/>
      <c r="AC286" s="2675">
        <f t="shared" si="128"/>
        <v>0</v>
      </c>
      <c r="AD286" s="2695"/>
      <c r="AE286" s="2695"/>
      <c r="AF286" s="2695"/>
      <c r="AG286" s="2695"/>
      <c r="AH286" s="2695"/>
      <c r="AI286" s="2695"/>
      <c r="AJ286" s="2695"/>
      <c r="AK286" s="2695"/>
      <c r="AL286" s="2695"/>
      <c r="AM286" s="2695"/>
      <c r="AN286" s="2695"/>
      <c r="AO286" s="2695"/>
      <c r="AP286" s="2695"/>
      <c r="AQ286" s="2695"/>
      <c r="AR286" s="2695"/>
      <c r="AS286" s="2695"/>
      <c r="AT286" s="2703"/>
      <c r="AU286" s="2704"/>
      <c r="AV286" s="1074">
        <f t="shared" si="129"/>
        <v>0</v>
      </c>
      <c r="AW286" s="1074">
        <f t="shared" si="130"/>
        <v>0</v>
      </c>
      <c r="AX286" s="1074">
        <f t="shared" si="131"/>
        <v>0</v>
      </c>
      <c r="AY286" s="2279">
        <f t="shared" si="132"/>
        <v>0</v>
      </c>
      <c r="AZ286" s="2675">
        <f t="shared" si="133"/>
        <v>0</v>
      </c>
      <c r="BA286" s="2675">
        <f t="shared" si="134"/>
        <v>0</v>
      </c>
      <c r="BB286" s="2675">
        <f t="shared" si="135"/>
        <v>0</v>
      </c>
      <c r="BC286" s="2675">
        <f t="shared" si="136"/>
        <v>0</v>
      </c>
      <c r="BD286" s="2675">
        <f t="shared" si="137"/>
        <v>0</v>
      </c>
      <c r="BE286" s="2675">
        <f t="shared" si="138"/>
        <v>0</v>
      </c>
      <c r="BF286" s="2675">
        <f t="shared" si="139"/>
        <v>0</v>
      </c>
      <c r="BG286" s="2675">
        <f t="shared" si="140"/>
        <v>0</v>
      </c>
      <c r="BH286" s="2675">
        <f t="shared" si="141"/>
        <v>0</v>
      </c>
      <c r="BI286" s="2675">
        <f t="shared" si="142"/>
        <v>0</v>
      </c>
      <c r="BJ286" s="2675">
        <f t="shared" si="143"/>
        <v>0</v>
      </c>
      <c r="BK286" s="2675">
        <f t="shared" si="144"/>
        <v>0</v>
      </c>
      <c r="BL286" s="2675">
        <f t="shared" si="145"/>
        <v>0</v>
      </c>
      <c r="BM286" s="2675">
        <f t="shared" si="146"/>
        <v>0</v>
      </c>
      <c r="BN286" s="2675">
        <f t="shared" si="147"/>
        <v>0</v>
      </c>
      <c r="BO286" s="2675">
        <f t="shared" si="148"/>
        <v>0</v>
      </c>
      <c r="BP286" s="2675">
        <f t="shared" si="149"/>
        <v>0</v>
      </c>
      <c r="BQ286" s="2675">
        <f t="shared" si="150"/>
        <v>0</v>
      </c>
      <c r="BR286" s="2675">
        <f t="shared" si="151"/>
        <v>0</v>
      </c>
      <c r="BS286" s="2675">
        <f t="shared" si="152"/>
        <v>0</v>
      </c>
      <c r="BT286" s="2722">
        <f t="shared" si="153"/>
        <v>0</v>
      </c>
    </row>
    <row r="287" spans="1:72">
      <c r="A287" s="2673"/>
      <c r="B287" s="2674"/>
      <c r="C287" s="2674"/>
      <c r="D287" s="2277"/>
      <c r="E287" s="2675">
        <f t="shared" si="125"/>
        <v>0</v>
      </c>
      <c r="F287" s="2676"/>
      <c r="G287" s="2677">
        <f t="shared" si="126"/>
        <v>0</v>
      </c>
      <c r="H287" s="2678">
        <f t="shared" si="127"/>
        <v>0</v>
      </c>
      <c r="I287" s="2685"/>
      <c r="J287" s="2685"/>
      <c r="K287" s="2685"/>
      <c r="L287" s="2685"/>
      <c r="M287" s="2685"/>
      <c r="N287" s="2685"/>
      <c r="O287" s="2685"/>
      <c r="P287" s="2685"/>
      <c r="Q287" s="2685"/>
      <c r="R287" s="2685"/>
      <c r="S287" s="2685"/>
      <c r="T287" s="2685"/>
      <c r="U287" s="2685"/>
      <c r="V287" s="2685"/>
      <c r="W287" s="2685"/>
      <c r="X287" s="2685"/>
      <c r="Y287" s="2685"/>
      <c r="Z287" s="2685"/>
      <c r="AA287" s="2685"/>
      <c r="AB287" s="2685"/>
      <c r="AC287" s="2675">
        <f t="shared" si="128"/>
        <v>0</v>
      </c>
      <c r="AD287" s="2695"/>
      <c r="AE287" s="2695"/>
      <c r="AF287" s="2695"/>
      <c r="AG287" s="2695"/>
      <c r="AH287" s="2695"/>
      <c r="AI287" s="2695"/>
      <c r="AJ287" s="2695"/>
      <c r="AK287" s="2695"/>
      <c r="AL287" s="2695"/>
      <c r="AM287" s="2695"/>
      <c r="AN287" s="2695"/>
      <c r="AO287" s="2695"/>
      <c r="AP287" s="2695"/>
      <c r="AQ287" s="2695"/>
      <c r="AR287" s="2695"/>
      <c r="AS287" s="2695"/>
      <c r="AT287" s="2703"/>
      <c r="AU287" s="2704"/>
      <c r="AV287" s="1074">
        <f t="shared" si="129"/>
        <v>0</v>
      </c>
      <c r="AW287" s="1074">
        <f t="shared" si="130"/>
        <v>0</v>
      </c>
      <c r="AX287" s="1074">
        <f t="shared" si="131"/>
        <v>0</v>
      </c>
      <c r="AY287" s="2279">
        <f t="shared" si="132"/>
        <v>0</v>
      </c>
      <c r="AZ287" s="2675">
        <f t="shared" si="133"/>
        <v>0</v>
      </c>
      <c r="BA287" s="2675">
        <f t="shared" si="134"/>
        <v>0</v>
      </c>
      <c r="BB287" s="2675">
        <f t="shared" si="135"/>
        <v>0</v>
      </c>
      <c r="BC287" s="2675">
        <f t="shared" si="136"/>
        <v>0</v>
      </c>
      <c r="BD287" s="2675">
        <f t="shared" si="137"/>
        <v>0</v>
      </c>
      <c r="BE287" s="2675">
        <f t="shared" si="138"/>
        <v>0</v>
      </c>
      <c r="BF287" s="2675">
        <f t="shared" si="139"/>
        <v>0</v>
      </c>
      <c r="BG287" s="2675">
        <f t="shared" si="140"/>
        <v>0</v>
      </c>
      <c r="BH287" s="2675">
        <f t="shared" si="141"/>
        <v>0</v>
      </c>
      <c r="BI287" s="2675">
        <f t="shared" si="142"/>
        <v>0</v>
      </c>
      <c r="BJ287" s="2675">
        <f t="shared" si="143"/>
        <v>0</v>
      </c>
      <c r="BK287" s="2675">
        <f t="shared" si="144"/>
        <v>0</v>
      </c>
      <c r="BL287" s="2675">
        <f t="shared" si="145"/>
        <v>0</v>
      </c>
      <c r="BM287" s="2675">
        <f t="shared" si="146"/>
        <v>0</v>
      </c>
      <c r="BN287" s="2675">
        <f t="shared" si="147"/>
        <v>0</v>
      </c>
      <c r="BO287" s="2675">
        <f t="shared" si="148"/>
        <v>0</v>
      </c>
      <c r="BP287" s="2675">
        <f t="shared" si="149"/>
        <v>0</v>
      </c>
      <c r="BQ287" s="2675">
        <f t="shared" si="150"/>
        <v>0</v>
      </c>
      <c r="BR287" s="2675">
        <f t="shared" si="151"/>
        <v>0</v>
      </c>
      <c r="BS287" s="2675">
        <f t="shared" si="152"/>
        <v>0</v>
      </c>
      <c r="BT287" s="2722">
        <f t="shared" si="153"/>
        <v>0</v>
      </c>
    </row>
    <row r="288" spans="1:72">
      <c r="A288" s="2673"/>
      <c r="B288" s="2674"/>
      <c r="C288" s="2674"/>
      <c r="D288" s="2277"/>
      <c r="E288" s="2675">
        <f t="shared" si="125"/>
        <v>0</v>
      </c>
      <c r="F288" s="2676"/>
      <c r="G288" s="2677">
        <f t="shared" si="126"/>
        <v>0</v>
      </c>
      <c r="H288" s="2678">
        <f t="shared" si="127"/>
        <v>0</v>
      </c>
      <c r="I288" s="2685"/>
      <c r="J288" s="2685"/>
      <c r="K288" s="2685"/>
      <c r="L288" s="2685"/>
      <c r="M288" s="2685"/>
      <c r="N288" s="2685"/>
      <c r="O288" s="2685"/>
      <c r="P288" s="2685"/>
      <c r="Q288" s="2685"/>
      <c r="R288" s="2685"/>
      <c r="S288" s="2685"/>
      <c r="T288" s="2685"/>
      <c r="U288" s="2685"/>
      <c r="V288" s="2685"/>
      <c r="W288" s="2685"/>
      <c r="X288" s="2685"/>
      <c r="Y288" s="2685"/>
      <c r="Z288" s="2685"/>
      <c r="AA288" s="2685"/>
      <c r="AB288" s="2685"/>
      <c r="AC288" s="2675">
        <f t="shared" si="128"/>
        <v>0</v>
      </c>
      <c r="AD288" s="2695"/>
      <c r="AE288" s="2695"/>
      <c r="AF288" s="2695"/>
      <c r="AG288" s="2695"/>
      <c r="AH288" s="2695"/>
      <c r="AI288" s="2695"/>
      <c r="AJ288" s="2695"/>
      <c r="AK288" s="2695"/>
      <c r="AL288" s="2695"/>
      <c r="AM288" s="2695"/>
      <c r="AN288" s="2695"/>
      <c r="AO288" s="2695"/>
      <c r="AP288" s="2695"/>
      <c r="AQ288" s="2695"/>
      <c r="AR288" s="2695"/>
      <c r="AS288" s="2695"/>
      <c r="AT288" s="2703"/>
      <c r="AU288" s="2704"/>
      <c r="AV288" s="1074">
        <f t="shared" si="129"/>
        <v>0</v>
      </c>
      <c r="AW288" s="1074">
        <f t="shared" si="130"/>
        <v>0</v>
      </c>
      <c r="AX288" s="1074">
        <f t="shared" si="131"/>
        <v>0</v>
      </c>
      <c r="AY288" s="2279">
        <f t="shared" si="132"/>
        <v>0</v>
      </c>
      <c r="AZ288" s="2675">
        <f t="shared" si="133"/>
        <v>0</v>
      </c>
      <c r="BA288" s="2675">
        <f t="shared" si="134"/>
        <v>0</v>
      </c>
      <c r="BB288" s="2675">
        <f t="shared" si="135"/>
        <v>0</v>
      </c>
      <c r="BC288" s="2675">
        <f t="shared" si="136"/>
        <v>0</v>
      </c>
      <c r="BD288" s="2675">
        <f t="shared" si="137"/>
        <v>0</v>
      </c>
      <c r="BE288" s="2675">
        <f t="shared" si="138"/>
        <v>0</v>
      </c>
      <c r="BF288" s="2675">
        <f t="shared" si="139"/>
        <v>0</v>
      </c>
      <c r="BG288" s="2675">
        <f t="shared" si="140"/>
        <v>0</v>
      </c>
      <c r="BH288" s="2675">
        <f t="shared" si="141"/>
        <v>0</v>
      </c>
      <c r="BI288" s="2675">
        <f t="shared" si="142"/>
        <v>0</v>
      </c>
      <c r="BJ288" s="2675">
        <f t="shared" si="143"/>
        <v>0</v>
      </c>
      <c r="BK288" s="2675">
        <f t="shared" si="144"/>
        <v>0</v>
      </c>
      <c r="BL288" s="2675">
        <f t="shared" si="145"/>
        <v>0</v>
      </c>
      <c r="BM288" s="2675">
        <f t="shared" si="146"/>
        <v>0</v>
      </c>
      <c r="BN288" s="2675">
        <f t="shared" si="147"/>
        <v>0</v>
      </c>
      <c r="BO288" s="2675">
        <f t="shared" si="148"/>
        <v>0</v>
      </c>
      <c r="BP288" s="2675">
        <f t="shared" si="149"/>
        <v>0</v>
      </c>
      <c r="BQ288" s="2675">
        <f t="shared" si="150"/>
        <v>0</v>
      </c>
      <c r="BR288" s="2675">
        <f t="shared" si="151"/>
        <v>0</v>
      </c>
      <c r="BS288" s="2675">
        <f t="shared" si="152"/>
        <v>0</v>
      </c>
      <c r="BT288" s="2722">
        <f t="shared" si="153"/>
        <v>0</v>
      </c>
    </row>
    <row r="289" spans="1:72">
      <c r="A289" s="2673"/>
      <c r="B289" s="2674"/>
      <c r="C289" s="2674"/>
      <c r="D289" s="2277"/>
      <c r="E289" s="2675">
        <f t="shared" si="125"/>
        <v>0</v>
      </c>
      <c r="F289" s="2676"/>
      <c r="G289" s="2677">
        <f t="shared" si="126"/>
        <v>0</v>
      </c>
      <c r="H289" s="2678">
        <f t="shared" si="127"/>
        <v>0</v>
      </c>
      <c r="I289" s="2685"/>
      <c r="J289" s="2685"/>
      <c r="K289" s="2685"/>
      <c r="L289" s="2685"/>
      <c r="M289" s="2685"/>
      <c r="N289" s="2685"/>
      <c r="O289" s="2685"/>
      <c r="P289" s="2685"/>
      <c r="Q289" s="2685"/>
      <c r="R289" s="2685"/>
      <c r="S289" s="2685"/>
      <c r="T289" s="2685"/>
      <c r="U289" s="2685"/>
      <c r="V289" s="2685"/>
      <c r="W289" s="2685"/>
      <c r="X289" s="2685"/>
      <c r="Y289" s="2685"/>
      <c r="Z289" s="2685"/>
      <c r="AA289" s="2685"/>
      <c r="AB289" s="2685"/>
      <c r="AC289" s="2675">
        <f t="shared" si="128"/>
        <v>0</v>
      </c>
      <c r="AD289" s="2695"/>
      <c r="AE289" s="2695"/>
      <c r="AF289" s="2695"/>
      <c r="AG289" s="2695"/>
      <c r="AH289" s="2695"/>
      <c r="AI289" s="2695"/>
      <c r="AJ289" s="2695"/>
      <c r="AK289" s="2695"/>
      <c r="AL289" s="2695"/>
      <c r="AM289" s="2695"/>
      <c r="AN289" s="2695"/>
      <c r="AO289" s="2695"/>
      <c r="AP289" s="2695"/>
      <c r="AQ289" s="2695"/>
      <c r="AR289" s="2695"/>
      <c r="AS289" s="2695"/>
      <c r="AT289" s="2703"/>
      <c r="AU289" s="2704"/>
      <c r="AV289" s="1074">
        <f t="shared" si="129"/>
        <v>0</v>
      </c>
      <c r="AW289" s="1074">
        <f t="shared" si="130"/>
        <v>0</v>
      </c>
      <c r="AX289" s="1074">
        <f t="shared" si="131"/>
        <v>0</v>
      </c>
      <c r="AY289" s="2279">
        <f t="shared" si="132"/>
        <v>0</v>
      </c>
      <c r="AZ289" s="2675">
        <f t="shared" si="133"/>
        <v>0</v>
      </c>
      <c r="BA289" s="2675">
        <f t="shared" si="134"/>
        <v>0</v>
      </c>
      <c r="BB289" s="2675">
        <f t="shared" si="135"/>
        <v>0</v>
      </c>
      <c r="BC289" s="2675">
        <f t="shared" si="136"/>
        <v>0</v>
      </c>
      <c r="BD289" s="2675">
        <f t="shared" si="137"/>
        <v>0</v>
      </c>
      <c r="BE289" s="2675">
        <f t="shared" si="138"/>
        <v>0</v>
      </c>
      <c r="BF289" s="2675">
        <f t="shared" si="139"/>
        <v>0</v>
      </c>
      <c r="BG289" s="2675">
        <f t="shared" si="140"/>
        <v>0</v>
      </c>
      <c r="BH289" s="2675">
        <f t="shared" si="141"/>
        <v>0</v>
      </c>
      <c r="BI289" s="2675">
        <f t="shared" si="142"/>
        <v>0</v>
      </c>
      <c r="BJ289" s="2675">
        <f t="shared" si="143"/>
        <v>0</v>
      </c>
      <c r="BK289" s="2675">
        <f t="shared" si="144"/>
        <v>0</v>
      </c>
      <c r="BL289" s="2675">
        <f t="shared" si="145"/>
        <v>0</v>
      </c>
      <c r="BM289" s="2675">
        <f t="shared" si="146"/>
        <v>0</v>
      </c>
      <c r="BN289" s="2675">
        <f t="shared" si="147"/>
        <v>0</v>
      </c>
      <c r="BO289" s="2675">
        <f t="shared" si="148"/>
        <v>0</v>
      </c>
      <c r="BP289" s="2675">
        <f t="shared" si="149"/>
        <v>0</v>
      </c>
      <c r="BQ289" s="2675">
        <f t="shared" si="150"/>
        <v>0</v>
      </c>
      <c r="BR289" s="2675">
        <f t="shared" si="151"/>
        <v>0</v>
      </c>
      <c r="BS289" s="2675">
        <f t="shared" si="152"/>
        <v>0</v>
      </c>
      <c r="BT289" s="2722">
        <f t="shared" si="153"/>
        <v>0</v>
      </c>
    </row>
    <row r="290" spans="1:72">
      <c r="A290" s="2673"/>
      <c r="B290" s="2674"/>
      <c r="C290" s="2674"/>
      <c r="D290" s="2277"/>
      <c r="E290" s="2675">
        <f t="shared" si="125"/>
        <v>0</v>
      </c>
      <c r="F290" s="2676"/>
      <c r="G290" s="2677">
        <f t="shared" si="126"/>
        <v>0</v>
      </c>
      <c r="H290" s="2678">
        <f t="shared" si="127"/>
        <v>0</v>
      </c>
      <c r="I290" s="2685"/>
      <c r="J290" s="2685"/>
      <c r="K290" s="2685"/>
      <c r="L290" s="2685"/>
      <c r="M290" s="2685"/>
      <c r="N290" s="2685"/>
      <c r="O290" s="2685"/>
      <c r="P290" s="2685"/>
      <c r="Q290" s="2685"/>
      <c r="R290" s="2685"/>
      <c r="S290" s="2685"/>
      <c r="T290" s="2685"/>
      <c r="U290" s="2685"/>
      <c r="V290" s="2685"/>
      <c r="W290" s="2685"/>
      <c r="X290" s="2685"/>
      <c r="Y290" s="2685"/>
      <c r="Z290" s="2685"/>
      <c r="AA290" s="2685"/>
      <c r="AB290" s="2685"/>
      <c r="AC290" s="2675">
        <f t="shared" si="128"/>
        <v>0</v>
      </c>
      <c r="AD290" s="2695"/>
      <c r="AE290" s="2695"/>
      <c r="AF290" s="2695"/>
      <c r="AG290" s="2695"/>
      <c r="AH290" s="2695"/>
      <c r="AI290" s="2695"/>
      <c r="AJ290" s="2695"/>
      <c r="AK290" s="2695"/>
      <c r="AL290" s="2695"/>
      <c r="AM290" s="2695"/>
      <c r="AN290" s="2695"/>
      <c r="AO290" s="2695"/>
      <c r="AP290" s="2695"/>
      <c r="AQ290" s="2695"/>
      <c r="AR290" s="2695"/>
      <c r="AS290" s="2695"/>
      <c r="AT290" s="2703"/>
      <c r="AU290" s="2704"/>
      <c r="AV290" s="1074">
        <f t="shared" si="129"/>
        <v>0</v>
      </c>
      <c r="AW290" s="1074">
        <f t="shared" si="130"/>
        <v>0</v>
      </c>
      <c r="AX290" s="1074">
        <f t="shared" si="131"/>
        <v>0</v>
      </c>
      <c r="AY290" s="2279">
        <f t="shared" si="132"/>
        <v>0</v>
      </c>
      <c r="AZ290" s="2675">
        <f t="shared" si="133"/>
        <v>0</v>
      </c>
      <c r="BA290" s="2675">
        <f t="shared" si="134"/>
        <v>0</v>
      </c>
      <c r="BB290" s="2675">
        <f t="shared" si="135"/>
        <v>0</v>
      </c>
      <c r="BC290" s="2675">
        <f t="shared" si="136"/>
        <v>0</v>
      </c>
      <c r="BD290" s="2675">
        <f t="shared" si="137"/>
        <v>0</v>
      </c>
      <c r="BE290" s="2675">
        <f t="shared" si="138"/>
        <v>0</v>
      </c>
      <c r="BF290" s="2675">
        <f t="shared" si="139"/>
        <v>0</v>
      </c>
      <c r="BG290" s="2675">
        <f t="shared" si="140"/>
        <v>0</v>
      </c>
      <c r="BH290" s="2675">
        <f t="shared" si="141"/>
        <v>0</v>
      </c>
      <c r="BI290" s="2675">
        <f t="shared" si="142"/>
        <v>0</v>
      </c>
      <c r="BJ290" s="2675">
        <f t="shared" si="143"/>
        <v>0</v>
      </c>
      <c r="BK290" s="2675">
        <f t="shared" si="144"/>
        <v>0</v>
      </c>
      <c r="BL290" s="2675">
        <f t="shared" si="145"/>
        <v>0</v>
      </c>
      <c r="BM290" s="2675">
        <f t="shared" si="146"/>
        <v>0</v>
      </c>
      <c r="BN290" s="2675">
        <f t="shared" si="147"/>
        <v>0</v>
      </c>
      <c r="BO290" s="2675">
        <f t="shared" si="148"/>
        <v>0</v>
      </c>
      <c r="BP290" s="2675">
        <f t="shared" si="149"/>
        <v>0</v>
      </c>
      <c r="BQ290" s="2675">
        <f t="shared" si="150"/>
        <v>0</v>
      </c>
      <c r="BR290" s="2675">
        <f t="shared" si="151"/>
        <v>0</v>
      </c>
      <c r="BS290" s="2675">
        <f t="shared" si="152"/>
        <v>0</v>
      </c>
      <c r="BT290" s="2722">
        <f t="shared" si="153"/>
        <v>0</v>
      </c>
    </row>
    <row r="291" spans="1:72">
      <c r="A291" s="2673"/>
      <c r="B291" s="2674"/>
      <c r="C291" s="2674"/>
      <c r="D291" s="2277"/>
      <c r="E291" s="2675">
        <f t="shared" si="125"/>
        <v>0</v>
      </c>
      <c r="F291" s="2676"/>
      <c r="G291" s="2677">
        <f t="shared" si="126"/>
        <v>0</v>
      </c>
      <c r="H291" s="2678">
        <f t="shared" si="127"/>
        <v>0</v>
      </c>
      <c r="I291" s="2685"/>
      <c r="J291" s="2685"/>
      <c r="K291" s="2685"/>
      <c r="L291" s="2685"/>
      <c r="M291" s="2685"/>
      <c r="N291" s="2685"/>
      <c r="O291" s="2685"/>
      <c r="P291" s="2685"/>
      <c r="Q291" s="2685"/>
      <c r="R291" s="2685"/>
      <c r="S291" s="2685"/>
      <c r="T291" s="2685"/>
      <c r="U291" s="2685"/>
      <c r="V291" s="2685"/>
      <c r="W291" s="2685"/>
      <c r="X291" s="2685"/>
      <c r="Y291" s="2685"/>
      <c r="Z291" s="2685"/>
      <c r="AA291" s="2685"/>
      <c r="AB291" s="2685"/>
      <c r="AC291" s="2675">
        <f t="shared" si="128"/>
        <v>0</v>
      </c>
      <c r="AD291" s="2695"/>
      <c r="AE291" s="2695"/>
      <c r="AF291" s="2695"/>
      <c r="AG291" s="2695"/>
      <c r="AH291" s="2695"/>
      <c r="AI291" s="2695"/>
      <c r="AJ291" s="2695"/>
      <c r="AK291" s="2695"/>
      <c r="AL291" s="2695"/>
      <c r="AM291" s="2695"/>
      <c r="AN291" s="2695"/>
      <c r="AO291" s="2695"/>
      <c r="AP291" s="2695"/>
      <c r="AQ291" s="2695"/>
      <c r="AR291" s="2695"/>
      <c r="AS291" s="2695"/>
      <c r="AT291" s="2703"/>
      <c r="AU291" s="2704"/>
      <c r="AV291" s="1074">
        <f t="shared" si="129"/>
        <v>0</v>
      </c>
      <c r="AW291" s="1074">
        <f t="shared" si="130"/>
        <v>0</v>
      </c>
      <c r="AX291" s="1074">
        <f t="shared" si="131"/>
        <v>0</v>
      </c>
      <c r="AY291" s="2279">
        <f t="shared" si="132"/>
        <v>0</v>
      </c>
      <c r="AZ291" s="2675">
        <f t="shared" si="133"/>
        <v>0</v>
      </c>
      <c r="BA291" s="2675">
        <f t="shared" si="134"/>
        <v>0</v>
      </c>
      <c r="BB291" s="2675">
        <f t="shared" si="135"/>
        <v>0</v>
      </c>
      <c r="BC291" s="2675">
        <f t="shared" si="136"/>
        <v>0</v>
      </c>
      <c r="BD291" s="2675">
        <f t="shared" si="137"/>
        <v>0</v>
      </c>
      <c r="BE291" s="2675">
        <f t="shared" si="138"/>
        <v>0</v>
      </c>
      <c r="BF291" s="2675">
        <f t="shared" si="139"/>
        <v>0</v>
      </c>
      <c r="BG291" s="2675">
        <f t="shared" si="140"/>
        <v>0</v>
      </c>
      <c r="BH291" s="2675">
        <f t="shared" si="141"/>
        <v>0</v>
      </c>
      <c r="BI291" s="2675">
        <f t="shared" si="142"/>
        <v>0</v>
      </c>
      <c r="BJ291" s="2675">
        <f t="shared" si="143"/>
        <v>0</v>
      </c>
      <c r="BK291" s="2675">
        <f t="shared" si="144"/>
        <v>0</v>
      </c>
      <c r="BL291" s="2675">
        <f t="shared" si="145"/>
        <v>0</v>
      </c>
      <c r="BM291" s="2675">
        <f t="shared" si="146"/>
        <v>0</v>
      </c>
      <c r="BN291" s="2675">
        <f t="shared" si="147"/>
        <v>0</v>
      </c>
      <c r="BO291" s="2675">
        <f t="shared" si="148"/>
        <v>0</v>
      </c>
      <c r="BP291" s="2675">
        <f t="shared" si="149"/>
        <v>0</v>
      </c>
      <c r="BQ291" s="2675">
        <f t="shared" si="150"/>
        <v>0</v>
      </c>
      <c r="BR291" s="2675">
        <f t="shared" si="151"/>
        <v>0</v>
      </c>
      <c r="BS291" s="2675">
        <f t="shared" si="152"/>
        <v>0</v>
      </c>
      <c r="BT291" s="2722">
        <f t="shared" si="153"/>
        <v>0</v>
      </c>
    </row>
    <row r="292" spans="1:72">
      <c r="A292" s="2673"/>
      <c r="B292" s="2674"/>
      <c r="C292" s="2674"/>
      <c r="D292" s="2277"/>
      <c r="E292" s="2675">
        <f t="shared" si="125"/>
        <v>0</v>
      </c>
      <c r="F292" s="2676"/>
      <c r="G292" s="2677">
        <f t="shared" si="126"/>
        <v>0</v>
      </c>
      <c r="H292" s="2678">
        <f t="shared" si="127"/>
        <v>0</v>
      </c>
      <c r="I292" s="2685"/>
      <c r="J292" s="2685"/>
      <c r="K292" s="2685"/>
      <c r="L292" s="2685"/>
      <c r="M292" s="2685"/>
      <c r="N292" s="2685"/>
      <c r="O292" s="2685"/>
      <c r="P292" s="2685"/>
      <c r="Q292" s="2685"/>
      <c r="R292" s="2685"/>
      <c r="S292" s="2685"/>
      <c r="T292" s="2685"/>
      <c r="U292" s="2685"/>
      <c r="V292" s="2685"/>
      <c r="W292" s="2685"/>
      <c r="X292" s="2685"/>
      <c r="Y292" s="2685"/>
      <c r="Z292" s="2685"/>
      <c r="AA292" s="2685"/>
      <c r="AB292" s="2685"/>
      <c r="AC292" s="2675">
        <f t="shared" si="128"/>
        <v>0</v>
      </c>
      <c r="AD292" s="2695"/>
      <c r="AE292" s="2695"/>
      <c r="AF292" s="2695"/>
      <c r="AG292" s="2695"/>
      <c r="AH292" s="2695"/>
      <c r="AI292" s="2695"/>
      <c r="AJ292" s="2695"/>
      <c r="AK292" s="2695"/>
      <c r="AL292" s="2695"/>
      <c r="AM292" s="2695"/>
      <c r="AN292" s="2695"/>
      <c r="AO292" s="2695"/>
      <c r="AP292" s="2695"/>
      <c r="AQ292" s="2695"/>
      <c r="AR292" s="2695"/>
      <c r="AS292" s="2695"/>
      <c r="AT292" s="2703"/>
      <c r="AU292" s="2704"/>
      <c r="AV292" s="1074">
        <f t="shared" si="129"/>
        <v>0</v>
      </c>
      <c r="AW292" s="1074">
        <f t="shared" si="130"/>
        <v>0</v>
      </c>
      <c r="AX292" s="1074">
        <f t="shared" si="131"/>
        <v>0</v>
      </c>
      <c r="AY292" s="2279">
        <f t="shared" si="132"/>
        <v>0</v>
      </c>
      <c r="AZ292" s="2675">
        <f t="shared" si="133"/>
        <v>0</v>
      </c>
      <c r="BA292" s="2675">
        <f t="shared" si="134"/>
        <v>0</v>
      </c>
      <c r="BB292" s="2675">
        <f t="shared" si="135"/>
        <v>0</v>
      </c>
      <c r="BC292" s="2675">
        <f t="shared" si="136"/>
        <v>0</v>
      </c>
      <c r="BD292" s="2675">
        <f t="shared" si="137"/>
        <v>0</v>
      </c>
      <c r="BE292" s="2675">
        <f t="shared" si="138"/>
        <v>0</v>
      </c>
      <c r="BF292" s="2675">
        <f t="shared" si="139"/>
        <v>0</v>
      </c>
      <c r="BG292" s="2675">
        <f t="shared" si="140"/>
        <v>0</v>
      </c>
      <c r="BH292" s="2675">
        <f t="shared" si="141"/>
        <v>0</v>
      </c>
      <c r="BI292" s="2675">
        <f t="shared" si="142"/>
        <v>0</v>
      </c>
      <c r="BJ292" s="2675">
        <f t="shared" si="143"/>
        <v>0</v>
      </c>
      <c r="BK292" s="2675">
        <f t="shared" si="144"/>
        <v>0</v>
      </c>
      <c r="BL292" s="2675">
        <f t="shared" si="145"/>
        <v>0</v>
      </c>
      <c r="BM292" s="2675">
        <f t="shared" si="146"/>
        <v>0</v>
      </c>
      <c r="BN292" s="2675">
        <f t="shared" si="147"/>
        <v>0</v>
      </c>
      <c r="BO292" s="2675">
        <f t="shared" si="148"/>
        <v>0</v>
      </c>
      <c r="BP292" s="2675">
        <f t="shared" si="149"/>
        <v>0</v>
      </c>
      <c r="BQ292" s="2675">
        <f t="shared" si="150"/>
        <v>0</v>
      </c>
      <c r="BR292" s="2675">
        <f t="shared" si="151"/>
        <v>0</v>
      </c>
      <c r="BS292" s="2675">
        <f t="shared" si="152"/>
        <v>0</v>
      </c>
      <c r="BT292" s="2722">
        <f t="shared" si="153"/>
        <v>0</v>
      </c>
    </row>
    <row r="293" spans="1:72">
      <c r="A293" s="2673"/>
      <c r="B293" s="2674"/>
      <c r="C293" s="2674"/>
      <c r="D293" s="2277"/>
      <c r="E293" s="2675">
        <f t="shared" si="125"/>
        <v>0</v>
      </c>
      <c r="F293" s="2676"/>
      <c r="G293" s="2677">
        <f t="shared" si="126"/>
        <v>0</v>
      </c>
      <c r="H293" s="2678">
        <f t="shared" si="127"/>
        <v>0</v>
      </c>
      <c r="I293" s="2685"/>
      <c r="J293" s="2685"/>
      <c r="K293" s="2685"/>
      <c r="L293" s="2685"/>
      <c r="M293" s="2685"/>
      <c r="N293" s="2685"/>
      <c r="O293" s="2685"/>
      <c r="P293" s="2685"/>
      <c r="Q293" s="2685"/>
      <c r="R293" s="2685"/>
      <c r="S293" s="2685"/>
      <c r="T293" s="2685"/>
      <c r="U293" s="2685"/>
      <c r="V293" s="2685"/>
      <c r="W293" s="2685"/>
      <c r="X293" s="2685"/>
      <c r="Y293" s="2685"/>
      <c r="Z293" s="2685"/>
      <c r="AA293" s="2685"/>
      <c r="AB293" s="2685"/>
      <c r="AC293" s="2675">
        <f t="shared" si="128"/>
        <v>0</v>
      </c>
      <c r="AD293" s="2695"/>
      <c r="AE293" s="2695"/>
      <c r="AF293" s="2695"/>
      <c r="AG293" s="2695"/>
      <c r="AH293" s="2695"/>
      <c r="AI293" s="2695"/>
      <c r="AJ293" s="2695"/>
      <c r="AK293" s="2695"/>
      <c r="AL293" s="2695"/>
      <c r="AM293" s="2695"/>
      <c r="AN293" s="2695"/>
      <c r="AO293" s="2695"/>
      <c r="AP293" s="2695"/>
      <c r="AQ293" s="2695"/>
      <c r="AR293" s="2695"/>
      <c r="AS293" s="2695"/>
      <c r="AT293" s="2703"/>
      <c r="AU293" s="2704"/>
      <c r="AV293" s="1074">
        <f t="shared" si="129"/>
        <v>0</v>
      </c>
      <c r="AW293" s="1074">
        <f t="shared" si="130"/>
        <v>0</v>
      </c>
      <c r="AX293" s="1074">
        <f t="shared" si="131"/>
        <v>0</v>
      </c>
      <c r="AY293" s="2279">
        <f t="shared" si="132"/>
        <v>0</v>
      </c>
      <c r="AZ293" s="2675">
        <f t="shared" si="133"/>
        <v>0</v>
      </c>
      <c r="BA293" s="2675">
        <f t="shared" si="134"/>
        <v>0</v>
      </c>
      <c r="BB293" s="2675">
        <f t="shared" si="135"/>
        <v>0</v>
      </c>
      <c r="BC293" s="2675">
        <f t="shared" si="136"/>
        <v>0</v>
      </c>
      <c r="BD293" s="2675">
        <f t="shared" si="137"/>
        <v>0</v>
      </c>
      <c r="BE293" s="2675">
        <f t="shared" si="138"/>
        <v>0</v>
      </c>
      <c r="BF293" s="2675">
        <f t="shared" si="139"/>
        <v>0</v>
      </c>
      <c r="BG293" s="2675">
        <f t="shared" si="140"/>
        <v>0</v>
      </c>
      <c r="BH293" s="2675">
        <f t="shared" si="141"/>
        <v>0</v>
      </c>
      <c r="BI293" s="2675">
        <f t="shared" si="142"/>
        <v>0</v>
      </c>
      <c r="BJ293" s="2675">
        <f t="shared" si="143"/>
        <v>0</v>
      </c>
      <c r="BK293" s="2675">
        <f t="shared" si="144"/>
        <v>0</v>
      </c>
      <c r="BL293" s="2675">
        <f t="shared" si="145"/>
        <v>0</v>
      </c>
      <c r="BM293" s="2675">
        <f t="shared" si="146"/>
        <v>0</v>
      </c>
      <c r="BN293" s="2675">
        <f t="shared" si="147"/>
        <v>0</v>
      </c>
      <c r="BO293" s="2675">
        <f t="shared" si="148"/>
        <v>0</v>
      </c>
      <c r="BP293" s="2675">
        <f t="shared" si="149"/>
        <v>0</v>
      </c>
      <c r="BQ293" s="2675">
        <f t="shared" si="150"/>
        <v>0</v>
      </c>
      <c r="BR293" s="2675">
        <f t="shared" si="151"/>
        <v>0</v>
      </c>
      <c r="BS293" s="2675">
        <f t="shared" si="152"/>
        <v>0</v>
      </c>
      <c r="BT293" s="2722">
        <f t="shared" si="153"/>
        <v>0</v>
      </c>
    </row>
    <row r="294" spans="1:72">
      <c r="A294" s="2673"/>
      <c r="B294" s="2674"/>
      <c r="C294" s="2674"/>
      <c r="D294" s="2277"/>
      <c r="E294" s="2675">
        <f t="shared" si="125"/>
        <v>0</v>
      </c>
      <c r="F294" s="2676"/>
      <c r="G294" s="2677">
        <f t="shared" si="126"/>
        <v>0</v>
      </c>
      <c r="H294" s="2678">
        <f t="shared" si="127"/>
        <v>0</v>
      </c>
      <c r="I294" s="2685"/>
      <c r="J294" s="2685"/>
      <c r="K294" s="2685"/>
      <c r="L294" s="2685"/>
      <c r="M294" s="2685"/>
      <c r="N294" s="2685"/>
      <c r="O294" s="2685"/>
      <c r="P294" s="2685"/>
      <c r="Q294" s="2685"/>
      <c r="R294" s="2685"/>
      <c r="S294" s="2685"/>
      <c r="T294" s="2685"/>
      <c r="U294" s="2685"/>
      <c r="V294" s="2685"/>
      <c r="W294" s="2685"/>
      <c r="X294" s="2685"/>
      <c r="Y294" s="2685"/>
      <c r="Z294" s="2685"/>
      <c r="AA294" s="2685"/>
      <c r="AB294" s="2685"/>
      <c r="AC294" s="2675">
        <f t="shared" si="128"/>
        <v>0</v>
      </c>
      <c r="AD294" s="2695"/>
      <c r="AE294" s="2695"/>
      <c r="AF294" s="2695"/>
      <c r="AG294" s="2695"/>
      <c r="AH294" s="2695"/>
      <c r="AI294" s="2695"/>
      <c r="AJ294" s="2695"/>
      <c r="AK294" s="2695"/>
      <c r="AL294" s="2695"/>
      <c r="AM294" s="2695"/>
      <c r="AN294" s="2695"/>
      <c r="AO294" s="2695"/>
      <c r="AP294" s="2695"/>
      <c r="AQ294" s="2695"/>
      <c r="AR294" s="2695"/>
      <c r="AS294" s="2695"/>
      <c r="AT294" s="2703"/>
      <c r="AU294" s="2704"/>
      <c r="AV294" s="1074">
        <f t="shared" si="129"/>
        <v>0</v>
      </c>
      <c r="AW294" s="1074">
        <f t="shared" si="130"/>
        <v>0</v>
      </c>
      <c r="AX294" s="1074">
        <f t="shared" si="131"/>
        <v>0</v>
      </c>
      <c r="AY294" s="2279">
        <f t="shared" si="132"/>
        <v>0</v>
      </c>
      <c r="AZ294" s="2675">
        <f t="shared" si="133"/>
        <v>0</v>
      </c>
      <c r="BA294" s="2675">
        <f t="shared" si="134"/>
        <v>0</v>
      </c>
      <c r="BB294" s="2675">
        <f t="shared" si="135"/>
        <v>0</v>
      </c>
      <c r="BC294" s="2675">
        <f t="shared" si="136"/>
        <v>0</v>
      </c>
      <c r="BD294" s="2675">
        <f t="shared" si="137"/>
        <v>0</v>
      </c>
      <c r="BE294" s="2675">
        <f t="shared" si="138"/>
        <v>0</v>
      </c>
      <c r="BF294" s="2675">
        <f t="shared" si="139"/>
        <v>0</v>
      </c>
      <c r="BG294" s="2675">
        <f t="shared" si="140"/>
        <v>0</v>
      </c>
      <c r="BH294" s="2675">
        <f t="shared" si="141"/>
        <v>0</v>
      </c>
      <c r="BI294" s="2675">
        <f t="shared" si="142"/>
        <v>0</v>
      </c>
      <c r="BJ294" s="2675">
        <f t="shared" si="143"/>
        <v>0</v>
      </c>
      <c r="BK294" s="2675">
        <f t="shared" si="144"/>
        <v>0</v>
      </c>
      <c r="BL294" s="2675">
        <f t="shared" si="145"/>
        <v>0</v>
      </c>
      <c r="BM294" s="2675">
        <f t="shared" si="146"/>
        <v>0</v>
      </c>
      <c r="BN294" s="2675">
        <f t="shared" si="147"/>
        <v>0</v>
      </c>
      <c r="BO294" s="2675">
        <f t="shared" si="148"/>
        <v>0</v>
      </c>
      <c r="BP294" s="2675">
        <f t="shared" si="149"/>
        <v>0</v>
      </c>
      <c r="BQ294" s="2675">
        <f t="shared" si="150"/>
        <v>0</v>
      </c>
      <c r="BR294" s="2675">
        <f t="shared" si="151"/>
        <v>0</v>
      </c>
      <c r="BS294" s="2675">
        <f t="shared" si="152"/>
        <v>0</v>
      </c>
      <c r="BT294" s="2722">
        <f t="shared" si="153"/>
        <v>0</v>
      </c>
    </row>
    <row r="295" spans="1:72">
      <c r="A295" s="2673"/>
      <c r="B295" s="2674"/>
      <c r="C295" s="2674"/>
      <c r="D295" s="2277"/>
      <c r="E295" s="2675">
        <f t="shared" si="125"/>
        <v>0</v>
      </c>
      <c r="F295" s="2676"/>
      <c r="G295" s="2677">
        <f t="shared" si="126"/>
        <v>0</v>
      </c>
      <c r="H295" s="2678">
        <f t="shared" si="127"/>
        <v>0</v>
      </c>
      <c r="I295" s="2685"/>
      <c r="J295" s="2685"/>
      <c r="K295" s="2685"/>
      <c r="L295" s="2685"/>
      <c r="M295" s="2685"/>
      <c r="N295" s="2685"/>
      <c r="O295" s="2685"/>
      <c r="P295" s="2685"/>
      <c r="Q295" s="2685"/>
      <c r="R295" s="2685"/>
      <c r="S295" s="2685"/>
      <c r="T295" s="2685"/>
      <c r="U295" s="2685"/>
      <c r="V295" s="2685"/>
      <c r="W295" s="2685"/>
      <c r="X295" s="2685"/>
      <c r="Y295" s="2685"/>
      <c r="Z295" s="2685"/>
      <c r="AA295" s="2685"/>
      <c r="AB295" s="2685"/>
      <c r="AC295" s="2675">
        <f t="shared" si="128"/>
        <v>0</v>
      </c>
      <c r="AD295" s="2695"/>
      <c r="AE295" s="2695"/>
      <c r="AF295" s="2695"/>
      <c r="AG295" s="2695"/>
      <c r="AH295" s="2695"/>
      <c r="AI295" s="2695"/>
      <c r="AJ295" s="2695"/>
      <c r="AK295" s="2695"/>
      <c r="AL295" s="2695"/>
      <c r="AM295" s="2695"/>
      <c r="AN295" s="2695"/>
      <c r="AO295" s="2695"/>
      <c r="AP295" s="2695"/>
      <c r="AQ295" s="2695"/>
      <c r="AR295" s="2695"/>
      <c r="AS295" s="2695"/>
      <c r="AT295" s="2703"/>
      <c r="AU295" s="2704"/>
      <c r="AV295" s="1074">
        <f t="shared" si="129"/>
        <v>0</v>
      </c>
      <c r="AW295" s="1074">
        <f t="shared" si="130"/>
        <v>0</v>
      </c>
      <c r="AX295" s="1074">
        <f t="shared" si="131"/>
        <v>0</v>
      </c>
      <c r="AY295" s="2279">
        <f t="shared" si="132"/>
        <v>0</v>
      </c>
      <c r="AZ295" s="2675">
        <f t="shared" si="133"/>
        <v>0</v>
      </c>
      <c r="BA295" s="2675">
        <f t="shared" si="134"/>
        <v>0</v>
      </c>
      <c r="BB295" s="2675">
        <f t="shared" si="135"/>
        <v>0</v>
      </c>
      <c r="BC295" s="2675">
        <f t="shared" si="136"/>
        <v>0</v>
      </c>
      <c r="BD295" s="2675">
        <f t="shared" si="137"/>
        <v>0</v>
      </c>
      <c r="BE295" s="2675">
        <f t="shared" si="138"/>
        <v>0</v>
      </c>
      <c r="BF295" s="2675">
        <f t="shared" si="139"/>
        <v>0</v>
      </c>
      <c r="BG295" s="2675">
        <f t="shared" si="140"/>
        <v>0</v>
      </c>
      <c r="BH295" s="2675">
        <f t="shared" si="141"/>
        <v>0</v>
      </c>
      <c r="BI295" s="2675">
        <f t="shared" si="142"/>
        <v>0</v>
      </c>
      <c r="BJ295" s="2675">
        <f t="shared" si="143"/>
        <v>0</v>
      </c>
      <c r="BK295" s="2675">
        <f t="shared" si="144"/>
        <v>0</v>
      </c>
      <c r="BL295" s="2675">
        <f t="shared" si="145"/>
        <v>0</v>
      </c>
      <c r="BM295" s="2675">
        <f t="shared" si="146"/>
        <v>0</v>
      </c>
      <c r="BN295" s="2675">
        <f t="shared" si="147"/>
        <v>0</v>
      </c>
      <c r="BO295" s="2675">
        <f t="shared" si="148"/>
        <v>0</v>
      </c>
      <c r="BP295" s="2675">
        <f t="shared" si="149"/>
        <v>0</v>
      </c>
      <c r="BQ295" s="2675">
        <f t="shared" si="150"/>
        <v>0</v>
      </c>
      <c r="BR295" s="2675">
        <f t="shared" si="151"/>
        <v>0</v>
      </c>
      <c r="BS295" s="2675">
        <f t="shared" si="152"/>
        <v>0</v>
      </c>
      <c r="BT295" s="2722">
        <f t="shared" si="153"/>
        <v>0</v>
      </c>
    </row>
    <row r="296" spans="1:72">
      <c r="A296" s="2673"/>
      <c r="B296" s="2674"/>
      <c r="C296" s="2674"/>
      <c r="D296" s="2277"/>
      <c r="E296" s="2675">
        <f t="shared" si="125"/>
        <v>0</v>
      </c>
      <c r="F296" s="2676"/>
      <c r="G296" s="2677">
        <f t="shared" si="126"/>
        <v>0</v>
      </c>
      <c r="H296" s="2678">
        <f t="shared" si="127"/>
        <v>0</v>
      </c>
      <c r="I296" s="2685"/>
      <c r="J296" s="2685"/>
      <c r="K296" s="2685"/>
      <c r="L296" s="2685"/>
      <c r="M296" s="2685"/>
      <c r="N296" s="2685"/>
      <c r="O296" s="2685"/>
      <c r="P296" s="2685"/>
      <c r="Q296" s="2685"/>
      <c r="R296" s="2685"/>
      <c r="S296" s="2685"/>
      <c r="T296" s="2685"/>
      <c r="U296" s="2685"/>
      <c r="V296" s="2685"/>
      <c r="W296" s="2685"/>
      <c r="X296" s="2685"/>
      <c r="Y296" s="2685"/>
      <c r="Z296" s="2685"/>
      <c r="AA296" s="2685"/>
      <c r="AB296" s="2685"/>
      <c r="AC296" s="2675">
        <f t="shared" si="128"/>
        <v>0</v>
      </c>
      <c r="AD296" s="2695"/>
      <c r="AE296" s="2695"/>
      <c r="AF296" s="2695"/>
      <c r="AG296" s="2695"/>
      <c r="AH296" s="2695"/>
      <c r="AI296" s="2695"/>
      <c r="AJ296" s="2695"/>
      <c r="AK296" s="2695"/>
      <c r="AL296" s="2695"/>
      <c r="AM296" s="2695"/>
      <c r="AN296" s="2695"/>
      <c r="AO296" s="2695"/>
      <c r="AP296" s="2695"/>
      <c r="AQ296" s="2695"/>
      <c r="AR296" s="2695"/>
      <c r="AS296" s="2695"/>
      <c r="AT296" s="2703"/>
      <c r="AU296" s="2704"/>
      <c r="AV296" s="1074">
        <f t="shared" si="129"/>
        <v>0</v>
      </c>
      <c r="AW296" s="1074">
        <f t="shared" si="130"/>
        <v>0</v>
      </c>
      <c r="AX296" s="1074">
        <f t="shared" si="131"/>
        <v>0</v>
      </c>
      <c r="AY296" s="2279">
        <f t="shared" si="132"/>
        <v>0</v>
      </c>
      <c r="AZ296" s="2675">
        <f t="shared" si="133"/>
        <v>0</v>
      </c>
      <c r="BA296" s="2675">
        <f t="shared" si="134"/>
        <v>0</v>
      </c>
      <c r="BB296" s="2675">
        <f t="shared" si="135"/>
        <v>0</v>
      </c>
      <c r="BC296" s="2675">
        <f t="shared" si="136"/>
        <v>0</v>
      </c>
      <c r="BD296" s="2675">
        <f t="shared" si="137"/>
        <v>0</v>
      </c>
      <c r="BE296" s="2675">
        <f t="shared" si="138"/>
        <v>0</v>
      </c>
      <c r="BF296" s="2675">
        <f t="shared" si="139"/>
        <v>0</v>
      </c>
      <c r="BG296" s="2675">
        <f t="shared" si="140"/>
        <v>0</v>
      </c>
      <c r="BH296" s="2675">
        <f t="shared" si="141"/>
        <v>0</v>
      </c>
      <c r="BI296" s="2675">
        <f t="shared" si="142"/>
        <v>0</v>
      </c>
      <c r="BJ296" s="2675">
        <f t="shared" si="143"/>
        <v>0</v>
      </c>
      <c r="BK296" s="2675">
        <f t="shared" si="144"/>
        <v>0</v>
      </c>
      <c r="BL296" s="2675">
        <f t="shared" si="145"/>
        <v>0</v>
      </c>
      <c r="BM296" s="2675">
        <f t="shared" si="146"/>
        <v>0</v>
      </c>
      <c r="BN296" s="2675">
        <f t="shared" si="147"/>
        <v>0</v>
      </c>
      <c r="BO296" s="2675">
        <f t="shared" si="148"/>
        <v>0</v>
      </c>
      <c r="BP296" s="2675">
        <f t="shared" si="149"/>
        <v>0</v>
      </c>
      <c r="BQ296" s="2675">
        <f t="shared" si="150"/>
        <v>0</v>
      </c>
      <c r="BR296" s="2675">
        <f t="shared" si="151"/>
        <v>0</v>
      </c>
      <c r="BS296" s="2675">
        <f t="shared" si="152"/>
        <v>0</v>
      </c>
      <c r="BT296" s="2722">
        <f t="shared" si="153"/>
        <v>0</v>
      </c>
    </row>
    <row r="297" spans="1:72">
      <c r="A297" s="2673"/>
      <c r="B297" s="2674"/>
      <c r="C297" s="2674"/>
      <c r="D297" s="2277"/>
      <c r="E297" s="2675">
        <f t="shared" si="125"/>
        <v>0</v>
      </c>
      <c r="F297" s="2676"/>
      <c r="G297" s="2677">
        <f t="shared" si="126"/>
        <v>0</v>
      </c>
      <c r="H297" s="2678">
        <f t="shared" si="127"/>
        <v>0</v>
      </c>
      <c r="I297" s="2685"/>
      <c r="J297" s="2685"/>
      <c r="K297" s="2685"/>
      <c r="L297" s="2685"/>
      <c r="M297" s="2685"/>
      <c r="N297" s="2685"/>
      <c r="O297" s="2685"/>
      <c r="P297" s="2685"/>
      <c r="Q297" s="2685"/>
      <c r="R297" s="2685"/>
      <c r="S297" s="2685"/>
      <c r="T297" s="2685"/>
      <c r="U297" s="2685"/>
      <c r="V297" s="2685"/>
      <c r="W297" s="2685"/>
      <c r="X297" s="2685"/>
      <c r="Y297" s="2685"/>
      <c r="Z297" s="2685"/>
      <c r="AA297" s="2685"/>
      <c r="AB297" s="2685"/>
      <c r="AC297" s="2675">
        <f t="shared" si="128"/>
        <v>0</v>
      </c>
      <c r="AD297" s="2695"/>
      <c r="AE297" s="2695"/>
      <c r="AF297" s="2695"/>
      <c r="AG297" s="2695"/>
      <c r="AH297" s="2695"/>
      <c r="AI297" s="2695"/>
      <c r="AJ297" s="2695"/>
      <c r="AK297" s="2695"/>
      <c r="AL297" s="2695"/>
      <c r="AM297" s="2695"/>
      <c r="AN297" s="2695"/>
      <c r="AO297" s="2695"/>
      <c r="AP297" s="2695"/>
      <c r="AQ297" s="2695"/>
      <c r="AR297" s="2695"/>
      <c r="AS297" s="2695"/>
      <c r="AT297" s="2703"/>
      <c r="AU297" s="2704"/>
      <c r="AV297" s="1074">
        <f t="shared" si="129"/>
        <v>0</v>
      </c>
      <c r="AW297" s="1074">
        <f t="shared" si="130"/>
        <v>0</v>
      </c>
      <c r="AX297" s="1074">
        <f t="shared" si="131"/>
        <v>0</v>
      </c>
      <c r="AY297" s="2279">
        <f t="shared" si="132"/>
        <v>0</v>
      </c>
      <c r="AZ297" s="2675">
        <f t="shared" si="133"/>
        <v>0</v>
      </c>
      <c r="BA297" s="2675">
        <f t="shared" si="134"/>
        <v>0</v>
      </c>
      <c r="BB297" s="2675">
        <f t="shared" si="135"/>
        <v>0</v>
      </c>
      <c r="BC297" s="2675">
        <f t="shared" si="136"/>
        <v>0</v>
      </c>
      <c r="BD297" s="2675">
        <f t="shared" si="137"/>
        <v>0</v>
      </c>
      <c r="BE297" s="2675">
        <f t="shared" si="138"/>
        <v>0</v>
      </c>
      <c r="BF297" s="2675">
        <f t="shared" si="139"/>
        <v>0</v>
      </c>
      <c r="BG297" s="2675">
        <f t="shared" si="140"/>
        <v>0</v>
      </c>
      <c r="BH297" s="2675">
        <f t="shared" si="141"/>
        <v>0</v>
      </c>
      <c r="BI297" s="2675">
        <f t="shared" si="142"/>
        <v>0</v>
      </c>
      <c r="BJ297" s="2675">
        <f t="shared" si="143"/>
        <v>0</v>
      </c>
      <c r="BK297" s="2675">
        <f t="shared" si="144"/>
        <v>0</v>
      </c>
      <c r="BL297" s="2675">
        <f t="shared" si="145"/>
        <v>0</v>
      </c>
      <c r="BM297" s="2675">
        <f t="shared" si="146"/>
        <v>0</v>
      </c>
      <c r="BN297" s="2675">
        <f t="shared" si="147"/>
        <v>0</v>
      </c>
      <c r="BO297" s="2675">
        <f t="shared" si="148"/>
        <v>0</v>
      </c>
      <c r="BP297" s="2675">
        <f t="shared" si="149"/>
        <v>0</v>
      </c>
      <c r="BQ297" s="2675">
        <f t="shared" si="150"/>
        <v>0</v>
      </c>
      <c r="BR297" s="2675">
        <f t="shared" si="151"/>
        <v>0</v>
      </c>
      <c r="BS297" s="2675">
        <f t="shared" si="152"/>
        <v>0</v>
      </c>
      <c r="BT297" s="2722">
        <f t="shared" si="153"/>
        <v>0</v>
      </c>
    </row>
    <row r="298" spans="1:72">
      <c r="A298" s="2673"/>
      <c r="B298" s="2674"/>
      <c r="C298" s="2674"/>
      <c r="D298" s="2277"/>
      <c r="E298" s="2675">
        <f t="shared" si="125"/>
        <v>0</v>
      </c>
      <c r="F298" s="2676"/>
      <c r="G298" s="2677">
        <f t="shared" si="126"/>
        <v>0</v>
      </c>
      <c r="H298" s="2678">
        <f t="shared" si="127"/>
        <v>0</v>
      </c>
      <c r="I298" s="2685"/>
      <c r="J298" s="2685"/>
      <c r="K298" s="2685"/>
      <c r="L298" s="2685"/>
      <c r="M298" s="2685"/>
      <c r="N298" s="2685"/>
      <c r="O298" s="2685"/>
      <c r="P298" s="2685"/>
      <c r="Q298" s="2685"/>
      <c r="R298" s="2685"/>
      <c r="S298" s="2685"/>
      <c r="T298" s="2685"/>
      <c r="U298" s="2685"/>
      <c r="V298" s="2685"/>
      <c r="W298" s="2685"/>
      <c r="X298" s="2685"/>
      <c r="Y298" s="2685"/>
      <c r="Z298" s="2685"/>
      <c r="AA298" s="2685"/>
      <c r="AB298" s="2685"/>
      <c r="AC298" s="2675">
        <f t="shared" si="128"/>
        <v>0</v>
      </c>
      <c r="AD298" s="2695"/>
      <c r="AE298" s="2695"/>
      <c r="AF298" s="2695"/>
      <c r="AG298" s="2695"/>
      <c r="AH298" s="2695"/>
      <c r="AI298" s="2695"/>
      <c r="AJ298" s="2695"/>
      <c r="AK298" s="2695"/>
      <c r="AL298" s="2695"/>
      <c r="AM298" s="2695"/>
      <c r="AN298" s="2695"/>
      <c r="AO298" s="2695"/>
      <c r="AP298" s="2695"/>
      <c r="AQ298" s="2695"/>
      <c r="AR298" s="2695"/>
      <c r="AS298" s="2695"/>
      <c r="AT298" s="2703"/>
      <c r="AU298" s="2704"/>
      <c r="AV298" s="1074">
        <f t="shared" si="129"/>
        <v>0</v>
      </c>
      <c r="AW298" s="1074">
        <f t="shared" si="130"/>
        <v>0</v>
      </c>
      <c r="AX298" s="1074">
        <f t="shared" si="131"/>
        <v>0</v>
      </c>
      <c r="AY298" s="2279">
        <f t="shared" si="132"/>
        <v>0</v>
      </c>
      <c r="AZ298" s="2675">
        <f t="shared" si="133"/>
        <v>0</v>
      </c>
      <c r="BA298" s="2675">
        <f t="shared" si="134"/>
        <v>0</v>
      </c>
      <c r="BB298" s="2675">
        <f t="shared" si="135"/>
        <v>0</v>
      </c>
      <c r="BC298" s="2675">
        <f t="shared" si="136"/>
        <v>0</v>
      </c>
      <c r="BD298" s="2675">
        <f t="shared" si="137"/>
        <v>0</v>
      </c>
      <c r="BE298" s="2675">
        <f t="shared" si="138"/>
        <v>0</v>
      </c>
      <c r="BF298" s="2675">
        <f t="shared" si="139"/>
        <v>0</v>
      </c>
      <c r="BG298" s="2675">
        <f t="shared" si="140"/>
        <v>0</v>
      </c>
      <c r="BH298" s="2675">
        <f t="shared" si="141"/>
        <v>0</v>
      </c>
      <c r="BI298" s="2675">
        <f t="shared" si="142"/>
        <v>0</v>
      </c>
      <c r="BJ298" s="2675">
        <f t="shared" si="143"/>
        <v>0</v>
      </c>
      <c r="BK298" s="2675">
        <f t="shared" si="144"/>
        <v>0</v>
      </c>
      <c r="BL298" s="2675">
        <f t="shared" si="145"/>
        <v>0</v>
      </c>
      <c r="BM298" s="2675">
        <f t="shared" si="146"/>
        <v>0</v>
      </c>
      <c r="BN298" s="2675">
        <f t="shared" si="147"/>
        <v>0</v>
      </c>
      <c r="BO298" s="2675">
        <f t="shared" si="148"/>
        <v>0</v>
      </c>
      <c r="BP298" s="2675">
        <f t="shared" si="149"/>
        <v>0</v>
      </c>
      <c r="BQ298" s="2675">
        <f t="shared" si="150"/>
        <v>0</v>
      </c>
      <c r="BR298" s="2675">
        <f t="shared" si="151"/>
        <v>0</v>
      </c>
      <c r="BS298" s="2675">
        <f t="shared" si="152"/>
        <v>0</v>
      </c>
      <c r="BT298" s="2722">
        <f t="shared" si="153"/>
        <v>0</v>
      </c>
    </row>
    <row r="299" spans="1:72">
      <c r="A299" s="2673"/>
      <c r="B299" s="2674"/>
      <c r="C299" s="2674"/>
      <c r="D299" s="2277"/>
      <c r="E299" s="2675">
        <f t="shared" si="125"/>
        <v>0</v>
      </c>
      <c r="F299" s="2676"/>
      <c r="G299" s="2677">
        <f t="shared" si="126"/>
        <v>0</v>
      </c>
      <c r="H299" s="2678">
        <f t="shared" si="127"/>
        <v>0</v>
      </c>
      <c r="I299" s="2685"/>
      <c r="J299" s="2685"/>
      <c r="K299" s="2685"/>
      <c r="L299" s="2685"/>
      <c r="M299" s="2685"/>
      <c r="N299" s="2685"/>
      <c r="O299" s="2685"/>
      <c r="P299" s="2685"/>
      <c r="Q299" s="2685"/>
      <c r="R299" s="2685"/>
      <c r="S299" s="2685"/>
      <c r="T299" s="2685"/>
      <c r="U299" s="2685"/>
      <c r="V299" s="2685"/>
      <c r="W299" s="2685"/>
      <c r="X299" s="2685"/>
      <c r="Y299" s="2685"/>
      <c r="Z299" s="2685"/>
      <c r="AA299" s="2685"/>
      <c r="AB299" s="2685"/>
      <c r="AC299" s="2675">
        <f t="shared" si="128"/>
        <v>0</v>
      </c>
      <c r="AD299" s="2695"/>
      <c r="AE299" s="2695"/>
      <c r="AF299" s="2695"/>
      <c r="AG299" s="2695"/>
      <c r="AH299" s="2695"/>
      <c r="AI299" s="2695"/>
      <c r="AJ299" s="2695"/>
      <c r="AK299" s="2695"/>
      <c r="AL299" s="2695"/>
      <c r="AM299" s="2695"/>
      <c r="AN299" s="2695"/>
      <c r="AO299" s="2695"/>
      <c r="AP299" s="2695"/>
      <c r="AQ299" s="2695"/>
      <c r="AR299" s="2695"/>
      <c r="AS299" s="2695"/>
      <c r="AT299" s="2703"/>
      <c r="AU299" s="2704"/>
      <c r="AV299" s="1074">
        <f t="shared" si="129"/>
        <v>0</v>
      </c>
      <c r="AW299" s="1074">
        <f t="shared" si="130"/>
        <v>0</v>
      </c>
      <c r="AX299" s="1074">
        <f t="shared" si="131"/>
        <v>0</v>
      </c>
      <c r="AY299" s="2279">
        <f t="shared" si="132"/>
        <v>0</v>
      </c>
      <c r="AZ299" s="2675">
        <f t="shared" si="133"/>
        <v>0</v>
      </c>
      <c r="BA299" s="2675">
        <f t="shared" si="134"/>
        <v>0</v>
      </c>
      <c r="BB299" s="2675">
        <f t="shared" si="135"/>
        <v>0</v>
      </c>
      <c r="BC299" s="2675">
        <f t="shared" si="136"/>
        <v>0</v>
      </c>
      <c r="BD299" s="2675">
        <f t="shared" si="137"/>
        <v>0</v>
      </c>
      <c r="BE299" s="2675">
        <f t="shared" si="138"/>
        <v>0</v>
      </c>
      <c r="BF299" s="2675">
        <f t="shared" si="139"/>
        <v>0</v>
      </c>
      <c r="BG299" s="2675">
        <f t="shared" si="140"/>
        <v>0</v>
      </c>
      <c r="BH299" s="2675">
        <f t="shared" si="141"/>
        <v>0</v>
      </c>
      <c r="BI299" s="2675">
        <f t="shared" si="142"/>
        <v>0</v>
      </c>
      <c r="BJ299" s="2675">
        <f t="shared" si="143"/>
        <v>0</v>
      </c>
      <c r="BK299" s="2675">
        <f t="shared" si="144"/>
        <v>0</v>
      </c>
      <c r="BL299" s="2675">
        <f t="shared" si="145"/>
        <v>0</v>
      </c>
      <c r="BM299" s="2675">
        <f t="shared" si="146"/>
        <v>0</v>
      </c>
      <c r="BN299" s="2675">
        <f t="shared" si="147"/>
        <v>0</v>
      </c>
      <c r="BO299" s="2675">
        <f t="shared" si="148"/>
        <v>0</v>
      </c>
      <c r="BP299" s="2675">
        <f t="shared" si="149"/>
        <v>0</v>
      </c>
      <c r="BQ299" s="2675">
        <f t="shared" si="150"/>
        <v>0</v>
      </c>
      <c r="BR299" s="2675">
        <f t="shared" si="151"/>
        <v>0</v>
      </c>
      <c r="BS299" s="2675">
        <f t="shared" si="152"/>
        <v>0</v>
      </c>
      <c r="BT299" s="2722">
        <f t="shared" si="153"/>
        <v>0</v>
      </c>
    </row>
    <row r="300" spans="1:72">
      <c r="A300" s="2673"/>
      <c r="B300" s="2673"/>
      <c r="C300" s="2673"/>
      <c r="D300" s="2277"/>
      <c r="E300" s="2675">
        <f t="shared" si="125"/>
        <v>0</v>
      </c>
      <c r="F300" s="2723"/>
      <c r="G300" s="2677">
        <f t="shared" ref="G300:G331" si="154">H300+AC300+AT300</f>
        <v>0</v>
      </c>
      <c r="H300" s="2678">
        <f t="shared" ref="H300:H331" si="155">SUMIF(I$12:AB$12,"总值",I300:AB300)</f>
        <v>0</v>
      </c>
      <c r="I300" s="2724"/>
      <c r="J300" s="2724"/>
      <c r="K300" s="2685"/>
      <c r="L300" s="2685"/>
      <c r="M300" s="2685"/>
      <c r="N300" s="2685"/>
      <c r="O300" s="2685"/>
      <c r="P300" s="2685"/>
      <c r="Q300" s="2685"/>
      <c r="R300" s="2685"/>
      <c r="S300" s="2685"/>
      <c r="T300" s="2685"/>
      <c r="U300" s="2685"/>
      <c r="V300" s="2685"/>
      <c r="W300" s="2685"/>
      <c r="X300" s="2685"/>
      <c r="Y300" s="2685"/>
      <c r="Z300" s="2685"/>
      <c r="AA300" s="2685"/>
      <c r="AB300" s="2685"/>
      <c r="AC300" s="2675">
        <f t="shared" ref="AC300:AC331" si="156">SUMIF(AD$12:AS$12,"总值",AD300:AS300)</f>
        <v>0</v>
      </c>
      <c r="AD300" s="2695"/>
      <c r="AE300" s="2695"/>
      <c r="AF300" s="2695"/>
      <c r="AG300" s="2695"/>
      <c r="AH300" s="2695"/>
      <c r="AI300" s="2695"/>
      <c r="AJ300" s="2695"/>
      <c r="AK300" s="2695"/>
      <c r="AL300" s="2695"/>
      <c r="AM300" s="2695"/>
      <c r="AN300" s="2695"/>
      <c r="AO300" s="2695"/>
      <c r="AP300" s="2695"/>
      <c r="AQ300" s="2695"/>
      <c r="AR300" s="2695"/>
      <c r="AS300" s="2695"/>
      <c r="AT300" s="2695"/>
      <c r="AU300" s="2725"/>
      <c r="AV300" s="1074">
        <f t="shared" si="129"/>
        <v>0</v>
      </c>
      <c r="AW300" s="1074">
        <f t="shared" si="130"/>
        <v>0</v>
      </c>
      <c r="AX300" s="1074">
        <f t="shared" si="131"/>
        <v>0</v>
      </c>
      <c r="AY300" s="2279">
        <f t="shared" ref="AY300:AY331" si="157">ROUND($AY$6*AZ300/$AZ$5,2)</f>
        <v>0</v>
      </c>
      <c r="AZ300" s="2675">
        <f t="shared" ref="AZ300:AZ331" si="158">BA300+BL300</f>
        <v>0</v>
      </c>
      <c r="BA300" s="2675">
        <f t="shared" ref="BA300:BA331" si="159">SUM(BB300:BK300)</f>
        <v>0</v>
      </c>
      <c r="BB300" s="2675">
        <f t="shared" ref="BB300:BB331" si="160">IF($D300="是",I300-J300,0)</f>
        <v>0</v>
      </c>
      <c r="BC300" s="2675">
        <f t="shared" ref="BC300:BC331" si="161">IF($D300="是",K300-L300,0)</f>
        <v>0</v>
      </c>
      <c r="BD300" s="2675">
        <f t="shared" ref="BD300:BD331" si="162">IF($D300="是",M300-N300,0)</f>
        <v>0</v>
      </c>
      <c r="BE300" s="2675">
        <f t="shared" ref="BE300:BE331" si="163">IF($D300="是",O300-P300,0)</f>
        <v>0</v>
      </c>
      <c r="BF300" s="2675">
        <f t="shared" ref="BF300:BF331" si="164">IF($D300="是",Q300-R300,0)</f>
        <v>0</v>
      </c>
      <c r="BG300" s="2675">
        <f t="shared" ref="BG300:BG331" si="165">IF($D300="是",S300-T300,0)</f>
        <v>0</v>
      </c>
      <c r="BH300" s="2675">
        <f t="shared" ref="BH300:BH331" si="166">IF($D300="是",U300-V300,0)</f>
        <v>0</v>
      </c>
      <c r="BI300" s="2675">
        <f t="shared" ref="BI300:BI331" si="167">IF($D300="是",W300-X300,0)</f>
        <v>0</v>
      </c>
      <c r="BJ300" s="2675">
        <f t="shared" ref="BJ300:BJ331" si="168">IF($D300="是",Y300-Z300,0)</f>
        <v>0</v>
      </c>
      <c r="BK300" s="2675">
        <f t="shared" ref="BK300:BK331" si="169">IF($D300="是",AA300-AB300,0)</f>
        <v>0</v>
      </c>
      <c r="BL300" s="2675">
        <f t="shared" ref="BL300:BL331" si="170">SUM(BM300:BT300)</f>
        <v>0</v>
      </c>
      <c r="BM300" s="2675">
        <f t="shared" ref="BM300:BM331" si="171">IF($D300="是",AD300-AE300,0)</f>
        <v>0</v>
      </c>
      <c r="BN300" s="2675">
        <f t="shared" ref="BN300:BN331" si="172">IF($D300="是",AF300-AG300,0)</f>
        <v>0</v>
      </c>
      <c r="BO300" s="2675">
        <f t="shared" ref="BO300:BO331" si="173">IF($D300="是",AH300-AI300,0)</f>
        <v>0</v>
      </c>
      <c r="BP300" s="2675">
        <f t="shared" ref="BP300:BP331" si="174">IF($D300="是",AJ300-AK300,0)</f>
        <v>0</v>
      </c>
      <c r="BQ300" s="2675">
        <f t="shared" ref="BQ300:BQ331" si="175">IF($D300="是",AL300-AM300,0)</f>
        <v>0</v>
      </c>
      <c r="BR300" s="2675">
        <f t="shared" ref="BR300:BR331" si="176">IF($D300="是",AN300-AO300,0)</f>
        <v>0</v>
      </c>
      <c r="BS300" s="2675">
        <f t="shared" ref="BS300:BS331" si="177">IF($D300="是",AP300-AQ300,0)</f>
        <v>0</v>
      </c>
      <c r="BT300" s="2722">
        <f t="shared" ref="BT300:BT331" si="178">IF($D300="是",AR300-AS300,0)</f>
        <v>0</v>
      </c>
    </row>
    <row r="301" spans="1:72">
      <c r="A301" s="2673"/>
      <c r="B301" s="2673"/>
      <c r="C301" s="2673"/>
      <c r="D301" s="2277"/>
      <c r="E301" s="2675">
        <f t="shared" si="125"/>
        <v>0</v>
      </c>
      <c r="F301" s="2723"/>
      <c r="G301" s="2677">
        <f t="shared" si="154"/>
        <v>0</v>
      </c>
      <c r="H301" s="2678">
        <f t="shared" si="155"/>
        <v>0</v>
      </c>
      <c r="I301" s="2685"/>
      <c r="J301" s="2685"/>
      <c r="K301" s="2685"/>
      <c r="L301" s="2685"/>
      <c r="M301" s="2685"/>
      <c r="N301" s="2685"/>
      <c r="O301" s="2685"/>
      <c r="P301" s="2685"/>
      <c r="Q301" s="2685"/>
      <c r="R301" s="2685"/>
      <c r="S301" s="2685"/>
      <c r="T301" s="2685"/>
      <c r="U301" s="2685"/>
      <c r="V301" s="2685"/>
      <c r="W301" s="2685"/>
      <c r="X301" s="2685"/>
      <c r="Y301" s="2685"/>
      <c r="Z301" s="2685"/>
      <c r="AA301" s="2685"/>
      <c r="AB301" s="2685"/>
      <c r="AC301" s="2675">
        <f t="shared" si="156"/>
        <v>0</v>
      </c>
      <c r="AD301" s="2695"/>
      <c r="AE301" s="2695"/>
      <c r="AF301" s="2695"/>
      <c r="AG301" s="2695"/>
      <c r="AH301" s="2695"/>
      <c r="AI301" s="2695"/>
      <c r="AJ301" s="2695"/>
      <c r="AK301" s="2695"/>
      <c r="AL301" s="2695"/>
      <c r="AM301" s="2695"/>
      <c r="AN301" s="2695"/>
      <c r="AO301" s="2695"/>
      <c r="AP301" s="2695"/>
      <c r="AQ301" s="2695"/>
      <c r="AR301" s="2695"/>
      <c r="AS301" s="2695"/>
      <c r="AT301" s="2695"/>
      <c r="AU301" s="2725"/>
      <c r="AV301" s="1074">
        <f t="shared" si="129"/>
        <v>0</v>
      </c>
      <c r="AW301" s="1074">
        <f t="shared" si="130"/>
        <v>0</v>
      </c>
      <c r="AX301" s="1074">
        <f t="shared" si="131"/>
        <v>0</v>
      </c>
      <c r="AY301" s="2279">
        <f t="shared" si="157"/>
        <v>0</v>
      </c>
      <c r="AZ301" s="2675">
        <f t="shared" si="158"/>
        <v>0</v>
      </c>
      <c r="BA301" s="2675">
        <f t="shared" si="159"/>
        <v>0</v>
      </c>
      <c r="BB301" s="2675">
        <f t="shared" si="160"/>
        <v>0</v>
      </c>
      <c r="BC301" s="2675">
        <f t="shared" si="161"/>
        <v>0</v>
      </c>
      <c r="BD301" s="2675">
        <f t="shared" si="162"/>
        <v>0</v>
      </c>
      <c r="BE301" s="2675">
        <f t="shared" si="163"/>
        <v>0</v>
      </c>
      <c r="BF301" s="2675">
        <f t="shared" si="164"/>
        <v>0</v>
      </c>
      <c r="BG301" s="2675">
        <f t="shared" si="165"/>
        <v>0</v>
      </c>
      <c r="BH301" s="2675">
        <f t="shared" si="166"/>
        <v>0</v>
      </c>
      <c r="BI301" s="2675">
        <f t="shared" si="167"/>
        <v>0</v>
      </c>
      <c r="BJ301" s="2675">
        <f t="shared" si="168"/>
        <v>0</v>
      </c>
      <c r="BK301" s="2675">
        <f t="shared" si="169"/>
        <v>0</v>
      </c>
      <c r="BL301" s="2675">
        <f t="shared" si="170"/>
        <v>0</v>
      </c>
      <c r="BM301" s="2675">
        <f t="shared" si="171"/>
        <v>0</v>
      </c>
      <c r="BN301" s="2675">
        <f t="shared" si="172"/>
        <v>0</v>
      </c>
      <c r="BO301" s="2675">
        <f t="shared" si="173"/>
        <v>0</v>
      </c>
      <c r="BP301" s="2675">
        <f t="shared" si="174"/>
        <v>0</v>
      </c>
      <c r="BQ301" s="2675">
        <f t="shared" si="175"/>
        <v>0</v>
      </c>
      <c r="BR301" s="2675">
        <f t="shared" si="176"/>
        <v>0</v>
      </c>
      <c r="BS301" s="2675">
        <f t="shared" si="177"/>
        <v>0</v>
      </c>
      <c r="BT301" s="2722">
        <f t="shared" si="178"/>
        <v>0</v>
      </c>
    </row>
    <row r="302" spans="1:72">
      <c r="A302" s="2673"/>
      <c r="B302" s="2673"/>
      <c r="C302" s="2673"/>
      <c r="D302" s="2277"/>
      <c r="E302" s="2675">
        <f t="shared" si="125"/>
        <v>0</v>
      </c>
      <c r="F302" s="2723"/>
      <c r="G302" s="2677">
        <f t="shared" si="154"/>
        <v>0</v>
      </c>
      <c r="H302" s="2678">
        <f t="shared" si="155"/>
        <v>0</v>
      </c>
      <c r="I302" s="2685"/>
      <c r="J302" s="2685"/>
      <c r="K302" s="2685"/>
      <c r="L302" s="2685"/>
      <c r="M302" s="2685"/>
      <c r="N302" s="2685"/>
      <c r="O302" s="2685"/>
      <c r="P302" s="2685"/>
      <c r="Q302" s="2685"/>
      <c r="R302" s="2685"/>
      <c r="S302" s="2685"/>
      <c r="T302" s="2685"/>
      <c r="U302" s="2685"/>
      <c r="V302" s="2685"/>
      <c r="W302" s="2685"/>
      <c r="X302" s="2685"/>
      <c r="Y302" s="2685"/>
      <c r="Z302" s="2685"/>
      <c r="AA302" s="2685"/>
      <c r="AB302" s="2685"/>
      <c r="AC302" s="2675">
        <f t="shared" si="156"/>
        <v>0</v>
      </c>
      <c r="AD302" s="2695"/>
      <c r="AE302" s="2695"/>
      <c r="AF302" s="2695"/>
      <c r="AG302" s="2695"/>
      <c r="AH302" s="2695"/>
      <c r="AI302" s="2695"/>
      <c r="AJ302" s="2695"/>
      <c r="AK302" s="2695"/>
      <c r="AL302" s="2695"/>
      <c r="AM302" s="2695"/>
      <c r="AN302" s="2695"/>
      <c r="AO302" s="2695"/>
      <c r="AP302" s="2695"/>
      <c r="AQ302" s="2695"/>
      <c r="AR302" s="2695"/>
      <c r="AS302" s="2695"/>
      <c r="AT302" s="2695"/>
      <c r="AU302" s="2725"/>
      <c r="AV302" s="1074">
        <f t="shared" si="129"/>
        <v>0</v>
      </c>
      <c r="AW302" s="1074">
        <f t="shared" si="130"/>
        <v>0</v>
      </c>
      <c r="AX302" s="1074">
        <f t="shared" si="131"/>
        <v>0</v>
      </c>
      <c r="AY302" s="2279">
        <f t="shared" si="157"/>
        <v>0</v>
      </c>
      <c r="AZ302" s="2675">
        <f t="shared" si="158"/>
        <v>0</v>
      </c>
      <c r="BA302" s="2675">
        <f t="shared" si="159"/>
        <v>0</v>
      </c>
      <c r="BB302" s="2675">
        <f t="shared" si="160"/>
        <v>0</v>
      </c>
      <c r="BC302" s="2675">
        <f t="shared" si="161"/>
        <v>0</v>
      </c>
      <c r="BD302" s="2675">
        <f t="shared" si="162"/>
        <v>0</v>
      </c>
      <c r="BE302" s="2675">
        <f t="shared" si="163"/>
        <v>0</v>
      </c>
      <c r="BF302" s="2675">
        <f t="shared" si="164"/>
        <v>0</v>
      </c>
      <c r="BG302" s="2675">
        <f t="shared" si="165"/>
        <v>0</v>
      </c>
      <c r="BH302" s="2675">
        <f t="shared" si="166"/>
        <v>0</v>
      </c>
      <c r="BI302" s="2675">
        <f t="shared" si="167"/>
        <v>0</v>
      </c>
      <c r="BJ302" s="2675">
        <f t="shared" si="168"/>
        <v>0</v>
      </c>
      <c r="BK302" s="2675">
        <f t="shared" si="169"/>
        <v>0</v>
      </c>
      <c r="BL302" s="2675">
        <f t="shared" si="170"/>
        <v>0</v>
      </c>
      <c r="BM302" s="2675">
        <f t="shared" si="171"/>
        <v>0</v>
      </c>
      <c r="BN302" s="2675">
        <f t="shared" si="172"/>
        <v>0</v>
      </c>
      <c r="BO302" s="2675">
        <f t="shared" si="173"/>
        <v>0</v>
      </c>
      <c r="BP302" s="2675">
        <f t="shared" si="174"/>
        <v>0</v>
      </c>
      <c r="BQ302" s="2675">
        <f t="shared" si="175"/>
        <v>0</v>
      </c>
      <c r="BR302" s="2675">
        <f t="shared" si="176"/>
        <v>0</v>
      </c>
      <c r="BS302" s="2675">
        <f t="shared" si="177"/>
        <v>0</v>
      </c>
      <c r="BT302" s="2722">
        <f t="shared" si="178"/>
        <v>0</v>
      </c>
    </row>
    <row r="303" spans="1:72">
      <c r="A303" s="2673"/>
      <c r="B303" s="2674"/>
      <c r="C303" s="2674"/>
      <c r="D303" s="2277"/>
      <c r="E303" s="2675">
        <f t="shared" ref="E303:E334" si="179">IF($C$3="是",ROUND($A$3*G303/$B$3,2),ROUND($A$3*(G303-AT303)/$B$3,2))</f>
        <v>0</v>
      </c>
      <c r="F303" s="2676"/>
      <c r="G303" s="2677">
        <f t="shared" si="154"/>
        <v>0</v>
      </c>
      <c r="H303" s="2678">
        <f t="shared" si="155"/>
        <v>0</v>
      </c>
      <c r="I303" s="2685"/>
      <c r="J303" s="2685"/>
      <c r="K303" s="2685"/>
      <c r="L303" s="2685"/>
      <c r="M303" s="2685"/>
      <c r="N303" s="2685"/>
      <c r="O303" s="2685"/>
      <c r="P303" s="2685"/>
      <c r="Q303" s="2685"/>
      <c r="R303" s="2685"/>
      <c r="S303" s="2685"/>
      <c r="T303" s="2685"/>
      <c r="U303" s="2685"/>
      <c r="V303" s="2685"/>
      <c r="W303" s="2685"/>
      <c r="X303" s="2685"/>
      <c r="Y303" s="2685"/>
      <c r="Z303" s="2685"/>
      <c r="AA303" s="2685"/>
      <c r="AB303" s="2685"/>
      <c r="AC303" s="2675">
        <f t="shared" si="156"/>
        <v>0</v>
      </c>
      <c r="AD303" s="2695"/>
      <c r="AE303" s="2695"/>
      <c r="AF303" s="2695"/>
      <c r="AG303" s="2695"/>
      <c r="AH303" s="2695"/>
      <c r="AI303" s="2695"/>
      <c r="AJ303" s="2695"/>
      <c r="AK303" s="2695"/>
      <c r="AL303" s="2695"/>
      <c r="AM303" s="2695"/>
      <c r="AN303" s="2695"/>
      <c r="AO303" s="2695"/>
      <c r="AP303" s="2695"/>
      <c r="AQ303" s="2695"/>
      <c r="AR303" s="2695"/>
      <c r="AS303" s="2695"/>
      <c r="AT303" s="2703"/>
      <c r="AU303" s="2704"/>
      <c r="AV303" s="1074">
        <f t="shared" ref="AV303:AV334" si="180">A303</f>
        <v>0</v>
      </c>
      <c r="AW303" s="1074">
        <f t="shared" ref="AW303:AW334" si="181">B303</f>
        <v>0</v>
      </c>
      <c r="AX303" s="1074">
        <f t="shared" ref="AX303:AX334" si="182">C303</f>
        <v>0</v>
      </c>
      <c r="AY303" s="2279">
        <f t="shared" si="157"/>
        <v>0</v>
      </c>
      <c r="AZ303" s="2675">
        <f t="shared" si="158"/>
        <v>0</v>
      </c>
      <c r="BA303" s="2675">
        <f t="shared" si="159"/>
        <v>0</v>
      </c>
      <c r="BB303" s="2675">
        <f t="shared" si="160"/>
        <v>0</v>
      </c>
      <c r="BC303" s="2675">
        <f t="shared" si="161"/>
        <v>0</v>
      </c>
      <c r="BD303" s="2675">
        <f t="shared" si="162"/>
        <v>0</v>
      </c>
      <c r="BE303" s="2675">
        <f t="shared" si="163"/>
        <v>0</v>
      </c>
      <c r="BF303" s="2675">
        <f t="shared" si="164"/>
        <v>0</v>
      </c>
      <c r="BG303" s="2675">
        <f t="shared" si="165"/>
        <v>0</v>
      </c>
      <c r="BH303" s="2675">
        <f t="shared" si="166"/>
        <v>0</v>
      </c>
      <c r="BI303" s="2675">
        <f t="shared" si="167"/>
        <v>0</v>
      </c>
      <c r="BJ303" s="2675">
        <f t="shared" si="168"/>
        <v>0</v>
      </c>
      <c r="BK303" s="2675">
        <f t="shared" si="169"/>
        <v>0</v>
      </c>
      <c r="BL303" s="2675">
        <f t="shared" si="170"/>
        <v>0</v>
      </c>
      <c r="BM303" s="2675">
        <f t="shared" si="171"/>
        <v>0</v>
      </c>
      <c r="BN303" s="2675">
        <f t="shared" si="172"/>
        <v>0</v>
      </c>
      <c r="BO303" s="2675">
        <f t="shared" si="173"/>
        <v>0</v>
      </c>
      <c r="BP303" s="2675">
        <f t="shared" si="174"/>
        <v>0</v>
      </c>
      <c r="BQ303" s="2675">
        <f t="shared" si="175"/>
        <v>0</v>
      </c>
      <c r="BR303" s="2675">
        <f t="shared" si="176"/>
        <v>0</v>
      </c>
      <c r="BS303" s="2675">
        <f t="shared" si="177"/>
        <v>0</v>
      </c>
      <c r="BT303" s="2722">
        <f t="shared" si="178"/>
        <v>0</v>
      </c>
    </row>
    <row r="304" spans="1:72">
      <c r="A304" s="2673"/>
      <c r="B304" s="2674"/>
      <c r="C304" s="2674"/>
      <c r="D304" s="2277"/>
      <c r="E304" s="2675">
        <f t="shared" si="179"/>
        <v>0</v>
      </c>
      <c r="F304" s="2676"/>
      <c r="G304" s="2677">
        <f t="shared" si="154"/>
        <v>0</v>
      </c>
      <c r="H304" s="2678">
        <f t="shared" si="155"/>
        <v>0</v>
      </c>
      <c r="I304" s="2685"/>
      <c r="J304" s="2685"/>
      <c r="K304" s="2685"/>
      <c r="L304" s="2685"/>
      <c r="M304" s="2685"/>
      <c r="N304" s="2685"/>
      <c r="O304" s="2685"/>
      <c r="P304" s="2685"/>
      <c r="Q304" s="2685"/>
      <c r="R304" s="2685"/>
      <c r="S304" s="2685"/>
      <c r="T304" s="2685"/>
      <c r="U304" s="2685"/>
      <c r="V304" s="2685"/>
      <c r="W304" s="2685"/>
      <c r="X304" s="2685"/>
      <c r="Y304" s="2685"/>
      <c r="Z304" s="2685"/>
      <c r="AA304" s="2685"/>
      <c r="AB304" s="2685"/>
      <c r="AC304" s="2675">
        <f t="shared" si="156"/>
        <v>0</v>
      </c>
      <c r="AD304" s="2695"/>
      <c r="AE304" s="2695"/>
      <c r="AF304" s="2695"/>
      <c r="AG304" s="2695"/>
      <c r="AH304" s="2695"/>
      <c r="AI304" s="2695"/>
      <c r="AJ304" s="2695"/>
      <c r="AK304" s="2695"/>
      <c r="AL304" s="2695"/>
      <c r="AM304" s="2695"/>
      <c r="AN304" s="2695"/>
      <c r="AO304" s="2695"/>
      <c r="AP304" s="2695"/>
      <c r="AQ304" s="2695"/>
      <c r="AR304" s="2695"/>
      <c r="AS304" s="2695"/>
      <c r="AT304" s="2703"/>
      <c r="AU304" s="2704"/>
      <c r="AV304" s="1074">
        <f t="shared" si="180"/>
        <v>0</v>
      </c>
      <c r="AW304" s="1074">
        <f t="shared" si="181"/>
        <v>0</v>
      </c>
      <c r="AX304" s="1074">
        <f t="shared" si="182"/>
        <v>0</v>
      </c>
      <c r="AY304" s="2279">
        <f t="shared" si="157"/>
        <v>0</v>
      </c>
      <c r="AZ304" s="2675">
        <f t="shared" si="158"/>
        <v>0</v>
      </c>
      <c r="BA304" s="2675">
        <f t="shared" si="159"/>
        <v>0</v>
      </c>
      <c r="BB304" s="2675">
        <f t="shared" si="160"/>
        <v>0</v>
      </c>
      <c r="BC304" s="2675">
        <f t="shared" si="161"/>
        <v>0</v>
      </c>
      <c r="BD304" s="2675">
        <f t="shared" si="162"/>
        <v>0</v>
      </c>
      <c r="BE304" s="2675">
        <f t="shared" si="163"/>
        <v>0</v>
      </c>
      <c r="BF304" s="2675">
        <f t="shared" si="164"/>
        <v>0</v>
      </c>
      <c r="BG304" s="2675">
        <f t="shared" si="165"/>
        <v>0</v>
      </c>
      <c r="BH304" s="2675">
        <f t="shared" si="166"/>
        <v>0</v>
      </c>
      <c r="BI304" s="2675">
        <f t="shared" si="167"/>
        <v>0</v>
      </c>
      <c r="BJ304" s="2675">
        <f t="shared" si="168"/>
        <v>0</v>
      </c>
      <c r="BK304" s="2675">
        <f t="shared" si="169"/>
        <v>0</v>
      </c>
      <c r="BL304" s="2675">
        <f t="shared" si="170"/>
        <v>0</v>
      </c>
      <c r="BM304" s="2675">
        <f t="shared" si="171"/>
        <v>0</v>
      </c>
      <c r="BN304" s="2675">
        <f t="shared" si="172"/>
        <v>0</v>
      </c>
      <c r="BO304" s="2675">
        <f t="shared" si="173"/>
        <v>0</v>
      </c>
      <c r="BP304" s="2675">
        <f t="shared" si="174"/>
        <v>0</v>
      </c>
      <c r="BQ304" s="2675">
        <f t="shared" si="175"/>
        <v>0</v>
      </c>
      <c r="BR304" s="2675">
        <f t="shared" si="176"/>
        <v>0</v>
      </c>
      <c r="BS304" s="2675">
        <f t="shared" si="177"/>
        <v>0</v>
      </c>
      <c r="BT304" s="2722">
        <f t="shared" si="178"/>
        <v>0</v>
      </c>
    </row>
    <row r="305" spans="1:72">
      <c r="A305" s="2673"/>
      <c r="B305" s="2674"/>
      <c r="C305" s="2674"/>
      <c r="D305" s="2277"/>
      <c r="E305" s="2675">
        <f t="shared" si="179"/>
        <v>0</v>
      </c>
      <c r="F305" s="2676"/>
      <c r="G305" s="2677">
        <f t="shared" si="154"/>
        <v>0</v>
      </c>
      <c r="H305" s="2678">
        <f t="shared" si="155"/>
        <v>0</v>
      </c>
      <c r="I305" s="2685"/>
      <c r="J305" s="2685"/>
      <c r="K305" s="2685"/>
      <c r="L305" s="2685"/>
      <c r="M305" s="2685"/>
      <c r="N305" s="2685"/>
      <c r="O305" s="2685"/>
      <c r="P305" s="2685"/>
      <c r="Q305" s="2685"/>
      <c r="R305" s="2685"/>
      <c r="S305" s="2685"/>
      <c r="T305" s="2685"/>
      <c r="U305" s="2685"/>
      <c r="V305" s="2685"/>
      <c r="W305" s="2685"/>
      <c r="X305" s="2685"/>
      <c r="Y305" s="2685"/>
      <c r="Z305" s="2685"/>
      <c r="AA305" s="2685"/>
      <c r="AB305" s="2685"/>
      <c r="AC305" s="2675">
        <f t="shared" si="156"/>
        <v>0</v>
      </c>
      <c r="AD305" s="2695"/>
      <c r="AE305" s="2695"/>
      <c r="AF305" s="2695"/>
      <c r="AG305" s="2695"/>
      <c r="AH305" s="2695"/>
      <c r="AI305" s="2695"/>
      <c r="AJ305" s="2695"/>
      <c r="AK305" s="2695"/>
      <c r="AL305" s="2695"/>
      <c r="AM305" s="2695"/>
      <c r="AN305" s="2695"/>
      <c r="AO305" s="2695"/>
      <c r="AP305" s="2695"/>
      <c r="AQ305" s="2695"/>
      <c r="AR305" s="2695"/>
      <c r="AS305" s="2695"/>
      <c r="AT305" s="2703"/>
      <c r="AU305" s="2704"/>
      <c r="AV305" s="1074">
        <f t="shared" si="180"/>
        <v>0</v>
      </c>
      <c r="AW305" s="1074">
        <f t="shared" si="181"/>
        <v>0</v>
      </c>
      <c r="AX305" s="1074">
        <f t="shared" si="182"/>
        <v>0</v>
      </c>
      <c r="AY305" s="2279">
        <f t="shared" si="157"/>
        <v>0</v>
      </c>
      <c r="AZ305" s="2675">
        <f t="shared" si="158"/>
        <v>0</v>
      </c>
      <c r="BA305" s="2675">
        <f t="shared" si="159"/>
        <v>0</v>
      </c>
      <c r="BB305" s="2675">
        <f t="shared" si="160"/>
        <v>0</v>
      </c>
      <c r="BC305" s="2675">
        <f t="shared" si="161"/>
        <v>0</v>
      </c>
      <c r="BD305" s="2675">
        <f t="shared" si="162"/>
        <v>0</v>
      </c>
      <c r="BE305" s="2675">
        <f t="shared" si="163"/>
        <v>0</v>
      </c>
      <c r="BF305" s="2675">
        <f t="shared" si="164"/>
        <v>0</v>
      </c>
      <c r="BG305" s="2675">
        <f t="shared" si="165"/>
        <v>0</v>
      </c>
      <c r="BH305" s="2675">
        <f t="shared" si="166"/>
        <v>0</v>
      </c>
      <c r="BI305" s="2675">
        <f t="shared" si="167"/>
        <v>0</v>
      </c>
      <c r="BJ305" s="2675">
        <f t="shared" si="168"/>
        <v>0</v>
      </c>
      <c r="BK305" s="2675">
        <f t="shared" si="169"/>
        <v>0</v>
      </c>
      <c r="BL305" s="2675">
        <f t="shared" si="170"/>
        <v>0</v>
      </c>
      <c r="BM305" s="2675">
        <f t="shared" si="171"/>
        <v>0</v>
      </c>
      <c r="BN305" s="2675">
        <f t="shared" si="172"/>
        <v>0</v>
      </c>
      <c r="BO305" s="2675">
        <f t="shared" si="173"/>
        <v>0</v>
      </c>
      <c r="BP305" s="2675">
        <f t="shared" si="174"/>
        <v>0</v>
      </c>
      <c r="BQ305" s="2675">
        <f t="shared" si="175"/>
        <v>0</v>
      </c>
      <c r="BR305" s="2675">
        <f t="shared" si="176"/>
        <v>0</v>
      </c>
      <c r="BS305" s="2675">
        <f t="shared" si="177"/>
        <v>0</v>
      </c>
      <c r="BT305" s="2722">
        <f t="shared" si="178"/>
        <v>0</v>
      </c>
    </row>
    <row r="306" spans="1:72">
      <c r="A306" s="2673"/>
      <c r="B306" s="2674"/>
      <c r="C306" s="2674"/>
      <c r="D306" s="2277"/>
      <c r="E306" s="2675">
        <f t="shared" si="179"/>
        <v>0</v>
      </c>
      <c r="F306" s="2676"/>
      <c r="G306" s="2677">
        <f t="shared" si="154"/>
        <v>0</v>
      </c>
      <c r="H306" s="2678">
        <f t="shared" si="155"/>
        <v>0</v>
      </c>
      <c r="I306" s="2685"/>
      <c r="J306" s="2685"/>
      <c r="K306" s="2685"/>
      <c r="L306" s="2685"/>
      <c r="M306" s="2685"/>
      <c r="N306" s="2685"/>
      <c r="O306" s="2685"/>
      <c r="P306" s="2685"/>
      <c r="Q306" s="2685"/>
      <c r="R306" s="2685"/>
      <c r="S306" s="2685"/>
      <c r="T306" s="2685"/>
      <c r="U306" s="2685"/>
      <c r="V306" s="2685"/>
      <c r="W306" s="2685"/>
      <c r="X306" s="2685"/>
      <c r="Y306" s="2685"/>
      <c r="Z306" s="2685"/>
      <c r="AA306" s="2685"/>
      <c r="AB306" s="2685"/>
      <c r="AC306" s="2675">
        <f t="shared" si="156"/>
        <v>0</v>
      </c>
      <c r="AD306" s="2695"/>
      <c r="AE306" s="2695"/>
      <c r="AF306" s="2695"/>
      <c r="AG306" s="2695"/>
      <c r="AH306" s="2695"/>
      <c r="AI306" s="2695"/>
      <c r="AJ306" s="2695"/>
      <c r="AK306" s="2695"/>
      <c r="AL306" s="2695"/>
      <c r="AM306" s="2695"/>
      <c r="AN306" s="2695"/>
      <c r="AO306" s="2695"/>
      <c r="AP306" s="2695"/>
      <c r="AQ306" s="2695"/>
      <c r="AR306" s="2695"/>
      <c r="AS306" s="2695"/>
      <c r="AT306" s="2703"/>
      <c r="AU306" s="2704"/>
      <c r="AV306" s="1074">
        <f t="shared" si="180"/>
        <v>0</v>
      </c>
      <c r="AW306" s="1074">
        <f t="shared" si="181"/>
        <v>0</v>
      </c>
      <c r="AX306" s="1074">
        <f t="shared" si="182"/>
        <v>0</v>
      </c>
      <c r="AY306" s="2279">
        <f t="shared" si="157"/>
        <v>0</v>
      </c>
      <c r="AZ306" s="2675">
        <f t="shared" si="158"/>
        <v>0</v>
      </c>
      <c r="BA306" s="2675">
        <f t="shared" si="159"/>
        <v>0</v>
      </c>
      <c r="BB306" s="2675">
        <f t="shared" si="160"/>
        <v>0</v>
      </c>
      <c r="BC306" s="2675">
        <f t="shared" si="161"/>
        <v>0</v>
      </c>
      <c r="BD306" s="2675">
        <f t="shared" si="162"/>
        <v>0</v>
      </c>
      <c r="BE306" s="2675">
        <f t="shared" si="163"/>
        <v>0</v>
      </c>
      <c r="BF306" s="2675">
        <f t="shared" si="164"/>
        <v>0</v>
      </c>
      <c r="BG306" s="2675">
        <f t="shared" si="165"/>
        <v>0</v>
      </c>
      <c r="BH306" s="2675">
        <f t="shared" si="166"/>
        <v>0</v>
      </c>
      <c r="BI306" s="2675">
        <f t="shared" si="167"/>
        <v>0</v>
      </c>
      <c r="BJ306" s="2675">
        <f t="shared" si="168"/>
        <v>0</v>
      </c>
      <c r="BK306" s="2675">
        <f t="shared" si="169"/>
        <v>0</v>
      </c>
      <c r="BL306" s="2675">
        <f t="shared" si="170"/>
        <v>0</v>
      </c>
      <c r="BM306" s="2675">
        <f t="shared" si="171"/>
        <v>0</v>
      </c>
      <c r="BN306" s="2675">
        <f t="shared" si="172"/>
        <v>0</v>
      </c>
      <c r="BO306" s="2675">
        <f t="shared" si="173"/>
        <v>0</v>
      </c>
      <c r="BP306" s="2675">
        <f t="shared" si="174"/>
        <v>0</v>
      </c>
      <c r="BQ306" s="2675">
        <f t="shared" si="175"/>
        <v>0</v>
      </c>
      <c r="BR306" s="2675">
        <f t="shared" si="176"/>
        <v>0</v>
      </c>
      <c r="BS306" s="2675">
        <f t="shared" si="177"/>
        <v>0</v>
      </c>
      <c r="BT306" s="2722">
        <f t="shared" si="178"/>
        <v>0</v>
      </c>
    </row>
    <row r="307" spans="1:72">
      <c r="A307" s="2673"/>
      <c r="B307" s="2674"/>
      <c r="C307" s="2674"/>
      <c r="D307" s="2277"/>
      <c r="E307" s="2675">
        <f t="shared" si="179"/>
        <v>0</v>
      </c>
      <c r="F307" s="2676"/>
      <c r="G307" s="2677">
        <f t="shared" si="154"/>
        <v>0</v>
      </c>
      <c r="H307" s="2678">
        <f t="shared" si="155"/>
        <v>0</v>
      </c>
      <c r="I307" s="2685"/>
      <c r="J307" s="2685"/>
      <c r="K307" s="2685"/>
      <c r="L307" s="2685"/>
      <c r="M307" s="2685"/>
      <c r="N307" s="2685"/>
      <c r="O307" s="2685"/>
      <c r="P307" s="2685"/>
      <c r="Q307" s="2685"/>
      <c r="R307" s="2685"/>
      <c r="S307" s="2685"/>
      <c r="T307" s="2685"/>
      <c r="U307" s="2685"/>
      <c r="V307" s="2685"/>
      <c r="W307" s="2685"/>
      <c r="X307" s="2685"/>
      <c r="Y307" s="2685"/>
      <c r="Z307" s="2685"/>
      <c r="AA307" s="2685"/>
      <c r="AB307" s="2685"/>
      <c r="AC307" s="2675">
        <f t="shared" si="156"/>
        <v>0</v>
      </c>
      <c r="AD307" s="2695"/>
      <c r="AE307" s="2695"/>
      <c r="AF307" s="2695"/>
      <c r="AG307" s="2695"/>
      <c r="AH307" s="2695"/>
      <c r="AI307" s="2695"/>
      <c r="AJ307" s="2695"/>
      <c r="AK307" s="2695"/>
      <c r="AL307" s="2695"/>
      <c r="AM307" s="2695"/>
      <c r="AN307" s="2695"/>
      <c r="AO307" s="2695"/>
      <c r="AP307" s="2695"/>
      <c r="AQ307" s="2695"/>
      <c r="AR307" s="2695"/>
      <c r="AS307" s="2695"/>
      <c r="AT307" s="2703"/>
      <c r="AU307" s="2704"/>
      <c r="AV307" s="1074">
        <f t="shared" si="180"/>
        <v>0</v>
      </c>
      <c r="AW307" s="1074">
        <f t="shared" si="181"/>
        <v>0</v>
      </c>
      <c r="AX307" s="1074">
        <f t="shared" si="182"/>
        <v>0</v>
      </c>
      <c r="AY307" s="2279">
        <f t="shared" si="157"/>
        <v>0</v>
      </c>
      <c r="AZ307" s="2675">
        <f t="shared" si="158"/>
        <v>0</v>
      </c>
      <c r="BA307" s="2675">
        <f t="shared" si="159"/>
        <v>0</v>
      </c>
      <c r="BB307" s="2675">
        <f t="shared" si="160"/>
        <v>0</v>
      </c>
      <c r="BC307" s="2675">
        <f t="shared" si="161"/>
        <v>0</v>
      </c>
      <c r="BD307" s="2675">
        <f t="shared" si="162"/>
        <v>0</v>
      </c>
      <c r="BE307" s="2675">
        <f t="shared" si="163"/>
        <v>0</v>
      </c>
      <c r="BF307" s="2675">
        <f t="shared" si="164"/>
        <v>0</v>
      </c>
      <c r="BG307" s="2675">
        <f t="shared" si="165"/>
        <v>0</v>
      </c>
      <c r="BH307" s="2675">
        <f t="shared" si="166"/>
        <v>0</v>
      </c>
      <c r="BI307" s="2675">
        <f t="shared" si="167"/>
        <v>0</v>
      </c>
      <c r="BJ307" s="2675">
        <f t="shared" si="168"/>
        <v>0</v>
      </c>
      <c r="BK307" s="2675">
        <f t="shared" si="169"/>
        <v>0</v>
      </c>
      <c r="BL307" s="2675">
        <f t="shared" si="170"/>
        <v>0</v>
      </c>
      <c r="BM307" s="2675">
        <f t="shared" si="171"/>
        <v>0</v>
      </c>
      <c r="BN307" s="2675">
        <f t="shared" si="172"/>
        <v>0</v>
      </c>
      <c r="BO307" s="2675">
        <f t="shared" si="173"/>
        <v>0</v>
      </c>
      <c r="BP307" s="2675">
        <f t="shared" si="174"/>
        <v>0</v>
      </c>
      <c r="BQ307" s="2675">
        <f t="shared" si="175"/>
        <v>0</v>
      </c>
      <c r="BR307" s="2675">
        <f t="shared" si="176"/>
        <v>0</v>
      </c>
      <c r="BS307" s="2675">
        <f t="shared" si="177"/>
        <v>0</v>
      </c>
      <c r="BT307" s="2722">
        <f t="shared" si="178"/>
        <v>0</v>
      </c>
    </row>
    <row r="308" spans="1:72">
      <c r="A308" s="2673"/>
      <c r="B308" s="2674"/>
      <c r="C308" s="2674"/>
      <c r="D308" s="2277"/>
      <c r="E308" s="2675">
        <f t="shared" si="179"/>
        <v>0</v>
      </c>
      <c r="F308" s="2676"/>
      <c r="G308" s="2677">
        <f t="shared" si="154"/>
        <v>0</v>
      </c>
      <c r="H308" s="2678">
        <f t="shared" si="155"/>
        <v>0</v>
      </c>
      <c r="I308" s="2685"/>
      <c r="J308" s="2685"/>
      <c r="K308" s="2685"/>
      <c r="L308" s="2685"/>
      <c r="M308" s="2685"/>
      <c r="N308" s="2685"/>
      <c r="O308" s="2685"/>
      <c r="P308" s="2685"/>
      <c r="Q308" s="2685"/>
      <c r="R308" s="2685"/>
      <c r="S308" s="2685"/>
      <c r="T308" s="2685"/>
      <c r="U308" s="2685"/>
      <c r="V308" s="2685"/>
      <c r="W308" s="2685"/>
      <c r="X308" s="2685"/>
      <c r="Y308" s="2685"/>
      <c r="Z308" s="2685"/>
      <c r="AA308" s="2685"/>
      <c r="AB308" s="2685"/>
      <c r="AC308" s="2675">
        <f t="shared" si="156"/>
        <v>0</v>
      </c>
      <c r="AD308" s="2695"/>
      <c r="AE308" s="2695"/>
      <c r="AF308" s="2695"/>
      <c r="AG308" s="2695"/>
      <c r="AH308" s="2695"/>
      <c r="AI308" s="2695"/>
      <c r="AJ308" s="2695"/>
      <c r="AK308" s="2695"/>
      <c r="AL308" s="2695"/>
      <c r="AM308" s="2695"/>
      <c r="AN308" s="2695"/>
      <c r="AO308" s="2695"/>
      <c r="AP308" s="2695"/>
      <c r="AQ308" s="2695"/>
      <c r="AR308" s="2695"/>
      <c r="AS308" s="2695"/>
      <c r="AT308" s="2703"/>
      <c r="AU308" s="2704"/>
      <c r="AV308" s="1074">
        <f t="shared" si="180"/>
        <v>0</v>
      </c>
      <c r="AW308" s="1074">
        <f t="shared" si="181"/>
        <v>0</v>
      </c>
      <c r="AX308" s="1074">
        <f t="shared" si="182"/>
        <v>0</v>
      </c>
      <c r="AY308" s="2279">
        <f t="shared" si="157"/>
        <v>0</v>
      </c>
      <c r="AZ308" s="2675">
        <f t="shared" si="158"/>
        <v>0</v>
      </c>
      <c r="BA308" s="2675">
        <f t="shared" si="159"/>
        <v>0</v>
      </c>
      <c r="BB308" s="2675">
        <f t="shared" si="160"/>
        <v>0</v>
      </c>
      <c r="BC308" s="2675">
        <f t="shared" si="161"/>
        <v>0</v>
      </c>
      <c r="BD308" s="2675">
        <f t="shared" si="162"/>
        <v>0</v>
      </c>
      <c r="BE308" s="2675">
        <f t="shared" si="163"/>
        <v>0</v>
      </c>
      <c r="BF308" s="2675">
        <f t="shared" si="164"/>
        <v>0</v>
      </c>
      <c r="BG308" s="2675">
        <f t="shared" si="165"/>
        <v>0</v>
      </c>
      <c r="BH308" s="2675">
        <f t="shared" si="166"/>
        <v>0</v>
      </c>
      <c r="BI308" s="2675">
        <f t="shared" si="167"/>
        <v>0</v>
      </c>
      <c r="BJ308" s="2675">
        <f t="shared" si="168"/>
        <v>0</v>
      </c>
      <c r="BK308" s="2675">
        <f t="shared" si="169"/>
        <v>0</v>
      </c>
      <c r="BL308" s="2675">
        <f t="shared" si="170"/>
        <v>0</v>
      </c>
      <c r="BM308" s="2675">
        <f t="shared" si="171"/>
        <v>0</v>
      </c>
      <c r="BN308" s="2675">
        <f t="shared" si="172"/>
        <v>0</v>
      </c>
      <c r="BO308" s="2675">
        <f t="shared" si="173"/>
        <v>0</v>
      </c>
      <c r="BP308" s="2675">
        <f t="shared" si="174"/>
        <v>0</v>
      </c>
      <c r="BQ308" s="2675">
        <f t="shared" si="175"/>
        <v>0</v>
      </c>
      <c r="BR308" s="2675">
        <f t="shared" si="176"/>
        <v>0</v>
      </c>
      <c r="BS308" s="2675">
        <f t="shared" si="177"/>
        <v>0</v>
      </c>
      <c r="BT308" s="2722">
        <f t="shared" si="178"/>
        <v>0</v>
      </c>
    </row>
    <row r="309" spans="1:72">
      <c r="A309" s="2673"/>
      <c r="B309" s="2674"/>
      <c r="C309" s="2674"/>
      <c r="D309" s="2277"/>
      <c r="E309" s="2675">
        <f t="shared" si="179"/>
        <v>0</v>
      </c>
      <c r="F309" s="2676"/>
      <c r="G309" s="2677">
        <f t="shared" si="154"/>
        <v>0</v>
      </c>
      <c r="H309" s="2678">
        <f t="shared" si="155"/>
        <v>0</v>
      </c>
      <c r="I309" s="2685"/>
      <c r="J309" s="2685"/>
      <c r="K309" s="2685"/>
      <c r="L309" s="2685"/>
      <c r="M309" s="2685"/>
      <c r="N309" s="2685"/>
      <c r="O309" s="2685"/>
      <c r="P309" s="2685"/>
      <c r="Q309" s="2685"/>
      <c r="R309" s="2685"/>
      <c r="S309" s="2685"/>
      <c r="T309" s="2685"/>
      <c r="U309" s="2685"/>
      <c r="V309" s="2685"/>
      <c r="W309" s="2685"/>
      <c r="X309" s="2685"/>
      <c r="Y309" s="2685"/>
      <c r="Z309" s="2685"/>
      <c r="AA309" s="2685"/>
      <c r="AB309" s="2685"/>
      <c r="AC309" s="2675">
        <f t="shared" si="156"/>
        <v>0</v>
      </c>
      <c r="AD309" s="2695"/>
      <c r="AE309" s="2695"/>
      <c r="AF309" s="2695"/>
      <c r="AG309" s="2695"/>
      <c r="AH309" s="2695"/>
      <c r="AI309" s="2695"/>
      <c r="AJ309" s="2695"/>
      <c r="AK309" s="2695"/>
      <c r="AL309" s="2695"/>
      <c r="AM309" s="2695"/>
      <c r="AN309" s="2695"/>
      <c r="AO309" s="2695"/>
      <c r="AP309" s="2695"/>
      <c r="AQ309" s="2695"/>
      <c r="AR309" s="2695"/>
      <c r="AS309" s="2695"/>
      <c r="AT309" s="2703"/>
      <c r="AU309" s="2704"/>
      <c r="AV309" s="1074">
        <f t="shared" si="180"/>
        <v>0</v>
      </c>
      <c r="AW309" s="1074">
        <f t="shared" si="181"/>
        <v>0</v>
      </c>
      <c r="AX309" s="1074">
        <f t="shared" si="182"/>
        <v>0</v>
      </c>
      <c r="AY309" s="2279">
        <f t="shared" si="157"/>
        <v>0</v>
      </c>
      <c r="AZ309" s="2675">
        <f t="shared" si="158"/>
        <v>0</v>
      </c>
      <c r="BA309" s="2675">
        <f t="shared" si="159"/>
        <v>0</v>
      </c>
      <c r="BB309" s="2675">
        <f t="shared" si="160"/>
        <v>0</v>
      </c>
      <c r="BC309" s="2675">
        <f t="shared" si="161"/>
        <v>0</v>
      </c>
      <c r="BD309" s="2675">
        <f t="shared" si="162"/>
        <v>0</v>
      </c>
      <c r="BE309" s="2675">
        <f t="shared" si="163"/>
        <v>0</v>
      </c>
      <c r="BF309" s="2675">
        <f t="shared" si="164"/>
        <v>0</v>
      </c>
      <c r="BG309" s="2675">
        <f t="shared" si="165"/>
        <v>0</v>
      </c>
      <c r="BH309" s="2675">
        <f t="shared" si="166"/>
        <v>0</v>
      </c>
      <c r="BI309" s="2675">
        <f t="shared" si="167"/>
        <v>0</v>
      </c>
      <c r="BJ309" s="2675">
        <f t="shared" si="168"/>
        <v>0</v>
      </c>
      <c r="BK309" s="2675">
        <f t="shared" si="169"/>
        <v>0</v>
      </c>
      <c r="BL309" s="2675">
        <f t="shared" si="170"/>
        <v>0</v>
      </c>
      <c r="BM309" s="2675">
        <f t="shared" si="171"/>
        <v>0</v>
      </c>
      <c r="BN309" s="2675">
        <f t="shared" si="172"/>
        <v>0</v>
      </c>
      <c r="BO309" s="2675">
        <f t="shared" si="173"/>
        <v>0</v>
      </c>
      <c r="BP309" s="2675">
        <f t="shared" si="174"/>
        <v>0</v>
      </c>
      <c r="BQ309" s="2675">
        <f t="shared" si="175"/>
        <v>0</v>
      </c>
      <c r="BR309" s="2675">
        <f t="shared" si="176"/>
        <v>0</v>
      </c>
      <c r="BS309" s="2675">
        <f t="shared" si="177"/>
        <v>0</v>
      </c>
      <c r="BT309" s="2722">
        <f t="shared" si="178"/>
        <v>0</v>
      </c>
    </row>
    <row r="310" spans="1:72">
      <c r="A310" s="2673"/>
      <c r="B310" s="2674"/>
      <c r="C310" s="2674"/>
      <c r="D310" s="2277"/>
      <c r="E310" s="2675">
        <f t="shared" si="179"/>
        <v>0</v>
      </c>
      <c r="F310" s="2676"/>
      <c r="G310" s="2677">
        <f t="shared" si="154"/>
        <v>0</v>
      </c>
      <c r="H310" s="2678">
        <f t="shared" si="155"/>
        <v>0</v>
      </c>
      <c r="I310" s="2685"/>
      <c r="J310" s="2685"/>
      <c r="K310" s="2685"/>
      <c r="L310" s="2685"/>
      <c r="M310" s="2685"/>
      <c r="N310" s="2685"/>
      <c r="O310" s="2685"/>
      <c r="P310" s="2685"/>
      <c r="Q310" s="2685"/>
      <c r="R310" s="2685"/>
      <c r="S310" s="2685"/>
      <c r="T310" s="2685"/>
      <c r="U310" s="2685"/>
      <c r="V310" s="2685"/>
      <c r="W310" s="2685"/>
      <c r="X310" s="2685"/>
      <c r="Y310" s="2685"/>
      <c r="Z310" s="2685"/>
      <c r="AA310" s="2685"/>
      <c r="AB310" s="2685"/>
      <c r="AC310" s="2675">
        <f t="shared" si="156"/>
        <v>0</v>
      </c>
      <c r="AD310" s="2695"/>
      <c r="AE310" s="2695"/>
      <c r="AF310" s="2695"/>
      <c r="AG310" s="2695"/>
      <c r="AH310" s="2695"/>
      <c r="AI310" s="2695"/>
      <c r="AJ310" s="2695"/>
      <c r="AK310" s="2695"/>
      <c r="AL310" s="2695"/>
      <c r="AM310" s="2695"/>
      <c r="AN310" s="2695"/>
      <c r="AO310" s="2695"/>
      <c r="AP310" s="2695"/>
      <c r="AQ310" s="2695"/>
      <c r="AR310" s="2695"/>
      <c r="AS310" s="2695"/>
      <c r="AT310" s="2703"/>
      <c r="AU310" s="2704"/>
      <c r="AV310" s="1074">
        <f t="shared" si="180"/>
        <v>0</v>
      </c>
      <c r="AW310" s="1074">
        <f t="shared" si="181"/>
        <v>0</v>
      </c>
      <c r="AX310" s="1074">
        <f t="shared" si="182"/>
        <v>0</v>
      </c>
      <c r="AY310" s="2279">
        <f t="shared" si="157"/>
        <v>0</v>
      </c>
      <c r="AZ310" s="2675">
        <f t="shared" si="158"/>
        <v>0</v>
      </c>
      <c r="BA310" s="2675">
        <f t="shared" si="159"/>
        <v>0</v>
      </c>
      <c r="BB310" s="2675">
        <f t="shared" si="160"/>
        <v>0</v>
      </c>
      <c r="BC310" s="2675">
        <f t="shared" si="161"/>
        <v>0</v>
      </c>
      <c r="BD310" s="2675">
        <f t="shared" si="162"/>
        <v>0</v>
      </c>
      <c r="BE310" s="2675">
        <f t="shared" si="163"/>
        <v>0</v>
      </c>
      <c r="BF310" s="2675">
        <f t="shared" si="164"/>
        <v>0</v>
      </c>
      <c r="BG310" s="2675">
        <f t="shared" si="165"/>
        <v>0</v>
      </c>
      <c r="BH310" s="2675">
        <f t="shared" si="166"/>
        <v>0</v>
      </c>
      <c r="BI310" s="2675">
        <f t="shared" si="167"/>
        <v>0</v>
      </c>
      <c r="BJ310" s="2675">
        <f t="shared" si="168"/>
        <v>0</v>
      </c>
      <c r="BK310" s="2675">
        <f t="shared" si="169"/>
        <v>0</v>
      </c>
      <c r="BL310" s="2675">
        <f t="shared" si="170"/>
        <v>0</v>
      </c>
      <c r="BM310" s="2675">
        <f t="shared" si="171"/>
        <v>0</v>
      </c>
      <c r="BN310" s="2675">
        <f t="shared" si="172"/>
        <v>0</v>
      </c>
      <c r="BO310" s="2675">
        <f t="shared" si="173"/>
        <v>0</v>
      </c>
      <c r="BP310" s="2675">
        <f t="shared" si="174"/>
        <v>0</v>
      </c>
      <c r="BQ310" s="2675">
        <f t="shared" si="175"/>
        <v>0</v>
      </c>
      <c r="BR310" s="2675">
        <f t="shared" si="176"/>
        <v>0</v>
      </c>
      <c r="BS310" s="2675">
        <f t="shared" si="177"/>
        <v>0</v>
      </c>
      <c r="BT310" s="2722">
        <f t="shared" si="178"/>
        <v>0</v>
      </c>
    </row>
    <row r="311" spans="1:72">
      <c r="A311" s="2673"/>
      <c r="B311" s="2674"/>
      <c r="C311" s="2674"/>
      <c r="D311" s="2277"/>
      <c r="E311" s="2675">
        <f t="shared" si="179"/>
        <v>0</v>
      </c>
      <c r="F311" s="2676"/>
      <c r="G311" s="2677">
        <f t="shared" si="154"/>
        <v>0</v>
      </c>
      <c r="H311" s="2678">
        <f t="shared" si="155"/>
        <v>0</v>
      </c>
      <c r="I311" s="2685"/>
      <c r="J311" s="2685"/>
      <c r="K311" s="2685"/>
      <c r="L311" s="2685"/>
      <c r="M311" s="2685"/>
      <c r="N311" s="2685"/>
      <c r="O311" s="2685"/>
      <c r="P311" s="2685"/>
      <c r="Q311" s="2685"/>
      <c r="R311" s="2685"/>
      <c r="S311" s="2685"/>
      <c r="T311" s="2685"/>
      <c r="U311" s="2685"/>
      <c r="V311" s="2685"/>
      <c r="W311" s="2685"/>
      <c r="X311" s="2685"/>
      <c r="Y311" s="2685"/>
      <c r="Z311" s="2685"/>
      <c r="AA311" s="2685"/>
      <c r="AB311" s="2685"/>
      <c r="AC311" s="2675">
        <f t="shared" si="156"/>
        <v>0</v>
      </c>
      <c r="AD311" s="2695"/>
      <c r="AE311" s="2695"/>
      <c r="AF311" s="2695"/>
      <c r="AG311" s="2695"/>
      <c r="AH311" s="2695"/>
      <c r="AI311" s="2695"/>
      <c r="AJ311" s="2695"/>
      <c r="AK311" s="2695"/>
      <c r="AL311" s="2695"/>
      <c r="AM311" s="2695"/>
      <c r="AN311" s="2695"/>
      <c r="AO311" s="2695"/>
      <c r="AP311" s="2695"/>
      <c r="AQ311" s="2695"/>
      <c r="AR311" s="2695"/>
      <c r="AS311" s="2695"/>
      <c r="AT311" s="2703"/>
      <c r="AU311" s="2704"/>
      <c r="AV311" s="1074">
        <f t="shared" si="180"/>
        <v>0</v>
      </c>
      <c r="AW311" s="1074">
        <f t="shared" si="181"/>
        <v>0</v>
      </c>
      <c r="AX311" s="1074">
        <f t="shared" si="182"/>
        <v>0</v>
      </c>
      <c r="AY311" s="2279">
        <f t="shared" si="157"/>
        <v>0</v>
      </c>
      <c r="AZ311" s="2675">
        <f t="shared" si="158"/>
        <v>0</v>
      </c>
      <c r="BA311" s="2675">
        <f t="shared" si="159"/>
        <v>0</v>
      </c>
      <c r="BB311" s="2675">
        <f t="shared" si="160"/>
        <v>0</v>
      </c>
      <c r="BC311" s="2675">
        <f t="shared" si="161"/>
        <v>0</v>
      </c>
      <c r="BD311" s="2675">
        <f t="shared" si="162"/>
        <v>0</v>
      </c>
      <c r="BE311" s="2675">
        <f t="shared" si="163"/>
        <v>0</v>
      </c>
      <c r="BF311" s="2675">
        <f t="shared" si="164"/>
        <v>0</v>
      </c>
      <c r="BG311" s="2675">
        <f t="shared" si="165"/>
        <v>0</v>
      </c>
      <c r="BH311" s="2675">
        <f t="shared" si="166"/>
        <v>0</v>
      </c>
      <c r="BI311" s="2675">
        <f t="shared" si="167"/>
        <v>0</v>
      </c>
      <c r="BJ311" s="2675">
        <f t="shared" si="168"/>
        <v>0</v>
      </c>
      <c r="BK311" s="2675">
        <f t="shared" si="169"/>
        <v>0</v>
      </c>
      <c r="BL311" s="2675">
        <f t="shared" si="170"/>
        <v>0</v>
      </c>
      <c r="BM311" s="2675">
        <f t="shared" si="171"/>
        <v>0</v>
      </c>
      <c r="BN311" s="2675">
        <f t="shared" si="172"/>
        <v>0</v>
      </c>
      <c r="BO311" s="2675">
        <f t="shared" si="173"/>
        <v>0</v>
      </c>
      <c r="BP311" s="2675">
        <f t="shared" si="174"/>
        <v>0</v>
      </c>
      <c r="BQ311" s="2675">
        <f t="shared" si="175"/>
        <v>0</v>
      </c>
      <c r="BR311" s="2675">
        <f t="shared" si="176"/>
        <v>0</v>
      </c>
      <c r="BS311" s="2675">
        <f t="shared" si="177"/>
        <v>0</v>
      </c>
      <c r="BT311" s="2722">
        <f t="shared" si="178"/>
        <v>0</v>
      </c>
    </row>
    <row r="312" spans="1:72">
      <c r="A312" s="2673"/>
      <c r="B312" s="2674"/>
      <c r="C312" s="2674"/>
      <c r="D312" s="2277"/>
      <c r="E312" s="2675">
        <f t="shared" si="179"/>
        <v>0</v>
      </c>
      <c r="F312" s="2676"/>
      <c r="G312" s="2677">
        <f t="shared" si="154"/>
        <v>0</v>
      </c>
      <c r="H312" s="2678">
        <f t="shared" si="155"/>
        <v>0</v>
      </c>
      <c r="I312" s="2685"/>
      <c r="J312" s="2685"/>
      <c r="K312" s="2685"/>
      <c r="L312" s="2685"/>
      <c r="M312" s="2685"/>
      <c r="N312" s="2685"/>
      <c r="O312" s="2685"/>
      <c r="P312" s="2685"/>
      <c r="Q312" s="2685"/>
      <c r="R312" s="2685"/>
      <c r="S312" s="2685"/>
      <c r="T312" s="2685"/>
      <c r="U312" s="2685"/>
      <c r="V312" s="2685"/>
      <c r="W312" s="2685"/>
      <c r="X312" s="2685"/>
      <c r="Y312" s="2685"/>
      <c r="Z312" s="2685"/>
      <c r="AA312" s="2685"/>
      <c r="AB312" s="2685"/>
      <c r="AC312" s="2675">
        <f t="shared" si="156"/>
        <v>0</v>
      </c>
      <c r="AD312" s="2695"/>
      <c r="AE312" s="2695"/>
      <c r="AF312" s="2695"/>
      <c r="AG312" s="2695"/>
      <c r="AH312" s="2695"/>
      <c r="AI312" s="2695"/>
      <c r="AJ312" s="2695"/>
      <c r="AK312" s="2695"/>
      <c r="AL312" s="2695"/>
      <c r="AM312" s="2695"/>
      <c r="AN312" s="2695"/>
      <c r="AO312" s="2695"/>
      <c r="AP312" s="2695"/>
      <c r="AQ312" s="2695"/>
      <c r="AR312" s="2695"/>
      <c r="AS312" s="2695"/>
      <c r="AT312" s="2703"/>
      <c r="AU312" s="2704"/>
      <c r="AV312" s="1074">
        <f t="shared" si="180"/>
        <v>0</v>
      </c>
      <c r="AW312" s="1074">
        <f t="shared" si="181"/>
        <v>0</v>
      </c>
      <c r="AX312" s="1074">
        <f t="shared" si="182"/>
        <v>0</v>
      </c>
      <c r="AY312" s="2279">
        <f t="shared" si="157"/>
        <v>0</v>
      </c>
      <c r="AZ312" s="2675">
        <f t="shared" si="158"/>
        <v>0</v>
      </c>
      <c r="BA312" s="2675">
        <f t="shared" si="159"/>
        <v>0</v>
      </c>
      <c r="BB312" s="2675">
        <f t="shared" si="160"/>
        <v>0</v>
      </c>
      <c r="BC312" s="2675">
        <f t="shared" si="161"/>
        <v>0</v>
      </c>
      <c r="BD312" s="2675">
        <f t="shared" si="162"/>
        <v>0</v>
      </c>
      <c r="BE312" s="2675">
        <f t="shared" si="163"/>
        <v>0</v>
      </c>
      <c r="BF312" s="2675">
        <f t="shared" si="164"/>
        <v>0</v>
      </c>
      <c r="BG312" s="2675">
        <f t="shared" si="165"/>
        <v>0</v>
      </c>
      <c r="BH312" s="2675">
        <f t="shared" si="166"/>
        <v>0</v>
      </c>
      <c r="BI312" s="2675">
        <f t="shared" si="167"/>
        <v>0</v>
      </c>
      <c r="BJ312" s="2675">
        <f t="shared" si="168"/>
        <v>0</v>
      </c>
      <c r="BK312" s="2675">
        <f t="shared" si="169"/>
        <v>0</v>
      </c>
      <c r="BL312" s="2675">
        <f t="shared" si="170"/>
        <v>0</v>
      </c>
      <c r="BM312" s="2675">
        <f t="shared" si="171"/>
        <v>0</v>
      </c>
      <c r="BN312" s="2675">
        <f t="shared" si="172"/>
        <v>0</v>
      </c>
      <c r="BO312" s="2675">
        <f t="shared" si="173"/>
        <v>0</v>
      </c>
      <c r="BP312" s="2675">
        <f t="shared" si="174"/>
        <v>0</v>
      </c>
      <c r="BQ312" s="2675">
        <f t="shared" si="175"/>
        <v>0</v>
      </c>
      <c r="BR312" s="2675">
        <f t="shared" si="176"/>
        <v>0</v>
      </c>
      <c r="BS312" s="2675">
        <f t="shared" si="177"/>
        <v>0</v>
      </c>
      <c r="BT312" s="2722">
        <f t="shared" si="178"/>
        <v>0</v>
      </c>
    </row>
    <row r="313" spans="1:72">
      <c r="A313" s="2673"/>
      <c r="B313" s="2674"/>
      <c r="C313" s="2674"/>
      <c r="D313" s="2277"/>
      <c r="E313" s="2675">
        <f t="shared" si="179"/>
        <v>0</v>
      </c>
      <c r="F313" s="2676"/>
      <c r="G313" s="2677">
        <f t="shared" si="154"/>
        <v>0</v>
      </c>
      <c r="H313" s="2678">
        <f t="shared" si="155"/>
        <v>0</v>
      </c>
      <c r="I313" s="2685"/>
      <c r="J313" s="2685"/>
      <c r="K313" s="2685"/>
      <c r="L313" s="2685"/>
      <c r="M313" s="2685"/>
      <c r="N313" s="2685"/>
      <c r="O313" s="2685"/>
      <c r="P313" s="2685"/>
      <c r="Q313" s="2685"/>
      <c r="R313" s="2685"/>
      <c r="S313" s="2685"/>
      <c r="T313" s="2685"/>
      <c r="U313" s="2685"/>
      <c r="V313" s="2685"/>
      <c r="W313" s="2685"/>
      <c r="X313" s="2685"/>
      <c r="Y313" s="2685"/>
      <c r="Z313" s="2685"/>
      <c r="AA313" s="2685"/>
      <c r="AB313" s="2685"/>
      <c r="AC313" s="2675">
        <f t="shared" si="156"/>
        <v>0</v>
      </c>
      <c r="AD313" s="2695"/>
      <c r="AE313" s="2695"/>
      <c r="AF313" s="2695"/>
      <c r="AG313" s="2695"/>
      <c r="AH313" s="2695"/>
      <c r="AI313" s="2695"/>
      <c r="AJ313" s="2695"/>
      <c r="AK313" s="2695"/>
      <c r="AL313" s="2695"/>
      <c r="AM313" s="2695"/>
      <c r="AN313" s="2695"/>
      <c r="AO313" s="2695"/>
      <c r="AP313" s="2695"/>
      <c r="AQ313" s="2695"/>
      <c r="AR313" s="2695"/>
      <c r="AS313" s="2695"/>
      <c r="AT313" s="2703"/>
      <c r="AU313" s="2704"/>
      <c r="AV313" s="1074">
        <f t="shared" si="180"/>
        <v>0</v>
      </c>
      <c r="AW313" s="1074">
        <f t="shared" si="181"/>
        <v>0</v>
      </c>
      <c r="AX313" s="1074">
        <f t="shared" si="182"/>
        <v>0</v>
      </c>
      <c r="AY313" s="2279">
        <f t="shared" si="157"/>
        <v>0</v>
      </c>
      <c r="AZ313" s="2675">
        <f t="shared" si="158"/>
        <v>0</v>
      </c>
      <c r="BA313" s="2675">
        <f t="shared" si="159"/>
        <v>0</v>
      </c>
      <c r="BB313" s="2675">
        <f t="shared" si="160"/>
        <v>0</v>
      </c>
      <c r="BC313" s="2675">
        <f t="shared" si="161"/>
        <v>0</v>
      </c>
      <c r="BD313" s="2675">
        <f t="shared" si="162"/>
        <v>0</v>
      </c>
      <c r="BE313" s="2675">
        <f t="shared" si="163"/>
        <v>0</v>
      </c>
      <c r="BF313" s="2675">
        <f t="shared" si="164"/>
        <v>0</v>
      </c>
      <c r="BG313" s="2675">
        <f t="shared" si="165"/>
        <v>0</v>
      </c>
      <c r="BH313" s="2675">
        <f t="shared" si="166"/>
        <v>0</v>
      </c>
      <c r="BI313" s="2675">
        <f t="shared" si="167"/>
        <v>0</v>
      </c>
      <c r="BJ313" s="2675">
        <f t="shared" si="168"/>
        <v>0</v>
      </c>
      <c r="BK313" s="2675">
        <f t="shared" si="169"/>
        <v>0</v>
      </c>
      <c r="BL313" s="2675">
        <f t="shared" si="170"/>
        <v>0</v>
      </c>
      <c r="BM313" s="2675">
        <f t="shared" si="171"/>
        <v>0</v>
      </c>
      <c r="BN313" s="2675">
        <f t="shared" si="172"/>
        <v>0</v>
      </c>
      <c r="BO313" s="2675">
        <f t="shared" si="173"/>
        <v>0</v>
      </c>
      <c r="BP313" s="2675">
        <f t="shared" si="174"/>
        <v>0</v>
      </c>
      <c r="BQ313" s="2675">
        <f t="shared" si="175"/>
        <v>0</v>
      </c>
      <c r="BR313" s="2675">
        <f t="shared" si="176"/>
        <v>0</v>
      </c>
      <c r="BS313" s="2675">
        <f t="shared" si="177"/>
        <v>0</v>
      </c>
      <c r="BT313" s="2722">
        <f t="shared" si="178"/>
        <v>0</v>
      </c>
    </row>
    <row r="314" spans="1:72">
      <c r="A314" s="2673"/>
      <c r="B314" s="2674"/>
      <c r="C314" s="2674"/>
      <c r="D314" s="2277"/>
      <c r="E314" s="2675">
        <f t="shared" si="179"/>
        <v>0</v>
      </c>
      <c r="F314" s="2676"/>
      <c r="G314" s="2677">
        <f t="shared" si="154"/>
        <v>0</v>
      </c>
      <c r="H314" s="2678">
        <f t="shared" si="155"/>
        <v>0</v>
      </c>
      <c r="I314" s="2685"/>
      <c r="J314" s="2685"/>
      <c r="K314" s="2685"/>
      <c r="L314" s="2685"/>
      <c r="M314" s="2685"/>
      <c r="N314" s="2685"/>
      <c r="O314" s="2685"/>
      <c r="P314" s="2685"/>
      <c r="Q314" s="2685"/>
      <c r="R314" s="2685"/>
      <c r="S314" s="2685"/>
      <c r="T314" s="2685"/>
      <c r="U314" s="2685"/>
      <c r="V314" s="2685"/>
      <c r="W314" s="2685"/>
      <c r="X314" s="2685"/>
      <c r="Y314" s="2685"/>
      <c r="Z314" s="2685"/>
      <c r="AA314" s="2685"/>
      <c r="AB314" s="2685"/>
      <c r="AC314" s="2675">
        <f t="shared" si="156"/>
        <v>0</v>
      </c>
      <c r="AD314" s="2695"/>
      <c r="AE314" s="2695"/>
      <c r="AF314" s="2695"/>
      <c r="AG314" s="2695"/>
      <c r="AH314" s="2695"/>
      <c r="AI314" s="2695"/>
      <c r="AJ314" s="2695"/>
      <c r="AK314" s="2695"/>
      <c r="AL314" s="2695"/>
      <c r="AM314" s="2695"/>
      <c r="AN314" s="2695"/>
      <c r="AO314" s="2695"/>
      <c r="AP314" s="2695"/>
      <c r="AQ314" s="2695"/>
      <c r="AR314" s="2695"/>
      <c r="AS314" s="2695"/>
      <c r="AT314" s="2703"/>
      <c r="AU314" s="2704"/>
      <c r="AV314" s="1074">
        <f t="shared" si="180"/>
        <v>0</v>
      </c>
      <c r="AW314" s="1074">
        <f t="shared" si="181"/>
        <v>0</v>
      </c>
      <c r="AX314" s="1074">
        <f t="shared" si="182"/>
        <v>0</v>
      </c>
      <c r="AY314" s="2279">
        <f t="shared" si="157"/>
        <v>0</v>
      </c>
      <c r="AZ314" s="2675">
        <f t="shared" si="158"/>
        <v>0</v>
      </c>
      <c r="BA314" s="2675">
        <f t="shared" si="159"/>
        <v>0</v>
      </c>
      <c r="BB314" s="2675">
        <f t="shared" si="160"/>
        <v>0</v>
      </c>
      <c r="BC314" s="2675">
        <f t="shared" si="161"/>
        <v>0</v>
      </c>
      <c r="BD314" s="2675">
        <f t="shared" si="162"/>
        <v>0</v>
      </c>
      <c r="BE314" s="2675">
        <f t="shared" si="163"/>
        <v>0</v>
      </c>
      <c r="BF314" s="2675">
        <f t="shared" si="164"/>
        <v>0</v>
      </c>
      <c r="BG314" s="2675">
        <f t="shared" si="165"/>
        <v>0</v>
      </c>
      <c r="BH314" s="2675">
        <f t="shared" si="166"/>
        <v>0</v>
      </c>
      <c r="BI314" s="2675">
        <f t="shared" si="167"/>
        <v>0</v>
      </c>
      <c r="BJ314" s="2675">
        <f t="shared" si="168"/>
        <v>0</v>
      </c>
      <c r="BK314" s="2675">
        <f t="shared" si="169"/>
        <v>0</v>
      </c>
      <c r="BL314" s="2675">
        <f t="shared" si="170"/>
        <v>0</v>
      </c>
      <c r="BM314" s="2675">
        <f t="shared" si="171"/>
        <v>0</v>
      </c>
      <c r="BN314" s="2675">
        <f t="shared" si="172"/>
        <v>0</v>
      </c>
      <c r="BO314" s="2675">
        <f t="shared" si="173"/>
        <v>0</v>
      </c>
      <c r="BP314" s="2675">
        <f t="shared" si="174"/>
        <v>0</v>
      </c>
      <c r="BQ314" s="2675">
        <f t="shared" si="175"/>
        <v>0</v>
      </c>
      <c r="BR314" s="2675">
        <f t="shared" si="176"/>
        <v>0</v>
      </c>
      <c r="BS314" s="2675">
        <f t="shared" si="177"/>
        <v>0</v>
      </c>
      <c r="BT314" s="2722">
        <f t="shared" si="178"/>
        <v>0</v>
      </c>
    </row>
    <row r="315" spans="1:72">
      <c r="A315" s="2673"/>
      <c r="B315" s="2674"/>
      <c r="C315" s="2674"/>
      <c r="D315" s="2277"/>
      <c r="E315" s="2675">
        <f t="shared" si="179"/>
        <v>0</v>
      </c>
      <c r="F315" s="2676"/>
      <c r="G315" s="2677">
        <f t="shared" si="154"/>
        <v>0</v>
      </c>
      <c r="H315" s="2678">
        <f t="shared" si="155"/>
        <v>0</v>
      </c>
      <c r="I315" s="2685"/>
      <c r="J315" s="2685"/>
      <c r="K315" s="2685"/>
      <c r="L315" s="2685"/>
      <c r="M315" s="2685"/>
      <c r="N315" s="2685"/>
      <c r="O315" s="2685"/>
      <c r="P315" s="2685"/>
      <c r="Q315" s="2685"/>
      <c r="R315" s="2685"/>
      <c r="S315" s="2685"/>
      <c r="T315" s="2685"/>
      <c r="U315" s="2685"/>
      <c r="V315" s="2685"/>
      <c r="W315" s="2685"/>
      <c r="X315" s="2685"/>
      <c r="Y315" s="2685"/>
      <c r="Z315" s="2685"/>
      <c r="AA315" s="2685"/>
      <c r="AB315" s="2685"/>
      <c r="AC315" s="2675">
        <f t="shared" si="156"/>
        <v>0</v>
      </c>
      <c r="AD315" s="2695"/>
      <c r="AE315" s="2695"/>
      <c r="AF315" s="2695"/>
      <c r="AG315" s="2695"/>
      <c r="AH315" s="2695"/>
      <c r="AI315" s="2695"/>
      <c r="AJ315" s="2695"/>
      <c r="AK315" s="2695"/>
      <c r="AL315" s="2695"/>
      <c r="AM315" s="2695"/>
      <c r="AN315" s="2695"/>
      <c r="AO315" s="2695"/>
      <c r="AP315" s="2695"/>
      <c r="AQ315" s="2695"/>
      <c r="AR315" s="2695"/>
      <c r="AS315" s="2695"/>
      <c r="AT315" s="2703"/>
      <c r="AU315" s="2704"/>
      <c r="AV315" s="1074">
        <f t="shared" si="180"/>
        <v>0</v>
      </c>
      <c r="AW315" s="1074">
        <f t="shared" si="181"/>
        <v>0</v>
      </c>
      <c r="AX315" s="1074">
        <f t="shared" si="182"/>
        <v>0</v>
      </c>
      <c r="AY315" s="2279">
        <f t="shared" si="157"/>
        <v>0</v>
      </c>
      <c r="AZ315" s="2675">
        <f t="shared" si="158"/>
        <v>0</v>
      </c>
      <c r="BA315" s="2675">
        <f t="shared" si="159"/>
        <v>0</v>
      </c>
      <c r="BB315" s="2675">
        <f t="shared" si="160"/>
        <v>0</v>
      </c>
      <c r="BC315" s="2675">
        <f t="shared" si="161"/>
        <v>0</v>
      </c>
      <c r="BD315" s="2675">
        <f t="shared" si="162"/>
        <v>0</v>
      </c>
      <c r="BE315" s="2675">
        <f t="shared" si="163"/>
        <v>0</v>
      </c>
      <c r="BF315" s="2675">
        <f t="shared" si="164"/>
        <v>0</v>
      </c>
      <c r="BG315" s="2675">
        <f t="shared" si="165"/>
        <v>0</v>
      </c>
      <c r="BH315" s="2675">
        <f t="shared" si="166"/>
        <v>0</v>
      </c>
      <c r="BI315" s="2675">
        <f t="shared" si="167"/>
        <v>0</v>
      </c>
      <c r="BJ315" s="2675">
        <f t="shared" si="168"/>
        <v>0</v>
      </c>
      <c r="BK315" s="2675">
        <f t="shared" si="169"/>
        <v>0</v>
      </c>
      <c r="BL315" s="2675">
        <f t="shared" si="170"/>
        <v>0</v>
      </c>
      <c r="BM315" s="2675">
        <f t="shared" si="171"/>
        <v>0</v>
      </c>
      <c r="BN315" s="2675">
        <f t="shared" si="172"/>
        <v>0</v>
      </c>
      <c r="BO315" s="2675">
        <f t="shared" si="173"/>
        <v>0</v>
      </c>
      <c r="BP315" s="2675">
        <f t="shared" si="174"/>
        <v>0</v>
      </c>
      <c r="BQ315" s="2675">
        <f t="shared" si="175"/>
        <v>0</v>
      </c>
      <c r="BR315" s="2675">
        <f t="shared" si="176"/>
        <v>0</v>
      </c>
      <c r="BS315" s="2675">
        <f t="shared" si="177"/>
        <v>0</v>
      </c>
      <c r="BT315" s="2722">
        <f t="shared" si="178"/>
        <v>0</v>
      </c>
    </row>
    <row r="316" spans="1:72">
      <c r="A316" s="2673"/>
      <c r="B316" s="2674"/>
      <c r="C316" s="2674"/>
      <c r="D316" s="2277"/>
      <c r="E316" s="2675">
        <f t="shared" si="179"/>
        <v>0</v>
      </c>
      <c r="F316" s="2676"/>
      <c r="G316" s="2677">
        <f t="shared" si="154"/>
        <v>0</v>
      </c>
      <c r="H316" s="2678">
        <f t="shared" si="155"/>
        <v>0</v>
      </c>
      <c r="I316" s="2685"/>
      <c r="J316" s="2685"/>
      <c r="K316" s="2685"/>
      <c r="L316" s="2685"/>
      <c r="M316" s="2685"/>
      <c r="N316" s="2685"/>
      <c r="O316" s="2685"/>
      <c r="P316" s="2685"/>
      <c r="Q316" s="2685"/>
      <c r="R316" s="2685"/>
      <c r="S316" s="2685"/>
      <c r="T316" s="2685"/>
      <c r="U316" s="2685"/>
      <c r="V316" s="2685"/>
      <c r="W316" s="2685"/>
      <c r="X316" s="2685"/>
      <c r="Y316" s="2685"/>
      <c r="Z316" s="2685"/>
      <c r="AA316" s="2685"/>
      <c r="AB316" s="2685"/>
      <c r="AC316" s="2675">
        <f t="shared" si="156"/>
        <v>0</v>
      </c>
      <c r="AD316" s="2695"/>
      <c r="AE316" s="2695"/>
      <c r="AF316" s="2695"/>
      <c r="AG316" s="2695"/>
      <c r="AH316" s="2695"/>
      <c r="AI316" s="2695"/>
      <c r="AJ316" s="2695"/>
      <c r="AK316" s="2695"/>
      <c r="AL316" s="2695"/>
      <c r="AM316" s="2695"/>
      <c r="AN316" s="2695"/>
      <c r="AO316" s="2695"/>
      <c r="AP316" s="2695"/>
      <c r="AQ316" s="2695"/>
      <c r="AR316" s="2695"/>
      <c r="AS316" s="2695"/>
      <c r="AT316" s="2703"/>
      <c r="AU316" s="2704"/>
      <c r="AV316" s="1074">
        <f t="shared" si="180"/>
        <v>0</v>
      </c>
      <c r="AW316" s="1074">
        <f t="shared" si="181"/>
        <v>0</v>
      </c>
      <c r="AX316" s="1074">
        <f t="shared" si="182"/>
        <v>0</v>
      </c>
      <c r="AY316" s="2279">
        <f t="shared" si="157"/>
        <v>0</v>
      </c>
      <c r="AZ316" s="2675">
        <f t="shared" si="158"/>
        <v>0</v>
      </c>
      <c r="BA316" s="2675">
        <f t="shared" si="159"/>
        <v>0</v>
      </c>
      <c r="BB316" s="2675">
        <f t="shared" si="160"/>
        <v>0</v>
      </c>
      <c r="BC316" s="2675">
        <f t="shared" si="161"/>
        <v>0</v>
      </c>
      <c r="BD316" s="2675">
        <f t="shared" si="162"/>
        <v>0</v>
      </c>
      <c r="BE316" s="2675">
        <f t="shared" si="163"/>
        <v>0</v>
      </c>
      <c r="BF316" s="2675">
        <f t="shared" si="164"/>
        <v>0</v>
      </c>
      <c r="BG316" s="2675">
        <f t="shared" si="165"/>
        <v>0</v>
      </c>
      <c r="BH316" s="2675">
        <f t="shared" si="166"/>
        <v>0</v>
      </c>
      <c r="BI316" s="2675">
        <f t="shared" si="167"/>
        <v>0</v>
      </c>
      <c r="BJ316" s="2675">
        <f t="shared" si="168"/>
        <v>0</v>
      </c>
      <c r="BK316" s="2675">
        <f t="shared" si="169"/>
        <v>0</v>
      </c>
      <c r="BL316" s="2675">
        <f t="shared" si="170"/>
        <v>0</v>
      </c>
      <c r="BM316" s="2675">
        <f t="shared" si="171"/>
        <v>0</v>
      </c>
      <c r="BN316" s="2675">
        <f t="shared" si="172"/>
        <v>0</v>
      </c>
      <c r="BO316" s="2675">
        <f t="shared" si="173"/>
        <v>0</v>
      </c>
      <c r="BP316" s="2675">
        <f t="shared" si="174"/>
        <v>0</v>
      </c>
      <c r="BQ316" s="2675">
        <f t="shared" si="175"/>
        <v>0</v>
      </c>
      <c r="BR316" s="2675">
        <f t="shared" si="176"/>
        <v>0</v>
      </c>
      <c r="BS316" s="2675">
        <f t="shared" si="177"/>
        <v>0</v>
      </c>
      <c r="BT316" s="2722">
        <f t="shared" si="178"/>
        <v>0</v>
      </c>
    </row>
    <row r="317" spans="1:72">
      <c r="A317" s="2673"/>
      <c r="B317" s="2674"/>
      <c r="C317" s="2674"/>
      <c r="D317" s="2277"/>
      <c r="E317" s="2675">
        <f t="shared" si="179"/>
        <v>0</v>
      </c>
      <c r="F317" s="2676"/>
      <c r="G317" s="2677">
        <f t="shared" si="154"/>
        <v>0</v>
      </c>
      <c r="H317" s="2678">
        <f t="shared" si="155"/>
        <v>0</v>
      </c>
      <c r="I317" s="2685"/>
      <c r="J317" s="2685"/>
      <c r="K317" s="2685"/>
      <c r="L317" s="2685"/>
      <c r="M317" s="2685"/>
      <c r="N317" s="2685"/>
      <c r="O317" s="2685"/>
      <c r="P317" s="2685"/>
      <c r="Q317" s="2685"/>
      <c r="R317" s="2685"/>
      <c r="S317" s="2685"/>
      <c r="T317" s="2685"/>
      <c r="U317" s="2685"/>
      <c r="V317" s="2685"/>
      <c r="W317" s="2685"/>
      <c r="X317" s="2685"/>
      <c r="Y317" s="2685"/>
      <c r="Z317" s="2685"/>
      <c r="AA317" s="2685"/>
      <c r="AB317" s="2685"/>
      <c r="AC317" s="2675">
        <f t="shared" si="156"/>
        <v>0</v>
      </c>
      <c r="AD317" s="2695"/>
      <c r="AE317" s="2695"/>
      <c r="AF317" s="2695"/>
      <c r="AG317" s="2695"/>
      <c r="AH317" s="2695"/>
      <c r="AI317" s="2695"/>
      <c r="AJ317" s="2695"/>
      <c r="AK317" s="2695"/>
      <c r="AL317" s="2695"/>
      <c r="AM317" s="2695"/>
      <c r="AN317" s="2695"/>
      <c r="AO317" s="2695"/>
      <c r="AP317" s="2695"/>
      <c r="AQ317" s="2695"/>
      <c r="AR317" s="2695"/>
      <c r="AS317" s="2695"/>
      <c r="AT317" s="2703"/>
      <c r="AU317" s="2704"/>
      <c r="AV317" s="1074">
        <f t="shared" si="180"/>
        <v>0</v>
      </c>
      <c r="AW317" s="1074">
        <f t="shared" si="181"/>
        <v>0</v>
      </c>
      <c r="AX317" s="1074">
        <f t="shared" si="182"/>
        <v>0</v>
      </c>
      <c r="AY317" s="2279">
        <f t="shared" si="157"/>
        <v>0</v>
      </c>
      <c r="AZ317" s="2675">
        <f t="shared" si="158"/>
        <v>0</v>
      </c>
      <c r="BA317" s="2675">
        <f t="shared" si="159"/>
        <v>0</v>
      </c>
      <c r="BB317" s="2675">
        <f t="shared" si="160"/>
        <v>0</v>
      </c>
      <c r="BC317" s="2675">
        <f t="shared" si="161"/>
        <v>0</v>
      </c>
      <c r="BD317" s="2675">
        <f t="shared" si="162"/>
        <v>0</v>
      </c>
      <c r="BE317" s="2675">
        <f t="shared" si="163"/>
        <v>0</v>
      </c>
      <c r="BF317" s="2675">
        <f t="shared" si="164"/>
        <v>0</v>
      </c>
      <c r="BG317" s="2675">
        <f t="shared" si="165"/>
        <v>0</v>
      </c>
      <c r="BH317" s="2675">
        <f t="shared" si="166"/>
        <v>0</v>
      </c>
      <c r="BI317" s="2675">
        <f t="shared" si="167"/>
        <v>0</v>
      </c>
      <c r="BJ317" s="2675">
        <f t="shared" si="168"/>
        <v>0</v>
      </c>
      <c r="BK317" s="2675">
        <f t="shared" si="169"/>
        <v>0</v>
      </c>
      <c r="BL317" s="2675">
        <f t="shared" si="170"/>
        <v>0</v>
      </c>
      <c r="BM317" s="2675">
        <f t="shared" si="171"/>
        <v>0</v>
      </c>
      <c r="BN317" s="2675">
        <f t="shared" si="172"/>
        <v>0</v>
      </c>
      <c r="BO317" s="2675">
        <f t="shared" si="173"/>
        <v>0</v>
      </c>
      <c r="BP317" s="2675">
        <f t="shared" si="174"/>
        <v>0</v>
      </c>
      <c r="BQ317" s="2675">
        <f t="shared" si="175"/>
        <v>0</v>
      </c>
      <c r="BR317" s="2675">
        <f t="shared" si="176"/>
        <v>0</v>
      </c>
      <c r="BS317" s="2675">
        <f t="shared" si="177"/>
        <v>0</v>
      </c>
      <c r="BT317" s="2722">
        <f t="shared" si="178"/>
        <v>0</v>
      </c>
    </row>
    <row r="318" spans="1:72">
      <c r="A318" s="2673"/>
      <c r="B318" s="2674"/>
      <c r="C318" s="2674"/>
      <c r="D318" s="2277"/>
      <c r="E318" s="2675">
        <f t="shared" si="179"/>
        <v>0</v>
      </c>
      <c r="F318" s="2676"/>
      <c r="G318" s="2677">
        <f t="shared" si="154"/>
        <v>0</v>
      </c>
      <c r="H318" s="2678">
        <f t="shared" si="155"/>
        <v>0</v>
      </c>
      <c r="I318" s="2685"/>
      <c r="J318" s="2685"/>
      <c r="K318" s="2685"/>
      <c r="L318" s="2685"/>
      <c r="M318" s="2685"/>
      <c r="N318" s="2685"/>
      <c r="O318" s="2685"/>
      <c r="P318" s="2685"/>
      <c r="Q318" s="2685"/>
      <c r="R318" s="2685"/>
      <c r="S318" s="2685"/>
      <c r="T318" s="2685"/>
      <c r="U318" s="2685"/>
      <c r="V318" s="2685"/>
      <c r="W318" s="2685"/>
      <c r="X318" s="2685"/>
      <c r="Y318" s="2685"/>
      <c r="Z318" s="2685"/>
      <c r="AA318" s="2685"/>
      <c r="AB318" s="2685"/>
      <c r="AC318" s="2675">
        <f t="shared" si="156"/>
        <v>0</v>
      </c>
      <c r="AD318" s="2695"/>
      <c r="AE318" s="2695"/>
      <c r="AF318" s="2695"/>
      <c r="AG318" s="2695"/>
      <c r="AH318" s="2695"/>
      <c r="AI318" s="2695"/>
      <c r="AJ318" s="2695"/>
      <c r="AK318" s="2695"/>
      <c r="AL318" s="2695"/>
      <c r="AM318" s="2695"/>
      <c r="AN318" s="2695"/>
      <c r="AO318" s="2695"/>
      <c r="AP318" s="2695"/>
      <c r="AQ318" s="2695"/>
      <c r="AR318" s="2695"/>
      <c r="AS318" s="2695"/>
      <c r="AT318" s="2703"/>
      <c r="AU318" s="2704"/>
      <c r="AV318" s="1074">
        <f t="shared" si="180"/>
        <v>0</v>
      </c>
      <c r="AW318" s="1074">
        <f t="shared" si="181"/>
        <v>0</v>
      </c>
      <c r="AX318" s="1074">
        <f t="shared" si="182"/>
        <v>0</v>
      </c>
      <c r="AY318" s="2279">
        <f t="shared" si="157"/>
        <v>0</v>
      </c>
      <c r="AZ318" s="2675">
        <f t="shared" si="158"/>
        <v>0</v>
      </c>
      <c r="BA318" s="2675">
        <f t="shared" si="159"/>
        <v>0</v>
      </c>
      <c r="BB318" s="2675">
        <f t="shared" si="160"/>
        <v>0</v>
      </c>
      <c r="BC318" s="2675">
        <f t="shared" si="161"/>
        <v>0</v>
      </c>
      <c r="BD318" s="2675">
        <f t="shared" si="162"/>
        <v>0</v>
      </c>
      <c r="BE318" s="2675">
        <f t="shared" si="163"/>
        <v>0</v>
      </c>
      <c r="BF318" s="2675">
        <f t="shared" si="164"/>
        <v>0</v>
      </c>
      <c r="BG318" s="2675">
        <f t="shared" si="165"/>
        <v>0</v>
      </c>
      <c r="BH318" s="2675">
        <f t="shared" si="166"/>
        <v>0</v>
      </c>
      <c r="BI318" s="2675">
        <f t="shared" si="167"/>
        <v>0</v>
      </c>
      <c r="BJ318" s="2675">
        <f t="shared" si="168"/>
        <v>0</v>
      </c>
      <c r="BK318" s="2675">
        <f t="shared" si="169"/>
        <v>0</v>
      </c>
      <c r="BL318" s="2675">
        <f t="shared" si="170"/>
        <v>0</v>
      </c>
      <c r="BM318" s="2675">
        <f t="shared" si="171"/>
        <v>0</v>
      </c>
      <c r="BN318" s="2675">
        <f t="shared" si="172"/>
        <v>0</v>
      </c>
      <c r="BO318" s="2675">
        <f t="shared" si="173"/>
        <v>0</v>
      </c>
      <c r="BP318" s="2675">
        <f t="shared" si="174"/>
        <v>0</v>
      </c>
      <c r="BQ318" s="2675">
        <f t="shared" si="175"/>
        <v>0</v>
      </c>
      <c r="BR318" s="2675">
        <f t="shared" si="176"/>
        <v>0</v>
      </c>
      <c r="BS318" s="2675">
        <f t="shared" si="177"/>
        <v>0</v>
      </c>
      <c r="BT318" s="2722">
        <f t="shared" si="178"/>
        <v>0</v>
      </c>
    </row>
    <row r="319" spans="1:72">
      <c r="A319" s="2673"/>
      <c r="B319" s="2674"/>
      <c r="C319" s="2674"/>
      <c r="D319" s="2277"/>
      <c r="E319" s="2675">
        <f t="shared" si="179"/>
        <v>0</v>
      </c>
      <c r="F319" s="2676"/>
      <c r="G319" s="2677">
        <f t="shared" si="154"/>
        <v>0</v>
      </c>
      <c r="H319" s="2678">
        <f t="shared" si="155"/>
        <v>0</v>
      </c>
      <c r="I319" s="2685"/>
      <c r="J319" s="2685"/>
      <c r="K319" s="2685"/>
      <c r="L319" s="2685"/>
      <c r="M319" s="2685"/>
      <c r="N319" s="2685"/>
      <c r="O319" s="2685"/>
      <c r="P319" s="2685"/>
      <c r="Q319" s="2685"/>
      <c r="R319" s="2685"/>
      <c r="S319" s="2685"/>
      <c r="T319" s="2685"/>
      <c r="U319" s="2685"/>
      <c r="V319" s="2685"/>
      <c r="W319" s="2685"/>
      <c r="X319" s="2685"/>
      <c r="Y319" s="2685"/>
      <c r="Z319" s="2685"/>
      <c r="AA319" s="2685"/>
      <c r="AB319" s="2685"/>
      <c r="AC319" s="2675">
        <f t="shared" si="156"/>
        <v>0</v>
      </c>
      <c r="AD319" s="2695"/>
      <c r="AE319" s="2695"/>
      <c r="AF319" s="2695"/>
      <c r="AG319" s="2695"/>
      <c r="AH319" s="2695"/>
      <c r="AI319" s="2695"/>
      <c r="AJ319" s="2695"/>
      <c r="AK319" s="2695"/>
      <c r="AL319" s="2695"/>
      <c r="AM319" s="2695"/>
      <c r="AN319" s="2695"/>
      <c r="AO319" s="2695"/>
      <c r="AP319" s="2695"/>
      <c r="AQ319" s="2695"/>
      <c r="AR319" s="2695"/>
      <c r="AS319" s="2695"/>
      <c r="AT319" s="2703"/>
      <c r="AU319" s="2704"/>
      <c r="AV319" s="1074">
        <f t="shared" si="180"/>
        <v>0</v>
      </c>
      <c r="AW319" s="1074">
        <f t="shared" si="181"/>
        <v>0</v>
      </c>
      <c r="AX319" s="1074">
        <f t="shared" si="182"/>
        <v>0</v>
      </c>
      <c r="AY319" s="2279">
        <f t="shared" si="157"/>
        <v>0</v>
      </c>
      <c r="AZ319" s="2675">
        <f t="shared" si="158"/>
        <v>0</v>
      </c>
      <c r="BA319" s="2675">
        <f t="shared" si="159"/>
        <v>0</v>
      </c>
      <c r="BB319" s="2675">
        <f t="shared" si="160"/>
        <v>0</v>
      </c>
      <c r="BC319" s="2675">
        <f t="shared" si="161"/>
        <v>0</v>
      </c>
      <c r="BD319" s="2675">
        <f t="shared" si="162"/>
        <v>0</v>
      </c>
      <c r="BE319" s="2675">
        <f t="shared" si="163"/>
        <v>0</v>
      </c>
      <c r="BF319" s="2675">
        <f t="shared" si="164"/>
        <v>0</v>
      </c>
      <c r="BG319" s="2675">
        <f t="shared" si="165"/>
        <v>0</v>
      </c>
      <c r="BH319" s="2675">
        <f t="shared" si="166"/>
        <v>0</v>
      </c>
      <c r="BI319" s="2675">
        <f t="shared" si="167"/>
        <v>0</v>
      </c>
      <c r="BJ319" s="2675">
        <f t="shared" si="168"/>
        <v>0</v>
      </c>
      <c r="BK319" s="2675">
        <f t="shared" si="169"/>
        <v>0</v>
      </c>
      <c r="BL319" s="2675">
        <f t="shared" si="170"/>
        <v>0</v>
      </c>
      <c r="BM319" s="2675">
        <f t="shared" si="171"/>
        <v>0</v>
      </c>
      <c r="BN319" s="2675">
        <f t="shared" si="172"/>
        <v>0</v>
      </c>
      <c r="BO319" s="2675">
        <f t="shared" si="173"/>
        <v>0</v>
      </c>
      <c r="BP319" s="2675">
        <f t="shared" si="174"/>
        <v>0</v>
      </c>
      <c r="BQ319" s="2675">
        <f t="shared" si="175"/>
        <v>0</v>
      </c>
      <c r="BR319" s="2675">
        <f t="shared" si="176"/>
        <v>0</v>
      </c>
      <c r="BS319" s="2675">
        <f t="shared" si="177"/>
        <v>0</v>
      </c>
      <c r="BT319" s="2722">
        <f t="shared" si="178"/>
        <v>0</v>
      </c>
    </row>
    <row r="320" spans="1:72">
      <c r="A320" s="2673"/>
      <c r="B320" s="2674"/>
      <c r="C320" s="2674"/>
      <c r="D320" s="2277"/>
      <c r="E320" s="2675">
        <f t="shared" si="179"/>
        <v>0</v>
      </c>
      <c r="F320" s="2676"/>
      <c r="G320" s="2677">
        <f t="shared" si="154"/>
        <v>0</v>
      </c>
      <c r="H320" s="2678">
        <f t="shared" si="155"/>
        <v>0</v>
      </c>
      <c r="I320" s="2685"/>
      <c r="J320" s="2685"/>
      <c r="K320" s="2685"/>
      <c r="L320" s="2685"/>
      <c r="M320" s="2685"/>
      <c r="N320" s="2685"/>
      <c r="O320" s="2685"/>
      <c r="P320" s="2685"/>
      <c r="Q320" s="2685"/>
      <c r="R320" s="2685"/>
      <c r="S320" s="2685"/>
      <c r="T320" s="2685"/>
      <c r="U320" s="2685"/>
      <c r="V320" s="2685"/>
      <c r="W320" s="2685"/>
      <c r="X320" s="2685"/>
      <c r="Y320" s="2685"/>
      <c r="Z320" s="2685"/>
      <c r="AA320" s="2685"/>
      <c r="AB320" s="2685"/>
      <c r="AC320" s="2675">
        <f t="shared" si="156"/>
        <v>0</v>
      </c>
      <c r="AD320" s="2695"/>
      <c r="AE320" s="2695"/>
      <c r="AF320" s="2695"/>
      <c r="AG320" s="2695"/>
      <c r="AH320" s="2695"/>
      <c r="AI320" s="2695"/>
      <c r="AJ320" s="2695"/>
      <c r="AK320" s="2695"/>
      <c r="AL320" s="2695"/>
      <c r="AM320" s="2695"/>
      <c r="AN320" s="2695"/>
      <c r="AO320" s="2695"/>
      <c r="AP320" s="2695"/>
      <c r="AQ320" s="2695"/>
      <c r="AR320" s="2695"/>
      <c r="AS320" s="2695"/>
      <c r="AT320" s="2703"/>
      <c r="AU320" s="2704"/>
      <c r="AV320" s="1074">
        <f t="shared" si="180"/>
        <v>0</v>
      </c>
      <c r="AW320" s="1074">
        <f t="shared" si="181"/>
        <v>0</v>
      </c>
      <c r="AX320" s="1074">
        <f t="shared" si="182"/>
        <v>0</v>
      </c>
      <c r="AY320" s="2279">
        <f t="shared" si="157"/>
        <v>0</v>
      </c>
      <c r="AZ320" s="2675">
        <f t="shared" si="158"/>
        <v>0</v>
      </c>
      <c r="BA320" s="2675">
        <f t="shared" si="159"/>
        <v>0</v>
      </c>
      <c r="BB320" s="2675">
        <f t="shared" si="160"/>
        <v>0</v>
      </c>
      <c r="BC320" s="2675">
        <f t="shared" si="161"/>
        <v>0</v>
      </c>
      <c r="BD320" s="2675">
        <f t="shared" si="162"/>
        <v>0</v>
      </c>
      <c r="BE320" s="2675">
        <f t="shared" si="163"/>
        <v>0</v>
      </c>
      <c r="BF320" s="2675">
        <f t="shared" si="164"/>
        <v>0</v>
      </c>
      <c r="BG320" s="2675">
        <f t="shared" si="165"/>
        <v>0</v>
      </c>
      <c r="BH320" s="2675">
        <f t="shared" si="166"/>
        <v>0</v>
      </c>
      <c r="BI320" s="2675">
        <f t="shared" si="167"/>
        <v>0</v>
      </c>
      <c r="BJ320" s="2675">
        <f t="shared" si="168"/>
        <v>0</v>
      </c>
      <c r="BK320" s="2675">
        <f t="shared" si="169"/>
        <v>0</v>
      </c>
      <c r="BL320" s="2675">
        <f t="shared" si="170"/>
        <v>0</v>
      </c>
      <c r="BM320" s="2675">
        <f t="shared" si="171"/>
        <v>0</v>
      </c>
      <c r="BN320" s="2675">
        <f t="shared" si="172"/>
        <v>0</v>
      </c>
      <c r="BO320" s="2675">
        <f t="shared" si="173"/>
        <v>0</v>
      </c>
      <c r="BP320" s="2675">
        <f t="shared" si="174"/>
        <v>0</v>
      </c>
      <c r="BQ320" s="2675">
        <f t="shared" si="175"/>
        <v>0</v>
      </c>
      <c r="BR320" s="2675">
        <f t="shared" si="176"/>
        <v>0</v>
      </c>
      <c r="BS320" s="2675">
        <f t="shared" si="177"/>
        <v>0</v>
      </c>
      <c r="BT320" s="2722">
        <f t="shared" si="178"/>
        <v>0</v>
      </c>
    </row>
    <row r="321" spans="1:72">
      <c r="A321" s="2673"/>
      <c r="B321" s="2674"/>
      <c r="C321" s="2674"/>
      <c r="D321" s="2277"/>
      <c r="E321" s="2675">
        <f t="shared" si="179"/>
        <v>0</v>
      </c>
      <c r="F321" s="2676"/>
      <c r="G321" s="2677">
        <f t="shared" si="154"/>
        <v>0</v>
      </c>
      <c r="H321" s="2678">
        <f t="shared" si="155"/>
        <v>0</v>
      </c>
      <c r="I321" s="2685"/>
      <c r="J321" s="2685"/>
      <c r="K321" s="2685"/>
      <c r="L321" s="2685"/>
      <c r="M321" s="2685"/>
      <c r="N321" s="2685"/>
      <c r="O321" s="2685"/>
      <c r="P321" s="2685"/>
      <c r="Q321" s="2685"/>
      <c r="R321" s="2685"/>
      <c r="S321" s="2685"/>
      <c r="T321" s="2685"/>
      <c r="U321" s="2685"/>
      <c r="V321" s="2685"/>
      <c r="W321" s="2685"/>
      <c r="X321" s="2685"/>
      <c r="Y321" s="2685"/>
      <c r="Z321" s="2685"/>
      <c r="AA321" s="2685"/>
      <c r="AB321" s="2685"/>
      <c r="AC321" s="2675">
        <f t="shared" si="156"/>
        <v>0</v>
      </c>
      <c r="AD321" s="2695"/>
      <c r="AE321" s="2695"/>
      <c r="AF321" s="2695"/>
      <c r="AG321" s="2695"/>
      <c r="AH321" s="2695"/>
      <c r="AI321" s="2695"/>
      <c r="AJ321" s="2695"/>
      <c r="AK321" s="2695"/>
      <c r="AL321" s="2695"/>
      <c r="AM321" s="2695"/>
      <c r="AN321" s="2695"/>
      <c r="AO321" s="2695"/>
      <c r="AP321" s="2695"/>
      <c r="AQ321" s="2695"/>
      <c r="AR321" s="2695"/>
      <c r="AS321" s="2695"/>
      <c r="AT321" s="2703"/>
      <c r="AU321" s="2704"/>
      <c r="AV321" s="1074">
        <f t="shared" si="180"/>
        <v>0</v>
      </c>
      <c r="AW321" s="1074">
        <f t="shared" si="181"/>
        <v>0</v>
      </c>
      <c r="AX321" s="1074">
        <f t="shared" si="182"/>
        <v>0</v>
      </c>
      <c r="AY321" s="2279">
        <f t="shared" si="157"/>
        <v>0</v>
      </c>
      <c r="AZ321" s="2675">
        <f t="shared" si="158"/>
        <v>0</v>
      </c>
      <c r="BA321" s="2675">
        <f t="shared" si="159"/>
        <v>0</v>
      </c>
      <c r="BB321" s="2675">
        <f t="shared" si="160"/>
        <v>0</v>
      </c>
      <c r="BC321" s="2675">
        <f t="shared" si="161"/>
        <v>0</v>
      </c>
      <c r="BD321" s="2675">
        <f t="shared" si="162"/>
        <v>0</v>
      </c>
      <c r="BE321" s="2675">
        <f t="shared" si="163"/>
        <v>0</v>
      </c>
      <c r="BF321" s="2675">
        <f t="shared" si="164"/>
        <v>0</v>
      </c>
      <c r="BG321" s="2675">
        <f t="shared" si="165"/>
        <v>0</v>
      </c>
      <c r="BH321" s="2675">
        <f t="shared" si="166"/>
        <v>0</v>
      </c>
      <c r="BI321" s="2675">
        <f t="shared" si="167"/>
        <v>0</v>
      </c>
      <c r="BJ321" s="2675">
        <f t="shared" si="168"/>
        <v>0</v>
      </c>
      <c r="BK321" s="2675">
        <f t="shared" si="169"/>
        <v>0</v>
      </c>
      <c r="BL321" s="2675">
        <f t="shared" si="170"/>
        <v>0</v>
      </c>
      <c r="BM321" s="2675">
        <f t="shared" si="171"/>
        <v>0</v>
      </c>
      <c r="BN321" s="2675">
        <f t="shared" si="172"/>
        <v>0</v>
      </c>
      <c r="BO321" s="2675">
        <f t="shared" si="173"/>
        <v>0</v>
      </c>
      <c r="BP321" s="2675">
        <f t="shared" si="174"/>
        <v>0</v>
      </c>
      <c r="BQ321" s="2675">
        <f t="shared" si="175"/>
        <v>0</v>
      </c>
      <c r="BR321" s="2675">
        <f t="shared" si="176"/>
        <v>0</v>
      </c>
      <c r="BS321" s="2675">
        <f t="shared" si="177"/>
        <v>0</v>
      </c>
      <c r="BT321" s="2722">
        <f t="shared" si="178"/>
        <v>0</v>
      </c>
    </row>
    <row r="322" spans="1:72">
      <c r="A322" s="2673"/>
      <c r="B322" s="2674"/>
      <c r="C322" s="2674"/>
      <c r="D322" s="2277"/>
      <c r="E322" s="2675">
        <f t="shared" si="179"/>
        <v>0</v>
      </c>
      <c r="F322" s="2676"/>
      <c r="G322" s="2677">
        <f t="shared" si="154"/>
        <v>0</v>
      </c>
      <c r="H322" s="2678">
        <f t="shared" si="155"/>
        <v>0</v>
      </c>
      <c r="I322" s="2685"/>
      <c r="J322" s="2685"/>
      <c r="K322" s="2685"/>
      <c r="L322" s="2685"/>
      <c r="M322" s="2685"/>
      <c r="N322" s="2685"/>
      <c r="O322" s="2685"/>
      <c r="P322" s="2685"/>
      <c r="Q322" s="2685"/>
      <c r="R322" s="2685"/>
      <c r="S322" s="2685"/>
      <c r="T322" s="2685"/>
      <c r="U322" s="2685"/>
      <c r="V322" s="2685"/>
      <c r="W322" s="2685"/>
      <c r="X322" s="2685"/>
      <c r="Y322" s="2685"/>
      <c r="Z322" s="2685"/>
      <c r="AA322" s="2685"/>
      <c r="AB322" s="2685"/>
      <c r="AC322" s="2675">
        <f t="shared" si="156"/>
        <v>0</v>
      </c>
      <c r="AD322" s="2695"/>
      <c r="AE322" s="2695"/>
      <c r="AF322" s="2695"/>
      <c r="AG322" s="2695"/>
      <c r="AH322" s="2695"/>
      <c r="AI322" s="2695"/>
      <c r="AJ322" s="2695"/>
      <c r="AK322" s="2695"/>
      <c r="AL322" s="2695"/>
      <c r="AM322" s="2695"/>
      <c r="AN322" s="2695"/>
      <c r="AO322" s="2695"/>
      <c r="AP322" s="2695"/>
      <c r="AQ322" s="2695"/>
      <c r="AR322" s="2695"/>
      <c r="AS322" s="2695"/>
      <c r="AT322" s="2703"/>
      <c r="AU322" s="2704"/>
      <c r="AV322" s="1074">
        <f t="shared" si="180"/>
        <v>0</v>
      </c>
      <c r="AW322" s="1074">
        <f t="shared" si="181"/>
        <v>0</v>
      </c>
      <c r="AX322" s="1074">
        <f t="shared" si="182"/>
        <v>0</v>
      </c>
      <c r="AY322" s="2279">
        <f t="shared" si="157"/>
        <v>0</v>
      </c>
      <c r="AZ322" s="2675">
        <f t="shared" si="158"/>
        <v>0</v>
      </c>
      <c r="BA322" s="2675">
        <f t="shared" si="159"/>
        <v>0</v>
      </c>
      <c r="BB322" s="2675">
        <f t="shared" si="160"/>
        <v>0</v>
      </c>
      <c r="BC322" s="2675">
        <f t="shared" si="161"/>
        <v>0</v>
      </c>
      <c r="BD322" s="2675">
        <f t="shared" si="162"/>
        <v>0</v>
      </c>
      <c r="BE322" s="2675">
        <f t="shared" si="163"/>
        <v>0</v>
      </c>
      <c r="BF322" s="2675">
        <f t="shared" si="164"/>
        <v>0</v>
      </c>
      <c r="BG322" s="2675">
        <f t="shared" si="165"/>
        <v>0</v>
      </c>
      <c r="BH322" s="2675">
        <f t="shared" si="166"/>
        <v>0</v>
      </c>
      <c r="BI322" s="2675">
        <f t="shared" si="167"/>
        <v>0</v>
      </c>
      <c r="BJ322" s="2675">
        <f t="shared" si="168"/>
        <v>0</v>
      </c>
      <c r="BK322" s="2675">
        <f t="shared" si="169"/>
        <v>0</v>
      </c>
      <c r="BL322" s="2675">
        <f t="shared" si="170"/>
        <v>0</v>
      </c>
      <c r="BM322" s="2675">
        <f t="shared" si="171"/>
        <v>0</v>
      </c>
      <c r="BN322" s="2675">
        <f t="shared" si="172"/>
        <v>0</v>
      </c>
      <c r="BO322" s="2675">
        <f t="shared" si="173"/>
        <v>0</v>
      </c>
      <c r="BP322" s="2675">
        <f t="shared" si="174"/>
        <v>0</v>
      </c>
      <c r="BQ322" s="2675">
        <f t="shared" si="175"/>
        <v>0</v>
      </c>
      <c r="BR322" s="2675">
        <f t="shared" si="176"/>
        <v>0</v>
      </c>
      <c r="BS322" s="2675">
        <f t="shared" si="177"/>
        <v>0</v>
      </c>
      <c r="BT322" s="2722">
        <f t="shared" si="178"/>
        <v>0</v>
      </c>
    </row>
    <row r="323" spans="1:72">
      <c r="A323" s="2673"/>
      <c r="B323" s="2674"/>
      <c r="C323" s="2674"/>
      <c r="D323" s="2277"/>
      <c r="E323" s="2675">
        <f t="shared" si="179"/>
        <v>0</v>
      </c>
      <c r="F323" s="2676"/>
      <c r="G323" s="2677">
        <f t="shared" si="154"/>
        <v>0</v>
      </c>
      <c r="H323" s="2678">
        <f t="shared" si="155"/>
        <v>0</v>
      </c>
      <c r="I323" s="2685"/>
      <c r="J323" s="2685"/>
      <c r="K323" s="2685"/>
      <c r="L323" s="2685"/>
      <c r="M323" s="2685"/>
      <c r="N323" s="2685"/>
      <c r="O323" s="2685"/>
      <c r="P323" s="2685"/>
      <c r="Q323" s="2685"/>
      <c r="R323" s="2685"/>
      <c r="S323" s="2685"/>
      <c r="T323" s="2685"/>
      <c r="U323" s="2685"/>
      <c r="V323" s="2685"/>
      <c r="W323" s="2685"/>
      <c r="X323" s="2685"/>
      <c r="Y323" s="2685"/>
      <c r="Z323" s="2685"/>
      <c r="AA323" s="2685"/>
      <c r="AB323" s="2685"/>
      <c r="AC323" s="2675">
        <f t="shared" si="156"/>
        <v>0</v>
      </c>
      <c r="AD323" s="2695"/>
      <c r="AE323" s="2695"/>
      <c r="AF323" s="2695"/>
      <c r="AG323" s="2695"/>
      <c r="AH323" s="2695"/>
      <c r="AI323" s="2695"/>
      <c r="AJ323" s="2695"/>
      <c r="AK323" s="2695"/>
      <c r="AL323" s="2695"/>
      <c r="AM323" s="2695"/>
      <c r="AN323" s="2695"/>
      <c r="AO323" s="2695"/>
      <c r="AP323" s="2695"/>
      <c r="AQ323" s="2695"/>
      <c r="AR323" s="2695"/>
      <c r="AS323" s="2695"/>
      <c r="AT323" s="2703"/>
      <c r="AU323" s="2704"/>
      <c r="AV323" s="1074">
        <f t="shared" si="180"/>
        <v>0</v>
      </c>
      <c r="AW323" s="1074">
        <f t="shared" si="181"/>
        <v>0</v>
      </c>
      <c r="AX323" s="1074">
        <f t="shared" si="182"/>
        <v>0</v>
      </c>
      <c r="AY323" s="2279">
        <f t="shared" si="157"/>
        <v>0</v>
      </c>
      <c r="AZ323" s="2675">
        <f t="shared" si="158"/>
        <v>0</v>
      </c>
      <c r="BA323" s="2675">
        <f t="shared" si="159"/>
        <v>0</v>
      </c>
      <c r="BB323" s="2675">
        <f t="shared" si="160"/>
        <v>0</v>
      </c>
      <c r="BC323" s="2675">
        <f t="shared" si="161"/>
        <v>0</v>
      </c>
      <c r="BD323" s="2675">
        <f t="shared" si="162"/>
        <v>0</v>
      </c>
      <c r="BE323" s="2675">
        <f t="shared" si="163"/>
        <v>0</v>
      </c>
      <c r="BF323" s="2675">
        <f t="shared" si="164"/>
        <v>0</v>
      </c>
      <c r="BG323" s="2675">
        <f t="shared" si="165"/>
        <v>0</v>
      </c>
      <c r="BH323" s="2675">
        <f t="shared" si="166"/>
        <v>0</v>
      </c>
      <c r="BI323" s="2675">
        <f t="shared" si="167"/>
        <v>0</v>
      </c>
      <c r="BJ323" s="2675">
        <f t="shared" si="168"/>
        <v>0</v>
      </c>
      <c r="BK323" s="2675">
        <f t="shared" si="169"/>
        <v>0</v>
      </c>
      <c r="BL323" s="2675">
        <f t="shared" si="170"/>
        <v>0</v>
      </c>
      <c r="BM323" s="2675">
        <f t="shared" si="171"/>
        <v>0</v>
      </c>
      <c r="BN323" s="2675">
        <f t="shared" si="172"/>
        <v>0</v>
      </c>
      <c r="BO323" s="2675">
        <f t="shared" si="173"/>
        <v>0</v>
      </c>
      <c r="BP323" s="2675">
        <f t="shared" si="174"/>
        <v>0</v>
      </c>
      <c r="BQ323" s="2675">
        <f t="shared" si="175"/>
        <v>0</v>
      </c>
      <c r="BR323" s="2675">
        <f t="shared" si="176"/>
        <v>0</v>
      </c>
      <c r="BS323" s="2675">
        <f t="shared" si="177"/>
        <v>0</v>
      </c>
      <c r="BT323" s="2722">
        <f t="shared" si="178"/>
        <v>0</v>
      </c>
    </row>
    <row r="324" spans="1:72">
      <c r="A324" s="2673"/>
      <c r="B324" s="2674"/>
      <c r="C324" s="2674"/>
      <c r="D324" s="2277"/>
      <c r="E324" s="2675">
        <f t="shared" si="179"/>
        <v>0</v>
      </c>
      <c r="F324" s="2676"/>
      <c r="G324" s="2677">
        <f t="shared" si="154"/>
        <v>0</v>
      </c>
      <c r="H324" s="2678">
        <f t="shared" si="155"/>
        <v>0</v>
      </c>
      <c r="I324" s="2685"/>
      <c r="J324" s="2685"/>
      <c r="K324" s="2685"/>
      <c r="L324" s="2685"/>
      <c r="M324" s="2685"/>
      <c r="N324" s="2685"/>
      <c r="O324" s="2685"/>
      <c r="P324" s="2685"/>
      <c r="Q324" s="2685"/>
      <c r="R324" s="2685"/>
      <c r="S324" s="2685"/>
      <c r="T324" s="2685"/>
      <c r="U324" s="2685"/>
      <c r="V324" s="2685"/>
      <c r="W324" s="2685"/>
      <c r="X324" s="2685"/>
      <c r="Y324" s="2685"/>
      <c r="Z324" s="2685"/>
      <c r="AA324" s="2685"/>
      <c r="AB324" s="2685"/>
      <c r="AC324" s="2675">
        <f t="shared" si="156"/>
        <v>0</v>
      </c>
      <c r="AD324" s="2695"/>
      <c r="AE324" s="2695"/>
      <c r="AF324" s="2695"/>
      <c r="AG324" s="2695"/>
      <c r="AH324" s="2695"/>
      <c r="AI324" s="2695"/>
      <c r="AJ324" s="2695"/>
      <c r="AK324" s="2695"/>
      <c r="AL324" s="2695"/>
      <c r="AM324" s="2695"/>
      <c r="AN324" s="2695"/>
      <c r="AO324" s="2695"/>
      <c r="AP324" s="2695"/>
      <c r="AQ324" s="2695"/>
      <c r="AR324" s="2695"/>
      <c r="AS324" s="2695"/>
      <c r="AT324" s="2703"/>
      <c r="AU324" s="2704"/>
      <c r="AV324" s="1074">
        <f t="shared" si="180"/>
        <v>0</v>
      </c>
      <c r="AW324" s="1074">
        <f t="shared" si="181"/>
        <v>0</v>
      </c>
      <c r="AX324" s="1074">
        <f t="shared" si="182"/>
        <v>0</v>
      </c>
      <c r="AY324" s="2279">
        <f t="shared" si="157"/>
        <v>0</v>
      </c>
      <c r="AZ324" s="2675">
        <f t="shared" si="158"/>
        <v>0</v>
      </c>
      <c r="BA324" s="2675">
        <f t="shared" si="159"/>
        <v>0</v>
      </c>
      <c r="BB324" s="2675">
        <f t="shared" si="160"/>
        <v>0</v>
      </c>
      <c r="BC324" s="2675">
        <f t="shared" si="161"/>
        <v>0</v>
      </c>
      <c r="BD324" s="2675">
        <f t="shared" si="162"/>
        <v>0</v>
      </c>
      <c r="BE324" s="2675">
        <f t="shared" si="163"/>
        <v>0</v>
      </c>
      <c r="BF324" s="2675">
        <f t="shared" si="164"/>
        <v>0</v>
      </c>
      <c r="BG324" s="2675">
        <f t="shared" si="165"/>
        <v>0</v>
      </c>
      <c r="BH324" s="2675">
        <f t="shared" si="166"/>
        <v>0</v>
      </c>
      <c r="BI324" s="2675">
        <f t="shared" si="167"/>
        <v>0</v>
      </c>
      <c r="BJ324" s="2675">
        <f t="shared" si="168"/>
        <v>0</v>
      </c>
      <c r="BK324" s="2675">
        <f t="shared" si="169"/>
        <v>0</v>
      </c>
      <c r="BL324" s="2675">
        <f t="shared" si="170"/>
        <v>0</v>
      </c>
      <c r="BM324" s="2675">
        <f t="shared" si="171"/>
        <v>0</v>
      </c>
      <c r="BN324" s="2675">
        <f t="shared" si="172"/>
        <v>0</v>
      </c>
      <c r="BO324" s="2675">
        <f t="shared" si="173"/>
        <v>0</v>
      </c>
      <c r="BP324" s="2675">
        <f t="shared" si="174"/>
        <v>0</v>
      </c>
      <c r="BQ324" s="2675">
        <f t="shared" si="175"/>
        <v>0</v>
      </c>
      <c r="BR324" s="2675">
        <f t="shared" si="176"/>
        <v>0</v>
      </c>
      <c r="BS324" s="2675">
        <f t="shared" si="177"/>
        <v>0</v>
      </c>
      <c r="BT324" s="2722">
        <f t="shared" si="178"/>
        <v>0</v>
      </c>
    </row>
    <row r="325" spans="1:72">
      <c r="A325" s="2673"/>
      <c r="B325" s="2674"/>
      <c r="C325" s="2674"/>
      <c r="D325" s="2277"/>
      <c r="E325" s="2675">
        <f t="shared" si="179"/>
        <v>0</v>
      </c>
      <c r="F325" s="2676"/>
      <c r="G325" s="2677">
        <f t="shared" si="154"/>
        <v>0</v>
      </c>
      <c r="H325" s="2678">
        <f t="shared" si="155"/>
        <v>0</v>
      </c>
      <c r="I325" s="2685"/>
      <c r="J325" s="2685"/>
      <c r="K325" s="2685"/>
      <c r="L325" s="2685"/>
      <c r="M325" s="2685"/>
      <c r="N325" s="2685"/>
      <c r="O325" s="2685"/>
      <c r="P325" s="2685"/>
      <c r="Q325" s="2685"/>
      <c r="R325" s="2685"/>
      <c r="S325" s="2685"/>
      <c r="T325" s="2685"/>
      <c r="U325" s="2685"/>
      <c r="V325" s="2685"/>
      <c r="W325" s="2685"/>
      <c r="X325" s="2685"/>
      <c r="Y325" s="2685"/>
      <c r="Z325" s="2685"/>
      <c r="AA325" s="2685"/>
      <c r="AB325" s="2685"/>
      <c r="AC325" s="2675">
        <f t="shared" si="156"/>
        <v>0</v>
      </c>
      <c r="AD325" s="2695"/>
      <c r="AE325" s="2695"/>
      <c r="AF325" s="2695"/>
      <c r="AG325" s="2695"/>
      <c r="AH325" s="2695"/>
      <c r="AI325" s="2695"/>
      <c r="AJ325" s="2695"/>
      <c r="AK325" s="2695"/>
      <c r="AL325" s="2695"/>
      <c r="AM325" s="2695"/>
      <c r="AN325" s="2695"/>
      <c r="AO325" s="2695"/>
      <c r="AP325" s="2695"/>
      <c r="AQ325" s="2695"/>
      <c r="AR325" s="2695"/>
      <c r="AS325" s="2695"/>
      <c r="AT325" s="2703"/>
      <c r="AU325" s="2704"/>
      <c r="AV325" s="1074">
        <f t="shared" si="180"/>
        <v>0</v>
      </c>
      <c r="AW325" s="1074">
        <f t="shared" si="181"/>
        <v>0</v>
      </c>
      <c r="AX325" s="1074">
        <f t="shared" si="182"/>
        <v>0</v>
      </c>
      <c r="AY325" s="2279">
        <f t="shared" si="157"/>
        <v>0</v>
      </c>
      <c r="AZ325" s="2675">
        <f t="shared" si="158"/>
        <v>0</v>
      </c>
      <c r="BA325" s="2675">
        <f t="shared" si="159"/>
        <v>0</v>
      </c>
      <c r="BB325" s="2675">
        <f t="shared" si="160"/>
        <v>0</v>
      </c>
      <c r="BC325" s="2675">
        <f t="shared" si="161"/>
        <v>0</v>
      </c>
      <c r="BD325" s="2675">
        <f t="shared" si="162"/>
        <v>0</v>
      </c>
      <c r="BE325" s="2675">
        <f t="shared" si="163"/>
        <v>0</v>
      </c>
      <c r="BF325" s="2675">
        <f t="shared" si="164"/>
        <v>0</v>
      </c>
      <c r="BG325" s="2675">
        <f t="shared" si="165"/>
        <v>0</v>
      </c>
      <c r="BH325" s="2675">
        <f t="shared" si="166"/>
        <v>0</v>
      </c>
      <c r="BI325" s="2675">
        <f t="shared" si="167"/>
        <v>0</v>
      </c>
      <c r="BJ325" s="2675">
        <f t="shared" si="168"/>
        <v>0</v>
      </c>
      <c r="BK325" s="2675">
        <f t="shared" si="169"/>
        <v>0</v>
      </c>
      <c r="BL325" s="2675">
        <f t="shared" si="170"/>
        <v>0</v>
      </c>
      <c r="BM325" s="2675">
        <f t="shared" si="171"/>
        <v>0</v>
      </c>
      <c r="BN325" s="2675">
        <f t="shared" si="172"/>
        <v>0</v>
      </c>
      <c r="BO325" s="2675">
        <f t="shared" si="173"/>
        <v>0</v>
      </c>
      <c r="BP325" s="2675">
        <f t="shared" si="174"/>
        <v>0</v>
      </c>
      <c r="BQ325" s="2675">
        <f t="shared" si="175"/>
        <v>0</v>
      </c>
      <c r="BR325" s="2675">
        <f t="shared" si="176"/>
        <v>0</v>
      </c>
      <c r="BS325" s="2675">
        <f t="shared" si="177"/>
        <v>0</v>
      </c>
      <c r="BT325" s="2722">
        <f t="shared" si="178"/>
        <v>0</v>
      </c>
    </row>
    <row r="326" spans="1:72">
      <c r="A326" s="2673"/>
      <c r="B326" s="2674"/>
      <c r="C326" s="2674"/>
      <c r="D326" s="2277"/>
      <c r="E326" s="2675">
        <f t="shared" si="179"/>
        <v>0</v>
      </c>
      <c r="F326" s="2676"/>
      <c r="G326" s="2677">
        <f t="shared" si="154"/>
        <v>0</v>
      </c>
      <c r="H326" s="2678">
        <f t="shared" si="155"/>
        <v>0</v>
      </c>
      <c r="I326" s="2685"/>
      <c r="J326" s="2685"/>
      <c r="K326" s="2685"/>
      <c r="L326" s="2685"/>
      <c r="M326" s="2685"/>
      <c r="N326" s="2685"/>
      <c r="O326" s="2685"/>
      <c r="P326" s="2685"/>
      <c r="Q326" s="2685"/>
      <c r="R326" s="2685"/>
      <c r="S326" s="2685"/>
      <c r="T326" s="2685"/>
      <c r="U326" s="2685"/>
      <c r="V326" s="2685"/>
      <c r="W326" s="2685"/>
      <c r="X326" s="2685"/>
      <c r="Y326" s="2685"/>
      <c r="Z326" s="2685"/>
      <c r="AA326" s="2685"/>
      <c r="AB326" s="2685"/>
      <c r="AC326" s="2675">
        <f t="shared" si="156"/>
        <v>0</v>
      </c>
      <c r="AD326" s="2695"/>
      <c r="AE326" s="2695"/>
      <c r="AF326" s="2695"/>
      <c r="AG326" s="2695"/>
      <c r="AH326" s="2695"/>
      <c r="AI326" s="2695"/>
      <c r="AJ326" s="2695"/>
      <c r="AK326" s="2695"/>
      <c r="AL326" s="2695"/>
      <c r="AM326" s="2695"/>
      <c r="AN326" s="2695"/>
      <c r="AO326" s="2695"/>
      <c r="AP326" s="2695"/>
      <c r="AQ326" s="2695"/>
      <c r="AR326" s="2695"/>
      <c r="AS326" s="2695"/>
      <c r="AT326" s="2703"/>
      <c r="AU326" s="2704"/>
      <c r="AV326" s="1074">
        <f t="shared" si="180"/>
        <v>0</v>
      </c>
      <c r="AW326" s="1074">
        <f t="shared" si="181"/>
        <v>0</v>
      </c>
      <c r="AX326" s="1074">
        <f t="shared" si="182"/>
        <v>0</v>
      </c>
      <c r="AY326" s="2279">
        <f t="shared" si="157"/>
        <v>0</v>
      </c>
      <c r="AZ326" s="2675">
        <f t="shared" si="158"/>
        <v>0</v>
      </c>
      <c r="BA326" s="2675">
        <f t="shared" si="159"/>
        <v>0</v>
      </c>
      <c r="BB326" s="2675">
        <f t="shared" si="160"/>
        <v>0</v>
      </c>
      <c r="BC326" s="2675">
        <f t="shared" si="161"/>
        <v>0</v>
      </c>
      <c r="BD326" s="2675">
        <f t="shared" si="162"/>
        <v>0</v>
      </c>
      <c r="BE326" s="2675">
        <f t="shared" si="163"/>
        <v>0</v>
      </c>
      <c r="BF326" s="2675">
        <f t="shared" si="164"/>
        <v>0</v>
      </c>
      <c r="BG326" s="2675">
        <f t="shared" si="165"/>
        <v>0</v>
      </c>
      <c r="BH326" s="2675">
        <f t="shared" si="166"/>
        <v>0</v>
      </c>
      <c r="BI326" s="2675">
        <f t="shared" si="167"/>
        <v>0</v>
      </c>
      <c r="BJ326" s="2675">
        <f t="shared" si="168"/>
        <v>0</v>
      </c>
      <c r="BK326" s="2675">
        <f t="shared" si="169"/>
        <v>0</v>
      </c>
      <c r="BL326" s="2675">
        <f t="shared" si="170"/>
        <v>0</v>
      </c>
      <c r="BM326" s="2675">
        <f t="shared" si="171"/>
        <v>0</v>
      </c>
      <c r="BN326" s="2675">
        <f t="shared" si="172"/>
        <v>0</v>
      </c>
      <c r="BO326" s="2675">
        <f t="shared" si="173"/>
        <v>0</v>
      </c>
      <c r="BP326" s="2675">
        <f t="shared" si="174"/>
        <v>0</v>
      </c>
      <c r="BQ326" s="2675">
        <f t="shared" si="175"/>
        <v>0</v>
      </c>
      <c r="BR326" s="2675">
        <f t="shared" si="176"/>
        <v>0</v>
      </c>
      <c r="BS326" s="2675">
        <f t="shared" si="177"/>
        <v>0</v>
      </c>
      <c r="BT326" s="2722">
        <f t="shared" si="178"/>
        <v>0</v>
      </c>
    </row>
    <row r="327" spans="1:72">
      <c r="A327" s="2673"/>
      <c r="B327" s="2674"/>
      <c r="C327" s="2674"/>
      <c r="D327" s="2277"/>
      <c r="E327" s="2675">
        <f t="shared" si="179"/>
        <v>0</v>
      </c>
      <c r="F327" s="2676"/>
      <c r="G327" s="2677">
        <f t="shared" si="154"/>
        <v>0</v>
      </c>
      <c r="H327" s="2678">
        <f t="shared" si="155"/>
        <v>0</v>
      </c>
      <c r="I327" s="2685"/>
      <c r="J327" s="2685"/>
      <c r="K327" s="2685"/>
      <c r="L327" s="2685"/>
      <c r="M327" s="2685"/>
      <c r="N327" s="2685"/>
      <c r="O327" s="2685"/>
      <c r="P327" s="2685"/>
      <c r="Q327" s="2685"/>
      <c r="R327" s="2685"/>
      <c r="S327" s="2685"/>
      <c r="T327" s="2685"/>
      <c r="U327" s="2685"/>
      <c r="V327" s="2685"/>
      <c r="W327" s="2685"/>
      <c r="X327" s="2685"/>
      <c r="Y327" s="2685"/>
      <c r="Z327" s="2685"/>
      <c r="AA327" s="2685"/>
      <c r="AB327" s="2685"/>
      <c r="AC327" s="2675">
        <f t="shared" si="156"/>
        <v>0</v>
      </c>
      <c r="AD327" s="2695"/>
      <c r="AE327" s="2695"/>
      <c r="AF327" s="2695"/>
      <c r="AG327" s="2695"/>
      <c r="AH327" s="2695"/>
      <c r="AI327" s="2695"/>
      <c r="AJ327" s="2695"/>
      <c r="AK327" s="2695"/>
      <c r="AL327" s="2695"/>
      <c r="AM327" s="2695"/>
      <c r="AN327" s="2695"/>
      <c r="AO327" s="2695"/>
      <c r="AP327" s="2695"/>
      <c r="AQ327" s="2695"/>
      <c r="AR327" s="2695"/>
      <c r="AS327" s="2695"/>
      <c r="AT327" s="2703"/>
      <c r="AU327" s="2704"/>
      <c r="AV327" s="1074">
        <f t="shared" si="180"/>
        <v>0</v>
      </c>
      <c r="AW327" s="1074">
        <f t="shared" si="181"/>
        <v>0</v>
      </c>
      <c r="AX327" s="1074">
        <f t="shared" si="182"/>
        <v>0</v>
      </c>
      <c r="AY327" s="2279">
        <f t="shared" si="157"/>
        <v>0</v>
      </c>
      <c r="AZ327" s="2675">
        <f t="shared" si="158"/>
        <v>0</v>
      </c>
      <c r="BA327" s="2675">
        <f t="shared" si="159"/>
        <v>0</v>
      </c>
      <c r="BB327" s="2675">
        <f t="shared" si="160"/>
        <v>0</v>
      </c>
      <c r="BC327" s="2675">
        <f t="shared" si="161"/>
        <v>0</v>
      </c>
      <c r="BD327" s="2675">
        <f t="shared" si="162"/>
        <v>0</v>
      </c>
      <c r="BE327" s="2675">
        <f t="shared" si="163"/>
        <v>0</v>
      </c>
      <c r="BF327" s="2675">
        <f t="shared" si="164"/>
        <v>0</v>
      </c>
      <c r="BG327" s="2675">
        <f t="shared" si="165"/>
        <v>0</v>
      </c>
      <c r="BH327" s="2675">
        <f t="shared" si="166"/>
        <v>0</v>
      </c>
      <c r="BI327" s="2675">
        <f t="shared" si="167"/>
        <v>0</v>
      </c>
      <c r="BJ327" s="2675">
        <f t="shared" si="168"/>
        <v>0</v>
      </c>
      <c r="BK327" s="2675">
        <f t="shared" si="169"/>
        <v>0</v>
      </c>
      <c r="BL327" s="2675">
        <f t="shared" si="170"/>
        <v>0</v>
      </c>
      <c r="BM327" s="2675">
        <f t="shared" si="171"/>
        <v>0</v>
      </c>
      <c r="BN327" s="2675">
        <f t="shared" si="172"/>
        <v>0</v>
      </c>
      <c r="BO327" s="2675">
        <f t="shared" si="173"/>
        <v>0</v>
      </c>
      <c r="BP327" s="2675">
        <f t="shared" si="174"/>
        <v>0</v>
      </c>
      <c r="BQ327" s="2675">
        <f t="shared" si="175"/>
        <v>0</v>
      </c>
      <c r="BR327" s="2675">
        <f t="shared" si="176"/>
        <v>0</v>
      </c>
      <c r="BS327" s="2675">
        <f t="shared" si="177"/>
        <v>0</v>
      </c>
      <c r="BT327" s="2722">
        <f t="shared" si="178"/>
        <v>0</v>
      </c>
    </row>
    <row r="328" spans="1:72">
      <c r="A328" s="2673"/>
      <c r="B328" s="2674"/>
      <c r="C328" s="2674"/>
      <c r="D328" s="2277"/>
      <c r="E328" s="2675">
        <f t="shared" si="179"/>
        <v>0</v>
      </c>
      <c r="F328" s="2676"/>
      <c r="G328" s="2677">
        <f t="shared" si="154"/>
        <v>0</v>
      </c>
      <c r="H328" s="2678">
        <f t="shared" si="155"/>
        <v>0</v>
      </c>
      <c r="I328" s="2685"/>
      <c r="J328" s="2685"/>
      <c r="K328" s="2685"/>
      <c r="L328" s="2685"/>
      <c r="M328" s="2685"/>
      <c r="N328" s="2685"/>
      <c r="O328" s="2685"/>
      <c r="P328" s="2685"/>
      <c r="Q328" s="2685"/>
      <c r="R328" s="2685"/>
      <c r="S328" s="2685"/>
      <c r="T328" s="2685"/>
      <c r="U328" s="2685"/>
      <c r="V328" s="2685"/>
      <c r="W328" s="2685"/>
      <c r="X328" s="2685"/>
      <c r="Y328" s="2685"/>
      <c r="Z328" s="2685"/>
      <c r="AA328" s="2685"/>
      <c r="AB328" s="2685"/>
      <c r="AC328" s="2675">
        <f t="shared" si="156"/>
        <v>0</v>
      </c>
      <c r="AD328" s="2695"/>
      <c r="AE328" s="2695"/>
      <c r="AF328" s="2695"/>
      <c r="AG328" s="2695"/>
      <c r="AH328" s="2695"/>
      <c r="AI328" s="2695"/>
      <c r="AJ328" s="2695"/>
      <c r="AK328" s="2695"/>
      <c r="AL328" s="2695"/>
      <c r="AM328" s="2695"/>
      <c r="AN328" s="2695"/>
      <c r="AO328" s="2695"/>
      <c r="AP328" s="2695"/>
      <c r="AQ328" s="2695"/>
      <c r="AR328" s="2695"/>
      <c r="AS328" s="2695"/>
      <c r="AT328" s="2703"/>
      <c r="AU328" s="2704"/>
      <c r="AV328" s="1074">
        <f t="shared" si="180"/>
        <v>0</v>
      </c>
      <c r="AW328" s="1074">
        <f t="shared" si="181"/>
        <v>0</v>
      </c>
      <c r="AX328" s="1074">
        <f t="shared" si="182"/>
        <v>0</v>
      </c>
      <c r="AY328" s="2279">
        <f t="shared" si="157"/>
        <v>0</v>
      </c>
      <c r="AZ328" s="2675">
        <f t="shared" si="158"/>
        <v>0</v>
      </c>
      <c r="BA328" s="2675">
        <f t="shared" si="159"/>
        <v>0</v>
      </c>
      <c r="BB328" s="2675">
        <f t="shared" si="160"/>
        <v>0</v>
      </c>
      <c r="BC328" s="2675">
        <f t="shared" si="161"/>
        <v>0</v>
      </c>
      <c r="BD328" s="2675">
        <f t="shared" si="162"/>
        <v>0</v>
      </c>
      <c r="BE328" s="2675">
        <f t="shared" si="163"/>
        <v>0</v>
      </c>
      <c r="BF328" s="2675">
        <f t="shared" si="164"/>
        <v>0</v>
      </c>
      <c r="BG328" s="2675">
        <f t="shared" si="165"/>
        <v>0</v>
      </c>
      <c r="BH328" s="2675">
        <f t="shared" si="166"/>
        <v>0</v>
      </c>
      <c r="BI328" s="2675">
        <f t="shared" si="167"/>
        <v>0</v>
      </c>
      <c r="BJ328" s="2675">
        <f t="shared" si="168"/>
        <v>0</v>
      </c>
      <c r="BK328" s="2675">
        <f t="shared" si="169"/>
        <v>0</v>
      </c>
      <c r="BL328" s="2675">
        <f t="shared" si="170"/>
        <v>0</v>
      </c>
      <c r="BM328" s="2675">
        <f t="shared" si="171"/>
        <v>0</v>
      </c>
      <c r="BN328" s="2675">
        <f t="shared" si="172"/>
        <v>0</v>
      </c>
      <c r="BO328" s="2675">
        <f t="shared" si="173"/>
        <v>0</v>
      </c>
      <c r="BP328" s="2675">
        <f t="shared" si="174"/>
        <v>0</v>
      </c>
      <c r="BQ328" s="2675">
        <f t="shared" si="175"/>
        <v>0</v>
      </c>
      <c r="BR328" s="2675">
        <f t="shared" si="176"/>
        <v>0</v>
      </c>
      <c r="BS328" s="2675">
        <f t="shared" si="177"/>
        <v>0</v>
      </c>
      <c r="BT328" s="2722">
        <f t="shared" si="178"/>
        <v>0</v>
      </c>
    </row>
    <row r="329" spans="1:72">
      <c r="A329" s="2673"/>
      <c r="B329" s="2674"/>
      <c r="C329" s="2674"/>
      <c r="D329" s="2277"/>
      <c r="E329" s="2675">
        <f t="shared" si="179"/>
        <v>0</v>
      </c>
      <c r="F329" s="2676"/>
      <c r="G329" s="2677">
        <f t="shared" si="154"/>
        <v>0</v>
      </c>
      <c r="H329" s="2678">
        <f t="shared" si="155"/>
        <v>0</v>
      </c>
      <c r="I329" s="2685"/>
      <c r="J329" s="2685"/>
      <c r="K329" s="2685"/>
      <c r="L329" s="2685"/>
      <c r="M329" s="2685"/>
      <c r="N329" s="2685"/>
      <c r="O329" s="2685"/>
      <c r="P329" s="2685"/>
      <c r="Q329" s="2685"/>
      <c r="R329" s="2685"/>
      <c r="S329" s="2685"/>
      <c r="T329" s="2685"/>
      <c r="U329" s="2685"/>
      <c r="V329" s="2685"/>
      <c r="W329" s="2685"/>
      <c r="X329" s="2685"/>
      <c r="Y329" s="2685"/>
      <c r="Z329" s="2685"/>
      <c r="AA329" s="2685"/>
      <c r="AB329" s="2685"/>
      <c r="AC329" s="2675">
        <f t="shared" si="156"/>
        <v>0</v>
      </c>
      <c r="AD329" s="2695"/>
      <c r="AE329" s="2695"/>
      <c r="AF329" s="2695"/>
      <c r="AG329" s="2695"/>
      <c r="AH329" s="2695"/>
      <c r="AI329" s="2695"/>
      <c r="AJ329" s="2695"/>
      <c r="AK329" s="2695"/>
      <c r="AL329" s="2695"/>
      <c r="AM329" s="2695"/>
      <c r="AN329" s="2695"/>
      <c r="AO329" s="2695"/>
      <c r="AP329" s="2695"/>
      <c r="AQ329" s="2695"/>
      <c r="AR329" s="2695"/>
      <c r="AS329" s="2695"/>
      <c r="AT329" s="2703"/>
      <c r="AU329" s="2704"/>
      <c r="AV329" s="1074">
        <f t="shared" si="180"/>
        <v>0</v>
      </c>
      <c r="AW329" s="1074">
        <f t="shared" si="181"/>
        <v>0</v>
      </c>
      <c r="AX329" s="1074">
        <f t="shared" si="182"/>
        <v>0</v>
      </c>
      <c r="AY329" s="2279">
        <f t="shared" si="157"/>
        <v>0</v>
      </c>
      <c r="AZ329" s="2675">
        <f t="shared" si="158"/>
        <v>0</v>
      </c>
      <c r="BA329" s="2675">
        <f t="shared" si="159"/>
        <v>0</v>
      </c>
      <c r="BB329" s="2675">
        <f t="shared" si="160"/>
        <v>0</v>
      </c>
      <c r="BC329" s="2675">
        <f t="shared" si="161"/>
        <v>0</v>
      </c>
      <c r="BD329" s="2675">
        <f t="shared" si="162"/>
        <v>0</v>
      </c>
      <c r="BE329" s="2675">
        <f t="shared" si="163"/>
        <v>0</v>
      </c>
      <c r="BF329" s="2675">
        <f t="shared" si="164"/>
        <v>0</v>
      </c>
      <c r="BG329" s="2675">
        <f t="shared" si="165"/>
        <v>0</v>
      </c>
      <c r="BH329" s="2675">
        <f t="shared" si="166"/>
        <v>0</v>
      </c>
      <c r="BI329" s="2675">
        <f t="shared" si="167"/>
        <v>0</v>
      </c>
      <c r="BJ329" s="2675">
        <f t="shared" si="168"/>
        <v>0</v>
      </c>
      <c r="BK329" s="2675">
        <f t="shared" si="169"/>
        <v>0</v>
      </c>
      <c r="BL329" s="2675">
        <f t="shared" si="170"/>
        <v>0</v>
      </c>
      <c r="BM329" s="2675">
        <f t="shared" si="171"/>
        <v>0</v>
      </c>
      <c r="BN329" s="2675">
        <f t="shared" si="172"/>
        <v>0</v>
      </c>
      <c r="BO329" s="2675">
        <f t="shared" si="173"/>
        <v>0</v>
      </c>
      <c r="BP329" s="2675">
        <f t="shared" si="174"/>
        <v>0</v>
      </c>
      <c r="BQ329" s="2675">
        <f t="shared" si="175"/>
        <v>0</v>
      </c>
      <c r="BR329" s="2675">
        <f t="shared" si="176"/>
        <v>0</v>
      </c>
      <c r="BS329" s="2675">
        <f t="shared" si="177"/>
        <v>0</v>
      </c>
      <c r="BT329" s="2722">
        <f t="shared" si="178"/>
        <v>0</v>
      </c>
    </row>
    <row r="330" spans="1:72">
      <c r="A330" s="2673"/>
      <c r="B330" s="2674"/>
      <c r="C330" s="2674"/>
      <c r="D330" s="2277"/>
      <c r="E330" s="2675">
        <f t="shared" si="179"/>
        <v>0</v>
      </c>
      <c r="F330" s="2676"/>
      <c r="G330" s="2677">
        <f t="shared" si="154"/>
        <v>0</v>
      </c>
      <c r="H330" s="2678">
        <f t="shared" si="155"/>
        <v>0</v>
      </c>
      <c r="I330" s="2685"/>
      <c r="J330" s="2685"/>
      <c r="K330" s="2685"/>
      <c r="L330" s="2685"/>
      <c r="M330" s="2685"/>
      <c r="N330" s="2685"/>
      <c r="O330" s="2685"/>
      <c r="P330" s="2685"/>
      <c r="Q330" s="2685"/>
      <c r="R330" s="2685"/>
      <c r="S330" s="2685"/>
      <c r="T330" s="2685"/>
      <c r="U330" s="2685"/>
      <c r="V330" s="2685"/>
      <c r="W330" s="2685"/>
      <c r="X330" s="2685"/>
      <c r="Y330" s="2685"/>
      <c r="Z330" s="2685"/>
      <c r="AA330" s="2685"/>
      <c r="AB330" s="2685"/>
      <c r="AC330" s="2675">
        <f t="shared" si="156"/>
        <v>0</v>
      </c>
      <c r="AD330" s="2695"/>
      <c r="AE330" s="2695"/>
      <c r="AF330" s="2695"/>
      <c r="AG330" s="2695"/>
      <c r="AH330" s="2695"/>
      <c r="AI330" s="2695"/>
      <c r="AJ330" s="2695"/>
      <c r="AK330" s="2695"/>
      <c r="AL330" s="2695"/>
      <c r="AM330" s="2695"/>
      <c r="AN330" s="2695"/>
      <c r="AO330" s="2695"/>
      <c r="AP330" s="2695"/>
      <c r="AQ330" s="2695"/>
      <c r="AR330" s="2695"/>
      <c r="AS330" s="2695"/>
      <c r="AT330" s="2703"/>
      <c r="AU330" s="2704"/>
      <c r="AV330" s="1074">
        <f t="shared" si="180"/>
        <v>0</v>
      </c>
      <c r="AW330" s="1074">
        <f t="shared" si="181"/>
        <v>0</v>
      </c>
      <c r="AX330" s="1074">
        <f t="shared" si="182"/>
        <v>0</v>
      </c>
      <c r="AY330" s="2279">
        <f t="shared" si="157"/>
        <v>0</v>
      </c>
      <c r="AZ330" s="2675">
        <f t="shared" si="158"/>
        <v>0</v>
      </c>
      <c r="BA330" s="2675">
        <f t="shared" si="159"/>
        <v>0</v>
      </c>
      <c r="BB330" s="2675">
        <f t="shared" si="160"/>
        <v>0</v>
      </c>
      <c r="BC330" s="2675">
        <f t="shared" si="161"/>
        <v>0</v>
      </c>
      <c r="BD330" s="2675">
        <f t="shared" si="162"/>
        <v>0</v>
      </c>
      <c r="BE330" s="2675">
        <f t="shared" si="163"/>
        <v>0</v>
      </c>
      <c r="BF330" s="2675">
        <f t="shared" si="164"/>
        <v>0</v>
      </c>
      <c r="BG330" s="2675">
        <f t="shared" si="165"/>
        <v>0</v>
      </c>
      <c r="BH330" s="2675">
        <f t="shared" si="166"/>
        <v>0</v>
      </c>
      <c r="BI330" s="2675">
        <f t="shared" si="167"/>
        <v>0</v>
      </c>
      <c r="BJ330" s="2675">
        <f t="shared" si="168"/>
        <v>0</v>
      </c>
      <c r="BK330" s="2675">
        <f t="shared" si="169"/>
        <v>0</v>
      </c>
      <c r="BL330" s="2675">
        <f t="shared" si="170"/>
        <v>0</v>
      </c>
      <c r="BM330" s="2675">
        <f t="shared" si="171"/>
        <v>0</v>
      </c>
      <c r="BN330" s="2675">
        <f t="shared" si="172"/>
        <v>0</v>
      </c>
      <c r="BO330" s="2675">
        <f t="shared" si="173"/>
        <v>0</v>
      </c>
      <c r="BP330" s="2675">
        <f t="shared" si="174"/>
        <v>0</v>
      </c>
      <c r="BQ330" s="2675">
        <f t="shared" si="175"/>
        <v>0</v>
      </c>
      <c r="BR330" s="2675">
        <f t="shared" si="176"/>
        <v>0</v>
      </c>
      <c r="BS330" s="2675">
        <f t="shared" si="177"/>
        <v>0</v>
      </c>
      <c r="BT330" s="2722">
        <f t="shared" si="178"/>
        <v>0</v>
      </c>
    </row>
    <row r="331" spans="1:72">
      <c r="A331" s="2673"/>
      <c r="B331" s="2674"/>
      <c r="C331" s="2674"/>
      <c r="D331" s="2277"/>
      <c r="E331" s="2675">
        <f t="shared" si="179"/>
        <v>0</v>
      </c>
      <c r="F331" s="2676"/>
      <c r="G331" s="2677">
        <f t="shared" si="154"/>
        <v>0</v>
      </c>
      <c r="H331" s="2678">
        <f t="shared" si="155"/>
        <v>0</v>
      </c>
      <c r="I331" s="2685"/>
      <c r="J331" s="2685"/>
      <c r="K331" s="2685"/>
      <c r="L331" s="2685"/>
      <c r="M331" s="2685"/>
      <c r="N331" s="2685"/>
      <c r="O331" s="2685"/>
      <c r="P331" s="2685"/>
      <c r="Q331" s="2685"/>
      <c r="R331" s="2685"/>
      <c r="S331" s="2685"/>
      <c r="T331" s="2685"/>
      <c r="U331" s="2685"/>
      <c r="V331" s="2685"/>
      <c r="W331" s="2685"/>
      <c r="X331" s="2685"/>
      <c r="Y331" s="2685"/>
      <c r="Z331" s="2685"/>
      <c r="AA331" s="2685"/>
      <c r="AB331" s="2685"/>
      <c r="AC331" s="2675">
        <f t="shared" si="156"/>
        <v>0</v>
      </c>
      <c r="AD331" s="2695"/>
      <c r="AE331" s="2695"/>
      <c r="AF331" s="2695"/>
      <c r="AG331" s="2695"/>
      <c r="AH331" s="2695"/>
      <c r="AI331" s="2695"/>
      <c r="AJ331" s="2695"/>
      <c r="AK331" s="2695"/>
      <c r="AL331" s="2695"/>
      <c r="AM331" s="2695"/>
      <c r="AN331" s="2695"/>
      <c r="AO331" s="2695"/>
      <c r="AP331" s="2695"/>
      <c r="AQ331" s="2695"/>
      <c r="AR331" s="2695"/>
      <c r="AS331" s="2695"/>
      <c r="AT331" s="2703"/>
      <c r="AU331" s="2704"/>
      <c r="AV331" s="1074">
        <f t="shared" si="180"/>
        <v>0</v>
      </c>
      <c r="AW331" s="1074">
        <f t="shared" si="181"/>
        <v>0</v>
      </c>
      <c r="AX331" s="1074">
        <f t="shared" si="182"/>
        <v>0</v>
      </c>
      <c r="AY331" s="2279">
        <f t="shared" si="157"/>
        <v>0</v>
      </c>
      <c r="AZ331" s="2675">
        <f t="shared" si="158"/>
        <v>0</v>
      </c>
      <c r="BA331" s="2675">
        <f t="shared" si="159"/>
        <v>0</v>
      </c>
      <c r="BB331" s="2675">
        <f t="shared" si="160"/>
        <v>0</v>
      </c>
      <c r="BC331" s="2675">
        <f t="shared" si="161"/>
        <v>0</v>
      </c>
      <c r="BD331" s="2675">
        <f t="shared" si="162"/>
        <v>0</v>
      </c>
      <c r="BE331" s="2675">
        <f t="shared" si="163"/>
        <v>0</v>
      </c>
      <c r="BF331" s="2675">
        <f t="shared" si="164"/>
        <v>0</v>
      </c>
      <c r="BG331" s="2675">
        <f t="shared" si="165"/>
        <v>0</v>
      </c>
      <c r="BH331" s="2675">
        <f t="shared" si="166"/>
        <v>0</v>
      </c>
      <c r="BI331" s="2675">
        <f t="shared" si="167"/>
        <v>0</v>
      </c>
      <c r="BJ331" s="2675">
        <f t="shared" si="168"/>
        <v>0</v>
      </c>
      <c r="BK331" s="2675">
        <f t="shared" si="169"/>
        <v>0</v>
      </c>
      <c r="BL331" s="2675">
        <f t="shared" si="170"/>
        <v>0</v>
      </c>
      <c r="BM331" s="2675">
        <f t="shared" si="171"/>
        <v>0</v>
      </c>
      <c r="BN331" s="2675">
        <f t="shared" si="172"/>
        <v>0</v>
      </c>
      <c r="BO331" s="2675">
        <f t="shared" si="173"/>
        <v>0</v>
      </c>
      <c r="BP331" s="2675">
        <f t="shared" si="174"/>
        <v>0</v>
      </c>
      <c r="BQ331" s="2675">
        <f t="shared" si="175"/>
        <v>0</v>
      </c>
      <c r="BR331" s="2675">
        <f t="shared" si="176"/>
        <v>0</v>
      </c>
      <c r="BS331" s="2675">
        <f t="shared" si="177"/>
        <v>0</v>
      </c>
      <c r="BT331" s="2722">
        <f t="shared" si="178"/>
        <v>0</v>
      </c>
    </row>
    <row r="332" spans="1:72">
      <c r="A332" s="2673"/>
      <c r="B332" s="2674"/>
      <c r="C332" s="2674"/>
      <c r="D332" s="2277"/>
      <c r="E332" s="2675">
        <f t="shared" si="179"/>
        <v>0</v>
      </c>
      <c r="F332" s="2676"/>
      <c r="G332" s="2677">
        <f t="shared" ref="G332:G363" si="183">H332+AC332+AT332</f>
        <v>0</v>
      </c>
      <c r="H332" s="2678">
        <f t="shared" ref="H332:H363" si="184">SUMIF(I$12:AB$12,"总值",I332:AB332)</f>
        <v>0</v>
      </c>
      <c r="I332" s="2685"/>
      <c r="J332" s="2685"/>
      <c r="K332" s="2685"/>
      <c r="L332" s="2685"/>
      <c r="M332" s="2685"/>
      <c r="N332" s="2685"/>
      <c r="O332" s="2685"/>
      <c r="P332" s="2685"/>
      <c r="Q332" s="2685"/>
      <c r="R332" s="2685"/>
      <c r="S332" s="2685"/>
      <c r="T332" s="2685"/>
      <c r="U332" s="2685"/>
      <c r="V332" s="2685"/>
      <c r="W332" s="2685"/>
      <c r="X332" s="2685"/>
      <c r="Y332" s="2685"/>
      <c r="Z332" s="2685"/>
      <c r="AA332" s="2685"/>
      <c r="AB332" s="2685"/>
      <c r="AC332" s="2675">
        <f t="shared" ref="AC332:AC363" si="185">SUMIF(AD$12:AS$12,"总值",AD332:AS332)</f>
        <v>0</v>
      </c>
      <c r="AD332" s="2695"/>
      <c r="AE332" s="2695"/>
      <c r="AF332" s="2695"/>
      <c r="AG332" s="2695"/>
      <c r="AH332" s="2695"/>
      <c r="AI332" s="2695"/>
      <c r="AJ332" s="2695"/>
      <c r="AK332" s="2695"/>
      <c r="AL332" s="2695"/>
      <c r="AM332" s="2695"/>
      <c r="AN332" s="2695"/>
      <c r="AO332" s="2695"/>
      <c r="AP332" s="2695"/>
      <c r="AQ332" s="2695"/>
      <c r="AR332" s="2695"/>
      <c r="AS332" s="2695"/>
      <c r="AT332" s="2703"/>
      <c r="AU332" s="2704"/>
      <c r="AV332" s="1074">
        <f t="shared" si="180"/>
        <v>0</v>
      </c>
      <c r="AW332" s="1074">
        <f t="shared" si="181"/>
        <v>0</v>
      </c>
      <c r="AX332" s="1074">
        <f t="shared" si="182"/>
        <v>0</v>
      </c>
      <c r="AY332" s="2279">
        <f t="shared" ref="AY332:AY363" si="186">ROUND($AY$6*AZ332/$AZ$5,2)</f>
        <v>0</v>
      </c>
      <c r="AZ332" s="2675">
        <f t="shared" ref="AZ332:AZ363" si="187">BA332+BL332</f>
        <v>0</v>
      </c>
      <c r="BA332" s="2675">
        <f t="shared" ref="BA332:BA363" si="188">SUM(BB332:BK332)</f>
        <v>0</v>
      </c>
      <c r="BB332" s="2675">
        <f t="shared" ref="BB332:BB363" si="189">IF($D332="是",I332-J332,0)</f>
        <v>0</v>
      </c>
      <c r="BC332" s="2675">
        <f t="shared" ref="BC332:BC363" si="190">IF($D332="是",K332-L332,0)</f>
        <v>0</v>
      </c>
      <c r="BD332" s="2675">
        <f t="shared" ref="BD332:BD363" si="191">IF($D332="是",M332-N332,0)</f>
        <v>0</v>
      </c>
      <c r="BE332" s="2675">
        <f t="shared" ref="BE332:BE363" si="192">IF($D332="是",O332-P332,0)</f>
        <v>0</v>
      </c>
      <c r="BF332" s="2675">
        <f t="shared" ref="BF332:BF363" si="193">IF($D332="是",Q332-R332,0)</f>
        <v>0</v>
      </c>
      <c r="BG332" s="2675">
        <f t="shared" ref="BG332:BG363" si="194">IF($D332="是",S332-T332,0)</f>
        <v>0</v>
      </c>
      <c r="BH332" s="2675">
        <f t="shared" ref="BH332:BH363" si="195">IF($D332="是",U332-V332,0)</f>
        <v>0</v>
      </c>
      <c r="BI332" s="2675">
        <f t="shared" ref="BI332:BI363" si="196">IF($D332="是",W332-X332,0)</f>
        <v>0</v>
      </c>
      <c r="BJ332" s="2675">
        <f t="shared" ref="BJ332:BJ363" si="197">IF($D332="是",Y332-Z332,0)</f>
        <v>0</v>
      </c>
      <c r="BK332" s="2675">
        <f t="shared" ref="BK332:BK363" si="198">IF($D332="是",AA332-AB332,0)</f>
        <v>0</v>
      </c>
      <c r="BL332" s="2675">
        <f t="shared" ref="BL332:BL363" si="199">SUM(BM332:BT332)</f>
        <v>0</v>
      </c>
      <c r="BM332" s="2675">
        <f t="shared" ref="BM332:BM363" si="200">IF($D332="是",AD332-AE332,0)</f>
        <v>0</v>
      </c>
      <c r="BN332" s="2675">
        <f t="shared" ref="BN332:BN363" si="201">IF($D332="是",AF332-AG332,0)</f>
        <v>0</v>
      </c>
      <c r="BO332" s="2675">
        <f t="shared" ref="BO332:BO363" si="202">IF($D332="是",AH332-AI332,0)</f>
        <v>0</v>
      </c>
      <c r="BP332" s="2675">
        <f t="shared" ref="BP332:BP363" si="203">IF($D332="是",AJ332-AK332,0)</f>
        <v>0</v>
      </c>
      <c r="BQ332" s="2675">
        <f t="shared" ref="BQ332:BQ363" si="204">IF($D332="是",AL332-AM332,0)</f>
        <v>0</v>
      </c>
      <c r="BR332" s="2675">
        <f t="shared" ref="BR332:BR363" si="205">IF($D332="是",AN332-AO332,0)</f>
        <v>0</v>
      </c>
      <c r="BS332" s="2675">
        <f t="shared" ref="BS332:BS363" si="206">IF($D332="是",AP332-AQ332,0)</f>
        <v>0</v>
      </c>
      <c r="BT332" s="2722">
        <f t="shared" ref="BT332:BT363" si="207">IF($D332="是",AR332-AS332,0)</f>
        <v>0</v>
      </c>
    </row>
    <row r="333" spans="1:72">
      <c r="A333" s="2673"/>
      <c r="B333" s="2674"/>
      <c r="C333" s="2674"/>
      <c r="D333" s="2277"/>
      <c r="E333" s="2675">
        <f t="shared" si="179"/>
        <v>0</v>
      </c>
      <c r="F333" s="2676"/>
      <c r="G333" s="2677">
        <f t="shared" si="183"/>
        <v>0</v>
      </c>
      <c r="H333" s="2678">
        <f t="shared" si="184"/>
        <v>0</v>
      </c>
      <c r="I333" s="2685"/>
      <c r="J333" s="2685"/>
      <c r="K333" s="2685"/>
      <c r="L333" s="2685"/>
      <c r="M333" s="2685"/>
      <c r="N333" s="2685"/>
      <c r="O333" s="2685"/>
      <c r="P333" s="2685"/>
      <c r="Q333" s="2685"/>
      <c r="R333" s="2685"/>
      <c r="S333" s="2685"/>
      <c r="T333" s="2685"/>
      <c r="U333" s="2685"/>
      <c r="V333" s="2685"/>
      <c r="W333" s="2685"/>
      <c r="X333" s="2685"/>
      <c r="Y333" s="2685"/>
      <c r="Z333" s="2685"/>
      <c r="AA333" s="2685"/>
      <c r="AB333" s="2685"/>
      <c r="AC333" s="2675">
        <f t="shared" si="185"/>
        <v>0</v>
      </c>
      <c r="AD333" s="2695"/>
      <c r="AE333" s="2695"/>
      <c r="AF333" s="2695"/>
      <c r="AG333" s="2695"/>
      <c r="AH333" s="2695"/>
      <c r="AI333" s="2695"/>
      <c r="AJ333" s="2695"/>
      <c r="AK333" s="2695"/>
      <c r="AL333" s="2695"/>
      <c r="AM333" s="2695"/>
      <c r="AN333" s="2695"/>
      <c r="AO333" s="2695"/>
      <c r="AP333" s="2695"/>
      <c r="AQ333" s="2695"/>
      <c r="AR333" s="2695"/>
      <c r="AS333" s="2695"/>
      <c r="AT333" s="2703"/>
      <c r="AU333" s="2704"/>
      <c r="AV333" s="1074">
        <f t="shared" si="180"/>
        <v>0</v>
      </c>
      <c r="AW333" s="1074">
        <f t="shared" si="181"/>
        <v>0</v>
      </c>
      <c r="AX333" s="1074">
        <f t="shared" si="182"/>
        <v>0</v>
      </c>
      <c r="AY333" s="2279">
        <f t="shared" si="186"/>
        <v>0</v>
      </c>
      <c r="AZ333" s="2675">
        <f t="shared" si="187"/>
        <v>0</v>
      </c>
      <c r="BA333" s="2675">
        <f t="shared" si="188"/>
        <v>0</v>
      </c>
      <c r="BB333" s="2675">
        <f t="shared" si="189"/>
        <v>0</v>
      </c>
      <c r="BC333" s="2675">
        <f t="shared" si="190"/>
        <v>0</v>
      </c>
      <c r="BD333" s="2675">
        <f t="shared" si="191"/>
        <v>0</v>
      </c>
      <c r="BE333" s="2675">
        <f t="shared" si="192"/>
        <v>0</v>
      </c>
      <c r="BF333" s="2675">
        <f t="shared" si="193"/>
        <v>0</v>
      </c>
      <c r="BG333" s="2675">
        <f t="shared" si="194"/>
        <v>0</v>
      </c>
      <c r="BH333" s="2675">
        <f t="shared" si="195"/>
        <v>0</v>
      </c>
      <c r="BI333" s="2675">
        <f t="shared" si="196"/>
        <v>0</v>
      </c>
      <c r="BJ333" s="2675">
        <f t="shared" si="197"/>
        <v>0</v>
      </c>
      <c r="BK333" s="2675">
        <f t="shared" si="198"/>
        <v>0</v>
      </c>
      <c r="BL333" s="2675">
        <f t="shared" si="199"/>
        <v>0</v>
      </c>
      <c r="BM333" s="2675">
        <f t="shared" si="200"/>
        <v>0</v>
      </c>
      <c r="BN333" s="2675">
        <f t="shared" si="201"/>
        <v>0</v>
      </c>
      <c r="BO333" s="2675">
        <f t="shared" si="202"/>
        <v>0</v>
      </c>
      <c r="BP333" s="2675">
        <f t="shared" si="203"/>
        <v>0</v>
      </c>
      <c r="BQ333" s="2675">
        <f t="shared" si="204"/>
        <v>0</v>
      </c>
      <c r="BR333" s="2675">
        <f t="shared" si="205"/>
        <v>0</v>
      </c>
      <c r="BS333" s="2675">
        <f t="shared" si="206"/>
        <v>0</v>
      </c>
      <c r="BT333" s="2722">
        <f t="shared" si="207"/>
        <v>0</v>
      </c>
    </row>
    <row r="334" spans="1:72">
      <c r="A334" s="2673"/>
      <c r="B334" s="2674"/>
      <c r="C334" s="2674"/>
      <c r="D334" s="2277"/>
      <c r="E334" s="2675">
        <f t="shared" si="179"/>
        <v>0</v>
      </c>
      <c r="F334" s="2676"/>
      <c r="G334" s="2677">
        <f t="shared" si="183"/>
        <v>0</v>
      </c>
      <c r="H334" s="2678">
        <f t="shared" si="184"/>
        <v>0</v>
      </c>
      <c r="I334" s="2685"/>
      <c r="J334" s="2685"/>
      <c r="K334" s="2685"/>
      <c r="L334" s="2685"/>
      <c r="M334" s="2685"/>
      <c r="N334" s="2685"/>
      <c r="O334" s="2685"/>
      <c r="P334" s="2685"/>
      <c r="Q334" s="2685"/>
      <c r="R334" s="2685"/>
      <c r="S334" s="2685"/>
      <c r="T334" s="2685"/>
      <c r="U334" s="2685"/>
      <c r="V334" s="2685"/>
      <c r="W334" s="2685"/>
      <c r="X334" s="2685"/>
      <c r="Y334" s="2685"/>
      <c r="Z334" s="2685"/>
      <c r="AA334" s="2685"/>
      <c r="AB334" s="2685"/>
      <c r="AC334" s="2675">
        <f t="shared" si="185"/>
        <v>0</v>
      </c>
      <c r="AD334" s="2695"/>
      <c r="AE334" s="2695"/>
      <c r="AF334" s="2695"/>
      <c r="AG334" s="2695"/>
      <c r="AH334" s="2695"/>
      <c r="AI334" s="2695"/>
      <c r="AJ334" s="2695"/>
      <c r="AK334" s="2695"/>
      <c r="AL334" s="2695"/>
      <c r="AM334" s="2695"/>
      <c r="AN334" s="2695"/>
      <c r="AO334" s="2695"/>
      <c r="AP334" s="2695"/>
      <c r="AQ334" s="2695"/>
      <c r="AR334" s="2695"/>
      <c r="AS334" s="2695"/>
      <c r="AT334" s="2703"/>
      <c r="AU334" s="2704"/>
      <c r="AV334" s="1074">
        <f t="shared" si="180"/>
        <v>0</v>
      </c>
      <c r="AW334" s="1074">
        <f t="shared" si="181"/>
        <v>0</v>
      </c>
      <c r="AX334" s="1074">
        <f t="shared" si="182"/>
        <v>0</v>
      </c>
      <c r="AY334" s="2279">
        <f t="shared" si="186"/>
        <v>0</v>
      </c>
      <c r="AZ334" s="2675">
        <f t="shared" si="187"/>
        <v>0</v>
      </c>
      <c r="BA334" s="2675">
        <f t="shared" si="188"/>
        <v>0</v>
      </c>
      <c r="BB334" s="2675">
        <f t="shared" si="189"/>
        <v>0</v>
      </c>
      <c r="BC334" s="2675">
        <f t="shared" si="190"/>
        <v>0</v>
      </c>
      <c r="BD334" s="2675">
        <f t="shared" si="191"/>
        <v>0</v>
      </c>
      <c r="BE334" s="2675">
        <f t="shared" si="192"/>
        <v>0</v>
      </c>
      <c r="BF334" s="2675">
        <f t="shared" si="193"/>
        <v>0</v>
      </c>
      <c r="BG334" s="2675">
        <f t="shared" si="194"/>
        <v>0</v>
      </c>
      <c r="BH334" s="2675">
        <f t="shared" si="195"/>
        <v>0</v>
      </c>
      <c r="BI334" s="2675">
        <f t="shared" si="196"/>
        <v>0</v>
      </c>
      <c r="BJ334" s="2675">
        <f t="shared" si="197"/>
        <v>0</v>
      </c>
      <c r="BK334" s="2675">
        <f t="shared" si="198"/>
        <v>0</v>
      </c>
      <c r="BL334" s="2675">
        <f t="shared" si="199"/>
        <v>0</v>
      </c>
      <c r="BM334" s="2675">
        <f t="shared" si="200"/>
        <v>0</v>
      </c>
      <c r="BN334" s="2675">
        <f t="shared" si="201"/>
        <v>0</v>
      </c>
      <c r="BO334" s="2675">
        <f t="shared" si="202"/>
        <v>0</v>
      </c>
      <c r="BP334" s="2675">
        <f t="shared" si="203"/>
        <v>0</v>
      </c>
      <c r="BQ334" s="2675">
        <f t="shared" si="204"/>
        <v>0</v>
      </c>
      <c r="BR334" s="2675">
        <f t="shared" si="205"/>
        <v>0</v>
      </c>
      <c r="BS334" s="2675">
        <f t="shared" si="206"/>
        <v>0</v>
      </c>
      <c r="BT334" s="2722">
        <f t="shared" si="207"/>
        <v>0</v>
      </c>
    </row>
    <row r="335" spans="1:72">
      <c r="A335" s="2673"/>
      <c r="B335" s="2674"/>
      <c r="C335" s="2674"/>
      <c r="D335" s="2277"/>
      <c r="E335" s="2675">
        <f t="shared" ref="E335:E366" si="208">IF($C$3="是",ROUND($A$3*G335/$B$3,2),ROUND($A$3*(G335-AT335)/$B$3,2))</f>
        <v>0</v>
      </c>
      <c r="F335" s="2676"/>
      <c r="G335" s="2677">
        <f t="shared" si="183"/>
        <v>0</v>
      </c>
      <c r="H335" s="2678">
        <f t="shared" si="184"/>
        <v>0</v>
      </c>
      <c r="I335" s="2685"/>
      <c r="J335" s="2685"/>
      <c r="K335" s="2685"/>
      <c r="L335" s="2685"/>
      <c r="M335" s="2685"/>
      <c r="N335" s="2685"/>
      <c r="O335" s="2685"/>
      <c r="P335" s="2685"/>
      <c r="Q335" s="2685"/>
      <c r="R335" s="2685"/>
      <c r="S335" s="2685"/>
      <c r="T335" s="2685"/>
      <c r="U335" s="2685"/>
      <c r="V335" s="2685"/>
      <c r="W335" s="2685"/>
      <c r="X335" s="2685"/>
      <c r="Y335" s="2685"/>
      <c r="Z335" s="2685"/>
      <c r="AA335" s="2685"/>
      <c r="AB335" s="2685"/>
      <c r="AC335" s="2675">
        <f t="shared" si="185"/>
        <v>0</v>
      </c>
      <c r="AD335" s="2695"/>
      <c r="AE335" s="2695"/>
      <c r="AF335" s="2695"/>
      <c r="AG335" s="2695"/>
      <c r="AH335" s="2695"/>
      <c r="AI335" s="2695"/>
      <c r="AJ335" s="2695"/>
      <c r="AK335" s="2695"/>
      <c r="AL335" s="2695"/>
      <c r="AM335" s="2695"/>
      <c r="AN335" s="2695"/>
      <c r="AO335" s="2695"/>
      <c r="AP335" s="2695"/>
      <c r="AQ335" s="2695"/>
      <c r="AR335" s="2695"/>
      <c r="AS335" s="2695"/>
      <c r="AT335" s="2703"/>
      <c r="AU335" s="2704"/>
      <c r="AV335" s="1074">
        <f t="shared" ref="AV335:AV366" si="209">A335</f>
        <v>0</v>
      </c>
      <c r="AW335" s="1074">
        <f t="shared" ref="AW335:AW366" si="210">B335</f>
        <v>0</v>
      </c>
      <c r="AX335" s="1074">
        <f t="shared" ref="AX335:AX366" si="211">C335</f>
        <v>0</v>
      </c>
      <c r="AY335" s="2279">
        <f t="shared" si="186"/>
        <v>0</v>
      </c>
      <c r="AZ335" s="2675">
        <f t="shared" si="187"/>
        <v>0</v>
      </c>
      <c r="BA335" s="2675">
        <f t="shared" si="188"/>
        <v>0</v>
      </c>
      <c r="BB335" s="2675">
        <f t="shared" si="189"/>
        <v>0</v>
      </c>
      <c r="BC335" s="2675">
        <f t="shared" si="190"/>
        <v>0</v>
      </c>
      <c r="BD335" s="2675">
        <f t="shared" si="191"/>
        <v>0</v>
      </c>
      <c r="BE335" s="2675">
        <f t="shared" si="192"/>
        <v>0</v>
      </c>
      <c r="BF335" s="2675">
        <f t="shared" si="193"/>
        <v>0</v>
      </c>
      <c r="BG335" s="2675">
        <f t="shared" si="194"/>
        <v>0</v>
      </c>
      <c r="BH335" s="2675">
        <f t="shared" si="195"/>
        <v>0</v>
      </c>
      <c r="BI335" s="2675">
        <f t="shared" si="196"/>
        <v>0</v>
      </c>
      <c r="BJ335" s="2675">
        <f t="shared" si="197"/>
        <v>0</v>
      </c>
      <c r="BK335" s="2675">
        <f t="shared" si="198"/>
        <v>0</v>
      </c>
      <c r="BL335" s="2675">
        <f t="shared" si="199"/>
        <v>0</v>
      </c>
      <c r="BM335" s="2675">
        <f t="shared" si="200"/>
        <v>0</v>
      </c>
      <c r="BN335" s="2675">
        <f t="shared" si="201"/>
        <v>0</v>
      </c>
      <c r="BO335" s="2675">
        <f t="shared" si="202"/>
        <v>0</v>
      </c>
      <c r="BP335" s="2675">
        <f t="shared" si="203"/>
        <v>0</v>
      </c>
      <c r="BQ335" s="2675">
        <f t="shared" si="204"/>
        <v>0</v>
      </c>
      <c r="BR335" s="2675">
        <f t="shared" si="205"/>
        <v>0</v>
      </c>
      <c r="BS335" s="2675">
        <f t="shared" si="206"/>
        <v>0</v>
      </c>
      <c r="BT335" s="2722">
        <f t="shared" si="207"/>
        <v>0</v>
      </c>
    </row>
    <row r="336" spans="1:72">
      <c r="A336" s="2673"/>
      <c r="B336" s="2674"/>
      <c r="C336" s="2674"/>
      <c r="D336" s="2277"/>
      <c r="E336" s="2675">
        <f t="shared" si="208"/>
        <v>0</v>
      </c>
      <c r="F336" s="2676"/>
      <c r="G336" s="2677">
        <f t="shared" si="183"/>
        <v>0</v>
      </c>
      <c r="H336" s="2678">
        <f t="shared" si="184"/>
        <v>0</v>
      </c>
      <c r="I336" s="2685"/>
      <c r="J336" s="2685"/>
      <c r="K336" s="2685"/>
      <c r="L336" s="2685"/>
      <c r="M336" s="2685"/>
      <c r="N336" s="2685"/>
      <c r="O336" s="2685"/>
      <c r="P336" s="2685"/>
      <c r="Q336" s="2685"/>
      <c r="R336" s="2685"/>
      <c r="S336" s="2685"/>
      <c r="T336" s="2685"/>
      <c r="U336" s="2685"/>
      <c r="V336" s="2685"/>
      <c r="W336" s="2685"/>
      <c r="X336" s="2685"/>
      <c r="Y336" s="2685"/>
      <c r="Z336" s="2685"/>
      <c r="AA336" s="2685"/>
      <c r="AB336" s="2685"/>
      <c r="AC336" s="2675">
        <f t="shared" si="185"/>
        <v>0</v>
      </c>
      <c r="AD336" s="2695"/>
      <c r="AE336" s="2695"/>
      <c r="AF336" s="2695"/>
      <c r="AG336" s="2695"/>
      <c r="AH336" s="2695"/>
      <c r="AI336" s="2695"/>
      <c r="AJ336" s="2695"/>
      <c r="AK336" s="2695"/>
      <c r="AL336" s="2695"/>
      <c r="AM336" s="2695"/>
      <c r="AN336" s="2695"/>
      <c r="AO336" s="2695"/>
      <c r="AP336" s="2695"/>
      <c r="AQ336" s="2695"/>
      <c r="AR336" s="2695"/>
      <c r="AS336" s="2695"/>
      <c r="AT336" s="2703"/>
      <c r="AU336" s="2704"/>
      <c r="AV336" s="1074">
        <f t="shared" si="209"/>
        <v>0</v>
      </c>
      <c r="AW336" s="1074">
        <f t="shared" si="210"/>
        <v>0</v>
      </c>
      <c r="AX336" s="1074">
        <f t="shared" si="211"/>
        <v>0</v>
      </c>
      <c r="AY336" s="2279">
        <f t="shared" si="186"/>
        <v>0</v>
      </c>
      <c r="AZ336" s="2675">
        <f t="shared" si="187"/>
        <v>0</v>
      </c>
      <c r="BA336" s="2675">
        <f t="shared" si="188"/>
        <v>0</v>
      </c>
      <c r="BB336" s="2675">
        <f t="shared" si="189"/>
        <v>0</v>
      </c>
      <c r="BC336" s="2675">
        <f t="shared" si="190"/>
        <v>0</v>
      </c>
      <c r="BD336" s="2675">
        <f t="shared" si="191"/>
        <v>0</v>
      </c>
      <c r="BE336" s="2675">
        <f t="shared" si="192"/>
        <v>0</v>
      </c>
      <c r="BF336" s="2675">
        <f t="shared" si="193"/>
        <v>0</v>
      </c>
      <c r="BG336" s="2675">
        <f t="shared" si="194"/>
        <v>0</v>
      </c>
      <c r="BH336" s="2675">
        <f t="shared" si="195"/>
        <v>0</v>
      </c>
      <c r="BI336" s="2675">
        <f t="shared" si="196"/>
        <v>0</v>
      </c>
      <c r="BJ336" s="2675">
        <f t="shared" si="197"/>
        <v>0</v>
      </c>
      <c r="BK336" s="2675">
        <f t="shared" si="198"/>
        <v>0</v>
      </c>
      <c r="BL336" s="2675">
        <f t="shared" si="199"/>
        <v>0</v>
      </c>
      <c r="BM336" s="2675">
        <f t="shared" si="200"/>
        <v>0</v>
      </c>
      <c r="BN336" s="2675">
        <f t="shared" si="201"/>
        <v>0</v>
      </c>
      <c r="BO336" s="2675">
        <f t="shared" si="202"/>
        <v>0</v>
      </c>
      <c r="BP336" s="2675">
        <f t="shared" si="203"/>
        <v>0</v>
      </c>
      <c r="BQ336" s="2675">
        <f t="shared" si="204"/>
        <v>0</v>
      </c>
      <c r="BR336" s="2675">
        <f t="shared" si="205"/>
        <v>0</v>
      </c>
      <c r="BS336" s="2675">
        <f t="shared" si="206"/>
        <v>0</v>
      </c>
      <c r="BT336" s="2722">
        <f t="shared" si="207"/>
        <v>0</v>
      </c>
    </row>
    <row r="337" spans="1:72">
      <c r="A337" s="2673"/>
      <c r="B337" s="2674"/>
      <c r="C337" s="2674"/>
      <c r="D337" s="2277"/>
      <c r="E337" s="2675">
        <f t="shared" si="208"/>
        <v>0</v>
      </c>
      <c r="F337" s="2676"/>
      <c r="G337" s="2677">
        <f t="shared" si="183"/>
        <v>0</v>
      </c>
      <c r="H337" s="2678">
        <f t="shared" si="184"/>
        <v>0</v>
      </c>
      <c r="I337" s="2685"/>
      <c r="J337" s="2685"/>
      <c r="K337" s="2685"/>
      <c r="L337" s="2685"/>
      <c r="M337" s="2685"/>
      <c r="N337" s="2685"/>
      <c r="O337" s="2685"/>
      <c r="P337" s="2685"/>
      <c r="Q337" s="2685"/>
      <c r="R337" s="2685"/>
      <c r="S337" s="2685"/>
      <c r="T337" s="2685"/>
      <c r="U337" s="2685"/>
      <c r="V337" s="2685"/>
      <c r="W337" s="2685"/>
      <c r="X337" s="2685"/>
      <c r="Y337" s="2685"/>
      <c r="Z337" s="2685"/>
      <c r="AA337" s="2685"/>
      <c r="AB337" s="2685"/>
      <c r="AC337" s="2675">
        <f t="shared" si="185"/>
        <v>0</v>
      </c>
      <c r="AD337" s="2695"/>
      <c r="AE337" s="2695"/>
      <c r="AF337" s="2695"/>
      <c r="AG337" s="2695"/>
      <c r="AH337" s="2695"/>
      <c r="AI337" s="2695"/>
      <c r="AJ337" s="2695"/>
      <c r="AK337" s="2695"/>
      <c r="AL337" s="2695"/>
      <c r="AM337" s="2695"/>
      <c r="AN337" s="2695"/>
      <c r="AO337" s="2695"/>
      <c r="AP337" s="2695"/>
      <c r="AQ337" s="2695"/>
      <c r="AR337" s="2695"/>
      <c r="AS337" s="2695"/>
      <c r="AT337" s="2703"/>
      <c r="AU337" s="2704"/>
      <c r="AV337" s="1074">
        <f t="shared" si="209"/>
        <v>0</v>
      </c>
      <c r="AW337" s="1074">
        <f t="shared" si="210"/>
        <v>0</v>
      </c>
      <c r="AX337" s="1074">
        <f t="shared" si="211"/>
        <v>0</v>
      </c>
      <c r="AY337" s="2279">
        <f t="shared" si="186"/>
        <v>0</v>
      </c>
      <c r="AZ337" s="2675">
        <f t="shared" si="187"/>
        <v>0</v>
      </c>
      <c r="BA337" s="2675">
        <f t="shared" si="188"/>
        <v>0</v>
      </c>
      <c r="BB337" s="2675">
        <f t="shared" si="189"/>
        <v>0</v>
      </c>
      <c r="BC337" s="2675">
        <f t="shared" si="190"/>
        <v>0</v>
      </c>
      <c r="BD337" s="2675">
        <f t="shared" si="191"/>
        <v>0</v>
      </c>
      <c r="BE337" s="2675">
        <f t="shared" si="192"/>
        <v>0</v>
      </c>
      <c r="BF337" s="2675">
        <f t="shared" si="193"/>
        <v>0</v>
      </c>
      <c r="BG337" s="2675">
        <f t="shared" si="194"/>
        <v>0</v>
      </c>
      <c r="BH337" s="2675">
        <f t="shared" si="195"/>
        <v>0</v>
      </c>
      <c r="BI337" s="2675">
        <f t="shared" si="196"/>
        <v>0</v>
      </c>
      <c r="BJ337" s="2675">
        <f t="shared" si="197"/>
        <v>0</v>
      </c>
      <c r="BK337" s="2675">
        <f t="shared" si="198"/>
        <v>0</v>
      </c>
      <c r="BL337" s="2675">
        <f t="shared" si="199"/>
        <v>0</v>
      </c>
      <c r="BM337" s="2675">
        <f t="shared" si="200"/>
        <v>0</v>
      </c>
      <c r="BN337" s="2675">
        <f t="shared" si="201"/>
        <v>0</v>
      </c>
      <c r="BO337" s="2675">
        <f t="shared" si="202"/>
        <v>0</v>
      </c>
      <c r="BP337" s="2675">
        <f t="shared" si="203"/>
        <v>0</v>
      </c>
      <c r="BQ337" s="2675">
        <f t="shared" si="204"/>
        <v>0</v>
      </c>
      <c r="BR337" s="2675">
        <f t="shared" si="205"/>
        <v>0</v>
      </c>
      <c r="BS337" s="2675">
        <f t="shared" si="206"/>
        <v>0</v>
      </c>
      <c r="BT337" s="2722">
        <f t="shared" si="207"/>
        <v>0</v>
      </c>
    </row>
    <row r="338" spans="1:72">
      <c r="A338" s="2673"/>
      <c r="B338" s="2674"/>
      <c r="C338" s="2674"/>
      <c r="D338" s="2277"/>
      <c r="E338" s="2675">
        <f t="shared" si="208"/>
        <v>0</v>
      </c>
      <c r="F338" s="2676"/>
      <c r="G338" s="2677">
        <f t="shared" si="183"/>
        <v>0</v>
      </c>
      <c r="H338" s="2678">
        <f t="shared" si="184"/>
        <v>0</v>
      </c>
      <c r="I338" s="2685"/>
      <c r="J338" s="2685"/>
      <c r="K338" s="2685"/>
      <c r="L338" s="2685"/>
      <c r="M338" s="2685"/>
      <c r="N338" s="2685"/>
      <c r="O338" s="2685"/>
      <c r="P338" s="2685"/>
      <c r="Q338" s="2685"/>
      <c r="R338" s="2685"/>
      <c r="S338" s="2685"/>
      <c r="T338" s="2685"/>
      <c r="U338" s="2685"/>
      <c r="V338" s="2685"/>
      <c r="W338" s="2685"/>
      <c r="X338" s="2685"/>
      <c r="Y338" s="2685"/>
      <c r="Z338" s="2685"/>
      <c r="AA338" s="2685"/>
      <c r="AB338" s="2685"/>
      <c r="AC338" s="2675">
        <f t="shared" si="185"/>
        <v>0</v>
      </c>
      <c r="AD338" s="2695"/>
      <c r="AE338" s="2695"/>
      <c r="AF338" s="2695"/>
      <c r="AG338" s="2695"/>
      <c r="AH338" s="2695"/>
      <c r="AI338" s="2695"/>
      <c r="AJ338" s="2695"/>
      <c r="AK338" s="2695"/>
      <c r="AL338" s="2695"/>
      <c r="AM338" s="2695"/>
      <c r="AN338" s="2695"/>
      <c r="AO338" s="2695"/>
      <c r="AP338" s="2695"/>
      <c r="AQ338" s="2695"/>
      <c r="AR338" s="2695"/>
      <c r="AS338" s="2695"/>
      <c r="AT338" s="2703"/>
      <c r="AU338" s="2704"/>
      <c r="AV338" s="1074">
        <f t="shared" si="209"/>
        <v>0</v>
      </c>
      <c r="AW338" s="1074">
        <f t="shared" si="210"/>
        <v>0</v>
      </c>
      <c r="AX338" s="1074">
        <f t="shared" si="211"/>
        <v>0</v>
      </c>
      <c r="AY338" s="2279">
        <f t="shared" si="186"/>
        <v>0</v>
      </c>
      <c r="AZ338" s="2675">
        <f t="shared" si="187"/>
        <v>0</v>
      </c>
      <c r="BA338" s="2675">
        <f t="shared" si="188"/>
        <v>0</v>
      </c>
      <c r="BB338" s="2675">
        <f t="shared" si="189"/>
        <v>0</v>
      </c>
      <c r="BC338" s="2675">
        <f t="shared" si="190"/>
        <v>0</v>
      </c>
      <c r="BD338" s="2675">
        <f t="shared" si="191"/>
        <v>0</v>
      </c>
      <c r="BE338" s="2675">
        <f t="shared" si="192"/>
        <v>0</v>
      </c>
      <c r="BF338" s="2675">
        <f t="shared" si="193"/>
        <v>0</v>
      </c>
      <c r="BG338" s="2675">
        <f t="shared" si="194"/>
        <v>0</v>
      </c>
      <c r="BH338" s="2675">
        <f t="shared" si="195"/>
        <v>0</v>
      </c>
      <c r="BI338" s="2675">
        <f t="shared" si="196"/>
        <v>0</v>
      </c>
      <c r="BJ338" s="2675">
        <f t="shared" si="197"/>
        <v>0</v>
      </c>
      <c r="BK338" s="2675">
        <f t="shared" si="198"/>
        <v>0</v>
      </c>
      <c r="BL338" s="2675">
        <f t="shared" si="199"/>
        <v>0</v>
      </c>
      <c r="BM338" s="2675">
        <f t="shared" si="200"/>
        <v>0</v>
      </c>
      <c r="BN338" s="2675">
        <f t="shared" si="201"/>
        <v>0</v>
      </c>
      <c r="BO338" s="2675">
        <f t="shared" si="202"/>
        <v>0</v>
      </c>
      <c r="BP338" s="2675">
        <f t="shared" si="203"/>
        <v>0</v>
      </c>
      <c r="BQ338" s="2675">
        <f t="shared" si="204"/>
        <v>0</v>
      </c>
      <c r="BR338" s="2675">
        <f t="shared" si="205"/>
        <v>0</v>
      </c>
      <c r="BS338" s="2675">
        <f t="shared" si="206"/>
        <v>0</v>
      </c>
      <c r="BT338" s="2722">
        <f t="shared" si="207"/>
        <v>0</v>
      </c>
    </row>
    <row r="339" spans="1:72">
      <c r="A339" s="2673"/>
      <c r="B339" s="2674"/>
      <c r="C339" s="2674"/>
      <c r="D339" s="2277"/>
      <c r="E339" s="2675">
        <f t="shared" si="208"/>
        <v>0</v>
      </c>
      <c r="F339" s="2676"/>
      <c r="G339" s="2677">
        <f t="shared" si="183"/>
        <v>0</v>
      </c>
      <c r="H339" s="2678">
        <f t="shared" si="184"/>
        <v>0</v>
      </c>
      <c r="I339" s="2685"/>
      <c r="J339" s="2685"/>
      <c r="K339" s="2685"/>
      <c r="L339" s="2685"/>
      <c r="M339" s="2685"/>
      <c r="N339" s="2685"/>
      <c r="O339" s="2685"/>
      <c r="P339" s="2685"/>
      <c r="Q339" s="2685"/>
      <c r="R339" s="2685"/>
      <c r="S339" s="2685"/>
      <c r="T339" s="2685"/>
      <c r="U339" s="2685"/>
      <c r="V339" s="2685"/>
      <c r="W339" s="2685"/>
      <c r="X339" s="2685"/>
      <c r="Y339" s="2685"/>
      <c r="Z339" s="2685"/>
      <c r="AA339" s="2685"/>
      <c r="AB339" s="2685"/>
      <c r="AC339" s="2675">
        <f t="shared" si="185"/>
        <v>0</v>
      </c>
      <c r="AD339" s="2695"/>
      <c r="AE339" s="2695"/>
      <c r="AF339" s="2695"/>
      <c r="AG339" s="2695"/>
      <c r="AH339" s="2695"/>
      <c r="AI339" s="2695"/>
      <c r="AJ339" s="2695"/>
      <c r="AK339" s="2695"/>
      <c r="AL339" s="2695"/>
      <c r="AM339" s="2695"/>
      <c r="AN339" s="2695"/>
      <c r="AO339" s="2695"/>
      <c r="AP339" s="2695"/>
      <c r="AQ339" s="2695"/>
      <c r="AR339" s="2695"/>
      <c r="AS339" s="2695"/>
      <c r="AT339" s="2703"/>
      <c r="AU339" s="2704"/>
      <c r="AV339" s="1074">
        <f t="shared" si="209"/>
        <v>0</v>
      </c>
      <c r="AW339" s="1074">
        <f t="shared" si="210"/>
        <v>0</v>
      </c>
      <c r="AX339" s="1074">
        <f t="shared" si="211"/>
        <v>0</v>
      </c>
      <c r="AY339" s="2279">
        <f t="shared" si="186"/>
        <v>0</v>
      </c>
      <c r="AZ339" s="2675">
        <f t="shared" si="187"/>
        <v>0</v>
      </c>
      <c r="BA339" s="2675">
        <f t="shared" si="188"/>
        <v>0</v>
      </c>
      <c r="BB339" s="2675">
        <f t="shared" si="189"/>
        <v>0</v>
      </c>
      <c r="BC339" s="2675">
        <f t="shared" si="190"/>
        <v>0</v>
      </c>
      <c r="BD339" s="2675">
        <f t="shared" si="191"/>
        <v>0</v>
      </c>
      <c r="BE339" s="2675">
        <f t="shared" si="192"/>
        <v>0</v>
      </c>
      <c r="BF339" s="2675">
        <f t="shared" si="193"/>
        <v>0</v>
      </c>
      <c r="BG339" s="2675">
        <f t="shared" si="194"/>
        <v>0</v>
      </c>
      <c r="BH339" s="2675">
        <f t="shared" si="195"/>
        <v>0</v>
      </c>
      <c r="BI339" s="2675">
        <f t="shared" si="196"/>
        <v>0</v>
      </c>
      <c r="BJ339" s="2675">
        <f t="shared" si="197"/>
        <v>0</v>
      </c>
      <c r="BK339" s="2675">
        <f t="shared" si="198"/>
        <v>0</v>
      </c>
      <c r="BL339" s="2675">
        <f t="shared" si="199"/>
        <v>0</v>
      </c>
      <c r="BM339" s="2675">
        <f t="shared" si="200"/>
        <v>0</v>
      </c>
      <c r="BN339" s="2675">
        <f t="shared" si="201"/>
        <v>0</v>
      </c>
      <c r="BO339" s="2675">
        <f t="shared" si="202"/>
        <v>0</v>
      </c>
      <c r="BP339" s="2675">
        <f t="shared" si="203"/>
        <v>0</v>
      </c>
      <c r="BQ339" s="2675">
        <f t="shared" si="204"/>
        <v>0</v>
      </c>
      <c r="BR339" s="2675">
        <f t="shared" si="205"/>
        <v>0</v>
      </c>
      <c r="BS339" s="2675">
        <f t="shared" si="206"/>
        <v>0</v>
      </c>
      <c r="BT339" s="2722">
        <f t="shared" si="207"/>
        <v>0</v>
      </c>
    </row>
    <row r="340" spans="1:72">
      <c r="A340" s="2673"/>
      <c r="B340" s="2674"/>
      <c r="C340" s="2674"/>
      <c r="D340" s="2277"/>
      <c r="E340" s="2675">
        <f t="shared" si="208"/>
        <v>0</v>
      </c>
      <c r="F340" s="2676"/>
      <c r="G340" s="2677">
        <f t="shared" si="183"/>
        <v>0</v>
      </c>
      <c r="H340" s="2678">
        <f t="shared" si="184"/>
        <v>0</v>
      </c>
      <c r="I340" s="2685"/>
      <c r="J340" s="2685"/>
      <c r="K340" s="2685"/>
      <c r="L340" s="2685"/>
      <c r="M340" s="2685"/>
      <c r="N340" s="2685"/>
      <c r="O340" s="2685"/>
      <c r="P340" s="2685"/>
      <c r="Q340" s="2685"/>
      <c r="R340" s="2685"/>
      <c r="S340" s="2685"/>
      <c r="T340" s="2685"/>
      <c r="U340" s="2685"/>
      <c r="V340" s="2685"/>
      <c r="W340" s="2685"/>
      <c r="X340" s="2685"/>
      <c r="Y340" s="2685"/>
      <c r="Z340" s="2685"/>
      <c r="AA340" s="2685"/>
      <c r="AB340" s="2685"/>
      <c r="AC340" s="2675">
        <f t="shared" si="185"/>
        <v>0</v>
      </c>
      <c r="AD340" s="2695"/>
      <c r="AE340" s="2695"/>
      <c r="AF340" s="2695"/>
      <c r="AG340" s="2695"/>
      <c r="AH340" s="2695"/>
      <c r="AI340" s="2695"/>
      <c r="AJ340" s="2695"/>
      <c r="AK340" s="2695"/>
      <c r="AL340" s="2695"/>
      <c r="AM340" s="2695"/>
      <c r="AN340" s="2695"/>
      <c r="AO340" s="2695"/>
      <c r="AP340" s="2695"/>
      <c r="AQ340" s="2695"/>
      <c r="AR340" s="2695"/>
      <c r="AS340" s="2695"/>
      <c r="AT340" s="2703"/>
      <c r="AU340" s="2704"/>
      <c r="AV340" s="1074">
        <f t="shared" si="209"/>
        <v>0</v>
      </c>
      <c r="AW340" s="1074">
        <f t="shared" si="210"/>
        <v>0</v>
      </c>
      <c r="AX340" s="1074">
        <f t="shared" si="211"/>
        <v>0</v>
      </c>
      <c r="AY340" s="2279">
        <f t="shared" si="186"/>
        <v>0</v>
      </c>
      <c r="AZ340" s="2675">
        <f t="shared" si="187"/>
        <v>0</v>
      </c>
      <c r="BA340" s="2675">
        <f t="shared" si="188"/>
        <v>0</v>
      </c>
      <c r="BB340" s="2675">
        <f t="shared" si="189"/>
        <v>0</v>
      </c>
      <c r="BC340" s="2675">
        <f t="shared" si="190"/>
        <v>0</v>
      </c>
      <c r="BD340" s="2675">
        <f t="shared" si="191"/>
        <v>0</v>
      </c>
      <c r="BE340" s="2675">
        <f t="shared" si="192"/>
        <v>0</v>
      </c>
      <c r="BF340" s="2675">
        <f t="shared" si="193"/>
        <v>0</v>
      </c>
      <c r="BG340" s="2675">
        <f t="shared" si="194"/>
        <v>0</v>
      </c>
      <c r="BH340" s="2675">
        <f t="shared" si="195"/>
        <v>0</v>
      </c>
      <c r="BI340" s="2675">
        <f t="shared" si="196"/>
        <v>0</v>
      </c>
      <c r="BJ340" s="2675">
        <f t="shared" si="197"/>
        <v>0</v>
      </c>
      <c r="BK340" s="2675">
        <f t="shared" si="198"/>
        <v>0</v>
      </c>
      <c r="BL340" s="2675">
        <f t="shared" si="199"/>
        <v>0</v>
      </c>
      <c r="BM340" s="2675">
        <f t="shared" si="200"/>
        <v>0</v>
      </c>
      <c r="BN340" s="2675">
        <f t="shared" si="201"/>
        <v>0</v>
      </c>
      <c r="BO340" s="2675">
        <f t="shared" si="202"/>
        <v>0</v>
      </c>
      <c r="BP340" s="2675">
        <f t="shared" si="203"/>
        <v>0</v>
      </c>
      <c r="BQ340" s="2675">
        <f t="shared" si="204"/>
        <v>0</v>
      </c>
      <c r="BR340" s="2675">
        <f t="shared" si="205"/>
        <v>0</v>
      </c>
      <c r="BS340" s="2675">
        <f t="shared" si="206"/>
        <v>0</v>
      </c>
      <c r="BT340" s="2722">
        <f t="shared" si="207"/>
        <v>0</v>
      </c>
    </row>
    <row r="341" spans="1:72">
      <c r="A341" s="2673"/>
      <c r="B341" s="2674"/>
      <c r="C341" s="2674"/>
      <c r="D341" s="2277"/>
      <c r="E341" s="2675">
        <f t="shared" si="208"/>
        <v>0</v>
      </c>
      <c r="F341" s="2676"/>
      <c r="G341" s="2677">
        <f t="shared" si="183"/>
        <v>0</v>
      </c>
      <c r="H341" s="2678">
        <f t="shared" si="184"/>
        <v>0</v>
      </c>
      <c r="I341" s="2685"/>
      <c r="J341" s="2685"/>
      <c r="K341" s="2685"/>
      <c r="L341" s="2685"/>
      <c r="M341" s="2685"/>
      <c r="N341" s="2685"/>
      <c r="O341" s="2685"/>
      <c r="P341" s="2685"/>
      <c r="Q341" s="2685"/>
      <c r="R341" s="2685"/>
      <c r="S341" s="2685"/>
      <c r="T341" s="2685"/>
      <c r="U341" s="2685"/>
      <c r="V341" s="2685"/>
      <c r="W341" s="2685"/>
      <c r="X341" s="2685"/>
      <c r="Y341" s="2685"/>
      <c r="Z341" s="2685"/>
      <c r="AA341" s="2685"/>
      <c r="AB341" s="2685"/>
      <c r="AC341" s="2675">
        <f t="shared" si="185"/>
        <v>0</v>
      </c>
      <c r="AD341" s="2695"/>
      <c r="AE341" s="2695"/>
      <c r="AF341" s="2695"/>
      <c r="AG341" s="2695"/>
      <c r="AH341" s="2695"/>
      <c r="AI341" s="2695"/>
      <c r="AJ341" s="2695"/>
      <c r="AK341" s="2695"/>
      <c r="AL341" s="2695"/>
      <c r="AM341" s="2695"/>
      <c r="AN341" s="2695"/>
      <c r="AO341" s="2695"/>
      <c r="AP341" s="2695"/>
      <c r="AQ341" s="2695"/>
      <c r="AR341" s="2695"/>
      <c r="AS341" s="2695"/>
      <c r="AT341" s="2703"/>
      <c r="AU341" s="2704"/>
      <c r="AV341" s="1074">
        <f t="shared" si="209"/>
        <v>0</v>
      </c>
      <c r="AW341" s="1074">
        <f t="shared" si="210"/>
        <v>0</v>
      </c>
      <c r="AX341" s="1074">
        <f t="shared" si="211"/>
        <v>0</v>
      </c>
      <c r="AY341" s="2279">
        <f t="shared" si="186"/>
        <v>0</v>
      </c>
      <c r="AZ341" s="2675">
        <f t="shared" si="187"/>
        <v>0</v>
      </c>
      <c r="BA341" s="2675">
        <f t="shared" si="188"/>
        <v>0</v>
      </c>
      <c r="BB341" s="2675">
        <f t="shared" si="189"/>
        <v>0</v>
      </c>
      <c r="BC341" s="2675">
        <f t="shared" si="190"/>
        <v>0</v>
      </c>
      <c r="BD341" s="2675">
        <f t="shared" si="191"/>
        <v>0</v>
      </c>
      <c r="BE341" s="2675">
        <f t="shared" si="192"/>
        <v>0</v>
      </c>
      <c r="BF341" s="2675">
        <f t="shared" si="193"/>
        <v>0</v>
      </c>
      <c r="BG341" s="2675">
        <f t="shared" si="194"/>
        <v>0</v>
      </c>
      <c r="BH341" s="2675">
        <f t="shared" si="195"/>
        <v>0</v>
      </c>
      <c r="BI341" s="2675">
        <f t="shared" si="196"/>
        <v>0</v>
      </c>
      <c r="BJ341" s="2675">
        <f t="shared" si="197"/>
        <v>0</v>
      </c>
      <c r="BK341" s="2675">
        <f t="shared" si="198"/>
        <v>0</v>
      </c>
      <c r="BL341" s="2675">
        <f t="shared" si="199"/>
        <v>0</v>
      </c>
      <c r="BM341" s="2675">
        <f t="shared" si="200"/>
        <v>0</v>
      </c>
      <c r="BN341" s="2675">
        <f t="shared" si="201"/>
        <v>0</v>
      </c>
      <c r="BO341" s="2675">
        <f t="shared" si="202"/>
        <v>0</v>
      </c>
      <c r="BP341" s="2675">
        <f t="shared" si="203"/>
        <v>0</v>
      </c>
      <c r="BQ341" s="2675">
        <f t="shared" si="204"/>
        <v>0</v>
      </c>
      <c r="BR341" s="2675">
        <f t="shared" si="205"/>
        <v>0</v>
      </c>
      <c r="BS341" s="2675">
        <f t="shared" si="206"/>
        <v>0</v>
      </c>
      <c r="BT341" s="2722">
        <f t="shared" si="207"/>
        <v>0</v>
      </c>
    </row>
    <row r="342" spans="1:72">
      <c r="A342" s="2673"/>
      <c r="B342" s="2674"/>
      <c r="C342" s="2674"/>
      <c r="D342" s="2277"/>
      <c r="E342" s="2675">
        <f t="shared" si="208"/>
        <v>0</v>
      </c>
      <c r="F342" s="2676"/>
      <c r="G342" s="2677">
        <f t="shared" si="183"/>
        <v>0</v>
      </c>
      <c r="H342" s="2678">
        <f t="shared" si="184"/>
        <v>0</v>
      </c>
      <c r="I342" s="2685"/>
      <c r="J342" s="2685"/>
      <c r="K342" s="2685"/>
      <c r="L342" s="2685"/>
      <c r="M342" s="2685"/>
      <c r="N342" s="2685"/>
      <c r="O342" s="2685"/>
      <c r="P342" s="2685"/>
      <c r="Q342" s="2685"/>
      <c r="R342" s="2685"/>
      <c r="S342" s="2685"/>
      <c r="T342" s="2685"/>
      <c r="U342" s="2685"/>
      <c r="V342" s="2685"/>
      <c r="W342" s="2685"/>
      <c r="X342" s="2685"/>
      <c r="Y342" s="2685"/>
      <c r="Z342" s="2685"/>
      <c r="AA342" s="2685"/>
      <c r="AB342" s="2685"/>
      <c r="AC342" s="2675">
        <f t="shared" si="185"/>
        <v>0</v>
      </c>
      <c r="AD342" s="2695"/>
      <c r="AE342" s="2695"/>
      <c r="AF342" s="2695"/>
      <c r="AG342" s="2695"/>
      <c r="AH342" s="2695"/>
      <c r="AI342" s="2695"/>
      <c r="AJ342" s="2695"/>
      <c r="AK342" s="2695"/>
      <c r="AL342" s="2695"/>
      <c r="AM342" s="2695"/>
      <c r="AN342" s="2695"/>
      <c r="AO342" s="2695"/>
      <c r="AP342" s="2695"/>
      <c r="AQ342" s="2695"/>
      <c r="AR342" s="2695"/>
      <c r="AS342" s="2695"/>
      <c r="AT342" s="2703"/>
      <c r="AU342" s="2704"/>
      <c r="AV342" s="1074">
        <f t="shared" si="209"/>
        <v>0</v>
      </c>
      <c r="AW342" s="1074">
        <f t="shared" si="210"/>
        <v>0</v>
      </c>
      <c r="AX342" s="1074">
        <f t="shared" si="211"/>
        <v>0</v>
      </c>
      <c r="AY342" s="2279">
        <f t="shared" si="186"/>
        <v>0</v>
      </c>
      <c r="AZ342" s="2675">
        <f t="shared" si="187"/>
        <v>0</v>
      </c>
      <c r="BA342" s="2675">
        <f t="shared" si="188"/>
        <v>0</v>
      </c>
      <c r="BB342" s="2675">
        <f t="shared" si="189"/>
        <v>0</v>
      </c>
      <c r="BC342" s="2675">
        <f t="shared" si="190"/>
        <v>0</v>
      </c>
      <c r="BD342" s="2675">
        <f t="shared" si="191"/>
        <v>0</v>
      </c>
      <c r="BE342" s="2675">
        <f t="shared" si="192"/>
        <v>0</v>
      </c>
      <c r="BF342" s="2675">
        <f t="shared" si="193"/>
        <v>0</v>
      </c>
      <c r="BG342" s="2675">
        <f t="shared" si="194"/>
        <v>0</v>
      </c>
      <c r="BH342" s="2675">
        <f t="shared" si="195"/>
        <v>0</v>
      </c>
      <c r="BI342" s="2675">
        <f t="shared" si="196"/>
        <v>0</v>
      </c>
      <c r="BJ342" s="2675">
        <f t="shared" si="197"/>
        <v>0</v>
      </c>
      <c r="BK342" s="2675">
        <f t="shared" si="198"/>
        <v>0</v>
      </c>
      <c r="BL342" s="2675">
        <f t="shared" si="199"/>
        <v>0</v>
      </c>
      <c r="BM342" s="2675">
        <f t="shared" si="200"/>
        <v>0</v>
      </c>
      <c r="BN342" s="2675">
        <f t="shared" si="201"/>
        <v>0</v>
      </c>
      <c r="BO342" s="2675">
        <f t="shared" si="202"/>
        <v>0</v>
      </c>
      <c r="BP342" s="2675">
        <f t="shared" si="203"/>
        <v>0</v>
      </c>
      <c r="BQ342" s="2675">
        <f t="shared" si="204"/>
        <v>0</v>
      </c>
      <c r="BR342" s="2675">
        <f t="shared" si="205"/>
        <v>0</v>
      </c>
      <c r="BS342" s="2675">
        <f t="shared" si="206"/>
        <v>0</v>
      </c>
      <c r="BT342" s="2722">
        <f t="shared" si="207"/>
        <v>0</v>
      </c>
    </row>
    <row r="343" spans="1:72">
      <c r="A343" s="2673"/>
      <c r="B343" s="2674"/>
      <c r="C343" s="2674"/>
      <c r="D343" s="2277"/>
      <c r="E343" s="2675">
        <f t="shared" si="208"/>
        <v>0</v>
      </c>
      <c r="F343" s="2676"/>
      <c r="G343" s="2677">
        <f t="shared" si="183"/>
        <v>0</v>
      </c>
      <c r="H343" s="2678">
        <f t="shared" si="184"/>
        <v>0</v>
      </c>
      <c r="I343" s="2685"/>
      <c r="J343" s="2685"/>
      <c r="K343" s="2685"/>
      <c r="L343" s="2685"/>
      <c r="M343" s="2685"/>
      <c r="N343" s="2685"/>
      <c r="O343" s="2685"/>
      <c r="P343" s="2685"/>
      <c r="Q343" s="2685"/>
      <c r="R343" s="2685"/>
      <c r="S343" s="2685"/>
      <c r="T343" s="2685"/>
      <c r="U343" s="2685"/>
      <c r="V343" s="2685"/>
      <c r="W343" s="2685"/>
      <c r="X343" s="2685"/>
      <c r="Y343" s="2685"/>
      <c r="Z343" s="2685"/>
      <c r="AA343" s="2685"/>
      <c r="AB343" s="2685"/>
      <c r="AC343" s="2675">
        <f t="shared" si="185"/>
        <v>0</v>
      </c>
      <c r="AD343" s="2695"/>
      <c r="AE343" s="2695"/>
      <c r="AF343" s="2695"/>
      <c r="AG343" s="2695"/>
      <c r="AH343" s="2695"/>
      <c r="AI343" s="2695"/>
      <c r="AJ343" s="2695"/>
      <c r="AK343" s="2695"/>
      <c r="AL343" s="2695"/>
      <c r="AM343" s="2695"/>
      <c r="AN343" s="2695"/>
      <c r="AO343" s="2695"/>
      <c r="AP343" s="2695"/>
      <c r="AQ343" s="2695"/>
      <c r="AR343" s="2695"/>
      <c r="AS343" s="2695"/>
      <c r="AT343" s="2703"/>
      <c r="AU343" s="2704"/>
      <c r="AV343" s="1074">
        <f t="shared" si="209"/>
        <v>0</v>
      </c>
      <c r="AW343" s="1074">
        <f t="shared" si="210"/>
        <v>0</v>
      </c>
      <c r="AX343" s="1074">
        <f t="shared" si="211"/>
        <v>0</v>
      </c>
      <c r="AY343" s="2279">
        <f t="shared" si="186"/>
        <v>0</v>
      </c>
      <c r="AZ343" s="2675">
        <f t="shared" si="187"/>
        <v>0</v>
      </c>
      <c r="BA343" s="2675">
        <f t="shared" si="188"/>
        <v>0</v>
      </c>
      <c r="BB343" s="2675">
        <f t="shared" si="189"/>
        <v>0</v>
      </c>
      <c r="BC343" s="2675">
        <f t="shared" si="190"/>
        <v>0</v>
      </c>
      <c r="BD343" s="2675">
        <f t="shared" si="191"/>
        <v>0</v>
      </c>
      <c r="BE343" s="2675">
        <f t="shared" si="192"/>
        <v>0</v>
      </c>
      <c r="BF343" s="2675">
        <f t="shared" si="193"/>
        <v>0</v>
      </c>
      <c r="BG343" s="2675">
        <f t="shared" si="194"/>
        <v>0</v>
      </c>
      <c r="BH343" s="2675">
        <f t="shared" si="195"/>
        <v>0</v>
      </c>
      <c r="BI343" s="2675">
        <f t="shared" si="196"/>
        <v>0</v>
      </c>
      <c r="BJ343" s="2675">
        <f t="shared" si="197"/>
        <v>0</v>
      </c>
      <c r="BK343" s="2675">
        <f t="shared" si="198"/>
        <v>0</v>
      </c>
      <c r="BL343" s="2675">
        <f t="shared" si="199"/>
        <v>0</v>
      </c>
      <c r="BM343" s="2675">
        <f t="shared" si="200"/>
        <v>0</v>
      </c>
      <c r="BN343" s="2675">
        <f t="shared" si="201"/>
        <v>0</v>
      </c>
      <c r="BO343" s="2675">
        <f t="shared" si="202"/>
        <v>0</v>
      </c>
      <c r="BP343" s="2675">
        <f t="shared" si="203"/>
        <v>0</v>
      </c>
      <c r="BQ343" s="2675">
        <f t="shared" si="204"/>
        <v>0</v>
      </c>
      <c r="BR343" s="2675">
        <f t="shared" si="205"/>
        <v>0</v>
      </c>
      <c r="BS343" s="2675">
        <f t="shared" si="206"/>
        <v>0</v>
      </c>
      <c r="BT343" s="2722">
        <f t="shared" si="207"/>
        <v>0</v>
      </c>
    </row>
    <row r="344" spans="1:72">
      <c r="A344" s="2673"/>
      <c r="B344" s="2674"/>
      <c r="C344" s="2674"/>
      <c r="D344" s="2277"/>
      <c r="E344" s="2675">
        <f t="shared" si="208"/>
        <v>0</v>
      </c>
      <c r="F344" s="2676"/>
      <c r="G344" s="2677">
        <f t="shared" si="183"/>
        <v>0</v>
      </c>
      <c r="H344" s="2678">
        <f t="shared" si="184"/>
        <v>0</v>
      </c>
      <c r="I344" s="2685"/>
      <c r="J344" s="2685"/>
      <c r="K344" s="2685"/>
      <c r="L344" s="2685"/>
      <c r="M344" s="2685"/>
      <c r="N344" s="2685"/>
      <c r="O344" s="2685"/>
      <c r="P344" s="2685"/>
      <c r="Q344" s="2685"/>
      <c r="R344" s="2685"/>
      <c r="S344" s="2685"/>
      <c r="T344" s="2685"/>
      <c r="U344" s="2685"/>
      <c r="V344" s="2685"/>
      <c r="W344" s="2685"/>
      <c r="X344" s="2685"/>
      <c r="Y344" s="2685"/>
      <c r="Z344" s="2685"/>
      <c r="AA344" s="2685"/>
      <c r="AB344" s="2685"/>
      <c r="AC344" s="2675">
        <f t="shared" si="185"/>
        <v>0</v>
      </c>
      <c r="AD344" s="2695"/>
      <c r="AE344" s="2695"/>
      <c r="AF344" s="2695"/>
      <c r="AG344" s="2695"/>
      <c r="AH344" s="2695"/>
      <c r="AI344" s="2695"/>
      <c r="AJ344" s="2695"/>
      <c r="AK344" s="2695"/>
      <c r="AL344" s="2695"/>
      <c r="AM344" s="2695"/>
      <c r="AN344" s="2695"/>
      <c r="AO344" s="2695"/>
      <c r="AP344" s="2695"/>
      <c r="AQ344" s="2695"/>
      <c r="AR344" s="2695"/>
      <c r="AS344" s="2695"/>
      <c r="AT344" s="2703"/>
      <c r="AU344" s="2704"/>
      <c r="AV344" s="1074">
        <f t="shared" si="209"/>
        <v>0</v>
      </c>
      <c r="AW344" s="1074">
        <f t="shared" si="210"/>
        <v>0</v>
      </c>
      <c r="AX344" s="1074">
        <f t="shared" si="211"/>
        <v>0</v>
      </c>
      <c r="AY344" s="2279">
        <f t="shared" si="186"/>
        <v>0</v>
      </c>
      <c r="AZ344" s="2675">
        <f t="shared" si="187"/>
        <v>0</v>
      </c>
      <c r="BA344" s="2675">
        <f t="shared" si="188"/>
        <v>0</v>
      </c>
      <c r="BB344" s="2675">
        <f t="shared" si="189"/>
        <v>0</v>
      </c>
      <c r="BC344" s="2675">
        <f t="shared" si="190"/>
        <v>0</v>
      </c>
      <c r="BD344" s="2675">
        <f t="shared" si="191"/>
        <v>0</v>
      </c>
      <c r="BE344" s="2675">
        <f t="shared" si="192"/>
        <v>0</v>
      </c>
      <c r="BF344" s="2675">
        <f t="shared" si="193"/>
        <v>0</v>
      </c>
      <c r="BG344" s="2675">
        <f t="shared" si="194"/>
        <v>0</v>
      </c>
      <c r="BH344" s="2675">
        <f t="shared" si="195"/>
        <v>0</v>
      </c>
      <c r="BI344" s="2675">
        <f t="shared" si="196"/>
        <v>0</v>
      </c>
      <c r="BJ344" s="2675">
        <f t="shared" si="197"/>
        <v>0</v>
      </c>
      <c r="BK344" s="2675">
        <f t="shared" si="198"/>
        <v>0</v>
      </c>
      <c r="BL344" s="2675">
        <f t="shared" si="199"/>
        <v>0</v>
      </c>
      <c r="BM344" s="2675">
        <f t="shared" si="200"/>
        <v>0</v>
      </c>
      <c r="BN344" s="2675">
        <f t="shared" si="201"/>
        <v>0</v>
      </c>
      <c r="BO344" s="2675">
        <f t="shared" si="202"/>
        <v>0</v>
      </c>
      <c r="BP344" s="2675">
        <f t="shared" si="203"/>
        <v>0</v>
      </c>
      <c r="BQ344" s="2675">
        <f t="shared" si="204"/>
        <v>0</v>
      </c>
      <c r="BR344" s="2675">
        <f t="shared" si="205"/>
        <v>0</v>
      </c>
      <c r="BS344" s="2675">
        <f t="shared" si="206"/>
        <v>0</v>
      </c>
      <c r="BT344" s="2722">
        <f t="shared" si="207"/>
        <v>0</v>
      </c>
    </row>
    <row r="345" spans="1:72">
      <c r="A345" s="2673"/>
      <c r="B345" s="2674"/>
      <c r="C345" s="2674"/>
      <c r="D345" s="2277"/>
      <c r="E345" s="2675">
        <f t="shared" si="208"/>
        <v>0</v>
      </c>
      <c r="F345" s="2676"/>
      <c r="G345" s="2677">
        <f t="shared" si="183"/>
        <v>0</v>
      </c>
      <c r="H345" s="2678">
        <f t="shared" si="184"/>
        <v>0</v>
      </c>
      <c r="I345" s="2685"/>
      <c r="J345" s="2685"/>
      <c r="K345" s="2685"/>
      <c r="L345" s="2685"/>
      <c r="M345" s="2685"/>
      <c r="N345" s="2685"/>
      <c r="O345" s="2685"/>
      <c r="P345" s="2685"/>
      <c r="Q345" s="2685"/>
      <c r="R345" s="2685"/>
      <c r="S345" s="2685"/>
      <c r="T345" s="2685"/>
      <c r="U345" s="2685"/>
      <c r="V345" s="2685"/>
      <c r="W345" s="2685"/>
      <c r="X345" s="2685"/>
      <c r="Y345" s="2685"/>
      <c r="Z345" s="2685"/>
      <c r="AA345" s="2685"/>
      <c r="AB345" s="2685"/>
      <c r="AC345" s="2675">
        <f t="shared" si="185"/>
        <v>0</v>
      </c>
      <c r="AD345" s="2695"/>
      <c r="AE345" s="2695"/>
      <c r="AF345" s="2695"/>
      <c r="AG345" s="2695"/>
      <c r="AH345" s="2695"/>
      <c r="AI345" s="2695"/>
      <c r="AJ345" s="2695"/>
      <c r="AK345" s="2695"/>
      <c r="AL345" s="2695"/>
      <c r="AM345" s="2695"/>
      <c r="AN345" s="2695"/>
      <c r="AO345" s="2695"/>
      <c r="AP345" s="2695"/>
      <c r="AQ345" s="2695"/>
      <c r="AR345" s="2695"/>
      <c r="AS345" s="2695"/>
      <c r="AT345" s="2703"/>
      <c r="AU345" s="2704"/>
      <c r="AV345" s="1074">
        <f t="shared" si="209"/>
        <v>0</v>
      </c>
      <c r="AW345" s="1074">
        <f t="shared" si="210"/>
        <v>0</v>
      </c>
      <c r="AX345" s="1074">
        <f t="shared" si="211"/>
        <v>0</v>
      </c>
      <c r="AY345" s="2279">
        <f t="shared" si="186"/>
        <v>0</v>
      </c>
      <c r="AZ345" s="2675">
        <f t="shared" si="187"/>
        <v>0</v>
      </c>
      <c r="BA345" s="2675">
        <f t="shared" si="188"/>
        <v>0</v>
      </c>
      <c r="BB345" s="2675">
        <f t="shared" si="189"/>
        <v>0</v>
      </c>
      <c r="BC345" s="2675">
        <f t="shared" si="190"/>
        <v>0</v>
      </c>
      <c r="BD345" s="2675">
        <f t="shared" si="191"/>
        <v>0</v>
      </c>
      <c r="BE345" s="2675">
        <f t="shared" si="192"/>
        <v>0</v>
      </c>
      <c r="BF345" s="2675">
        <f t="shared" si="193"/>
        <v>0</v>
      </c>
      <c r="BG345" s="2675">
        <f t="shared" si="194"/>
        <v>0</v>
      </c>
      <c r="BH345" s="2675">
        <f t="shared" si="195"/>
        <v>0</v>
      </c>
      <c r="BI345" s="2675">
        <f t="shared" si="196"/>
        <v>0</v>
      </c>
      <c r="BJ345" s="2675">
        <f t="shared" si="197"/>
        <v>0</v>
      </c>
      <c r="BK345" s="2675">
        <f t="shared" si="198"/>
        <v>0</v>
      </c>
      <c r="BL345" s="2675">
        <f t="shared" si="199"/>
        <v>0</v>
      </c>
      <c r="BM345" s="2675">
        <f t="shared" si="200"/>
        <v>0</v>
      </c>
      <c r="BN345" s="2675">
        <f t="shared" si="201"/>
        <v>0</v>
      </c>
      <c r="BO345" s="2675">
        <f t="shared" si="202"/>
        <v>0</v>
      </c>
      <c r="BP345" s="2675">
        <f t="shared" si="203"/>
        <v>0</v>
      </c>
      <c r="BQ345" s="2675">
        <f t="shared" si="204"/>
        <v>0</v>
      </c>
      <c r="BR345" s="2675">
        <f t="shared" si="205"/>
        <v>0</v>
      </c>
      <c r="BS345" s="2675">
        <f t="shared" si="206"/>
        <v>0</v>
      </c>
      <c r="BT345" s="2722">
        <f t="shared" si="207"/>
        <v>0</v>
      </c>
    </row>
    <row r="346" spans="1:72">
      <c r="A346" s="2673"/>
      <c r="B346" s="2674"/>
      <c r="C346" s="2674"/>
      <c r="D346" s="2277"/>
      <c r="E346" s="2675">
        <f t="shared" si="208"/>
        <v>0</v>
      </c>
      <c r="F346" s="2676"/>
      <c r="G346" s="2677">
        <f t="shared" si="183"/>
        <v>0</v>
      </c>
      <c r="H346" s="2678">
        <f t="shared" si="184"/>
        <v>0</v>
      </c>
      <c r="I346" s="2685"/>
      <c r="J346" s="2685"/>
      <c r="K346" s="2685"/>
      <c r="L346" s="2685"/>
      <c r="M346" s="2685"/>
      <c r="N346" s="2685"/>
      <c r="O346" s="2685"/>
      <c r="P346" s="2685"/>
      <c r="Q346" s="2685"/>
      <c r="R346" s="2685"/>
      <c r="S346" s="2685"/>
      <c r="T346" s="2685"/>
      <c r="U346" s="2685"/>
      <c r="V346" s="2685"/>
      <c r="W346" s="2685"/>
      <c r="X346" s="2685"/>
      <c r="Y346" s="2685"/>
      <c r="Z346" s="2685"/>
      <c r="AA346" s="2685"/>
      <c r="AB346" s="2685"/>
      <c r="AC346" s="2675">
        <f t="shared" si="185"/>
        <v>0</v>
      </c>
      <c r="AD346" s="2695"/>
      <c r="AE346" s="2695"/>
      <c r="AF346" s="2695"/>
      <c r="AG346" s="2695"/>
      <c r="AH346" s="2695"/>
      <c r="AI346" s="2695"/>
      <c r="AJ346" s="2695"/>
      <c r="AK346" s="2695"/>
      <c r="AL346" s="2695"/>
      <c r="AM346" s="2695"/>
      <c r="AN346" s="2695"/>
      <c r="AO346" s="2695"/>
      <c r="AP346" s="2695"/>
      <c r="AQ346" s="2695"/>
      <c r="AR346" s="2695"/>
      <c r="AS346" s="2695"/>
      <c r="AT346" s="2703"/>
      <c r="AU346" s="2704"/>
      <c r="AV346" s="1074">
        <f t="shared" si="209"/>
        <v>0</v>
      </c>
      <c r="AW346" s="1074">
        <f t="shared" si="210"/>
        <v>0</v>
      </c>
      <c r="AX346" s="1074">
        <f t="shared" si="211"/>
        <v>0</v>
      </c>
      <c r="AY346" s="2279">
        <f t="shared" si="186"/>
        <v>0</v>
      </c>
      <c r="AZ346" s="2675">
        <f t="shared" si="187"/>
        <v>0</v>
      </c>
      <c r="BA346" s="2675">
        <f t="shared" si="188"/>
        <v>0</v>
      </c>
      <c r="BB346" s="2675">
        <f t="shared" si="189"/>
        <v>0</v>
      </c>
      <c r="BC346" s="2675">
        <f t="shared" si="190"/>
        <v>0</v>
      </c>
      <c r="BD346" s="2675">
        <f t="shared" si="191"/>
        <v>0</v>
      </c>
      <c r="BE346" s="2675">
        <f t="shared" si="192"/>
        <v>0</v>
      </c>
      <c r="BF346" s="2675">
        <f t="shared" si="193"/>
        <v>0</v>
      </c>
      <c r="BG346" s="2675">
        <f t="shared" si="194"/>
        <v>0</v>
      </c>
      <c r="BH346" s="2675">
        <f t="shared" si="195"/>
        <v>0</v>
      </c>
      <c r="BI346" s="2675">
        <f t="shared" si="196"/>
        <v>0</v>
      </c>
      <c r="BJ346" s="2675">
        <f t="shared" si="197"/>
        <v>0</v>
      </c>
      <c r="BK346" s="2675">
        <f t="shared" si="198"/>
        <v>0</v>
      </c>
      <c r="BL346" s="2675">
        <f t="shared" si="199"/>
        <v>0</v>
      </c>
      <c r="BM346" s="2675">
        <f t="shared" si="200"/>
        <v>0</v>
      </c>
      <c r="BN346" s="2675">
        <f t="shared" si="201"/>
        <v>0</v>
      </c>
      <c r="BO346" s="2675">
        <f t="shared" si="202"/>
        <v>0</v>
      </c>
      <c r="BP346" s="2675">
        <f t="shared" si="203"/>
        <v>0</v>
      </c>
      <c r="BQ346" s="2675">
        <f t="shared" si="204"/>
        <v>0</v>
      </c>
      <c r="BR346" s="2675">
        <f t="shared" si="205"/>
        <v>0</v>
      </c>
      <c r="BS346" s="2675">
        <f t="shared" si="206"/>
        <v>0</v>
      </c>
      <c r="BT346" s="2722">
        <f t="shared" si="207"/>
        <v>0</v>
      </c>
    </row>
    <row r="347" spans="1:72">
      <c r="A347" s="2673"/>
      <c r="B347" s="2674"/>
      <c r="C347" s="2674"/>
      <c r="D347" s="2277"/>
      <c r="E347" s="2675">
        <f t="shared" si="208"/>
        <v>0</v>
      </c>
      <c r="F347" s="2676"/>
      <c r="G347" s="2677">
        <f t="shared" si="183"/>
        <v>0</v>
      </c>
      <c r="H347" s="2678">
        <f t="shared" si="184"/>
        <v>0</v>
      </c>
      <c r="I347" s="2685"/>
      <c r="J347" s="2685"/>
      <c r="K347" s="2685"/>
      <c r="L347" s="2685"/>
      <c r="M347" s="2685"/>
      <c r="N347" s="2685"/>
      <c r="O347" s="2685"/>
      <c r="P347" s="2685"/>
      <c r="Q347" s="2685"/>
      <c r="R347" s="2685"/>
      <c r="S347" s="2685"/>
      <c r="T347" s="2685"/>
      <c r="U347" s="2685"/>
      <c r="V347" s="2685"/>
      <c r="W347" s="2685"/>
      <c r="X347" s="2685"/>
      <c r="Y347" s="2685"/>
      <c r="Z347" s="2685"/>
      <c r="AA347" s="2685"/>
      <c r="AB347" s="2685"/>
      <c r="AC347" s="2675">
        <f t="shared" si="185"/>
        <v>0</v>
      </c>
      <c r="AD347" s="2695"/>
      <c r="AE347" s="2695"/>
      <c r="AF347" s="2695"/>
      <c r="AG347" s="2695"/>
      <c r="AH347" s="2695"/>
      <c r="AI347" s="2695"/>
      <c r="AJ347" s="2695"/>
      <c r="AK347" s="2695"/>
      <c r="AL347" s="2695"/>
      <c r="AM347" s="2695"/>
      <c r="AN347" s="2695"/>
      <c r="AO347" s="2695"/>
      <c r="AP347" s="2695"/>
      <c r="AQ347" s="2695"/>
      <c r="AR347" s="2695"/>
      <c r="AS347" s="2695"/>
      <c r="AT347" s="2703"/>
      <c r="AU347" s="2704"/>
      <c r="AV347" s="1074">
        <f t="shared" si="209"/>
        <v>0</v>
      </c>
      <c r="AW347" s="1074">
        <f t="shared" si="210"/>
        <v>0</v>
      </c>
      <c r="AX347" s="1074">
        <f t="shared" si="211"/>
        <v>0</v>
      </c>
      <c r="AY347" s="2279">
        <f t="shared" si="186"/>
        <v>0</v>
      </c>
      <c r="AZ347" s="2675">
        <f t="shared" si="187"/>
        <v>0</v>
      </c>
      <c r="BA347" s="2675">
        <f t="shared" si="188"/>
        <v>0</v>
      </c>
      <c r="BB347" s="2675">
        <f t="shared" si="189"/>
        <v>0</v>
      </c>
      <c r="BC347" s="2675">
        <f t="shared" si="190"/>
        <v>0</v>
      </c>
      <c r="BD347" s="2675">
        <f t="shared" si="191"/>
        <v>0</v>
      </c>
      <c r="BE347" s="2675">
        <f t="shared" si="192"/>
        <v>0</v>
      </c>
      <c r="BF347" s="2675">
        <f t="shared" si="193"/>
        <v>0</v>
      </c>
      <c r="BG347" s="2675">
        <f t="shared" si="194"/>
        <v>0</v>
      </c>
      <c r="BH347" s="2675">
        <f t="shared" si="195"/>
        <v>0</v>
      </c>
      <c r="BI347" s="2675">
        <f t="shared" si="196"/>
        <v>0</v>
      </c>
      <c r="BJ347" s="2675">
        <f t="shared" si="197"/>
        <v>0</v>
      </c>
      <c r="BK347" s="2675">
        <f t="shared" si="198"/>
        <v>0</v>
      </c>
      <c r="BL347" s="2675">
        <f t="shared" si="199"/>
        <v>0</v>
      </c>
      <c r="BM347" s="2675">
        <f t="shared" si="200"/>
        <v>0</v>
      </c>
      <c r="BN347" s="2675">
        <f t="shared" si="201"/>
        <v>0</v>
      </c>
      <c r="BO347" s="2675">
        <f t="shared" si="202"/>
        <v>0</v>
      </c>
      <c r="BP347" s="2675">
        <f t="shared" si="203"/>
        <v>0</v>
      </c>
      <c r="BQ347" s="2675">
        <f t="shared" si="204"/>
        <v>0</v>
      </c>
      <c r="BR347" s="2675">
        <f t="shared" si="205"/>
        <v>0</v>
      </c>
      <c r="BS347" s="2675">
        <f t="shared" si="206"/>
        <v>0</v>
      </c>
      <c r="BT347" s="2722">
        <f t="shared" si="207"/>
        <v>0</v>
      </c>
    </row>
    <row r="348" spans="1:72">
      <c r="A348" s="2673"/>
      <c r="B348" s="2674"/>
      <c r="C348" s="2674"/>
      <c r="D348" s="2277"/>
      <c r="E348" s="2675">
        <f t="shared" si="208"/>
        <v>0</v>
      </c>
      <c r="F348" s="2676"/>
      <c r="G348" s="2677">
        <f t="shared" si="183"/>
        <v>0</v>
      </c>
      <c r="H348" s="2678">
        <f t="shared" si="184"/>
        <v>0</v>
      </c>
      <c r="I348" s="2685"/>
      <c r="J348" s="2685"/>
      <c r="K348" s="2685"/>
      <c r="L348" s="2685"/>
      <c r="M348" s="2685"/>
      <c r="N348" s="2685"/>
      <c r="O348" s="2685"/>
      <c r="P348" s="2685"/>
      <c r="Q348" s="2685"/>
      <c r="R348" s="2685"/>
      <c r="S348" s="2685"/>
      <c r="T348" s="2685"/>
      <c r="U348" s="2685"/>
      <c r="V348" s="2685"/>
      <c r="W348" s="2685"/>
      <c r="X348" s="2685"/>
      <c r="Y348" s="2685"/>
      <c r="Z348" s="2685"/>
      <c r="AA348" s="2685"/>
      <c r="AB348" s="2685"/>
      <c r="AC348" s="2675">
        <f t="shared" si="185"/>
        <v>0</v>
      </c>
      <c r="AD348" s="2695"/>
      <c r="AE348" s="2695"/>
      <c r="AF348" s="2695"/>
      <c r="AG348" s="2695"/>
      <c r="AH348" s="2695"/>
      <c r="AI348" s="2695"/>
      <c r="AJ348" s="2695"/>
      <c r="AK348" s="2695"/>
      <c r="AL348" s="2695"/>
      <c r="AM348" s="2695"/>
      <c r="AN348" s="2695"/>
      <c r="AO348" s="2695"/>
      <c r="AP348" s="2695"/>
      <c r="AQ348" s="2695"/>
      <c r="AR348" s="2695"/>
      <c r="AS348" s="2695"/>
      <c r="AT348" s="2703"/>
      <c r="AU348" s="2704"/>
      <c r="AV348" s="1074">
        <f t="shared" si="209"/>
        <v>0</v>
      </c>
      <c r="AW348" s="1074">
        <f t="shared" si="210"/>
        <v>0</v>
      </c>
      <c r="AX348" s="1074">
        <f t="shared" si="211"/>
        <v>0</v>
      </c>
      <c r="AY348" s="2279">
        <f t="shared" si="186"/>
        <v>0</v>
      </c>
      <c r="AZ348" s="2675">
        <f t="shared" si="187"/>
        <v>0</v>
      </c>
      <c r="BA348" s="2675">
        <f t="shared" si="188"/>
        <v>0</v>
      </c>
      <c r="BB348" s="2675">
        <f t="shared" si="189"/>
        <v>0</v>
      </c>
      <c r="BC348" s="2675">
        <f t="shared" si="190"/>
        <v>0</v>
      </c>
      <c r="BD348" s="2675">
        <f t="shared" si="191"/>
        <v>0</v>
      </c>
      <c r="BE348" s="2675">
        <f t="shared" si="192"/>
        <v>0</v>
      </c>
      <c r="BF348" s="2675">
        <f t="shared" si="193"/>
        <v>0</v>
      </c>
      <c r="BG348" s="2675">
        <f t="shared" si="194"/>
        <v>0</v>
      </c>
      <c r="BH348" s="2675">
        <f t="shared" si="195"/>
        <v>0</v>
      </c>
      <c r="BI348" s="2675">
        <f t="shared" si="196"/>
        <v>0</v>
      </c>
      <c r="BJ348" s="2675">
        <f t="shared" si="197"/>
        <v>0</v>
      </c>
      <c r="BK348" s="2675">
        <f t="shared" si="198"/>
        <v>0</v>
      </c>
      <c r="BL348" s="2675">
        <f t="shared" si="199"/>
        <v>0</v>
      </c>
      <c r="BM348" s="2675">
        <f t="shared" si="200"/>
        <v>0</v>
      </c>
      <c r="BN348" s="2675">
        <f t="shared" si="201"/>
        <v>0</v>
      </c>
      <c r="BO348" s="2675">
        <f t="shared" si="202"/>
        <v>0</v>
      </c>
      <c r="BP348" s="2675">
        <f t="shared" si="203"/>
        <v>0</v>
      </c>
      <c r="BQ348" s="2675">
        <f t="shared" si="204"/>
        <v>0</v>
      </c>
      <c r="BR348" s="2675">
        <f t="shared" si="205"/>
        <v>0</v>
      </c>
      <c r="BS348" s="2675">
        <f t="shared" si="206"/>
        <v>0</v>
      </c>
      <c r="BT348" s="2722">
        <f t="shared" si="207"/>
        <v>0</v>
      </c>
    </row>
    <row r="349" spans="1:72">
      <c r="A349" s="2673"/>
      <c r="B349" s="2674"/>
      <c r="C349" s="2674"/>
      <c r="D349" s="2277"/>
      <c r="E349" s="2675">
        <f t="shared" si="208"/>
        <v>0</v>
      </c>
      <c r="F349" s="2676"/>
      <c r="G349" s="2677">
        <f t="shared" si="183"/>
        <v>0</v>
      </c>
      <c r="H349" s="2678">
        <f t="shared" si="184"/>
        <v>0</v>
      </c>
      <c r="I349" s="2685"/>
      <c r="J349" s="2685"/>
      <c r="K349" s="2685"/>
      <c r="L349" s="2685"/>
      <c r="M349" s="2685"/>
      <c r="N349" s="2685"/>
      <c r="O349" s="2685"/>
      <c r="P349" s="2685"/>
      <c r="Q349" s="2685"/>
      <c r="R349" s="2685"/>
      <c r="S349" s="2685"/>
      <c r="T349" s="2685"/>
      <c r="U349" s="2685"/>
      <c r="V349" s="2685"/>
      <c r="W349" s="2685"/>
      <c r="X349" s="2685"/>
      <c r="Y349" s="2685"/>
      <c r="Z349" s="2685"/>
      <c r="AA349" s="2685"/>
      <c r="AB349" s="2685"/>
      <c r="AC349" s="2675">
        <f t="shared" si="185"/>
        <v>0</v>
      </c>
      <c r="AD349" s="2695"/>
      <c r="AE349" s="2695"/>
      <c r="AF349" s="2695"/>
      <c r="AG349" s="2695"/>
      <c r="AH349" s="2695"/>
      <c r="AI349" s="2695"/>
      <c r="AJ349" s="2695"/>
      <c r="AK349" s="2695"/>
      <c r="AL349" s="2695"/>
      <c r="AM349" s="2695"/>
      <c r="AN349" s="2695"/>
      <c r="AO349" s="2695"/>
      <c r="AP349" s="2695"/>
      <c r="AQ349" s="2695"/>
      <c r="AR349" s="2695"/>
      <c r="AS349" s="2695"/>
      <c r="AT349" s="2703"/>
      <c r="AU349" s="2704"/>
      <c r="AV349" s="1074">
        <f t="shared" si="209"/>
        <v>0</v>
      </c>
      <c r="AW349" s="1074">
        <f t="shared" si="210"/>
        <v>0</v>
      </c>
      <c r="AX349" s="1074">
        <f t="shared" si="211"/>
        <v>0</v>
      </c>
      <c r="AY349" s="2279">
        <f t="shared" si="186"/>
        <v>0</v>
      </c>
      <c r="AZ349" s="2675">
        <f t="shared" si="187"/>
        <v>0</v>
      </c>
      <c r="BA349" s="2675">
        <f t="shared" si="188"/>
        <v>0</v>
      </c>
      <c r="BB349" s="2675">
        <f t="shared" si="189"/>
        <v>0</v>
      </c>
      <c r="BC349" s="2675">
        <f t="shared" si="190"/>
        <v>0</v>
      </c>
      <c r="BD349" s="2675">
        <f t="shared" si="191"/>
        <v>0</v>
      </c>
      <c r="BE349" s="2675">
        <f t="shared" si="192"/>
        <v>0</v>
      </c>
      <c r="BF349" s="2675">
        <f t="shared" si="193"/>
        <v>0</v>
      </c>
      <c r="BG349" s="2675">
        <f t="shared" si="194"/>
        <v>0</v>
      </c>
      <c r="BH349" s="2675">
        <f t="shared" si="195"/>
        <v>0</v>
      </c>
      <c r="BI349" s="2675">
        <f t="shared" si="196"/>
        <v>0</v>
      </c>
      <c r="BJ349" s="2675">
        <f t="shared" si="197"/>
        <v>0</v>
      </c>
      <c r="BK349" s="2675">
        <f t="shared" si="198"/>
        <v>0</v>
      </c>
      <c r="BL349" s="2675">
        <f t="shared" si="199"/>
        <v>0</v>
      </c>
      <c r="BM349" s="2675">
        <f t="shared" si="200"/>
        <v>0</v>
      </c>
      <c r="BN349" s="2675">
        <f t="shared" si="201"/>
        <v>0</v>
      </c>
      <c r="BO349" s="2675">
        <f t="shared" si="202"/>
        <v>0</v>
      </c>
      <c r="BP349" s="2675">
        <f t="shared" si="203"/>
        <v>0</v>
      </c>
      <c r="BQ349" s="2675">
        <f t="shared" si="204"/>
        <v>0</v>
      </c>
      <c r="BR349" s="2675">
        <f t="shared" si="205"/>
        <v>0</v>
      </c>
      <c r="BS349" s="2675">
        <f t="shared" si="206"/>
        <v>0</v>
      </c>
      <c r="BT349" s="2722">
        <f t="shared" si="207"/>
        <v>0</v>
      </c>
    </row>
    <row r="350" spans="1:72">
      <c r="A350" s="2673"/>
      <c r="B350" s="2674"/>
      <c r="C350" s="2674"/>
      <c r="D350" s="2277"/>
      <c r="E350" s="2675">
        <f t="shared" si="208"/>
        <v>0</v>
      </c>
      <c r="F350" s="2676"/>
      <c r="G350" s="2677">
        <f t="shared" si="183"/>
        <v>0</v>
      </c>
      <c r="H350" s="2678">
        <f t="shared" si="184"/>
        <v>0</v>
      </c>
      <c r="I350" s="2685"/>
      <c r="J350" s="2685"/>
      <c r="K350" s="2685"/>
      <c r="L350" s="2685"/>
      <c r="M350" s="2685"/>
      <c r="N350" s="2685"/>
      <c r="O350" s="2685"/>
      <c r="P350" s="2685"/>
      <c r="Q350" s="2685"/>
      <c r="R350" s="2685"/>
      <c r="S350" s="2685"/>
      <c r="T350" s="2685"/>
      <c r="U350" s="2685"/>
      <c r="V350" s="2685"/>
      <c r="W350" s="2685"/>
      <c r="X350" s="2685"/>
      <c r="Y350" s="2685"/>
      <c r="Z350" s="2685"/>
      <c r="AA350" s="2685"/>
      <c r="AB350" s="2685"/>
      <c r="AC350" s="2675">
        <f t="shared" si="185"/>
        <v>0</v>
      </c>
      <c r="AD350" s="2695"/>
      <c r="AE350" s="2695"/>
      <c r="AF350" s="2695"/>
      <c r="AG350" s="2695"/>
      <c r="AH350" s="2695"/>
      <c r="AI350" s="2695"/>
      <c r="AJ350" s="2695"/>
      <c r="AK350" s="2695"/>
      <c r="AL350" s="2695"/>
      <c r="AM350" s="2695"/>
      <c r="AN350" s="2695"/>
      <c r="AO350" s="2695"/>
      <c r="AP350" s="2695"/>
      <c r="AQ350" s="2695"/>
      <c r="AR350" s="2695"/>
      <c r="AS350" s="2695"/>
      <c r="AT350" s="2703"/>
      <c r="AU350" s="2704"/>
      <c r="AV350" s="1074">
        <f t="shared" si="209"/>
        <v>0</v>
      </c>
      <c r="AW350" s="1074">
        <f t="shared" si="210"/>
        <v>0</v>
      </c>
      <c r="AX350" s="1074">
        <f t="shared" si="211"/>
        <v>0</v>
      </c>
      <c r="AY350" s="2279">
        <f t="shared" si="186"/>
        <v>0</v>
      </c>
      <c r="AZ350" s="2675">
        <f t="shared" si="187"/>
        <v>0</v>
      </c>
      <c r="BA350" s="2675">
        <f t="shared" si="188"/>
        <v>0</v>
      </c>
      <c r="BB350" s="2675">
        <f t="shared" si="189"/>
        <v>0</v>
      </c>
      <c r="BC350" s="2675">
        <f t="shared" si="190"/>
        <v>0</v>
      </c>
      <c r="BD350" s="2675">
        <f t="shared" si="191"/>
        <v>0</v>
      </c>
      <c r="BE350" s="2675">
        <f t="shared" si="192"/>
        <v>0</v>
      </c>
      <c r="BF350" s="2675">
        <f t="shared" si="193"/>
        <v>0</v>
      </c>
      <c r="BG350" s="2675">
        <f t="shared" si="194"/>
        <v>0</v>
      </c>
      <c r="BH350" s="2675">
        <f t="shared" si="195"/>
        <v>0</v>
      </c>
      <c r="BI350" s="2675">
        <f t="shared" si="196"/>
        <v>0</v>
      </c>
      <c r="BJ350" s="2675">
        <f t="shared" si="197"/>
        <v>0</v>
      </c>
      <c r="BK350" s="2675">
        <f t="shared" si="198"/>
        <v>0</v>
      </c>
      <c r="BL350" s="2675">
        <f t="shared" si="199"/>
        <v>0</v>
      </c>
      <c r="BM350" s="2675">
        <f t="shared" si="200"/>
        <v>0</v>
      </c>
      <c r="BN350" s="2675">
        <f t="shared" si="201"/>
        <v>0</v>
      </c>
      <c r="BO350" s="2675">
        <f t="shared" si="202"/>
        <v>0</v>
      </c>
      <c r="BP350" s="2675">
        <f t="shared" si="203"/>
        <v>0</v>
      </c>
      <c r="BQ350" s="2675">
        <f t="shared" si="204"/>
        <v>0</v>
      </c>
      <c r="BR350" s="2675">
        <f t="shared" si="205"/>
        <v>0</v>
      </c>
      <c r="BS350" s="2675">
        <f t="shared" si="206"/>
        <v>0</v>
      </c>
      <c r="BT350" s="2722">
        <f t="shared" si="207"/>
        <v>0</v>
      </c>
    </row>
    <row r="351" spans="1:72">
      <c r="A351" s="2673"/>
      <c r="B351" s="2674"/>
      <c r="C351" s="2674"/>
      <c r="D351" s="2277"/>
      <c r="E351" s="2675">
        <f t="shared" si="208"/>
        <v>0</v>
      </c>
      <c r="F351" s="2676"/>
      <c r="G351" s="2677">
        <f t="shared" si="183"/>
        <v>0</v>
      </c>
      <c r="H351" s="2678">
        <f t="shared" si="184"/>
        <v>0</v>
      </c>
      <c r="I351" s="2685"/>
      <c r="J351" s="2685"/>
      <c r="K351" s="2685"/>
      <c r="L351" s="2685"/>
      <c r="M351" s="2685"/>
      <c r="N351" s="2685"/>
      <c r="O351" s="2685"/>
      <c r="P351" s="2685"/>
      <c r="Q351" s="2685"/>
      <c r="R351" s="2685"/>
      <c r="S351" s="2685"/>
      <c r="T351" s="2685"/>
      <c r="U351" s="2685"/>
      <c r="V351" s="2685"/>
      <c r="W351" s="2685"/>
      <c r="X351" s="2685"/>
      <c r="Y351" s="2685"/>
      <c r="Z351" s="2685"/>
      <c r="AA351" s="2685"/>
      <c r="AB351" s="2685"/>
      <c r="AC351" s="2675">
        <f t="shared" si="185"/>
        <v>0</v>
      </c>
      <c r="AD351" s="2695"/>
      <c r="AE351" s="2695"/>
      <c r="AF351" s="2695"/>
      <c r="AG351" s="2695"/>
      <c r="AH351" s="2695"/>
      <c r="AI351" s="2695"/>
      <c r="AJ351" s="2695"/>
      <c r="AK351" s="2695"/>
      <c r="AL351" s="2695"/>
      <c r="AM351" s="2695"/>
      <c r="AN351" s="2695"/>
      <c r="AO351" s="2695"/>
      <c r="AP351" s="2695"/>
      <c r="AQ351" s="2695"/>
      <c r="AR351" s="2695"/>
      <c r="AS351" s="2695"/>
      <c r="AT351" s="2703"/>
      <c r="AU351" s="2704"/>
      <c r="AV351" s="1074">
        <f t="shared" si="209"/>
        <v>0</v>
      </c>
      <c r="AW351" s="1074">
        <f t="shared" si="210"/>
        <v>0</v>
      </c>
      <c r="AX351" s="1074">
        <f t="shared" si="211"/>
        <v>0</v>
      </c>
      <c r="AY351" s="2279">
        <f t="shared" si="186"/>
        <v>0</v>
      </c>
      <c r="AZ351" s="2675">
        <f t="shared" si="187"/>
        <v>0</v>
      </c>
      <c r="BA351" s="2675">
        <f t="shared" si="188"/>
        <v>0</v>
      </c>
      <c r="BB351" s="2675">
        <f t="shared" si="189"/>
        <v>0</v>
      </c>
      <c r="BC351" s="2675">
        <f t="shared" si="190"/>
        <v>0</v>
      </c>
      <c r="BD351" s="2675">
        <f t="shared" si="191"/>
        <v>0</v>
      </c>
      <c r="BE351" s="2675">
        <f t="shared" si="192"/>
        <v>0</v>
      </c>
      <c r="BF351" s="2675">
        <f t="shared" si="193"/>
        <v>0</v>
      </c>
      <c r="BG351" s="2675">
        <f t="shared" si="194"/>
        <v>0</v>
      </c>
      <c r="BH351" s="2675">
        <f t="shared" si="195"/>
        <v>0</v>
      </c>
      <c r="BI351" s="2675">
        <f t="shared" si="196"/>
        <v>0</v>
      </c>
      <c r="BJ351" s="2675">
        <f t="shared" si="197"/>
        <v>0</v>
      </c>
      <c r="BK351" s="2675">
        <f t="shared" si="198"/>
        <v>0</v>
      </c>
      <c r="BL351" s="2675">
        <f t="shared" si="199"/>
        <v>0</v>
      </c>
      <c r="BM351" s="2675">
        <f t="shared" si="200"/>
        <v>0</v>
      </c>
      <c r="BN351" s="2675">
        <f t="shared" si="201"/>
        <v>0</v>
      </c>
      <c r="BO351" s="2675">
        <f t="shared" si="202"/>
        <v>0</v>
      </c>
      <c r="BP351" s="2675">
        <f t="shared" si="203"/>
        <v>0</v>
      </c>
      <c r="BQ351" s="2675">
        <f t="shared" si="204"/>
        <v>0</v>
      </c>
      <c r="BR351" s="2675">
        <f t="shared" si="205"/>
        <v>0</v>
      </c>
      <c r="BS351" s="2675">
        <f t="shared" si="206"/>
        <v>0</v>
      </c>
      <c r="BT351" s="2722">
        <f t="shared" si="207"/>
        <v>0</v>
      </c>
    </row>
    <row r="352" spans="1:72">
      <c r="A352" s="2673"/>
      <c r="B352" s="2674"/>
      <c r="C352" s="2674"/>
      <c r="D352" s="2277"/>
      <c r="E352" s="2675">
        <f t="shared" si="208"/>
        <v>0</v>
      </c>
      <c r="F352" s="2676"/>
      <c r="G352" s="2677">
        <f t="shared" si="183"/>
        <v>0</v>
      </c>
      <c r="H352" s="2678">
        <f t="shared" si="184"/>
        <v>0</v>
      </c>
      <c r="I352" s="2685"/>
      <c r="J352" s="2685"/>
      <c r="K352" s="2685"/>
      <c r="L352" s="2685"/>
      <c r="M352" s="2685"/>
      <c r="N352" s="2685"/>
      <c r="O352" s="2685"/>
      <c r="P352" s="2685"/>
      <c r="Q352" s="2685"/>
      <c r="R352" s="2685"/>
      <c r="S352" s="2685"/>
      <c r="T352" s="2685"/>
      <c r="U352" s="2685"/>
      <c r="V352" s="2685"/>
      <c r="W352" s="2685"/>
      <c r="X352" s="2685"/>
      <c r="Y352" s="2685"/>
      <c r="Z352" s="2685"/>
      <c r="AA352" s="2685"/>
      <c r="AB352" s="2685"/>
      <c r="AC352" s="2675">
        <f t="shared" si="185"/>
        <v>0</v>
      </c>
      <c r="AD352" s="2695"/>
      <c r="AE352" s="2695"/>
      <c r="AF352" s="2695"/>
      <c r="AG352" s="2695"/>
      <c r="AH352" s="2695"/>
      <c r="AI352" s="2695"/>
      <c r="AJ352" s="2695"/>
      <c r="AK352" s="2695"/>
      <c r="AL352" s="2695"/>
      <c r="AM352" s="2695"/>
      <c r="AN352" s="2695"/>
      <c r="AO352" s="2695"/>
      <c r="AP352" s="2695"/>
      <c r="AQ352" s="2695"/>
      <c r="AR352" s="2695"/>
      <c r="AS352" s="2695"/>
      <c r="AT352" s="2703"/>
      <c r="AU352" s="2704"/>
      <c r="AV352" s="1074">
        <f t="shared" si="209"/>
        <v>0</v>
      </c>
      <c r="AW352" s="1074">
        <f t="shared" si="210"/>
        <v>0</v>
      </c>
      <c r="AX352" s="1074">
        <f t="shared" si="211"/>
        <v>0</v>
      </c>
      <c r="AY352" s="2279">
        <f t="shared" si="186"/>
        <v>0</v>
      </c>
      <c r="AZ352" s="2675">
        <f t="shared" si="187"/>
        <v>0</v>
      </c>
      <c r="BA352" s="2675">
        <f t="shared" si="188"/>
        <v>0</v>
      </c>
      <c r="BB352" s="2675">
        <f t="shared" si="189"/>
        <v>0</v>
      </c>
      <c r="BC352" s="2675">
        <f t="shared" si="190"/>
        <v>0</v>
      </c>
      <c r="BD352" s="2675">
        <f t="shared" si="191"/>
        <v>0</v>
      </c>
      <c r="BE352" s="2675">
        <f t="shared" si="192"/>
        <v>0</v>
      </c>
      <c r="BF352" s="2675">
        <f t="shared" si="193"/>
        <v>0</v>
      </c>
      <c r="BG352" s="2675">
        <f t="shared" si="194"/>
        <v>0</v>
      </c>
      <c r="BH352" s="2675">
        <f t="shared" si="195"/>
        <v>0</v>
      </c>
      <c r="BI352" s="2675">
        <f t="shared" si="196"/>
        <v>0</v>
      </c>
      <c r="BJ352" s="2675">
        <f t="shared" si="197"/>
        <v>0</v>
      </c>
      <c r="BK352" s="2675">
        <f t="shared" si="198"/>
        <v>0</v>
      </c>
      <c r="BL352" s="2675">
        <f t="shared" si="199"/>
        <v>0</v>
      </c>
      <c r="BM352" s="2675">
        <f t="shared" si="200"/>
        <v>0</v>
      </c>
      <c r="BN352" s="2675">
        <f t="shared" si="201"/>
        <v>0</v>
      </c>
      <c r="BO352" s="2675">
        <f t="shared" si="202"/>
        <v>0</v>
      </c>
      <c r="BP352" s="2675">
        <f t="shared" si="203"/>
        <v>0</v>
      </c>
      <c r="BQ352" s="2675">
        <f t="shared" si="204"/>
        <v>0</v>
      </c>
      <c r="BR352" s="2675">
        <f t="shared" si="205"/>
        <v>0</v>
      </c>
      <c r="BS352" s="2675">
        <f t="shared" si="206"/>
        <v>0</v>
      </c>
      <c r="BT352" s="2722">
        <f t="shared" si="207"/>
        <v>0</v>
      </c>
    </row>
    <row r="353" spans="1:72">
      <c r="A353" s="2673"/>
      <c r="B353" s="2674"/>
      <c r="C353" s="2674"/>
      <c r="D353" s="2277"/>
      <c r="E353" s="2675">
        <f t="shared" si="208"/>
        <v>0</v>
      </c>
      <c r="F353" s="2676"/>
      <c r="G353" s="2677">
        <f t="shared" si="183"/>
        <v>0</v>
      </c>
      <c r="H353" s="2678">
        <f t="shared" si="184"/>
        <v>0</v>
      </c>
      <c r="I353" s="2685"/>
      <c r="J353" s="2685"/>
      <c r="K353" s="2685"/>
      <c r="L353" s="2685"/>
      <c r="M353" s="2685"/>
      <c r="N353" s="2685"/>
      <c r="O353" s="2685"/>
      <c r="P353" s="2685"/>
      <c r="Q353" s="2685"/>
      <c r="R353" s="2685"/>
      <c r="S353" s="2685"/>
      <c r="T353" s="2685"/>
      <c r="U353" s="2685"/>
      <c r="V353" s="2685"/>
      <c r="W353" s="2685"/>
      <c r="X353" s="2685"/>
      <c r="Y353" s="2685"/>
      <c r="Z353" s="2685"/>
      <c r="AA353" s="2685"/>
      <c r="AB353" s="2685"/>
      <c r="AC353" s="2675">
        <f t="shared" si="185"/>
        <v>0</v>
      </c>
      <c r="AD353" s="2695"/>
      <c r="AE353" s="2695"/>
      <c r="AF353" s="2695"/>
      <c r="AG353" s="2695"/>
      <c r="AH353" s="2695"/>
      <c r="AI353" s="2695"/>
      <c r="AJ353" s="2695"/>
      <c r="AK353" s="2695"/>
      <c r="AL353" s="2695"/>
      <c r="AM353" s="2695"/>
      <c r="AN353" s="2695"/>
      <c r="AO353" s="2695"/>
      <c r="AP353" s="2695"/>
      <c r="AQ353" s="2695"/>
      <c r="AR353" s="2695"/>
      <c r="AS353" s="2695"/>
      <c r="AT353" s="2703"/>
      <c r="AU353" s="2704"/>
      <c r="AV353" s="1074">
        <f t="shared" si="209"/>
        <v>0</v>
      </c>
      <c r="AW353" s="1074">
        <f t="shared" si="210"/>
        <v>0</v>
      </c>
      <c r="AX353" s="1074">
        <f t="shared" si="211"/>
        <v>0</v>
      </c>
      <c r="AY353" s="2279">
        <f t="shared" si="186"/>
        <v>0</v>
      </c>
      <c r="AZ353" s="2675">
        <f t="shared" si="187"/>
        <v>0</v>
      </c>
      <c r="BA353" s="2675">
        <f t="shared" si="188"/>
        <v>0</v>
      </c>
      <c r="BB353" s="2675">
        <f t="shared" si="189"/>
        <v>0</v>
      </c>
      <c r="BC353" s="2675">
        <f t="shared" si="190"/>
        <v>0</v>
      </c>
      <c r="BD353" s="2675">
        <f t="shared" si="191"/>
        <v>0</v>
      </c>
      <c r="BE353" s="2675">
        <f t="shared" si="192"/>
        <v>0</v>
      </c>
      <c r="BF353" s="2675">
        <f t="shared" si="193"/>
        <v>0</v>
      </c>
      <c r="BG353" s="2675">
        <f t="shared" si="194"/>
        <v>0</v>
      </c>
      <c r="BH353" s="2675">
        <f t="shared" si="195"/>
        <v>0</v>
      </c>
      <c r="BI353" s="2675">
        <f t="shared" si="196"/>
        <v>0</v>
      </c>
      <c r="BJ353" s="2675">
        <f t="shared" si="197"/>
        <v>0</v>
      </c>
      <c r="BK353" s="2675">
        <f t="shared" si="198"/>
        <v>0</v>
      </c>
      <c r="BL353" s="2675">
        <f t="shared" si="199"/>
        <v>0</v>
      </c>
      <c r="BM353" s="2675">
        <f t="shared" si="200"/>
        <v>0</v>
      </c>
      <c r="BN353" s="2675">
        <f t="shared" si="201"/>
        <v>0</v>
      </c>
      <c r="BO353" s="2675">
        <f t="shared" si="202"/>
        <v>0</v>
      </c>
      <c r="BP353" s="2675">
        <f t="shared" si="203"/>
        <v>0</v>
      </c>
      <c r="BQ353" s="2675">
        <f t="shared" si="204"/>
        <v>0</v>
      </c>
      <c r="BR353" s="2675">
        <f t="shared" si="205"/>
        <v>0</v>
      </c>
      <c r="BS353" s="2675">
        <f t="shared" si="206"/>
        <v>0</v>
      </c>
      <c r="BT353" s="2722">
        <f t="shared" si="207"/>
        <v>0</v>
      </c>
    </row>
    <row r="354" spans="1:72">
      <c r="A354" s="2673"/>
      <c r="B354" s="2674"/>
      <c r="C354" s="2674"/>
      <c r="D354" s="2277"/>
      <c r="E354" s="2675">
        <f t="shared" si="208"/>
        <v>0</v>
      </c>
      <c r="F354" s="2676"/>
      <c r="G354" s="2677">
        <f t="shared" si="183"/>
        <v>0</v>
      </c>
      <c r="H354" s="2678">
        <f t="shared" si="184"/>
        <v>0</v>
      </c>
      <c r="I354" s="2685"/>
      <c r="J354" s="2685"/>
      <c r="K354" s="2685"/>
      <c r="L354" s="2685"/>
      <c r="M354" s="2685"/>
      <c r="N354" s="2685"/>
      <c r="O354" s="2685"/>
      <c r="P354" s="2685"/>
      <c r="Q354" s="2685"/>
      <c r="R354" s="2685"/>
      <c r="S354" s="2685"/>
      <c r="T354" s="2685"/>
      <c r="U354" s="2685"/>
      <c r="V354" s="2685"/>
      <c r="W354" s="2685"/>
      <c r="X354" s="2685"/>
      <c r="Y354" s="2685"/>
      <c r="Z354" s="2685"/>
      <c r="AA354" s="2685"/>
      <c r="AB354" s="2685"/>
      <c r="AC354" s="2675">
        <f t="shared" si="185"/>
        <v>0</v>
      </c>
      <c r="AD354" s="2695"/>
      <c r="AE354" s="2695"/>
      <c r="AF354" s="2695"/>
      <c r="AG354" s="2695"/>
      <c r="AH354" s="2695"/>
      <c r="AI354" s="2695"/>
      <c r="AJ354" s="2695"/>
      <c r="AK354" s="2695"/>
      <c r="AL354" s="2695"/>
      <c r="AM354" s="2695"/>
      <c r="AN354" s="2695"/>
      <c r="AO354" s="2695"/>
      <c r="AP354" s="2695"/>
      <c r="AQ354" s="2695"/>
      <c r="AR354" s="2695"/>
      <c r="AS354" s="2695"/>
      <c r="AT354" s="2703"/>
      <c r="AU354" s="2704"/>
      <c r="AV354" s="1074">
        <f t="shared" si="209"/>
        <v>0</v>
      </c>
      <c r="AW354" s="1074">
        <f t="shared" si="210"/>
        <v>0</v>
      </c>
      <c r="AX354" s="1074">
        <f t="shared" si="211"/>
        <v>0</v>
      </c>
      <c r="AY354" s="2279">
        <f t="shared" si="186"/>
        <v>0</v>
      </c>
      <c r="AZ354" s="2675">
        <f t="shared" si="187"/>
        <v>0</v>
      </c>
      <c r="BA354" s="2675">
        <f t="shared" si="188"/>
        <v>0</v>
      </c>
      <c r="BB354" s="2675">
        <f t="shared" si="189"/>
        <v>0</v>
      </c>
      <c r="BC354" s="2675">
        <f t="shared" si="190"/>
        <v>0</v>
      </c>
      <c r="BD354" s="2675">
        <f t="shared" si="191"/>
        <v>0</v>
      </c>
      <c r="BE354" s="2675">
        <f t="shared" si="192"/>
        <v>0</v>
      </c>
      <c r="BF354" s="2675">
        <f t="shared" si="193"/>
        <v>0</v>
      </c>
      <c r="BG354" s="2675">
        <f t="shared" si="194"/>
        <v>0</v>
      </c>
      <c r="BH354" s="2675">
        <f t="shared" si="195"/>
        <v>0</v>
      </c>
      <c r="BI354" s="2675">
        <f t="shared" si="196"/>
        <v>0</v>
      </c>
      <c r="BJ354" s="2675">
        <f t="shared" si="197"/>
        <v>0</v>
      </c>
      <c r="BK354" s="2675">
        <f t="shared" si="198"/>
        <v>0</v>
      </c>
      <c r="BL354" s="2675">
        <f t="shared" si="199"/>
        <v>0</v>
      </c>
      <c r="BM354" s="2675">
        <f t="shared" si="200"/>
        <v>0</v>
      </c>
      <c r="BN354" s="2675">
        <f t="shared" si="201"/>
        <v>0</v>
      </c>
      <c r="BO354" s="2675">
        <f t="shared" si="202"/>
        <v>0</v>
      </c>
      <c r="BP354" s="2675">
        <f t="shared" si="203"/>
        <v>0</v>
      </c>
      <c r="BQ354" s="2675">
        <f t="shared" si="204"/>
        <v>0</v>
      </c>
      <c r="BR354" s="2675">
        <f t="shared" si="205"/>
        <v>0</v>
      </c>
      <c r="BS354" s="2675">
        <f t="shared" si="206"/>
        <v>0</v>
      </c>
      <c r="BT354" s="2722">
        <f t="shared" si="207"/>
        <v>0</v>
      </c>
    </row>
    <row r="355" spans="1:72">
      <c r="A355" s="2673"/>
      <c r="B355" s="2674"/>
      <c r="C355" s="2674"/>
      <c r="D355" s="2277"/>
      <c r="E355" s="2675">
        <f t="shared" si="208"/>
        <v>0</v>
      </c>
      <c r="F355" s="2676"/>
      <c r="G355" s="2677">
        <f t="shared" si="183"/>
        <v>0</v>
      </c>
      <c r="H355" s="2678">
        <f t="shared" si="184"/>
        <v>0</v>
      </c>
      <c r="I355" s="2685"/>
      <c r="J355" s="2685"/>
      <c r="K355" s="2685"/>
      <c r="L355" s="2685"/>
      <c r="M355" s="2685"/>
      <c r="N355" s="2685"/>
      <c r="O355" s="2685"/>
      <c r="P355" s="2685"/>
      <c r="Q355" s="2685"/>
      <c r="R355" s="2685"/>
      <c r="S355" s="2685"/>
      <c r="T355" s="2685"/>
      <c r="U355" s="2685"/>
      <c r="V355" s="2685"/>
      <c r="W355" s="2685"/>
      <c r="X355" s="2685"/>
      <c r="Y355" s="2685"/>
      <c r="Z355" s="2685"/>
      <c r="AA355" s="2685"/>
      <c r="AB355" s="2685"/>
      <c r="AC355" s="2675">
        <f t="shared" si="185"/>
        <v>0</v>
      </c>
      <c r="AD355" s="2695"/>
      <c r="AE355" s="2695"/>
      <c r="AF355" s="2695"/>
      <c r="AG355" s="2695"/>
      <c r="AH355" s="2695"/>
      <c r="AI355" s="2695"/>
      <c r="AJ355" s="2695"/>
      <c r="AK355" s="2695"/>
      <c r="AL355" s="2695"/>
      <c r="AM355" s="2695"/>
      <c r="AN355" s="2695"/>
      <c r="AO355" s="2695"/>
      <c r="AP355" s="2695"/>
      <c r="AQ355" s="2695"/>
      <c r="AR355" s="2695"/>
      <c r="AS355" s="2695"/>
      <c r="AT355" s="2703"/>
      <c r="AU355" s="2704"/>
      <c r="AV355" s="1074">
        <f t="shared" si="209"/>
        <v>0</v>
      </c>
      <c r="AW355" s="1074">
        <f t="shared" si="210"/>
        <v>0</v>
      </c>
      <c r="AX355" s="1074">
        <f t="shared" si="211"/>
        <v>0</v>
      </c>
      <c r="AY355" s="2279">
        <f t="shared" si="186"/>
        <v>0</v>
      </c>
      <c r="AZ355" s="2675">
        <f t="shared" si="187"/>
        <v>0</v>
      </c>
      <c r="BA355" s="2675">
        <f t="shared" si="188"/>
        <v>0</v>
      </c>
      <c r="BB355" s="2675">
        <f t="shared" si="189"/>
        <v>0</v>
      </c>
      <c r="BC355" s="2675">
        <f t="shared" si="190"/>
        <v>0</v>
      </c>
      <c r="BD355" s="2675">
        <f t="shared" si="191"/>
        <v>0</v>
      </c>
      <c r="BE355" s="2675">
        <f t="shared" si="192"/>
        <v>0</v>
      </c>
      <c r="BF355" s="2675">
        <f t="shared" si="193"/>
        <v>0</v>
      </c>
      <c r="BG355" s="2675">
        <f t="shared" si="194"/>
        <v>0</v>
      </c>
      <c r="BH355" s="2675">
        <f t="shared" si="195"/>
        <v>0</v>
      </c>
      <c r="BI355" s="2675">
        <f t="shared" si="196"/>
        <v>0</v>
      </c>
      <c r="BJ355" s="2675">
        <f t="shared" si="197"/>
        <v>0</v>
      </c>
      <c r="BK355" s="2675">
        <f t="shared" si="198"/>
        <v>0</v>
      </c>
      <c r="BL355" s="2675">
        <f t="shared" si="199"/>
        <v>0</v>
      </c>
      <c r="BM355" s="2675">
        <f t="shared" si="200"/>
        <v>0</v>
      </c>
      <c r="BN355" s="2675">
        <f t="shared" si="201"/>
        <v>0</v>
      </c>
      <c r="BO355" s="2675">
        <f t="shared" si="202"/>
        <v>0</v>
      </c>
      <c r="BP355" s="2675">
        <f t="shared" si="203"/>
        <v>0</v>
      </c>
      <c r="BQ355" s="2675">
        <f t="shared" si="204"/>
        <v>0</v>
      </c>
      <c r="BR355" s="2675">
        <f t="shared" si="205"/>
        <v>0</v>
      </c>
      <c r="BS355" s="2675">
        <f t="shared" si="206"/>
        <v>0</v>
      </c>
      <c r="BT355" s="2722">
        <f t="shared" si="207"/>
        <v>0</v>
      </c>
    </row>
    <row r="356" spans="1:72">
      <c r="A356" s="2673"/>
      <c r="B356" s="2674"/>
      <c r="C356" s="2674"/>
      <c r="D356" s="2277"/>
      <c r="E356" s="2675">
        <f t="shared" si="208"/>
        <v>0</v>
      </c>
      <c r="F356" s="2676"/>
      <c r="G356" s="2677">
        <f t="shared" si="183"/>
        <v>0</v>
      </c>
      <c r="H356" s="2678">
        <f t="shared" si="184"/>
        <v>0</v>
      </c>
      <c r="I356" s="2685"/>
      <c r="J356" s="2685"/>
      <c r="K356" s="2685"/>
      <c r="L356" s="2685"/>
      <c r="M356" s="2685"/>
      <c r="N356" s="2685"/>
      <c r="O356" s="2685"/>
      <c r="P356" s="2685"/>
      <c r="Q356" s="2685"/>
      <c r="R356" s="2685"/>
      <c r="S356" s="2685"/>
      <c r="T356" s="2685"/>
      <c r="U356" s="2685"/>
      <c r="V356" s="2685"/>
      <c r="W356" s="2685"/>
      <c r="X356" s="2685"/>
      <c r="Y356" s="2685"/>
      <c r="Z356" s="2685"/>
      <c r="AA356" s="2685"/>
      <c r="AB356" s="2685"/>
      <c r="AC356" s="2675">
        <f t="shared" si="185"/>
        <v>0</v>
      </c>
      <c r="AD356" s="2695"/>
      <c r="AE356" s="2695"/>
      <c r="AF356" s="2695"/>
      <c r="AG356" s="2695"/>
      <c r="AH356" s="2695"/>
      <c r="AI356" s="2695"/>
      <c r="AJ356" s="2695"/>
      <c r="AK356" s="2695"/>
      <c r="AL356" s="2695"/>
      <c r="AM356" s="2695"/>
      <c r="AN356" s="2695"/>
      <c r="AO356" s="2695"/>
      <c r="AP356" s="2695"/>
      <c r="AQ356" s="2695"/>
      <c r="AR356" s="2695"/>
      <c r="AS356" s="2695"/>
      <c r="AT356" s="2703"/>
      <c r="AU356" s="2704"/>
      <c r="AV356" s="1074">
        <f t="shared" si="209"/>
        <v>0</v>
      </c>
      <c r="AW356" s="1074">
        <f t="shared" si="210"/>
        <v>0</v>
      </c>
      <c r="AX356" s="1074">
        <f t="shared" si="211"/>
        <v>0</v>
      </c>
      <c r="AY356" s="2279">
        <f t="shared" si="186"/>
        <v>0</v>
      </c>
      <c r="AZ356" s="2675">
        <f t="shared" si="187"/>
        <v>0</v>
      </c>
      <c r="BA356" s="2675">
        <f t="shared" si="188"/>
        <v>0</v>
      </c>
      <c r="BB356" s="2675">
        <f t="shared" si="189"/>
        <v>0</v>
      </c>
      <c r="BC356" s="2675">
        <f t="shared" si="190"/>
        <v>0</v>
      </c>
      <c r="BD356" s="2675">
        <f t="shared" si="191"/>
        <v>0</v>
      </c>
      <c r="BE356" s="2675">
        <f t="shared" si="192"/>
        <v>0</v>
      </c>
      <c r="BF356" s="2675">
        <f t="shared" si="193"/>
        <v>0</v>
      </c>
      <c r="BG356" s="2675">
        <f t="shared" si="194"/>
        <v>0</v>
      </c>
      <c r="BH356" s="2675">
        <f t="shared" si="195"/>
        <v>0</v>
      </c>
      <c r="BI356" s="2675">
        <f t="shared" si="196"/>
        <v>0</v>
      </c>
      <c r="BJ356" s="2675">
        <f t="shared" si="197"/>
        <v>0</v>
      </c>
      <c r="BK356" s="2675">
        <f t="shared" si="198"/>
        <v>0</v>
      </c>
      <c r="BL356" s="2675">
        <f t="shared" si="199"/>
        <v>0</v>
      </c>
      <c r="BM356" s="2675">
        <f t="shared" si="200"/>
        <v>0</v>
      </c>
      <c r="BN356" s="2675">
        <f t="shared" si="201"/>
        <v>0</v>
      </c>
      <c r="BO356" s="2675">
        <f t="shared" si="202"/>
        <v>0</v>
      </c>
      <c r="BP356" s="2675">
        <f t="shared" si="203"/>
        <v>0</v>
      </c>
      <c r="BQ356" s="2675">
        <f t="shared" si="204"/>
        <v>0</v>
      </c>
      <c r="BR356" s="2675">
        <f t="shared" si="205"/>
        <v>0</v>
      </c>
      <c r="BS356" s="2675">
        <f t="shared" si="206"/>
        <v>0</v>
      </c>
      <c r="BT356" s="2722">
        <f t="shared" si="207"/>
        <v>0</v>
      </c>
    </row>
    <row r="357" spans="1:72">
      <c r="A357" s="2673"/>
      <c r="B357" s="2674"/>
      <c r="C357" s="2674"/>
      <c r="D357" s="2277"/>
      <c r="E357" s="2675">
        <f t="shared" si="208"/>
        <v>0</v>
      </c>
      <c r="F357" s="2676"/>
      <c r="G357" s="2677">
        <f t="shared" si="183"/>
        <v>0</v>
      </c>
      <c r="H357" s="2678">
        <f t="shared" si="184"/>
        <v>0</v>
      </c>
      <c r="I357" s="2685"/>
      <c r="J357" s="2685"/>
      <c r="K357" s="2685"/>
      <c r="L357" s="2685"/>
      <c r="M357" s="2685"/>
      <c r="N357" s="2685"/>
      <c r="O357" s="2685"/>
      <c r="P357" s="2685"/>
      <c r="Q357" s="2685"/>
      <c r="R357" s="2685"/>
      <c r="S357" s="2685"/>
      <c r="T357" s="2685"/>
      <c r="U357" s="2685"/>
      <c r="V357" s="2685"/>
      <c r="W357" s="2685"/>
      <c r="X357" s="2685"/>
      <c r="Y357" s="2685"/>
      <c r="Z357" s="2685"/>
      <c r="AA357" s="2685"/>
      <c r="AB357" s="2685"/>
      <c r="AC357" s="2675">
        <f t="shared" si="185"/>
        <v>0</v>
      </c>
      <c r="AD357" s="2695"/>
      <c r="AE357" s="2695"/>
      <c r="AF357" s="2695"/>
      <c r="AG357" s="2695"/>
      <c r="AH357" s="2695"/>
      <c r="AI357" s="2695"/>
      <c r="AJ357" s="2695"/>
      <c r="AK357" s="2695"/>
      <c r="AL357" s="2695"/>
      <c r="AM357" s="2695"/>
      <c r="AN357" s="2695"/>
      <c r="AO357" s="2695"/>
      <c r="AP357" s="2695"/>
      <c r="AQ357" s="2695"/>
      <c r="AR357" s="2695"/>
      <c r="AS357" s="2695"/>
      <c r="AT357" s="2703"/>
      <c r="AU357" s="2704"/>
      <c r="AV357" s="1074">
        <f t="shared" si="209"/>
        <v>0</v>
      </c>
      <c r="AW357" s="1074">
        <f t="shared" si="210"/>
        <v>0</v>
      </c>
      <c r="AX357" s="1074">
        <f t="shared" si="211"/>
        <v>0</v>
      </c>
      <c r="AY357" s="2279">
        <f t="shared" si="186"/>
        <v>0</v>
      </c>
      <c r="AZ357" s="2675">
        <f t="shared" si="187"/>
        <v>0</v>
      </c>
      <c r="BA357" s="2675">
        <f t="shared" si="188"/>
        <v>0</v>
      </c>
      <c r="BB357" s="2675">
        <f t="shared" si="189"/>
        <v>0</v>
      </c>
      <c r="BC357" s="2675">
        <f t="shared" si="190"/>
        <v>0</v>
      </c>
      <c r="BD357" s="2675">
        <f t="shared" si="191"/>
        <v>0</v>
      </c>
      <c r="BE357" s="2675">
        <f t="shared" si="192"/>
        <v>0</v>
      </c>
      <c r="BF357" s="2675">
        <f t="shared" si="193"/>
        <v>0</v>
      </c>
      <c r="BG357" s="2675">
        <f t="shared" si="194"/>
        <v>0</v>
      </c>
      <c r="BH357" s="2675">
        <f t="shared" si="195"/>
        <v>0</v>
      </c>
      <c r="BI357" s="2675">
        <f t="shared" si="196"/>
        <v>0</v>
      </c>
      <c r="BJ357" s="2675">
        <f t="shared" si="197"/>
        <v>0</v>
      </c>
      <c r="BK357" s="2675">
        <f t="shared" si="198"/>
        <v>0</v>
      </c>
      <c r="BL357" s="2675">
        <f t="shared" si="199"/>
        <v>0</v>
      </c>
      <c r="BM357" s="2675">
        <f t="shared" si="200"/>
        <v>0</v>
      </c>
      <c r="BN357" s="2675">
        <f t="shared" si="201"/>
        <v>0</v>
      </c>
      <c r="BO357" s="2675">
        <f t="shared" si="202"/>
        <v>0</v>
      </c>
      <c r="BP357" s="2675">
        <f t="shared" si="203"/>
        <v>0</v>
      </c>
      <c r="BQ357" s="2675">
        <f t="shared" si="204"/>
        <v>0</v>
      </c>
      <c r="BR357" s="2675">
        <f t="shared" si="205"/>
        <v>0</v>
      </c>
      <c r="BS357" s="2675">
        <f t="shared" si="206"/>
        <v>0</v>
      </c>
      <c r="BT357" s="2722">
        <f t="shared" si="207"/>
        <v>0</v>
      </c>
    </row>
    <row r="358" spans="1:72">
      <c r="A358" s="2673"/>
      <c r="B358" s="2674"/>
      <c r="C358" s="2674"/>
      <c r="D358" s="2277"/>
      <c r="E358" s="2675">
        <f t="shared" si="208"/>
        <v>0</v>
      </c>
      <c r="F358" s="2676"/>
      <c r="G358" s="2677">
        <f t="shared" si="183"/>
        <v>0</v>
      </c>
      <c r="H358" s="2678">
        <f t="shared" si="184"/>
        <v>0</v>
      </c>
      <c r="I358" s="2685"/>
      <c r="J358" s="2685"/>
      <c r="K358" s="2685"/>
      <c r="L358" s="2685"/>
      <c r="M358" s="2685"/>
      <c r="N358" s="2685"/>
      <c r="O358" s="2685"/>
      <c r="P358" s="2685"/>
      <c r="Q358" s="2685"/>
      <c r="R358" s="2685"/>
      <c r="S358" s="2685"/>
      <c r="T358" s="2685"/>
      <c r="U358" s="2685"/>
      <c r="V358" s="2685"/>
      <c r="W358" s="2685"/>
      <c r="X358" s="2685"/>
      <c r="Y358" s="2685"/>
      <c r="Z358" s="2685"/>
      <c r="AA358" s="2685"/>
      <c r="AB358" s="2685"/>
      <c r="AC358" s="2675">
        <f t="shared" si="185"/>
        <v>0</v>
      </c>
      <c r="AD358" s="2695"/>
      <c r="AE358" s="2695"/>
      <c r="AF358" s="2695"/>
      <c r="AG358" s="2695"/>
      <c r="AH358" s="2695"/>
      <c r="AI358" s="2695"/>
      <c r="AJ358" s="2695"/>
      <c r="AK358" s="2695"/>
      <c r="AL358" s="2695"/>
      <c r="AM358" s="2695"/>
      <c r="AN358" s="2695"/>
      <c r="AO358" s="2695"/>
      <c r="AP358" s="2695"/>
      <c r="AQ358" s="2695"/>
      <c r="AR358" s="2695"/>
      <c r="AS358" s="2695"/>
      <c r="AT358" s="2703"/>
      <c r="AU358" s="2704"/>
      <c r="AV358" s="1074">
        <f t="shared" si="209"/>
        <v>0</v>
      </c>
      <c r="AW358" s="1074">
        <f t="shared" si="210"/>
        <v>0</v>
      </c>
      <c r="AX358" s="1074">
        <f t="shared" si="211"/>
        <v>0</v>
      </c>
      <c r="AY358" s="2279">
        <f t="shared" si="186"/>
        <v>0</v>
      </c>
      <c r="AZ358" s="2675">
        <f t="shared" si="187"/>
        <v>0</v>
      </c>
      <c r="BA358" s="2675">
        <f t="shared" si="188"/>
        <v>0</v>
      </c>
      <c r="BB358" s="2675">
        <f t="shared" si="189"/>
        <v>0</v>
      </c>
      <c r="BC358" s="2675">
        <f t="shared" si="190"/>
        <v>0</v>
      </c>
      <c r="BD358" s="2675">
        <f t="shared" si="191"/>
        <v>0</v>
      </c>
      <c r="BE358" s="2675">
        <f t="shared" si="192"/>
        <v>0</v>
      </c>
      <c r="BF358" s="2675">
        <f t="shared" si="193"/>
        <v>0</v>
      </c>
      <c r="BG358" s="2675">
        <f t="shared" si="194"/>
        <v>0</v>
      </c>
      <c r="BH358" s="2675">
        <f t="shared" si="195"/>
        <v>0</v>
      </c>
      <c r="BI358" s="2675">
        <f t="shared" si="196"/>
        <v>0</v>
      </c>
      <c r="BJ358" s="2675">
        <f t="shared" si="197"/>
        <v>0</v>
      </c>
      <c r="BK358" s="2675">
        <f t="shared" si="198"/>
        <v>0</v>
      </c>
      <c r="BL358" s="2675">
        <f t="shared" si="199"/>
        <v>0</v>
      </c>
      <c r="BM358" s="2675">
        <f t="shared" si="200"/>
        <v>0</v>
      </c>
      <c r="BN358" s="2675">
        <f t="shared" si="201"/>
        <v>0</v>
      </c>
      <c r="BO358" s="2675">
        <f t="shared" si="202"/>
        <v>0</v>
      </c>
      <c r="BP358" s="2675">
        <f t="shared" si="203"/>
        <v>0</v>
      </c>
      <c r="BQ358" s="2675">
        <f t="shared" si="204"/>
        <v>0</v>
      </c>
      <c r="BR358" s="2675">
        <f t="shared" si="205"/>
        <v>0</v>
      </c>
      <c r="BS358" s="2675">
        <f t="shared" si="206"/>
        <v>0</v>
      </c>
      <c r="BT358" s="2722">
        <f t="shared" si="207"/>
        <v>0</v>
      </c>
    </row>
    <row r="359" spans="1:72">
      <c r="A359" s="2673"/>
      <c r="B359" s="2674"/>
      <c r="C359" s="2674"/>
      <c r="D359" s="2277"/>
      <c r="E359" s="2675">
        <f t="shared" si="208"/>
        <v>0</v>
      </c>
      <c r="F359" s="2676"/>
      <c r="G359" s="2677">
        <f t="shared" si="183"/>
        <v>0</v>
      </c>
      <c r="H359" s="2678">
        <f t="shared" si="184"/>
        <v>0</v>
      </c>
      <c r="I359" s="2685"/>
      <c r="J359" s="2685"/>
      <c r="K359" s="2685"/>
      <c r="L359" s="2685"/>
      <c r="M359" s="2685"/>
      <c r="N359" s="2685"/>
      <c r="O359" s="2685"/>
      <c r="P359" s="2685"/>
      <c r="Q359" s="2685"/>
      <c r="R359" s="2685"/>
      <c r="S359" s="2685"/>
      <c r="T359" s="2685"/>
      <c r="U359" s="2685"/>
      <c r="V359" s="2685"/>
      <c r="W359" s="2685"/>
      <c r="X359" s="2685"/>
      <c r="Y359" s="2685"/>
      <c r="Z359" s="2685"/>
      <c r="AA359" s="2685"/>
      <c r="AB359" s="2685"/>
      <c r="AC359" s="2675">
        <f t="shared" si="185"/>
        <v>0</v>
      </c>
      <c r="AD359" s="2695"/>
      <c r="AE359" s="2695"/>
      <c r="AF359" s="2695"/>
      <c r="AG359" s="2695"/>
      <c r="AH359" s="2695"/>
      <c r="AI359" s="2695"/>
      <c r="AJ359" s="2695"/>
      <c r="AK359" s="2695"/>
      <c r="AL359" s="2695"/>
      <c r="AM359" s="2695"/>
      <c r="AN359" s="2695"/>
      <c r="AO359" s="2695"/>
      <c r="AP359" s="2695"/>
      <c r="AQ359" s="2695"/>
      <c r="AR359" s="2695"/>
      <c r="AS359" s="2695"/>
      <c r="AT359" s="2703"/>
      <c r="AU359" s="2704"/>
      <c r="AV359" s="1074">
        <f t="shared" si="209"/>
        <v>0</v>
      </c>
      <c r="AW359" s="1074">
        <f t="shared" si="210"/>
        <v>0</v>
      </c>
      <c r="AX359" s="1074">
        <f t="shared" si="211"/>
        <v>0</v>
      </c>
      <c r="AY359" s="2279">
        <f t="shared" si="186"/>
        <v>0</v>
      </c>
      <c r="AZ359" s="2675">
        <f t="shared" si="187"/>
        <v>0</v>
      </c>
      <c r="BA359" s="2675">
        <f t="shared" si="188"/>
        <v>0</v>
      </c>
      <c r="BB359" s="2675">
        <f t="shared" si="189"/>
        <v>0</v>
      </c>
      <c r="BC359" s="2675">
        <f t="shared" si="190"/>
        <v>0</v>
      </c>
      <c r="BD359" s="2675">
        <f t="shared" si="191"/>
        <v>0</v>
      </c>
      <c r="BE359" s="2675">
        <f t="shared" si="192"/>
        <v>0</v>
      </c>
      <c r="BF359" s="2675">
        <f t="shared" si="193"/>
        <v>0</v>
      </c>
      <c r="BG359" s="2675">
        <f t="shared" si="194"/>
        <v>0</v>
      </c>
      <c r="BH359" s="2675">
        <f t="shared" si="195"/>
        <v>0</v>
      </c>
      <c r="BI359" s="2675">
        <f t="shared" si="196"/>
        <v>0</v>
      </c>
      <c r="BJ359" s="2675">
        <f t="shared" si="197"/>
        <v>0</v>
      </c>
      <c r="BK359" s="2675">
        <f t="shared" si="198"/>
        <v>0</v>
      </c>
      <c r="BL359" s="2675">
        <f t="shared" si="199"/>
        <v>0</v>
      </c>
      <c r="BM359" s="2675">
        <f t="shared" si="200"/>
        <v>0</v>
      </c>
      <c r="BN359" s="2675">
        <f t="shared" si="201"/>
        <v>0</v>
      </c>
      <c r="BO359" s="2675">
        <f t="shared" si="202"/>
        <v>0</v>
      </c>
      <c r="BP359" s="2675">
        <f t="shared" si="203"/>
        <v>0</v>
      </c>
      <c r="BQ359" s="2675">
        <f t="shared" si="204"/>
        <v>0</v>
      </c>
      <c r="BR359" s="2675">
        <f t="shared" si="205"/>
        <v>0</v>
      </c>
      <c r="BS359" s="2675">
        <f t="shared" si="206"/>
        <v>0</v>
      </c>
      <c r="BT359" s="2722">
        <f t="shared" si="207"/>
        <v>0</v>
      </c>
    </row>
    <row r="360" spans="1:72">
      <c r="A360" s="2673"/>
      <c r="B360" s="2674"/>
      <c r="C360" s="2674"/>
      <c r="D360" s="2277"/>
      <c r="E360" s="2675">
        <f t="shared" si="208"/>
        <v>0</v>
      </c>
      <c r="F360" s="2676"/>
      <c r="G360" s="2677">
        <f t="shared" si="183"/>
        <v>0</v>
      </c>
      <c r="H360" s="2678">
        <f t="shared" si="184"/>
        <v>0</v>
      </c>
      <c r="I360" s="2685"/>
      <c r="J360" s="2685"/>
      <c r="K360" s="2685"/>
      <c r="L360" s="2685"/>
      <c r="M360" s="2685"/>
      <c r="N360" s="2685"/>
      <c r="O360" s="2685"/>
      <c r="P360" s="2685"/>
      <c r="Q360" s="2685"/>
      <c r="R360" s="2685"/>
      <c r="S360" s="2685"/>
      <c r="T360" s="2685"/>
      <c r="U360" s="2685"/>
      <c r="V360" s="2685"/>
      <c r="W360" s="2685"/>
      <c r="X360" s="2685"/>
      <c r="Y360" s="2685"/>
      <c r="Z360" s="2685"/>
      <c r="AA360" s="2685"/>
      <c r="AB360" s="2685"/>
      <c r="AC360" s="2675">
        <f t="shared" si="185"/>
        <v>0</v>
      </c>
      <c r="AD360" s="2695"/>
      <c r="AE360" s="2695"/>
      <c r="AF360" s="2695"/>
      <c r="AG360" s="2695"/>
      <c r="AH360" s="2695"/>
      <c r="AI360" s="2695"/>
      <c r="AJ360" s="2695"/>
      <c r="AK360" s="2695"/>
      <c r="AL360" s="2695"/>
      <c r="AM360" s="2695"/>
      <c r="AN360" s="2695"/>
      <c r="AO360" s="2695"/>
      <c r="AP360" s="2695"/>
      <c r="AQ360" s="2695"/>
      <c r="AR360" s="2695"/>
      <c r="AS360" s="2695"/>
      <c r="AT360" s="2703"/>
      <c r="AU360" s="2704"/>
      <c r="AV360" s="1074">
        <f t="shared" si="209"/>
        <v>0</v>
      </c>
      <c r="AW360" s="1074">
        <f t="shared" si="210"/>
        <v>0</v>
      </c>
      <c r="AX360" s="1074">
        <f t="shared" si="211"/>
        <v>0</v>
      </c>
      <c r="AY360" s="2279">
        <f t="shared" si="186"/>
        <v>0</v>
      </c>
      <c r="AZ360" s="2675">
        <f t="shared" si="187"/>
        <v>0</v>
      </c>
      <c r="BA360" s="2675">
        <f t="shared" si="188"/>
        <v>0</v>
      </c>
      <c r="BB360" s="2675">
        <f t="shared" si="189"/>
        <v>0</v>
      </c>
      <c r="BC360" s="2675">
        <f t="shared" si="190"/>
        <v>0</v>
      </c>
      <c r="BD360" s="2675">
        <f t="shared" si="191"/>
        <v>0</v>
      </c>
      <c r="BE360" s="2675">
        <f t="shared" si="192"/>
        <v>0</v>
      </c>
      <c r="BF360" s="2675">
        <f t="shared" si="193"/>
        <v>0</v>
      </c>
      <c r="BG360" s="2675">
        <f t="shared" si="194"/>
        <v>0</v>
      </c>
      <c r="BH360" s="2675">
        <f t="shared" si="195"/>
        <v>0</v>
      </c>
      <c r="BI360" s="2675">
        <f t="shared" si="196"/>
        <v>0</v>
      </c>
      <c r="BJ360" s="2675">
        <f t="shared" si="197"/>
        <v>0</v>
      </c>
      <c r="BK360" s="2675">
        <f t="shared" si="198"/>
        <v>0</v>
      </c>
      <c r="BL360" s="2675">
        <f t="shared" si="199"/>
        <v>0</v>
      </c>
      <c r="BM360" s="2675">
        <f t="shared" si="200"/>
        <v>0</v>
      </c>
      <c r="BN360" s="2675">
        <f t="shared" si="201"/>
        <v>0</v>
      </c>
      <c r="BO360" s="2675">
        <f t="shared" si="202"/>
        <v>0</v>
      </c>
      <c r="BP360" s="2675">
        <f t="shared" si="203"/>
        <v>0</v>
      </c>
      <c r="BQ360" s="2675">
        <f t="shared" si="204"/>
        <v>0</v>
      </c>
      <c r="BR360" s="2675">
        <f t="shared" si="205"/>
        <v>0</v>
      </c>
      <c r="BS360" s="2675">
        <f t="shared" si="206"/>
        <v>0</v>
      </c>
      <c r="BT360" s="2722">
        <f t="shared" si="207"/>
        <v>0</v>
      </c>
    </row>
    <row r="361" spans="1:72">
      <c r="A361" s="2673"/>
      <c r="B361" s="2674"/>
      <c r="C361" s="2674"/>
      <c r="D361" s="2277"/>
      <c r="E361" s="2675">
        <f t="shared" si="208"/>
        <v>0</v>
      </c>
      <c r="F361" s="2676"/>
      <c r="G361" s="2677">
        <f t="shared" si="183"/>
        <v>0</v>
      </c>
      <c r="H361" s="2678">
        <f t="shared" si="184"/>
        <v>0</v>
      </c>
      <c r="I361" s="2685"/>
      <c r="J361" s="2685"/>
      <c r="K361" s="2685"/>
      <c r="L361" s="2685"/>
      <c r="M361" s="2685"/>
      <c r="N361" s="2685"/>
      <c r="O361" s="2685"/>
      <c r="P361" s="2685"/>
      <c r="Q361" s="2685"/>
      <c r="R361" s="2685"/>
      <c r="S361" s="2685"/>
      <c r="T361" s="2685"/>
      <c r="U361" s="2685"/>
      <c r="V361" s="2685"/>
      <c r="W361" s="2685"/>
      <c r="X361" s="2685"/>
      <c r="Y361" s="2685"/>
      <c r="Z361" s="2685"/>
      <c r="AA361" s="2685"/>
      <c r="AB361" s="2685"/>
      <c r="AC361" s="2675">
        <f t="shared" si="185"/>
        <v>0</v>
      </c>
      <c r="AD361" s="2695"/>
      <c r="AE361" s="2695"/>
      <c r="AF361" s="2695"/>
      <c r="AG361" s="2695"/>
      <c r="AH361" s="2695"/>
      <c r="AI361" s="2695"/>
      <c r="AJ361" s="2695"/>
      <c r="AK361" s="2695"/>
      <c r="AL361" s="2695"/>
      <c r="AM361" s="2695"/>
      <c r="AN361" s="2695"/>
      <c r="AO361" s="2695"/>
      <c r="AP361" s="2695"/>
      <c r="AQ361" s="2695"/>
      <c r="AR361" s="2695"/>
      <c r="AS361" s="2695"/>
      <c r="AT361" s="2703"/>
      <c r="AU361" s="2704"/>
      <c r="AV361" s="1074">
        <f t="shared" si="209"/>
        <v>0</v>
      </c>
      <c r="AW361" s="1074">
        <f t="shared" si="210"/>
        <v>0</v>
      </c>
      <c r="AX361" s="1074">
        <f t="shared" si="211"/>
        <v>0</v>
      </c>
      <c r="AY361" s="2279">
        <f t="shared" si="186"/>
        <v>0</v>
      </c>
      <c r="AZ361" s="2675">
        <f t="shared" si="187"/>
        <v>0</v>
      </c>
      <c r="BA361" s="2675">
        <f t="shared" si="188"/>
        <v>0</v>
      </c>
      <c r="BB361" s="2675">
        <f t="shared" si="189"/>
        <v>0</v>
      </c>
      <c r="BC361" s="2675">
        <f t="shared" si="190"/>
        <v>0</v>
      </c>
      <c r="BD361" s="2675">
        <f t="shared" si="191"/>
        <v>0</v>
      </c>
      <c r="BE361" s="2675">
        <f t="shared" si="192"/>
        <v>0</v>
      </c>
      <c r="BF361" s="2675">
        <f t="shared" si="193"/>
        <v>0</v>
      </c>
      <c r="BG361" s="2675">
        <f t="shared" si="194"/>
        <v>0</v>
      </c>
      <c r="BH361" s="2675">
        <f t="shared" si="195"/>
        <v>0</v>
      </c>
      <c r="BI361" s="2675">
        <f t="shared" si="196"/>
        <v>0</v>
      </c>
      <c r="BJ361" s="2675">
        <f t="shared" si="197"/>
        <v>0</v>
      </c>
      <c r="BK361" s="2675">
        <f t="shared" si="198"/>
        <v>0</v>
      </c>
      <c r="BL361" s="2675">
        <f t="shared" si="199"/>
        <v>0</v>
      </c>
      <c r="BM361" s="2675">
        <f t="shared" si="200"/>
        <v>0</v>
      </c>
      <c r="BN361" s="2675">
        <f t="shared" si="201"/>
        <v>0</v>
      </c>
      <c r="BO361" s="2675">
        <f t="shared" si="202"/>
        <v>0</v>
      </c>
      <c r="BP361" s="2675">
        <f t="shared" si="203"/>
        <v>0</v>
      </c>
      <c r="BQ361" s="2675">
        <f t="shared" si="204"/>
        <v>0</v>
      </c>
      <c r="BR361" s="2675">
        <f t="shared" si="205"/>
        <v>0</v>
      </c>
      <c r="BS361" s="2675">
        <f t="shared" si="206"/>
        <v>0</v>
      </c>
      <c r="BT361" s="2722">
        <f t="shared" si="207"/>
        <v>0</v>
      </c>
    </row>
    <row r="362" spans="1:72">
      <c r="A362" s="2673"/>
      <c r="B362" s="2674"/>
      <c r="C362" s="2674"/>
      <c r="D362" s="2277"/>
      <c r="E362" s="2675">
        <f t="shared" si="208"/>
        <v>0</v>
      </c>
      <c r="F362" s="2676"/>
      <c r="G362" s="2677">
        <f t="shared" si="183"/>
        <v>0</v>
      </c>
      <c r="H362" s="2678">
        <f t="shared" si="184"/>
        <v>0</v>
      </c>
      <c r="I362" s="2685"/>
      <c r="J362" s="2685"/>
      <c r="K362" s="2685"/>
      <c r="L362" s="2685"/>
      <c r="M362" s="2685"/>
      <c r="N362" s="2685"/>
      <c r="O362" s="2685"/>
      <c r="P362" s="2685"/>
      <c r="Q362" s="2685"/>
      <c r="R362" s="2685"/>
      <c r="S362" s="2685"/>
      <c r="T362" s="2685"/>
      <c r="U362" s="2685"/>
      <c r="V362" s="2685"/>
      <c r="W362" s="2685"/>
      <c r="X362" s="2685"/>
      <c r="Y362" s="2685"/>
      <c r="Z362" s="2685"/>
      <c r="AA362" s="2685"/>
      <c r="AB362" s="2685"/>
      <c r="AC362" s="2675">
        <f t="shared" si="185"/>
        <v>0</v>
      </c>
      <c r="AD362" s="2695"/>
      <c r="AE362" s="2695"/>
      <c r="AF362" s="2695"/>
      <c r="AG362" s="2695"/>
      <c r="AH362" s="2695"/>
      <c r="AI362" s="2695"/>
      <c r="AJ362" s="2695"/>
      <c r="AK362" s="2695"/>
      <c r="AL362" s="2695"/>
      <c r="AM362" s="2695"/>
      <c r="AN362" s="2695"/>
      <c r="AO362" s="2695"/>
      <c r="AP362" s="2695"/>
      <c r="AQ362" s="2695"/>
      <c r="AR362" s="2695"/>
      <c r="AS362" s="2695"/>
      <c r="AT362" s="2703"/>
      <c r="AU362" s="2704"/>
      <c r="AV362" s="1074">
        <f t="shared" si="209"/>
        <v>0</v>
      </c>
      <c r="AW362" s="1074">
        <f t="shared" si="210"/>
        <v>0</v>
      </c>
      <c r="AX362" s="1074">
        <f t="shared" si="211"/>
        <v>0</v>
      </c>
      <c r="AY362" s="2279">
        <f t="shared" si="186"/>
        <v>0</v>
      </c>
      <c r="AZ362" s="2675">
        <f t="shared" si="187"/>
        <v>0</v>
      </c>
      <c r="BA362" s="2675">
        <f t="shared" si="188"/>
        <v>0</v>
      </c>
      <c r="BB362" s="2675">
        <f t="shared" si="189"/>
        <v>0</v>
      </c>
      <c r="BC362" s="2675">
        <f t="shared" si="190"/>
        <v>0</v>
      </c>
      <c r="BD362" s="2675">
        <f t="shared" si="191"/>
        <v>0</v>
      </c>
      <c r="BE362" s="2675">
        <f t="shared" si="192"/>
        <v>0</v>
      </c>
      <c r="BF362" s="2675">
        <f t="shared" si="193"/>
        <v>0</v>
      </c>
      <c r="BG362" s="2675">
        <f t="shared" si="194"/>
        <v>0</v>
      </c>
      <c r="BH362" s="2675">
        <f t="shared" si="195"/>
        <v>0</v>
      </c>
      <c r="BI362" s="2675">
        <f t="shared" si="196"/>
        <v>0</v>
      </c>
      <c r="BJ362" s="2675">
        <f t="shared" si="197"/>
        <v>0</v>
      </c>
      <c r="BK362" s="2675">
        <f t="shared" si="198"/>
        <v>0</v>
      </c>
      <c r="BL362" s="2675">
        <f t="shared" si="199"/>
        <v>0</v>
      </c>
      <c r="BM362" s="2675">
        <f t="shared" si="200"/>
        <v>0</v>
      </c>
      <c r="BN362" s="2675">
        <f t="shared" si="201"/>
        <v>0</v>
      </c>
      <c r="BO362" s="2675">
        <f t="shared" si="202"/>
        <v>0</v>
      </c>
      <c r="BP362" s="2675">
        <f t="shared" si="203"/>
        <v>0</v>
      </c>
      <c r="BQ362" s="2675">
        <f t="shared" si="204"/>
        <v>0</v>
      </c>
      <c r="BR362" s="2675">
        <f t="shared" si="205"/>
        <v>0</v>
      </c>
      <c r="BS362" s="2675">
        <f t="shared" si="206"/>
        <v>0</v>
      </c>
      <c r="BT362" s="2722">
        <f t="shared" si="207"/>
        <v>0</v>
      </c>
    </row>
    <row r="363" spans="1:72">
      <c r="A363" s="2673"/>
      <c r="B363" s="2674"/>
      <c r="C363" s="2674"/>
      <c r="D363" s="2277"/>
      <c r="E363" s="2675">
        <f t="shared" si="208"/>
        <v>0</v>
      </c>
      <c r="F363" s="2676"/>
      <c r="G363" s="2677">
        <f t="shared" si="183"/>
        <v>0</v>
      </c>
      <c r="H363" s="2678">
        <f t="shared" si="184"/>
        <v>0</v>
      </c>
      <c r="I363" s="2685"/>
      <c r="J363" s="2685"/>
      <c r="K363" s="2685"/>
      <c r="L363" s="2685"/>
      <c r="M363" s="2685"/>
      <c r="N363" s="2685"/>
      <c r="O363" s="2685"/>
      <c r="P363" s="2685"/>
      <c r="Q363" s="2685"/>
      <c r="R363" s="2685"/>
      <c r="S363" s="2685"/>
      <c r="T363" s="2685"/>
      <c r="U363" s="2685"/>
      <c r="V363" s="2685"/>
      <c r="W363" s="2685"/>
      <c r="X363" s="2685"/>
      <c r="Y363" s="2685"/>
      <c r="Z363" s="2685"/>
      <c r="AA363" s="2685"/>
      <c r="AB363" s="2685"/>
      <c r="AC363" s="2675">
        <f t="shared" si="185"/>
        <v>0</v>
      </c>
      <c r="AD363" s="2695"/>
      <c r="AE363" s="2695"/>
      <c r="AF363" s="2695"/>
      <c r="AG363" s="2695"/>
      <c r="AH363" s="2695"/>
      <c r="AI363" s="2695"/>
      <c r="AJ363" s="2695"/>
      <c r="AK363" s="2695"/>
      <c r="AL363" s="2695"/>
      <c r="AM363" s="2695"/>
      <c r="AN363" s="2695"/>
      <c r="AO363" s="2695"/>
      <c r="AP363" s="2695"/>
      <c r="AQ363" s="2695"/>
      <c r="AR363" s="2695"/>
      <c r="AS363" s="2695"/>
      <c r="AT363" s="2703"/>
      <c r="AU363" s="2704"/>
      <c r="AV363" s="1074">
        <f t="shared" si="209"/>
        <v>0</v>
      </c>
      <c r="AW363" s="1074">
        <f t="shared" si="210"/>
        <v>0</v>
      </c>
      <c r="AX363" s="1074">
        <f t="shared" si="211"/>
        <v>0</v>
      </c>
      <c r="AY363" s="2279">
        <f t="shared" si="186"/>
        <v>0</v>
      </c>
      <c r="AZ363" s="2675">
        <f t="shared" si="187"/>
        <v>0</v>
      </c>
      <c r="BA363" s="2675">
        <f t="shared" si="188"/>
        <v>0</v>
      </c>
      <c r="BB363" s="2675">
        <f t="shared" si="189"/>
        <v>0</v>
      </c>
      <c r="BC363" s="2675">
        <f t="shared" si="190"/>
        <v>0</v>
      </c>
      <c r="BD363" s="2675">
        <f t="shared" si="191"/>
        <v>0</v>
      </c>
      <c r="BE363" s="2675">
        <f t="shared" si="192"/>
        <v>0</v>
      </c>
      <c r="BF363" s="2675">
        <f t="shared" si="193"/>
        <v>0</v>
      </c>
      <c r="BG363" s="2675">
        <f t="shared" si="194"/>
        <v>0</v>
      </c>
      <c r="BH363" s="2675">
        <f t="shared" si="195"/>
        <v>0</v>
      </c>
      <c r="BI363" s="2675">
        <f t="shared" si="196"/>
        <v>0</v>
      </c>
      <c r="BJ363" s="2675">
        <f t="shared" si="197"/>
        <v>0</v>
      </c>
      <c r="BK363" s="2675">
        <f t="shared" si="198"/>
        <v>0</v>
      </c>
      <c r="BL363" s="2675">
        <f t="shared" si="199"/>
        <v>0</v>
      </c>
      <c r="BM363" s="2675">
        <f t="shared" si="200"/>
        <v>0</v>
      </c>
      <c r="BN363" s="2675">
        <f t="shared" si="201"/>
        <v>0</v>
      </c>
      <c r="BO363" s="2675">
        <f t="shared" si="202"/>
        <v>0</v>
      </c>
      <c r="BP363" s="2675">
        <f t="shared" si="203"/>
        <v>0</v>
      </c>
      <c r="BQ363" s="2675">
        <f t="shared" si="204"/>
        <v>0</v>
      </c>
      <c r="BR363" s="2675">
        <f t="shared" si="205"/>
        <v>0</v>
      </c>
      <c r="BS363" s="2675">
        <f t="shared" si="206"/>
        <v>0</v>
      </c>
      <c r="BT363" s="2722">
        <f t="shared" si="207"/>
        <v>0</v>
      </c>
    </row>
    <row r="364" spans="1:72">
      <c r="A364" s="2673"/>
      <c r="B364" s="2674"/>
      <c r="C364" s="2674"/>
      <c r="D364" s="2277"/>
      <c r="E364" s="2675">
        <f t="shared" si="208"/>
        <v>0</v>
      </c>
      <c r="F364" s="2676"/>
      <c r="G364" s="2677">
        <f t="shared" ref="G364:G397" si="212">H364+AC364+AT364</f>
        <v>0</v>
      </c>
      <c r="H364" s="2678">
        <f t="shared" ref="H364:H397" si="213">SUMIF(I$12:AB$12,"总值",I364:AB364)</f>
        <v>0</v>
      </c>
      <c r="I364" s="2685"/>
      <c r="J364" s="2685"/>
      <c r="K364" s="2685"/>
      <c r="L364" s="2685"/>
      <c r="M364" s="2685"/>
      <c r="N364" s="2685"/>
      <c r="O364" s="2685"/>
      <c r="P364" s="2685"/>
      <c r="Q364" s="2685"/>
      <c r="R364" s="2685"/>
      <c r="S364" s="2685"/>
      <c r="T364" s="2685"/>
      <c r="U364" s="2685"/>
      <c r="V364" s="2685"/>
      <c r="W364" s="2685"/>
      <c r="X364" s="2685"/>
      <c r="Y364" s="2685"/>
      <c r="Z364" s="2685"/>
      <c r="AA364" s="2685"/>
      <c r="AB364" s="2685"/>
      <c r="AC364" s="2675">
        <f t="shared" ref="AC364:AC397" si="214">SUMIF(AD$12:AS$12,"总值",AD364:AS364)</f>
        <v>0</v>
      </c>
      <c r="AD364" s="2695"/>
      <c r="AE364" s="2695"/>
      <c r="AF364" s="2695"/>
      <c r="AG364" s="2695"/>
      <c r="AH364" s="2695"/>
      <c r="AI364" s="2695"/>
      <c r="AJ364" s="2695"/>
      <c r="AK364" s="2695"/>
      <c r="AL364" s="2695"/>
      <c r="AM364" s="2695"/>
      <c r="AN364" s="2695"/>
      <c r="AO364" s="2695"/>
      <c r="AP364" s="2695"/>
      <c r="AQ364" s="2695"/>
      <c r="AR364" s="2695"/>
      <c r="AS364" s="2695"/>
      <c r="AT364" s="2703"/>
      <c r="AU364" s="2704"/>
      <c r="AV364" s="1074">
        <f t="shared" si="209"/>
        <v>0</v>
      </c>
      <c r="AW364" s="1074">
        <f t="shared" si="210"/>
        <v>0</v>
      </c>
      <c r="AX364" s="1074">
        <f t="shared" si="211"/>
        <v>0</v>
      </c>
      <c r="AY364" s="2279">
        <f t="shared" ref="AY364:AY397" si="215">ROUND($AY$6*AZ364/$AZ$5,2)</f>
        <v>0</v>
      </c>
      <c r="AZ364" s="2675">
        <f t="shared" ref="AZ364:AZ397" si="216">BA364+BL364</f>
        <v>0</v>
      </c>
      <c r="BA364" s="2675">
        <f t="shared" ref="BA364:BA397" si="217">SUM(BB364:BK364)</f>
        <v>0</v>
      </c>
      <c r="BB364" s="2675">
        <f t="shared" ref="BB364:BB397" si="218">IF($D364="是",I364-J364,0)</f>
        <v>0</v>
      </c>
      <c r="BC364" s="2675">
        <f t="shared" ref="BC364:BC397" si="219">IF($D364="是",K364-L364,0)</f>
        <v>0</v>
      </c>
      <c r="BD364" s="2675">
        <f t="shared" ref="BD364:BD397" si="220">IF($D364="是",M364-N364,0)</f>
        <v>0</v>
      </c>
      <c r="BE364" s="2675">
        <f t="shared" ref="BE364:BE397" si="221">IF($D364="是",O364-P364,0)</f>
        <v>0</v>
      </c>
      <c r="BF364" s="2675">
        <f t="shared" ref="BF364:BF397" si="222">IF($D364="是",Q364-R364,0)</f>
        <v>0</v>
      </c>
      <c r="BG364" s="2675">
        <f t="shared" ref="BG364:BG397" si="223">IF($D364="是",S364-T364,0)</f>
        <v>0</v>
      </c>
      <c r="BH364" s="2675">
        <f t="shared" ref="BH364:BH397" si="224">IF($D364="是",U364-V364,0)</f>
        <v>0</v>
      </c>
      <c r="BI364" s="2675">
        <f t="shared" ref="BI364:BI397" si="225">IF($D364="是",W364-X364,0)</f>
        <v>0</v>
      </c>
      <c r="BJ364" s="2675">
        <f t="shared" ref="BJ364:BJ397" si="226">IF($D364="是",Y364-Z364,0)</f>
        <v>0</v>
      </c>
      <c r="BK364" s="2675">
        <f t="shared" ref="BK364:BK397" si="227">IF($D364="是",AA364-AB364,0)</f>
        <v>0</v>
      </c>
      <c r="BL364" s="2675">
        <f t="shared" ref="BL364:BL397" si="228">SUM(BM364:BT364)</f>
        <v>0</v>
      </c>
      <c r="BM364" s="2675">
        <f t="shared" ref="BM364:BM397" si="229">IF($D364="是",AD364-AE364,0)</f>
        <v>0</v>
      </c>
      <c r="BN364" s="2675">
        <f t="shared" ref="BN364:BN397" si="230">IF($D364="是",AF364-AG364,0)</f>
        <v>0</v>
      </c>
      <c r="BO364" s="2675">
        <f t="shared" ref="BO364:BO397" si="231">IF($D364="是",AH364-AI364,0)</f>
        <v>0</v>
      </c>
      <c r="BP364" s="2675">
        <f t="shared" ref="BP364:BP397" si="232">IF($D364="是",AJ364-AK364,0)</f>
        <v>0</v>
      </c>
      <c r="BQ364" s="2675">
        <f t="shared" ref="BQ364:BQ397" si="233">IF($D364="是",AL364-AM364,0)</f>
        <v>0</v>
      </c>
      <c r="BR364" s="2675">
        <f t="shared" ref="BR364:BR397" si="234">IF($D364="是",AN364-AO364,0)</f>
        <v>0</v>
      </c>
      <c r="BS364" s="2675">
        <f t="shared" ref="BS364:BS397" si="235">IF($D364="是",AP364-AQ364,0)</f>
        <v>0</v>
      </c>
      <c r="BT364" s="2722">
        <f t="shared" ref="BT364:BT397" si="236">IF($D364="是",AR364-AS364,0)</f>
        <v>0</v>
      </c>
    </row>
    <row r="365" spans="1:72">
      <c r="A365" s="2673"/>
      <c r="B365" s="2674"/>
      <c r="C365" s="2674"/>
      <c r="D365" s="2277"/>
      <c r="E365" s="2675">
        <f t="shared" si="208"/>
        <v>0</v>
      </c>
      <c r="F365" s="2676"/>
      <c r="G365" s="2677">
        <f t="shared" si="212"/>
        <v>0</v>
      </c>
      <c r="H365" s="2678">
        <f t="shared" si="213"/>
        <v>0</v>
      </c>
      <c r="I365" s="2685"/>
      <c r="J365" s="2685"/>
      <c r="K365" s="2685"/>
      <c r="L365" s="2685"/>
      <c r="M365" s="2685"/>
      <c r="N365" s="2685"/>
      <c r="O365" s="2685"/>
      <c r="P365" s="2685"/>
      <c r="Q365" s="2685"/>
      <c r="R365" s="2685"/>
      <c r="S365" s="2685"/>
      <c r="T365" s="2685"/>
      <c r="U365" s="2685"/>
      <c r="V365" s="2685"/>
      <c r="W365" s="2685"/>
      <c r="X365" s="2685"/>
      <c r="Y365" s="2685"/>
      <c r="Z365" s="2685"/>
      <c r="AA365" s="2685"/>
      <c r="AB365" s="2685"/>
      <c r="AC365" s="2675">
        <f t="shared" si="214"/>
        <v>0</v>
      </c>
      <c r="AD365" s="2695"/>
      <c r="AE365" s="2695"/>
      <c r="AF365" s="2695"/>
      <c r="AG365" s="2695"/>
      <c r="AH365" s="2695"/>
      <c r="AI365" s="2695"/>
      <c r="AJ365" s="2695"/>
      <c r="AK365" s="2695"/>
      <c r="AL365" s="2695"/>
      <c r="AM365" s="2695"/>
      <c r="AN365" s="2695"/>
      <c r="AO365" s="2695"/>
      <c r="AP365" s="2695"/>
      <c r="AQ365" s="2695"/>
      <c r="AR365" s="2695"/>
      <c r="AS365" s="2695"/>
      <c r="AT365" s="2703"/>
      <c r="AU365" s="2704"/>
      <c r="AV365" s="1074">
        <f t="shared" si="209"/>
        <v>0</v>
      </c>
      <c r="AW365" s="1074">
        <f t="shared" si="210"/>
        <v>0</v>
      </c>
      <c r="AX365" s="1074">
        <f t="shared" si="211"/>
        <v>0</v>
      </c>
      <c r="AY365" s="2279">
        <f t="shared" si="215"/>
        <v>0</v>
      </c>
      <c r="AZ365" s="2675">
        <f t="shared" si="216"/>
        <v>0</v>
      </c>
      <c r="BA365" s="2675">
        <f t="shared" si="217"/>
        <v>0</v>
      </c>
      <c r="BB365" s="2675">
        <f t="shared" si="218"/>
        <v>0</v>
      </c>
      <c r="BC365" s="2675">
        <f t="shared" si="219"/>
        <v>0</v>
      </c>
      <c r="BD365" s="2675">
        <f t="shared" si="220"/>
        <v>0</v>
      </c>
      <c r="BE365" s="2675">
        <f t="shared" si="221"/>
        <v>0</v>
      </c>
      <c r="BF365" s="2675">
        <f t="shared" si="222"/>
        <v>0</v>
      </c>
      <c r="BG365" s="2675">
        <f t="shared" si="223"/>
        <v>0</v>
      </c>
      <c r="BH365" s="2675">
        <f t="shared" si="224"/>
        <v>0</v>
      </c>
      <c r="BI365" s="2675">
        <f t="shared" si="225"/>
        <v>0</v>
      </c>
      <c r="BJ365" s="2675">
        <f t="shared" si="226"/>
        <v>0</v>
      </c>
      <c r="BK365" s="2675">
        <f t="shared" si="227"/>
        <v>0</v>
      </c>
      <c r="BL365" s="2675">
        <f t="shared" si="228"/>
        <v>0</v>
      </c>
      <c r="BM365" s="2675">
        <f t="shared" si="229"/>
        <v>0</v>
      </c>
      <c r="BN365" s="2675">
        <f t="shared" si="230"/>
        <v>0</v>
      </c>
      <c r="BO365" s="2675">
        <f t="shared" si="231"/>
        <v>0</v>
      </c>
      <c r="BP365" s="2675">
        <f t="shared" si="232"/>
        <v>0</v>
      </c>
      <c r="BQ365" s="2675">
        <f t="shared" si="233"/>
        <v>0</v>
      </c>
      <c r="BR365" s="2675">
        <f t="shared" si="234"/>
        <v>0</v>
      </c>
      <c r="BS365" s="2675">
        <f t="shared" si="235"/>
        <v>0</v>
      </c>
      <c r="BT365" s="2722">
        <f t="shared" si="236"/>
        <v>0</v>
      </c>
    </row>
    <row r="366" spans="1:72">
      <c r="A366" s="2673"/>
      <c r="B366" s="2674"/>
      <c r="C366" s="2674"/>
      <c r="D366" s="2277"/>
      <c r="E366" s="2675">
        <f t="shared" si="208"/>
        <v>0</v>
      </c>
      <c r="F366" s="2676"/>
      <c r="G366" s="2677">
        <f t="shared" si="212"/>
        <v>0</v>
      </c>
      <c r="H366" s="2678">
        <f t="shared" si="213"/>
        <v>0</v>
      </c>
      <c r="I366" s="2685"/>
      <c r="J366" s="2685"/>
      <c r="K366" s="2685"/>
      <c r="L366" s="2685"/>
      <c r="M366" s="2685"/>
      <c r="N366" s="2685"/>
      <c r="O366" s="2685"/>
      <c r="P366" s="2685"/>
      <c r="Q366" s="2685"/>
      <c r="R366" s="2685"/>
      <c r="S366" s="2685"/>
      <c r="T366" s="2685"/>
      <c r="U366" s="2685"/>
      <c r="V366" s="2685"/>
      <c r="W366" s="2685"/>
      <c r="X366" s="2685"/>
      <c r="Y366" s="2685"/>
      <c r="Z366" s="2685"/>
      <c r="AA366" s="2685"/>
      <c r="AB366" s="2685"/>
      <c r="AC366" s="2675">
        <f t="shared" si="214"/>
        <v>0</v>
      </c>
      <c r="AD366" s="2695"/>
      <c r="AE366" s="2695"/>
      <c r="AF366" s="2695"/>
      <c r="AG366" s="2695"/>
      <c r="AH366" s="2695"/>
      <c r="AI366" s="2695"/>
      <c r="AJ366" s="2695"/>
      <c r="AK366" s="2695"/>
      <c r="AL366" s="2695"/>
      <c r="AM366" s="2695"/>
      <c r="AN366" s="2695"/>
      <c r="AO366" s="2695"/>
      <c r="AP366" s="2695"/>
      <c r="AQ366" s="2695"/>
      <c r="AR366" s="2695"/>
      <c r="AS366" s="2695"/>
      <c r="AT366" s="2703"/>
      <c r="AU366" s="2704"/>
      <c r="AV366" s="1074">
        <f t="shared" si="209"/>
        <v>0</v>
      </c>
      <c r="AW366" s="1074">
        <f t="shared" si="210"/>
        <v>0</v>
      </c>
      <c r="AX366" s="1074">
        <f t="shared" si="211"/>
        <v>0</v>
      </c>
      <c r="AY366" s="2279">
        <f t="shared" si="215"/>
        <v>0</v>
      </c>
      <c r="AZ366" s="2675">
        <f t="shared" si="216"/>
        <v>0</v>
      </c>
      <c r="BA366" s="2675">
        <f t="shared" si="217"/>
        <v>0</v>
      </c>
      <c r="BB366" s="2675">
        <f t="shared" si="218"/>
        <v>0</v>
      </c>
      <c r="BC366" s="2675">
        <f t="shared" si="219"/>
        <v>0</v>
      </c>
      <c r="BD366" s="2675">
        <f t="shared" si="220"/>
        <v>0</v>
      </c>
      <c r="BE366" s="2675">
        <f t="shared" si="221"/>
        <v>0</v>
      </c>
      <c r="BF366" s="2675">
        <f t="shared" si="222"/>
        <v>0</v>
      </c>
      <c r="BG366" s="2675">
        <f t="shared" si="223"/>
        <v>0</v>
      </c>
      <c r="BH366" s="2675">
        <f t="shared" si="224"/>
        <v>0</v>
      </c>
      <c r="BI366" s="2675">
        <f t="shared" si="225"/>
        <v>0</v>
      </c>
      <c r="BJ366" s="2675">
        <f t="shared" si="226"/>
        <v>0</v>
      </c>
      <c r="BK366" s="2675">
        <f t="shared" si="227"/>
        <v>0</v>
      </c>
      <c r="BL366" s="2675">
        <f t="shared" si="228"/>
        <v>0</v>
      </c>
      <c r="BM366" s="2675">
        <f t="shared" si="229"/>
        <v>0</v>
      </c>
      <c r="BN366" s="2675">
        <f t="shared" si="230"/>
        <v>0</v>
      </c>
      <c r="BO366" s="2675">
        <f t="shared" si="231"/>
        <v>0</v>
      </c>
      <c r="BP366" s="2675">
        <f t="shared" si="232"/>
        <v>0</v>
      </c>
      <c r="BQ366" s="2675">
        <f t="shared" si="233"/>
        <v>0</v>
      </c>
      <c r="BR366" s="2675">
        <f t="shared" si="234"/>
        <v>0</v>
      </c>
      <c r="BS366" s="2675">
        <f t="shared" si="235"/>
        <v>0</v>
      </c>
      <c r="BT366" s="2722">
        <f t="shared" si="236"/>
        <v>0</v>
      </c>
    </row>
    <row r="367" spans="1:72">
      <c r="A367" s="2673"/>
      <c r="B367" s="2674"/>
      <c r="C367" s="2674"/>
      <c r="D367" s="2277"/>
      <c r="E367" s="2675">
        <f t="shared" ref="E367:E397" si="237">IF($C$3="是",ROUND($A$3*G367/$B$3,2),ROUND($A$3*(G367-AT367)/$B$3,2))</f>
        <v>0</v>
      </c>
      <c r="F367" s="2676"/>
      <c r="G367" s="2677">
        <f t="shared" si="212"/>
        <v>0</v>
      </c>
      <c r="H367" s="2678">
        <f t="shared" si="213"/>
        <v>0</v>
      </c>
      <c r="I367" s="2685"/>
      <c r="J367" s="2685"/>
      <c r="K367" s="2685"/>
      <c r="L367" s="2685"/>
      <c r="M367" s="2685"/>
      <c r="N367" s="2685"/>
      <c r="O367" s="2685"/>
      <c r="P367" s="2685"/>
      <c r="Q367" s="2685"/>
      <c r="R367" s="2685"/>
      <c r="S367" s="2685"/>
      <c r="T367" s="2685"/>
      <c r="U367" s="2685"/>
      <c r="V367" s="2685"/>
      <c r="W367" s="2685"/>
      <c r="X367" s="2685"/>
      <c r="Y367" s="2685"/>
      <c r="Z367" s="2685"/>
      <c r="AA367" s="2685"/>
      <c r="AB367" s="2685"/>
      <c r="AC367" s="2675">
        <f t="shared" si="214"/>
        <v>0</v>
      </c>
      <c r="AD367" s="2695"/>
      <c r="AE367" s="2695"/>
      <c r="AF367" s="2695"/>
      <c r="AG367" s="2695"/>
      <c r="AH367" s="2695"/>
      <c r="AI367" s="2695"/>
      <c r="AJ367" s="2695"/>
      <c r="AK367" s="2695"/>
      <c r="AL367" s="2695"/>
      <c r="AM367" s="2695"/>
      <c r="AN367" s="2695"/>
      <c r="AO367" s="2695"/>
      <c r="AP367" s="2695"/>
      <c r="AQ367" s="2695"/>
      <c r="AR367" s="2695"/>
      <c r="AS367" s="2695"/>
      <c r="AT367" s="2703"/>
      <c r="AU367" s="2704"/>
      <c r="AV367" s="1074">
        <f t="shared" ref="AV367:AV397" si="238">A367</f>
        <v>0</v>
      </c>
      <c r="AW367" s="1074">
        <f t="shared" ref="AW367:AW397" si="239">B367</f>
        <v>0</v>
      </c>
      <c r="AX367" s="1074">
        <f t="shared" ref="AX367:AX397" si="240">C367</f>
        <v>0</v>
      </c>
      <c r="AY367" s="2279">
        <f t="shared" si="215"/>
        <v>0</v>
      </c>
      <c r="AZ367" s="2675">
        <f t="shared" si="216"/>
        <v>0</v>
      </c>
      <c r="BA367" s="2675">
        <f t="shared" si="217"/>
        <v>0</v>
      </c>
      <c r="BB367" s="2675">
        <f t="shared" si="218"/>
        <v>0</v>
      </c>
      <c r="BC367" s="2675">
        <f t="shared" si="219"/>
        <v>0</v>
      </c>
      <c r="BD367" s="2675">
        <f t="shared" si="220"/>
        <v>0</v>
      </c>
      <c r="BE367" s="2675">
        <f t="shared" si="221"/>
        <v>0</v>
      </c>
      <c r="BF367" s="2675">
        <f t="shared" si="222"/>
        <v>0</v>
      </c>
      <c r="BG367" s="2675">
        <f t="shared" si="223"/>
        <v>0</v>
      </c>
      <c r="BH367" s="2675">
        <f t="shared" si="224"/>
        <v>0</v>
      </c>
      <c r="BI367" s="2675">
        <f t="shared" si="225"/>
        <v>0</v>
      </c>
      <c r="BJ367" s="2675">
        <f t="shared" si="226"/>
        <v>0</v>
      </c>
      <c r="BK367" s="2675">
        <f t="shared" si="227"/>
        <v>0</v>
      </c>
      <c r="BL367" s="2675">
        <f t="shared" si="228"/>
        <v>0</v>
      </c>
      <c r="BM367" s="2675">
        <f t="shared" si="229"/>
        <v>0</v>
      </c>
      <c r="BN367" s="2675">
        <f t="shared" si="230"/>
        <v>0</v>
      </c>
      <c r="BO367" s="2675">
        <f t="shared" si="231"/>
        <v>0</v>
      </c>
      <c r="BP367" s="2675">
        <f t="shared" si="232"/>
        <v>0</v>
      </c>
      <c r="BQ367" s="2675">
        <f t="shared" si="233"/>
        <v>0</v>
      </c>
      <c r="BR367" s="2675">
        <f t="shared" si="234"/>
        <v>0</v>
      </c>
      <c r="BS367" s="2675">
        <f t="shared" si="235"/>
        <v>0</v>
      </c>
      <c r="BT367" s="2722">
        <f t="shared" si="236"/>
        <v>0</v>
      </c>
    </row>
    <row r="368" spans="1:72">
      <c r="A368" s="2673"/>
      <c r="B368" s="2674"/>
      <c r="C368" s="2674"/>
      <c r="D368" s="2277"/>
      <c r="E368" s="2675">
        <f t="shared" si="237"/>
        <v>0</v>
      </c>
      <c r="F368" s="2676"/>
      <c r="G368" s="2677">
        <f t="shared" si="212"/>
        <v>0</v>
      </c>
      <c r="H368" s="2678">
        <f t="shared" si="213"/>
        <v>0</v>
      </c>
      <c r="I368" s="2685"/>
      <c r="J368" s="2685"/>
      <c r="K368" s="2685"/>
      <c r="L368" s="2685"/>
      <c r="M368" s="2685"/>
      <c r="N368" s="2685"/>
      <c r="O368" s="2685"/>
      <c r="P368" s="2685"/>
      <c r="Q368" s="2685"/>
      <c r="R368" s="2685"/>
      <c r="S368" s="2685"/>
      <c r="T368" s="2685"/>
      <c r="U368" s="2685"/>
      <c r="V368" s="2685"/>
      <c r="W368" s="2685"/>
      <c r="X368" s="2685"/>
      <c r="Y368" s="2685"/>
      <c r="Z368" s="2685"/>
      <c r="AA368" s="2685"/>
      <c r="AB368" s="2685"/>
      <c r="AC368" s="2675">
        <f t="shared" si="214"/>
        <v>0</v>
      </c>
      <c r="AD368" s="2695"/>
      <c r="AE368" s="2695"/>
      <c r="AF368" s="2695"/>
      <c r="AG368" s="2695"/>
      <c r="AH368" s="2695"/>
      <c r="AI368" s="2695"/>
      <c r="AJ368" s="2695"/>
      <c r="AK368" s="2695"/>
      <c r="AL368" s="2695"/>
      <c r="AM368" s="2695"/>
      <c r="AN368" s="2695"/>
      <c r="AO368" s="2695"/>
      <c r="AP368" s="2695"/>
      <c r="AQ368" s="2695"/>
      <c r="AR368" s="2695"/>
      <c r="AS368" s="2695"/>
      <c r="AT368" s="2703"/>
      <c r="AU368" s="2704"/>
      <c r="AV368" s="1074">
        <f t="shared" si="238"/>
        <v>0</v>
      </c>
      <c r="AW368" s="1074">
        <f t="shared" si="239"/>
        <v>0</v>
      </c>
      <c r="AX368" s="1074">
        <f t="shared" si="240"/>
        <v>0</v>
      </c>
      <c r="AY368" s="2279">
        <f t="shared" si="215"/>
        <v>0</v>
      </c>
      <c r="AZ368" s="2675">
        <f t="shared" si="216"/>
        <v>0</v>
      </c>
      <c r="BA368" s="2675">
        <f t="shared" si="217"/>
        <v>0</v>
      </c>
      <c r="BB368" s="2675">
        <f t="shared" si="218"/>
        <v>0</v>
      </c>
      <c r="BC368" s="2675">
        <f t="shared" si="219"/>
        <v>0</v>
      </c>
      <c r="BD368" s="2675">
        <f t="shared" si="220"/>
        <v>0</v>
      </c>
      <c r="BE368" s="2675">
        <f t="shared" si="221"/>
        <v>0</v>
      </c>
      <c r="BF368" s="2675">
        <f t="shared" si="222"/>
        <v>0</v>
      </c>
      <c r="BG368" s="2675">
        <f t="shared" si="223"/>
        <v>0</v>
      </c>
      <c r="BH368" s="2675">
        <f t="shared" si="224"/>
        <v>0</v>
      </c>
      <c r="BI368" s="2675">
        <f t="shared" si="225"/>
        <v>0</v>
      </c>
      <c r="BJ368" s="2675">
        <f t="shared" si="226"/>
        <v>0</v>
      </c>
      <c r="BK368" s="2675">
        <f t="shared" si="227"/>
        <v>0</v>
      </c>
      <c r="BL368" s="2675">
        <f t="shared" si="228"/>
        <v>0</v>
      </c>
      <c r="BM368" s="2675">
        <f t="shared" si="229"/>
        <v>0</v>
      </c>
      <c r="BN368" s="2675">
        <f t="shared" si="230"/>
        <v>0</v>
      </c>
      <c r="BO368" s="2675">
        <f t="shared" si="231"/>
        <v>0</v>
      </c>
      <c r="BP368" s="2675">
        <f t="shared" si="232"/>
        <v>0</v>
      </c>
      <c r="BQ368" s="2675">
        <f t="shared" si="233"/>
        <v>0</v>
      </c>
      <c r="BR368" s="2675">
        <f t="shared" si="234"/>
        <v>0</v>
      </c>
      <c r="BS368" s="2675">
        <f t="shared" si="235"/>
        <v>0</v>
      </c>
      <c r="BT368" s="2722">
        <f t="shared" si="236"/>
        <v>0</v>
      </c>
    </row>
    <row r="369" spans="1:72">
      <c r="A369" s="2673"/>
      <c r="B369" s="2674"/>
      <c r="C369" s="2674"/>
      <c r="D369" s="2277"/>
      <c r="E369" s="2675">
        <f t="shared" si="237"/>
        <v>0</v>
      </c>
      <c r="F369" s="2676"/>
      <c r="G369" s="2677">
        <f t="shared" si="212"/>
        <v>0</v>
      </c>
      <c r="H369" s="2678">
        <f t="shared" si="213"/>
        <v>0</v>
      </c>
      <c r="I369" s="2685"/>
      <c r="J369" s="2685"/>
      <c r="K369" s="2685"/>
      <c r="L369" s="2685"/>
      <c r="M369" s="2685"/>
      <c r="N369" s="2685"/>
      <c r="O369" s="2685"/>
      <c r="P369" s="2685"/>
      <c r="Q369" s="2685"/>
      <c r="R369" s="2685"/>
      <c r="S369" s="2685"/>
      <c r="T369" s="2685"/>
      <c r="U369" s="2685"/>
      <c r="V369" s="2685"/>
      <c r="W369" s="2685"/>
      <c r="X369" s="2685"/>
      <c r="Y369" s="2685"/>
      <c r="Z369" s="2685"/>
      <c r="AA369" s="2685"/>
      <c r="AB369" s="2685"/>
      <c r="AC369" s="2675">
        <f t="shared" si="214"/>
        <v>0</v>
      </c>
      <c r="AD369" s="2695"/>
      <c r="AE369" s="2695"/>
      <c r="AF369" s="2695"/>
      <c r="AG369" s="2695"/>
      <c r="AH369" s="2695"/>
      <c r="AI369" s="2695"/>
      <c r="AJ369" s="2695"/>
      <c r="AK369" s="2695"/>
      <c r="AL369" s="2695"/>
      <c r="AM369" s="2695"/>
      <c r="AN369" s="2695"/>
      <c r="AO369" s="2695"/>
      <c r="AP369" s="2695"/>
      <c r="AQ369" s="2695"/>
      <c r="AR369" s="2695"/>
      <c r="AS369" s="2695"/>
      <c r="AT369" s="2703"/>
      <c r="AU369" s="2704"/>
      <c r="AV369" s="1074">
        <f t="shared" si="238"/>
        <v>0</v>
      </c>
      <c r="AW369" s="1074">
        <f t="shared" si="239"/>
        <v>0</v>
      </c>
      <c r="AX369" s="1074">
        <f t="shared" si="240"/>
        <v>0</v>
      </c>
      <c r="AY369" s="2279">
        <f t="shared" si="215"/>
        <v>0</v>
      </c>
      <c r="AZ369" s="2675">
        <f t="shared" si="216"/>
        <v>0</v>
      </c>
      <c r="BA369" s="2675">
        <f t="shared" si="217"/>
        <v>0</v>
      </c>
      <c r="BB369" s="2675">
        <f t="shared" si="218"/>
        <v>0</v>
      </c>
      <c r="BC369" s="2675">
        <f t="shared" si="219"/>
        <v>0</v>
      </c>
      <c r="BD369" s="2675">
        <f t="shared" si="220"/>
        <v>0</v>
      </c>
      <c r="BE369" s="2675">
        <f t="shared" si="221"/>
        <v>0</v>
      </c>
      <c r="BF369" s="2675">
        <f t="shared" si="222"/>
        <v>0</v>
      </c>
      <c r="BG369" s="2675">
        <f t="shared" si="223"/>
        <v>0</v>
      </c>
      <c r="BH369" s="2675">
        <f t="shared" si="224"/>
        <v>0</v>
      </c>
      <c r="BI369" s="2675">
        <f t="shared" si="225"/>
        <v>0</v>
      </c>
      <c r="BJ369" s="2675">
        <f t="shared" si="226"/>
        <v>0</v>
      </c>
      <c r="BK369" s="2675">
        <f t="shared" si="227"/>
        <v>0</v>
      </c>
      <c r="BL369" s="2675">
        <f t="shared" si="228"/>
        <v>0</v>
      </c>
      <c r="BM369" s="2675">
        <f t="shared" si="229"/>
        <v>0</v>
      </c>
      <c r="BN369" s="2675">
        <f t="shared" si="230"/>
        <v>0</v>
      </c>
      <c r="BO369" s="2675">
        <f t="shared" si="231"/>
        <v>0</v>
      </c>
      <c r="BP369" s="2675">
        <f t="shared" si="232"/>
        <v>0</v>
      </c>
      <c r="BQ369" s="2675">
        <f t="shared" si="233"/>
        <v>0</v>
      </c>
      <c r="BR369" s="2675">
        <f t="shared" si="234"/>
        <v>0</v>
      </c>
      <c r="BS369" s="2675">
        <f t="shared" si="235"/>
        <v>0</v>
      </c>
      <c r="BT369" s="2722">
        <f t="shared" si="236"/>
        <v>0</v>
      </c>
    </row>
    <row r="370" spans="1:72">
      <c r="A370" s="2673"/>
      <c r="B370" s="2674"/>
      <c r="C370" s="2674"/>
      <c r="D370" s="2277"/>
      <c r="E370" s="2675">
        <f t="shared" si="237"/>
        <v>0</v>
      </c>
      <c r="F370" s="2676"/>
      <c r="G370" s="2677">
        <f t="shared" si="212"/>
        <v>0</v>
      </c>
      <c r="H370" s="2678">
        <f t="shared" si="213"/>
        <v>0</v>
      </c>
      <c r="I370" s="2685"/>
      <c r="J370" s="2685"/>
      <c r="K370" s="2685"/>
      <c r="L370" s="2685"/>
      <c r="M370" s="2685"/>
      <c r="N370" s="2685"/>
      <c r="O370" s="2685"/>
      <c r="P370" s="2685"/>
      <c r="Q370" s="2685"/>
      <c r="R370" s="2685"/>
      <c r="S370" s="2685"/>
      <c r="T370" s="2685"/>
      <c r="U370" s="2685"/>
      <c r="V370" s="2685"/>
      <c r="W370" s="2685"/>
      <c r="X370" s="2685"/>
      <c r="Y370" s="2685"/>
      <c r="Z370" s="2685"/>
      <c r="AA370" s="2685"/>
      <c r="AB370" s="2685"/>
      <c r="AC370" s="2675">
        <f t="shared" si="214"/>
        <v>0</v>
      </c>
      <c r="AD370" s="2695"/>
      <c r="AE370" s="2695"/>
      <c r="AF370" s="2695"/>
      <c r="AG370" s="2695"/>
      <c r="AH370" s="2695"/>
      <c r="AI370" s="2695"/>
      <c r="AJ370" s="2695"/>
      <c r="AK370" s="2695"/>
      <c r="AL370" s="2695"/>
      <c r="AM370" s="2695"/>
      <c r="AN370" s="2695"/>
      <c r="AO370" s="2695"/>
      <c r="AP370" s="2695"/>
      <c r="AQ370" s="2695"/>
      <c r="AR370" s="2695"/>
      <c r="AS370" s="2695"/>
      <c r="AT370" s="2703"/>
      <c r="AU370" s="2704"/>
      <c r="AV370" s="1074">
        <f t="shared" si="238"/>
        <v>0</v>
      </c>
      <c r="AW370" s="1074">
        <f t="shared" si="239"/>
        <v>0</v>
      </c>
      <c r="AX370" s="1074">
        <f t="shared" si="240"/>
        <v>0</v>
      </c>
      <c r="AY370" s="2279">
        <f t="shared" si="215"/>
        <v>0</v>
      </c>
      <c r="AZ370" s="2675">
        <f t="shared" si="216"/>
        <v>0</v>
      </c>
      <c r="BA370" s="2675">
        <f t="shared" si="217"/>
        <v>0</v>
      </c>
      <c r="BB370" s="2675">
        <f t="shared" si="218"/>
        <v>0</v>
      </c>
      <c r="BC370" s="2675">
        <f t="shared" si="219"/>
        <v>0</v>
      </c>
      <c r="BD370" s="2675">
        <f t="shared" si="220"/>
        <v>0</v>
      </c>
      <c r="BE370" s="2675">
        <f t="shared" si="221"/>
        <v>0</v>
      </c>
      <c r="BF370" s="2675">
        <f t="shared" si="222"/>
        <v>0</v>
      </c>
      <c r="BG370" s="2675">
        <f t="shared" si="223"/>
        <v>0</v>
      </c>
      <c r="BH370" s="2675">
        <f t="shared" si="224"/>
        <v>0</v>
      </c>
      <c r="BI370" s="2675">
        <f t="shared" si="225"/>
        <v>0</v>
      </c>
      <c r="BJ370" s="2675">
        <f t="shared" si="226"/>
        <v>0</v>
      </c>
      <c r="BK370" s="2675">
        <f t="shared" si="227"/>
        <v>0</v>
      </c>
      <c r="BL370" s="2675">
        <f t="shared" si="228"/>
        <v>0</v>
      </c>
      <c r="BM370" s="2675">
        <f t="shared" si="229"/>
        <v>0</v>
      </c>
      <c r="BN370" s="2675">
        <f t="shared" si="230"/>
        <v>0</v>
      </c>
      <c r="BO370" s="2675">
        <f t="shared" si="231"/>
        <v>0</v>
      </c>
      <c r="BP370" s="2675">
        <f t="shared" si="232"/>
        <v>0</v>
      </c>
      <c r="BQ370" s="2675">
        <f t="shared" si="233"/>
        <v>0</v>
      </c>
      <c r="BR370" s="2675">
        <f t="shared" si="234"/>
        <v>0</v>
      </c>
      <c r="BS370" s="2675">
        <f t="shared" si="235"/>
        <v>0</v>
      </c>
      <c r="BT370" s="2722">
        <f t="shared" si="236"/>
        <v>0</v>
      </c>
    </row>
    <row r="371" spans="1:72">
      <c r="A371" s="2673"/>
      <c r="B371" s="2674"/>
      <c r="C371" s="2674"/>
      <c r="D371" s="2277"/>
      <c r="E371" s="2675">
        <f t="shared" si="237"/>
        <v>0</v>
      </c>
      <c r="F371" s="2676"/>
      <c r="G371" s="2677">
        <f t="shared" si="212"/>
        <v>0</v>
      </c>
      <c r="H371" s="2678">
        <f t="shared" si="213"/>
        <v>0</v>
      </c>
      <c r="I371" s="2685"/>
      <c r="J371" s="2685"/>
      <c r="K371" s="2685"/>
      <c r="L371" s="2685"/>
      <c r="M371" s="2685"/>
      <c r="N371" s="2685"/>
      <c r="O371" s="2685"/>
      <c r="P371" s="2685"/>
      <c r="Q371" s="2685"/>
      <c r="R371" s="2685"/>
      <c r="S371" s="2685"/>
      <c r="T371" s="2685"/>
      <c r="U371" s="2685"/>
      <c r="V371" s="2685"/>
      <c r="W371" s="2685"/>
      <c r="X371" s="2685"/>
      <c r="Y371" s="2685"/>
      <c r="Z371" s="2685"/>
      <c r="AA371" s="2685"/>
      <c r="AB371" s="2685"/>
      <c r="AC371" s="2675">
        <f t="shared" si="214"/>
        <v>0</v>
      </c>
      <c r="AD371" s="2695"/>
      <c r="AE371" s="2695"/>
      <c r="AF371" s="2695"/>
      <c r="AG371" s="2695"/>
      <c r="AH371" s="2695"/>
      <c r="AI371" s="2695"/>
      <c r="AJ371" s="2695"/>
      <c r="AK371" s="2695"/>
      <c r="AL371" s="2695"/>
      <c r="AM371" s="2695"/>
      <c r="AN371" s="2695"/>
      <c r="AO371" s="2695"/>
      <c r="AP371" s="2695"/>
      <c r="AQ371" s="2695"/>
      <c r="AR371" s="2695"/>
      <c r="AS371" s="2695"/>
      <c r="AT371" s="2703"/>
      <c r="AU371" s="2704"/>
      <c r="AV371" s="1074">
        <f t="shared" si="238"/>
        <v>0</v>
      </c>
      <c r="AW371" s="1074">
        <f t="shared" si="239"/>
        <v>0</v>
      </c>
      <c r="AX371" s="1074">
        <f t="shared" si="240"/>
        <v>0</v>
      </c>
      <c r="AY371" s="2279">
        <f t="shared" si="215"/>
        <v>0</v>
      </c>
      <c r="AZ371" s="2675">
        <f t="shared" si="216"/>
        <v>0</v>
      </c>
      <c r="BA371" s="2675">
        <f t="shared" si="217"/>
        <v>0</v>
      </c>
      <c r="BB371" s="2675">
        <f t="shared" si="218"/>
        <v>0</v>
      </c>
      <c r="BC371" s="2675">
        <f t="shared" si="219"/>
        <v>0</v>
      </c>
      <c r="BD371" s="2675">
        <f t="shared" si="220"/>
        <v>0</v>
      </c>
      <c r="BE371" s="2675">
        <f t="shared" si="221"/>
        <v>0</v>
      </c>
      <c r="BF371" s="2675">
        <f t="shared" si="222"/>
        <v>0</v>
      </c>
      <c r="BG371" s="2675">
        <f t="shared" si="223"/>
        <v>0</v>
      </c>
      <c r="BH371" s="2675">
        <f t="shared" si="224"/>
        <v>0</v>
      </c>
      <c r="BI371" s="2675">
        <f t="shared" si="225"/>
        <v>0</v>
      </c>
      <c r="BJ371" s="2675">
        <f t="shared" si="226"/>
        <v>0</v>
      </c>
      <c r="BK371" s="2675">
        <f t="shared" si="227"/>
        <v>0</v>
      </c>
      <c r="BL371" s="2675">
        <f t="shared" si="228"/>
        <v>0</v>
      </c>
      <c r="BM371" s="2675">
        <f t="shared" si="229"/>
        <v>0</v>
      </c>
      <c r="BN371" s="2675">
        <f t="shared" si="230"/>
        <v>0</v>
      </c>
      <c r="BO371" s="2675">
        <f t="shared" si="231"/>
        <v>0</v>
      </c>
      <c r="BP371" s="2675">
        <f t="shared" si="232"/>
        <v>0</v>
      </c>
      <c r="BQ371" s="2675">
        <f t="shared" si="233"/>
        <v>0</v>
      </c>
      <c r="BR371" s="2675">
        <f t="shared" si="234"/>
        <v>0</v>
      </c>
      <c r="BS371" s="2675">
        <f t="shared" si="235"/>
        <v>0</v>
      </c>
      <c r="BT371" s="2722">
        <f t="shared" si="236"/>
        <v>0</v>
      </c>
    </row>
    <row r="372" spans="1:72">
      <c r="A372" s="2673"/>
      <c r="B372" s="2674"/>
      <c r="C372" s="2674"/>
      <c r="D372" s="2277"/>
      <c r="E372" s="2675">
        <f t="shared" si="237"/>
        <v>0</v>
      </c>
      <c r="F372" s="2676"/>
      <c r="G372" s="2677">
        <f t="shared" si="212"/>
        <v>0</v>
      </c>
      <c r="H372" s="2678">
        <f t="shared" si="213"/>
        <v>0</v>
      </c>
      <c r="I372" s="2685"/>
      <c r="J372" s="2685"/>
      <c r="K372" s="2685"/>
      <c r="L372" s="2685"/>
      <c r="M372" s="2685"/>
      <c r="N372" s="2685"/>
      <c r="O372" s="2685"/>
      <c r="P372" s="2685"/>
      <c r="Q372" s="2685"/>
      <c r="R372" s="2685"/>
      <c r="S372" s="2685"/>
      <c r="T372" s="2685"/>
      <c r="U372" s="2685"/>
      <c r="V372" s="2685"/>
      <c r="W372" s="2685"/>
      <c r="X372" s="2685"/>
      <c r="Y372" s="2685"/>
      <c r="Z372" s="2685"/>
      <c r="AA372" s="2685"/>
      <c r="AB372" s="2685"/>
      <c r="AC372" s="2675">
        <f t="shared" si="214"/>
        <v>0</v>
      </c>
      <c r="AD372" s="2695"/>
      <c r="AE372" s="2695"/>
      <c r="AF372" s="2695"/>
      <c r="AG372" s="2695"/>
      <c r="AH372" s="2695"/>
      <c r="AI372" s="2695"/>
      <c r="AJ372" s="2695"/>
      <c r="AK372" s="2695"/>
      <c r="AL372" s="2695"/>
      <c r="AM372" s="2695"/>
      <c r="AN372" s="2695"/>
      <c r="AO372" s="2695"/>
      <c r="AP372" s="2695"/>
      <c r="AQ372" s="2695"/>
      <c r="AR372" s="2695"/>
      <c r="AS372" s="2695"/>
      <c r="AT372" s="2703"/>
      <c r="AU372" s="2704"/>
      <c r="AV372" s="1074">
        <f t="shared" si="238"/>
        <v>0</v>
      </c>
      <c r="AW372" s="1074">
        <f t="shared" si="239"/>
        <v>0</v>
      </c>
      <c r="AX372" s="1074">
        <f t="shared" si="240"/>
        <v>0</v>
      </c>
      <c r="AY372" s="2279">
        <f t="shared" si="215"/>
        <v>0</v>
      </c>
      <c r="AZ372" s="2675">
        <f t="shared" si="216"/>
        <v>0</v>
      </c>
      <c r="BA372" s="2675">
        <f t="shared" si="217"/>
        <v>0</v>
      </c>
      <c r="BB372" s="2675">
        <f t="shared" si="218"/>
        <v>0</v>
      </c>
      <c r="BC372" s="2675">
        <f t="shared" si="219"/>
        <v>0</v>
      </c>
      <c r="BD372" s="2675">
        <f t="shared" si="220"/>
        <v>0</v>
      </c>
      <c r="BE372" s="2675">
        <f t="shared" si="221"/>
        <v>0</v>
      </c>
      <c r="BF372" s="2675">
        <f t="shared" si="222"/>
        <v>0</v>
      </c>
      <c r="BG372" s="2675">
        <f t="shared" si="223"/>
        <v>0</v>
      </c>
      <c r="BH372" s="2675">
        <f t="shared" si="224"/>
        <v>0</v>
      </c>
      <c r="BI372" s="2675">
        <f t="shared" si="225"/>
        <v>0</v>
      </c>
      <c r="BJ372" s="2675">
        <f t="shared" si="226"/>
        <v>0</v>
      </c>
      <c r="BK372" s="2675">
        <f t="shared" si="227"/>
        <v>0</v>
      </c>
      <c r="BL372" s="2675">
        <f t="shared" si="228"/>
        <v>0</v>
      </c>
      <c r="BM372" s="2675">
        <f t="shared" si="229"/>
        <v>0</v>
      </c>
      <c r="BN372" s="2675">
        <f t="shared" si="230"/>
        <v>0</v>
      </c>
      <c r="BO372" s="2675">
        <f t="shared" si="231"/>
        <v>0</v>
      </c>
      <c r="BP372" s="2675">
        <f t="shared" si="232"/>
        <v>0</v>
      </c>
      <c r="BQ372" s="2675">
        <f t="shared" si="233"/>
        <v>0</v>
      </c>
      <c r="BR372" s="2675">
        <f t="shared" si="234"/>
        <v>0</v>
      </c>
      <c r="BS372" s="2675">
        <f t="shared" si="235"/>
        <v>0</v>
      </c>
      <c r="BT372" s="2722">
        <f t="shared" si="236"/>
        <v>0</v>
      </c>
    </row>
    <row r="373" spans="1:72">
      <c r="A373" s="2673"/>
      <c r="B373" s="2674"/>
      <c r="C373" s="2674"/>
      <c r="D373" s="2277"/>
      <c r="E373" s="2675">
        <f t="shared" si="237"/>
        <v>0</v>
      </c>
      <c r="F373" s="2676"/>
      <c r="G373" s="2677">
        <f t="shared" si="212"/>
        <v>0</v>
      </c>
      <c r="H373" s="2678">
        <f t="shared" si="213"/>
        <v>0</v>
      </c>
      <c r="I373" s="2685"/>
      <c r="J373" s="2685"/>
      <c r="K373" s="2685"/>
      <c r="L373" s="2685"/>
      <c r="M373" s="2685"/>
      <c r="N373" s="2685"/>
      <c r="O373" s="2685"/>
      <c r="P373" s="2685"/>
      <c r="Q373" s="2685"/>
      <c r="R373" s="2685"/>
      <c r="S373" s="2685"/>
      <c r="T373" s="2685"/>
      <c r="U373" s="2685"/>
      <c r="V373" s="2685"/>
      <c r="W373" s="2685"/>
      <c r="X373" s="2685"/>
      <c r="Y373" s="2685"/>
      <c r="Z373" s="2685"/>
      <c r="AA373" s="2685"/>
      <c r="AB373" s="2685"/>
      <c r="AC373" s="2675">
        <f t="shared" si="214"/>
        <v>0</v>
      </c>
      <c r="AD373" s="2695"/>
      <c r="AE373" s="2695"/>
      <c r="AF373" s="2695"/>
      <c r="AG373" s="2695"/>
      <c r="AH373" s="2695"/>
      <c r="AI373" s="2695"/>
      <c r="AJ373" s="2695"/>
      <c r="AK373" s="2695"/>
      <c r="AL373" s="2695"/>
      <c r="AM373" s="2695"/>
      <c r="AN373" s="2695"/>
      <c r="AO373" s="2695"/>
      <c r="AP373" s="2695"/>
      <c r="AQ373" s="2695"/>
      <c r="AR373" s="2695"/>
      <c r="AS373" s="2695"/>
      <c r="AT373" s="2703"/>
      <c r="AU373" s="2704"/>
      <c r="AV373" s="1074">
        <f t="shared" si="238"/>
        <v>0</v>
      </c>
      <c r="AW373" s="1074">
        <f t="shared" si="239"/>
        <v>0</v>
      </c>
      <c r="AX373" s="1074">
        <f t="shared" si="240"/>
        <v>0</v>
      </c>
      <c r="AY373" s="2279">
        <f t="shared" si="215"/>
        <v>0</v>
      </c>
      <c r="AZ373" s="2675">
        <f t="shared" si="216"/>
        <v>0</v>
      </c>
      <c r="BA373" s="2675">
        <f t="shared" si="217"/>
        <v>0</v>
      </c>
      <c r="BB373" s="2675">
        <f t="shared" si="218"/>
        <v>0</v>
      </c>
      <c r="BC373" s="2675">
        <f t="shared" si="219"/>
        <v>0</v>
      </c>
      <c r="BD373" s="2675">
        <f t="shared" si="220"/>
        <v>0</v>
      </c>
      <c r="BE373" s="2675">
        <f t="shared" si="221"/>
        <v>0</v>
      </c>
      <c r="BF373" s="2675">
        <f t="shared" si="222"/>
        <v>0</v>
      </c>
      <c r="BG373" s="2675">
        <f t="shared" si="223"/>
        <v>0</v>
      </c>
      <c r="BH373" s="2675">
        <f t="shared" si="224"/>
        <v>0</v>
      </c>
      <c r="BI373" s="2675">
        <f t="shared" si="225"/>
        <v>0</v>
      </c>
      <c r="BJ373" s="2675">
        <f t="shared" si="226"/>
        <v>0</v>
      </c>
      <c r="BK373" s="2675">
        <f t="shared" si="227"/>
        <v>0</v>
      </c>
      <c r="BL373" s="2675">
        <f t="shared" si="228"/>
        <v>0</v>
      </c>
      <c r="BM373" s="2675">
        <f t="shared" si="229"/>
        <v>0</v>
      </c>
      <c r="BN373" s="2675">
        <f t="shared" si="230"/>
        <v>0</v>
      </c>
      <c r="BO373" s="2675">
        <f t="shared" si="231"/>
        <v>0</v>
      </c>
      <c r="BP373" s="2675">
        <f t="shared" si="232"/>
        <v>0</v>
      </c>
      <c r="BQ373" s="2675">
        <f t="shared" si="233"/>
        <v>0</v>
      </c>
      <c r="BR373" s="2675">
        <f t="shared" si="234"/>
        <v>0</v>
      </c>
      <c r="BS373" s="2675">
        <f t="shared" si="235"/>
        <v>0</v>
      </c>
      <c r="BT373" s="2722">
        <f t="shared" si="236"/>
        <v>0</v>
      </c>
    </row>
    <row r="374" spans="1:72">
      <c r="A374" s="2673"/>
      <c r="B374" s="2674"/>
      <c r="C374" s="2674"/>
      <c r="D374" s="2277"/>
      <c r="E374" s="2675">
        <f t="shared" si="237"/>
        <v>0</v>
      </c>
      <c r="F374" s="2676"/>
      <c r="G374" s="2677">
        <f t="shared" si="212"/>
        <v>0</v>
      </c>
      <c r="H374" s="2678">
        <f t="shared" si="213"/>
        <v>0</v>
      </c>
      <c r="I374" s="2685"/>
      <c r="J374" s="2685"/>
      <c r="K374" s="2685"/>
      <c r="L374" s="2685"/>
      <c r="M374" s="2685"/>
      <c r="N374" s="2685"/>
      <c r="O374" s="2685"/>
      <c r="P374" s="2685"/>
      <c r="Q374" s="2685"/>
      <c r="R374" s="2685"/>
      <c r="S374" s="2685"/>
      <c r="T374" s="2685"/>
      <c r="U374" s="2685"/>
      <c r="V374" s="2685"/>
      <c r="W374" s="2685"/>
      <c r="X374" s="2685"/>
      <c r="Y374" s="2685"/>
      <c r="Z374" s="2685"/>
      <c r="AA374" s="2685"/>
      <c r="AB374" s="2685"/>
      <c r="AC374" s="2675">
        <f t="shared" si="214"/>
        <v>0</v>
      </c>
      <c r="AD374" s="2695"/>
      <c r="AE374" s="2695"/>
      <c r="AF374" s="2695"/>
      <c r="AG374" s="2695"/>
      <c r="AH374" s="2695"/>
      <c r="AI374" s="2695"/>
      <c r="AJ374" s="2695"/>
      <c r="AK374" s="2695"/>
      <c r="AL374" s="2695"/>
      <c r="AM374" s="2695"/>
      <c r="AN374" s="2695"/>
      <c r="AO374" s="2695"/>
      <c r="AP374" s="2695"/>
      <c r="AQ374" s="2695"/>
      <c r="AR374" s="2695"/>
      <c r="AS374" s="2695"/>
      <c r="AT374" s="2703"/>
      <c r="AU374" s="2704"/>
      <c r="AV374" s="1074">
        <f t="shared" si="238"/>
        <v>0</v>
      </c>
      <c r="AW374" s="1074">
        <f t="shared" si="239"/>
        <v>0</v>
      </c>
      <c r="AX374" s="1074">
        <f t="shared" si="240"/>
        <v>0</v>
      </c>
      <c r="AY374" s="2279">
        <f t="shared" si="215"/>
        <v>0</v>
      </c>
      <c r="AZ374" s="2675">
        <f t="shared" si="216"/>
        <v>0</v>
      </c>
      <c r="BA374" s="2675">
        <f t="shared" si="217"/>
        <v>0</v>
      </c>
      <c r="BB374" s="2675">
        <f t="shared" si="218"/>
        <v>0</v>
      </c>
      <c r="BC374" s="2675">
        <f t="shared" si="219"/>
        <v>0</v>
      </c>
      <c r="BD374" s="2675">
        <f t="shared" si="220"/>
        <v>0</v>
      </c>
      <c r="BE374" s="2675">
        <f t="shared" si="221"/>
        <v>0</v>
      </c>
      <c r="BF374" s="2675">
        <f t="shared" si="222"/>
        <v>0</v>
      </c>
      <c r="BG374" s="2675">
        <f t="shared" si="223"/>
        <v>0</v>
      </c>
      <c r="BH374" s="2675">
        <f t="shared" si="224"/>
        <v>0</v>
      </c>
      <c r="BI374" s="2675">
        <f t="shared" si="225"/>
        <v>0</v>
      </c>
      <c r="BJ374" s="2675">
        <f t="shared" si="226"/>
        <v>0</v>
      </c>
      <c r="BK374" s="2675">
        <f t="shared" si="227"/>
        <v>0</v>
      </c>
      <c r="BL374" s="2675">
        <f t="shared" si="228"/>
        <v>0</v>
      </c>
      <c r="BM374" s="2675">
        <f t="shared" si="229"/>
        <v>0</v>
      </c>
      <c r="BN374" s="2675">
        <f t="shared" si="230"/>
        <v>0</v>
      </c>
      <c r="BO374" s="2675">
        <f t="shared" si="231"/>
        <v>0</v>
      </c>
      <c r="BP374" s="2675">
        <f t="shared" si="232"/>
        <v>0</v>
      </c>
      <c r="BQ374" s="2675">
        <f t="shared" si="233"/>
        <v>0</v>
      </c>
      <c r="BR374" s="2675">
        <f t="shared" si="234"/>
        <v>0</v>
      </c>
      <c r="BS374" s="2675">
        <f t="shared" si="235"/>
        <v>0</v>
      </c>
      <c r="BT374" s="2722">
        <f t="shared" si="236"/>
        <v>0</v>
      </c>
    </row>
    <row r="375" spans="1:72">
      <c r="A375" s="2673"/>
      <c r="B375" s="2674"/>
      <c r="C375" s="2674"/>
      <c r="D375" s="2277"/>
      <c r="E375" s="2675">
        <f t="shared" si="237"/>
        <v>0</v>
      </c>
      <c r="F375" s="2676"/>
      <c r="G375" s="2677">
        <f t="shared" si="212"/>
        <v>0</v>
      </c>
      <c r="H375" s="2678">
        <f t="shared" si="213"/>
        <v>0</v>
      </c>
      <c r="I375" s="2685"/>
      <c r="J375" s="2685"/>
      <c r="K375" s="2685"/>
      <c r="L375" s="2685"/>
      <c r="M375" s="2685"/>
      <c r="N375" s="2685"/>
      <c r="O375" s="2685"/>
      <c r="P375" s="2685"/>
      <c r="Q375" s="2685"/>
      <c r="R375" s="2685"/>
      <c r="S375" s="2685"/>
      <c r="T375" s="2685"/>
      <c r="U375" s="2685"/>
      <c r="V375" s="2685"/>
      <c r="W375" s="2685"/>
      <c r="X375" s="2685"/>
      <c r="Y375" s="2685"/>
      <c r="Z375" s="2685"/>
      <c r="AA375" s="2685"/>
      <c r="AB375" s="2685"/>
      <c r="AC375" s="2675">
        <f t="shared" si="214"/>
        <v>0</v>
      </c>
      <c r="AD375" s="2695"/>
      <c r="AE375" s="2695"/>
      <c r="AF375" s="2695"/>
      <c r="AG375" s="2695"/>
      <c r="AH375" s="2695"/>
      <c r="AI375" s="2695"/>
      <c r="AJ375" s="2695"/>
      <c r="AK375" s="2695"/>
      <c r="AL375" s="2695"/>
      <c r="AM375" s="2695"/>
      <c r="AN375" s="2695"/>
      <c r="AO375" s="2695"/>
      <c r="AP375" s="2695"/>
      <c r="AQ375" s="2695"/>
      <c r="AR375" s="2695"/>
      <c r="AS375" s="2695"/>
      <c r="AT375" s="2703"/>
      <c r="AU375" s="2704"/>
      <c r="AV375" s="1074">
        <f t="shared" si="238"/>
        <v>0</v>
      </c>
      <c r="AW375" s="1074">
        <f t="shared" si="239"/>
        <v>0</v>
      </c>
      <c r="AX375" s="1074">
        <f t="shared" si="240"/>
        <v>0</v>
      </c>
      <c r="AY375" s="2279">
        <f t="shared" si="215"/>
        <v>0</v>
      </c>
      <c r="AZ375" s="2675">
        <f t="shared" si="216"/>
        <v>0</v>
      </c>
      <c r="BA375" s="2675">
        <f t="shared" si="217"/>
        <v>0</v>
      </c>
      <c r="BB375" s="2675">
        <f t="shared" si="218"/>
        <v>0</v>
      </c>
      <c r="BC375" s="2675">
        <f t="shared" si="219"/>
        <v>0</v>
      </c>
      <c r="BD375" s="2675">
        <f t="shared" si="220"/>
        <v>0</v>
      </c>
      <c r="BE375" s="2675">
        <f t="shared" si="221"/>
        <v>0</v>
      </c>
      <c r="BF375" s="2675">
        <f t="shared" si="222"/>
        <v>0</v>
      </c>
      <c r="BG375" s="2675">
        <f t="shared" si="223"/>
        <v>0</v>
      </c>
      <c r="BH375" s="2675">
        <f t="shared" si="224"/>
        <v>0</v>
      </c>
      <c r="BI375" s="2675">
        <f t="shared" si="225"/>
        <v>0</v>
      </c>
      <c r="BJ375" s="2675">
        <f t="shared" si="226"/>
        <v>0</v>
      </c>
      <c r="BK375" s="2675">
        <f t="shared" si="227"/>
        <v>0</v>
      </c>
      <c r="BL375" s="2675">
        <f t="shared" si="228"/>
        <v>0</v>
      </c>
      <c r="BM375" s="2675">
        <f t="shared" si="229"/>
        <v>0</v>
      </c>
      <c r="BN375" s="2675">
        <f t="shared" si="230"/>
        <v>0</v>
      </c>
      <c r="BO375" s="2675">
        <f t="shared" si="231"/>
        <v>0</v>
      </c>
      <c r="BP375" s="2675">
        <f t="shared" si="232"/>
        <v>0</v>
      </c>
      <c r="BQ375" s="2675">
        <f t="shared" si="233"/>
        <v>0</v>
      </c>
      <c r="BR375" s="2675">
        <f t="shared" si="234"/>
        <v>0</v>
      </c>
      <c r="BS375" s="2675">
        <f t="shared" si="235"/>
        <v>0</v>
      </c>
      <c r="BT375" s="2722">
        <f t="shared" si="236"/>
        <v>0</v>
      </c>
    </row>
    <row r="376" spans="1:72">
      <c r="A376" s="2673"/>
      <c r="B376" s="2674"/>
      <c r="C376" s="2674"/>
      <c r="D376" s="2277"/>
      <c r="E376" s="2675">
        <f t="shared" si="237"/>
        <v>0</v>
      </c>
      <c r="F376" s="2676"/>
      <c r="G376" s="2677">
        <f t="shared" si="212"/>
        <v>0</v>
      </c>
      <c r="H376" s="2678">
        <f t="shared" si="213"/>
        <v>0</v>
      </c>
      <c r="I376" s="2685"/>
      <c r="J376" s="2685"/>
      <c r="K376" s="2685"/>
      <c r="L376" s="2685"/>
      <c r="M376" s="2685"/>
      <c r="N376" s="2685"/>
      <c r="O376" s="2685"/>
      <c r="P376" s="2685"/>
      <c r="Q376" s="2685"/>
      <c r="R376" s="2685"/>
      <c r="S376" s="2685"/>
      <c r="T376" s="2685"/>
      <c r="U376" s="2685"/>
      <c r="V376" s="2685"/>
      <c r="W376" s="2685"/>
      <c r="X376" s="2685"/>
      <c r="Y376" s="2685"/>
      <c r="Z376" s="2685"/>
      <c r="AA376" s="2685"/>
      <c r="AB376" s="2685"/>
      <c r="AC376" s="2675">
        <f t="shared" si="214"/>
        <v>0</v>
      </c>
      <c r="AD376" s="2695"/>
      <c r="AE376" s="2695"/>
      <c r="AF376" s="2695"/>
      <c r="AG376" s="2695"/>
      <c r="AH376" s="2695"/>
      <c r="AI376" s="2695"/>
      <c r="AJ376" s="2695"/>
      <c r="AK376" s="2695"/>
      <c r="AL376" s="2695"/>
      <c r="AM376" s="2695"/>
      <c r="AN376" s="2695"/>
      <c r="AO376" s="2695"/>
      <c r="AP376" s="2695"/>
      <c r="AQ376" s="2695"/>
      <c r="AR376" s="2695"/>
      <c r="AS376" s="2695"/>
      <c r="AT376" s="2703"/>
      <c r="AU376" s="2704"/>
      <c r="AV376" s="1074">
        <f t="shared" si="238"/>
        <v>0</v>
      </c>
      <c r="AW376" s="1074">
        <f t="shared" si="239"/>
        <v>0</v>
      </c>
      <c r="AX376" s="1074">
        <f t="shared" si="240"/>
        <v>0</v>
      </c>
      <c r="AY376" s="2279">
        <f t="shared" si="215"/>
        <v>0</v>
      </c>
      <c r="AZ376" s="2675">
        <f t="shared" si="216"/>
        <v>0</v>
      </c>
      <c r="BA376" s="2675">
        <f t="shared" si="217"/>
        <v>0</v>
      </c>
      <c r="BB376" s="2675">
        <f t="shared" si="218"/>
        <v>0</v>
      </c>
      <c r="BC376" s="2675">
        <f t="shared" si="219"/>
        <v>0</v>
      </c>
      <c r="BD376" s="2675">
        <f t="shared" si="220"/>
        <v>0</v>
      </c>
      <c r="BE376" s="2675">
        <f t="shared" si="221"/>
        <v>0</v>
      </c>
      <c r="BF376" s="2675">
        <f t="shared" si="222"/>
        <v>0</v>
      </c>
      <c r="BG376" s="2675">
        <f t="shared" si="223"/>
        <v>0</v>
      </c>
      <c r="BH376" s="2675">
        <f t="shared" si="224"/>
        <v>0</v>
      </c>
      <c r="BI376" s="2675">
        <f t="shared" si="225"/>
        <v>0</v>
      </c>
      <c r="BJ376" s="2675">
        <f t="shared" si="226"/>
        <v>0</v>
      </c>
      <c r="BK376" s="2675">
        <f t="shared" si="227"/>
        <v>0</v>
      </c>
      <c r="BL376" s="2675">
        <f t="shared" si="228"/>
        <v>0</v>
      </c>
      <c r="BM376" s="2675">
        <f t="shared" si="229"/>
        <v>0</v>
      </c>
      <c r="BN376" s="2675">
        <f t="shared" si="230"/>
        <v>0</v>
      </c>
      <c r="BO376" s="2675">
        <f t="shared" si="231"/>
        <v>0</v>
      </c>
      <c r="BP376" s="2675">
        <f t="shared" si="232"/>
        <v>0</v>
      </c>
      <c r="BQ376" s="2675">
        <f t="shared" si="233"/>
        <v>0</v>
      </c>
      <c r="BR376" s="2675">
        <f t="shared" si="234"/>
        <v>0</v>
      </c>
      <c r="BS376" s="2675">
        <f t="shared" si="235"/>
        <v>0</v>
      </c>
      <c r="BT376" s="2722">
        <f t="shared" si="236"/>
        <v>0</v>
      </c>
    </row>
    <row r="377" spans="1:72">
      <c r="A377" s="2673"/>
      <c r="B377" s="2674"/>
      <c r="C377" s="2674"/>
      <c r="D377" s="2277"/>
      <c r="E377" s="2675">
        <f t="shared" si="237"/>
        <v>0</v>
      </c>
      <c r="F377" s="2676"/>
      <c r="G377" s="2677">
        <f t="shared" si="212"/>
        <v>0</v>
      </c>
      <c r="H377" s="2678">
        <f t="shared" si="213"/>
        <v>0</v>
      </c>
      <c r="I377" s="2685"/>
      <c r="J377" s="2685"/>
      <c r="K377" s="2685"/>
      <c r="L377" s="2685"/>
      <c r="M377" s="2685"/>
      <c r="N377" s="2685"/>
      <c r="O377" s="2685"/>
      <c r="P377" s="2685"/>
      <c r="Q377" s="2685"/>
      <c r="R377" s="2685"/>
      <c r="S377" s="2685"/>
      <c r="T377" s="2685"/>
      <c r="U377" s="2685"/>
      <c r="V377" s="2685"/>
      <c r="W377" s="2685"/>
      <c r="X377" s="2685"/>
      <c r="Y377" s="2685"/>
      <c r="Z377" s="2685"/>
      <c r="AA377" s="2685"/>
      <c r="AB377" s="2685"/>
      <c r="AC377" s="2675">
        <f t="shared" si="214"/>
        <v>0</v>
      </c>
      <c r="AD377" s="2695"/>
      <c r="AE377" s="2695"/>
      <c r="AF377" s="2695"/>
      <c r="AG377" s="2695"/>
      <c r="AH377" s="2695"/>
      <c r="AI377" s="2695"/>
      <c r="AJ377" s="2695"/>
      <c r="AK377" s="2695"/>
      <c r="AL377" s="2695"/>
      <c r="AM377" s="2695"/>
      <c r="AN377" s="2695"/>
      <c r="AO377" s="2695"/>
      <c r="AP377" s="2695"/>
      <c r="AQ377" s="2695"/>
      <c r="AR377" s="2695"/>
      <c r="AS377" s="2695"/>
      <c r="AT377" s="2703"/>
      <c r="AU377" s="2704"/>
      <c r="AV377" s="1074">
        <f t="shared" si="238"/>
        <v>0</v>
      </c>
      <c r="AW377" s="1074">
        <f t="shared" si="239"/>
        <v>0</v>
      </c>
      <c r="AX377" s="1074">
        <f t="shared" si="240"/>
        <v>0</v>
      </c>
      <c r="AY377" s="2279">
        <f t="shared" si="215"/>
        <v>0</v>
      </c>
      <c r="AZ377" s="2675">
        <f t="shared" si="216"/>
        <v>0</v>
      </c>
      <c r="BA377" s="2675">
        <f t="shared" si="217"/>
        <v>0</v>
      </c>
      <c r="BB377" s="2675">
        <f t="shared" si="218"/>
        <v>0</v>
      </c>
      <c r="BC377" s="2675">
        <f t="shared" si="219"/>
        <v>0</v>
      </c>
      <c r="BD377" s="2675">
        <f t="shared" si="220"/>
        <v>0</v>
      </c>
      <c r="BE377" s="2675">
        <f t="shared" si="221"/>
        <v>0</v>
      </c>
      <c r="BF377" s="2675">
        <f t="shared" si="222"/>
        <v>0</v>
      </c>
      <c r="BG377" s="2675">
        <f t="shared" si="223"/>
        <v>0</v>
      </c>
      <c r="BH377" s="2675">
        <f t="shared" si="224"/>
        <v>0</v>
      </c>
      <c r="BI377" s="2675">
        <f t="shared" si="225"/>
        <v>0</v>
      </c>
      <c r="BJ377" s="2675">
        <f t="shared" si="226"/>
        <v>0</v>
      </c>
      <c r="BK377" s="2675">
        <f t="shared" si="227"/>
        <v>0</v>
      </c>
      <c r="BL377" s="2675">
        <f t="shared" si="228"/>
        <v>0</v>
      </c>
      <c r="BM377" s="2675">
        <f t="shared" si="229"/>
        <v>0</v>
      </c>
      <c r="BN377" s="2675">
        <f t="shared" si="230"/>
        <v>0</v>
      </c>
      <c r="BO377" s="2675">
        <f t="shared" si="231"/>
        <v>0</v>
      </c>
      <c r="BP377" s="2675">
        <f t="shared" si="232"/>
        <v>0</v>
      </c>
      <c r="BQ377" s="2675">
        <f t="shared" si="233"/>
        <v>0</v>
      </c>
      <c r="BR377" s="2675">
        <f t="shared" si="234"/>
        <v>0</v>
      </c>
      <c r="BS377" s="2675">
        <f t="shared" si="235"/>
        <v>0</v>
      </c>
      <c r="BT377" s="2722">
        <f t="shared" si="236"/>
        <v>0</v>
      </c>
    </row>
    <row r="378" spans="1:72">
      <c r="A378" s="2673"/>
      <c r="B378" s="2674"/>
      <c r="C378" s="2674"/>
      <c r="D378" s="2277"/>
      <c r="E378" s="2675">
        <f t="shared" si="237"/>
        <v>0</v>
      </c>
      <c r="F378" s="2676"/>
      <c r="G378" s="2677">
        <f t="shared" si="212"/>
        <v>0</v>
      </c>
      <c r="H378" s="2678">
        <f t="shared" si="213"/>
        <v>0</v>
      </c>
      <c r="I378" s="2685"/>
      <c r="J378" s="2685"/>
      <c r="K378" s="2685"/>
      <c r="L378" s="2685"/>
      <c r="M378" s="2685"/>
      <c r="N378" s="2685"/>
      <c r="O378" s="2685"/>
      <c r="P378" s="2685"/>
      <c r="Q378" s="2685"/>
      <c r="R378" s="2685"/>
      <c r="S378" s="2685"/>
      <c r="T378" s="2685"/>
      <c r="U378" s="2685"/>
      <c r="V378" s="2685"/>
      <c r="W378" s="2685"/>
      <c r="X378" s="2685"/>
      <c r="Y378" s="2685"/>
      <c r="Z378" s="2685"/>
      <c r="AA378" s="2685"/>
      <c r="AB378" s="2685"/>
      <c r="AC378" s="2675">
        <f t="shared" si="214"/>
        <v>0</v>
      </c>
      <c r="AD378" s="2695"/>
      <c r="AE378" s="2695"/>
      <c r="AF378" s="2695"/>
      <c r="AG378" s="2695"/>
      <c r="AH378" s="2695"/>
      <c r="AI378" s="2695"/>
      <c r="AJ378" s="2695"/>
      <c r="AK378" s="2695"/>
      <c r="AL378" s="2695"/>
      <c r="AM378" s="2695"/>
      <c r="AN378" s="2695"/>
      <c r="AO378" s="2695"/>
      <c r="AP378" s="2695"/>
      <c r="AQ378" s="2695"/>
      <c r="AR378" s="2695"/>
      <c r="AS378" s="2695"/>
      <c r="AT378" s="2703"/>
      <c r="AU378" s="2704"/>
      <c r="AV378" s="1074">
        <f t="shared" si="238"/>
        <v>0</v>
      </c>
      <c r="AW378" s="1074">
        <f t="shared" si="239"/>
        <v>0</v>
      </c>
      <c r="AX378" s="1074">
        <f t="shared" si="240"/>
        <v>0</v>
      </c>
      <c r="AY378" s="2279">
        <f t="shared" si="215"/>
        <v>0</v>
      </c>
      <c r="AZ378" s="2675">
        <f t="shared" si="216"/>
        <v>0</v>
      </c>
      <c r="BA378" s="2675">
        <f t="shared" si="217"/>
        <v>0</v>
      </c>
      <c r="BB378" s="2675">
        <f t="shared" si="218"/>
        <v>0</v>
      </c>
      <c r="BC378" s="2675">
        <f t="shared" si="219"/>
        <v>0</v>
      </c>
      <c r="BD378" s="2675">
        <f t="shared" si="220"/>
        <v>0</v>
      </c>
      <c r="BE378" s="2675">
        <f t="shared" si="221"/>
        <v>0</v>
      </c>
      <c r="BF378" s="2675">
        <f t="shared" si="222"/>
        <v>0</v>
      </c>
      <c r="BG378" s="2675">
        <f t="shared" si="223"/>
        <v>0</v>
      </c>
      <c r="BH378" s="2675">
        <f t="shared" si="224"/>
        <v>0</v>
      </c>
      <c r="BI378" s="2675">
        <f t="shared" si="225"/>
        <v>0</v>
      </c>
      <c r="BJ378" s="2675">
        <f t="shared" si="226"/>
        <v>0</v>
      </c>
      <c r="BK378" s="2675">
        <f t="shared" si="227"/>
        <v>0</v>
      </c>
      <c r="BL378" s="2675">
        <f t="shared" si="228"/>
        <v>0</v>
      </c>
      <c r="BM378" s="2675">
        <f t="shared" si="229"/>
        <v>0</v>
      </c>
      <c r="BN378" s="2675">
        <f t="shared" si="230"/>
        <v>0</v>
      </c>
      <c r="BO378" s="2675">
        <f t="shared" si="231"/>
        <v>0</v>
      </c>
      <c r="BP378" s="2675">
        <f t="shared" si="232"/>
        <v>0</v>
      </c>
      <c r="BQ378" s="2675">
        <f t="shared" si="233"/>
        <v>0</v>
      </c>
      <c r="BR378" s="2675">
        <f t="shared" si="234"/>
        <v>0</v>
      </c>
      <c r="BS378" s="2675">
        <f t="shared" si="235"/>
        <v>0</v>
      </c>
      <c r="BT378" s="2722">
        <f t="shared" si="236"/>
        <v>0</v>
      </c>
    </row>
    <row r="379" spans="1:72">
      <c r="A379" s="2673"/>
      <c r="B379" s="2674"/>
      <c r="C379" s="2674"/>
      <c r="D379" s="2277"/>
      <c r="E379" s="2675">
        <f t="shared" si="237"/>
        <v>0</v>
      </c>
      <c r="F379" s="2676"/>
      <c r="G379" s="2677">
        <f t="shared" si="212"/>
        <v>0</v>
      </c>
      <c r="H379" s="2678">
        <f t="shared" si="213"/>
        <v>0</v>
      </c>
      <c r="I379" s="2685"/>
      <c r="J379" s="2685"/>
      <c r="K379" s="2685"/>
      <c r="L379" s="2685"/>
      <c r="M379" s="2685"/>
      <c r="N379" s="2685"/>
      <c r="O379" s="2685"/>
      <c r="P379" s="2685"/>
      <c r="Q379" s="2685"/>
      <c r="R379" s="2685"/>
      <c r="S379" s="2685"/>
      <c r="T379" s="2685"/>
      <c r="U379" s="2685"/>
      <c r="V379" s="2685"/>
      <c r="W379" s="2685"/>
      <c r="X379" s="2685"/>
      <c r="Y379" s="2685"/>
      <c r="Z379" s="2685"/>
      <c r="AA379" s="2685"/>
      <c r="AB379" s="2685"/>
      <c r="AC379" s="2675">
        <f t="shared" si="214"/>
        <v>0</v>
      </c>
      <c r="AD379" s="2695"/>
      <c r="AE379" s="2695"/>
      <c r="AF379" s="2695"/>
      <c r="AG379" s="2695"/>
      <c r="AH379" s="2695"/>
      <c r="AI379" s="2695"/>
      <c r="AJ379" s="2695"/>
      <c r="AK379" s="2695"/>
      <c r="AL379" s="2695"/>
      <c r="AM379" s="2695"/>
      <c r="AN379" s="2695"/>
      <c r="AO379" s="2695"/>
      <c r="AP379" s="2695"/>
      <c r="AQ379" s="2695"/>
      <c r="AR379" s="2695"/>
      <c r="AS379" s="2695"/>
      <c r="AT379" s="2703"/>
      <c r="AU379" s="2704"/>
      <c r="AV379" s="1074">
        <f t="shared" si="238"/>
        <v>0</v>
      </c>
      <c r="AW379" s="1074">
        <f t="shared" si="239"/>
        <v>0</v>
      </c>
      <c r="AX379" s="1074">
        <f t="shared" si="240"/>
        <v>0</v>
      </c>
      <c r="AY379" s="2279">
        <f t="shared" si="215"/>
        <v>0</v>
      </c>
      <c r="AZ379" s="2675">
        <f t="shared" si="216"/>
        <v>0</v>
      </c>
      <c r="BA379" s="2675">
        <f t="shared" si="217"/>
        <v>0</v>
      </c>
      <c r="BB379" s="2675">
        <f t="shared" si="218"/>
        <v>0</v>
      </c>
      <c r="BC379" s="2675">
        <f t="shared" si="219"/>
        <v>0</v>
      </c>
      <c r="BD379" s="2675">
        <f t="shared" si="220"/>
        <v>0</v>
      </c>
      <c r="BE379" s="2675">
        <f t="shared" si="221"/>
        <v>0</v>
      </c>
      <c r="BF379" s="2675">
        <f t="shared" si="222"/>
        <v>0</v>
      </c>
      <c r="BG379" s="2675">
        <f t="shared" si="223"/>
        <v>0</v>
      </c>
      <c r="BH379" s="2675">
        <f t="shared" si="224"/>
        <v>0</v>
      </c>
      <c r="BI379" s="2675">
        <f t="shared" si="225"/>
        <v>0</v>
      </c>
      <c r="BJ379" s="2675">
        <f t="shared" si="226"/>
        <v>0</v>
      </c>
      <c r="BK379" s="2675">
        <f t="shared" si="227"/>
        <v>0</v>
      </c>
      <c r="BL379" s="2675">
        <f t="shared" si="228"/>
        <v>0</v>
      </c>
      <c r="BM379" s="2675">
        <f t="shared" si="229"/>
        <v>0</v>
      </c>
      <c r="BN379" s="2675">
        <f t="shared" si="230"/>
        <v>0</v>
      </c>
      <c r="BO379" s="2675">
        <f t="shared" si="231"/>
        <v>0</v>
      </c>
      <c r="BP379" s="2675">
        <f t="shared" si="232"/>
        <v>0</v>
      </c>
      <c r="BQ379" s="2675">
        <f t="shared" si="233"/>
        <v>0</v>
      </c>
      <c r="BR379" s="2675">
        <f t="shared" si="234"/>
        <v>0</v>
      </c>
      <c r="BS379" s="2675">
        <f t="shared" si="235"/>
        <v>0</v>
      </c>
      <c r="BT379" s="2722">
        <f t="shared" si="236"/>
        <v>0</v>
      </c>
    </row>
    <row r="380" spans="1:72">
      <c r="A380" s="2673"/>
      <c r="B380" s="2674"/>
      <c r="C380" s="2674"/>
      <c r="D380" s="2277"/>
      <c r="E380" s="2675">
        <f t="shared" si="237"/>
        <v>0</v>
      </c>
      <c r="F380" s="2676"/>
      <c r="G380" s="2677">
        <f t="shared" si="212"/>
        <v>0</v>
      </c>
      <c r="H380" s="2678">
        <f t="shared" si="213"/>
        <v>0</v>
      </c>
      <c r="I380" s="2685"/>
      <c r="J380" s="2685"/>
      <c r="K380" s="2685"/>
      <c r="L380" s="2685"/>
      <c r="M380" s="2685"/>
      <c r="N380" s="2685"/>
      <c r="O380" s="2685"/>
      <c r="P380" s="2685"/>
      <c r="Q380" s="2685"/>
      <c r="R380" s="2685"/>
      <c r="S380" s="2685"/>
      <c r="T380" s="2685"/>
      <c r="U380" s="2685"/>
      <c r="V380" s="2685"/>
      <c r="W380" s="2685"/>
      <c r="X380" s="2685"/>
      <c r="Y380" s="2685"/>
      <c r="Z380" s="2685"/>
      <c r="AA380" s="2685"/>
      <c r="AB380" s="2685"/>
      <c r="AC380" s="2675">
        <f t="shared" si="214"/>
        <v>0</v>
      </c>
      <c r="AD380" s="2695"/>
      <c r="AE380" s="2695"/>
      <c r="AF380" s="2695"/>
      <c r="AG380" s="2695"/>
      <c r="AH380" s="2695"/>
      <c r="AI380" s="2695"/>
      <c r="AJ380" s="2695"/>
      <c r="AK380" s="2695"/>
      <c r="AL380" s="2695"/>
      <c r="AM380" s="2695"/>
      <c r="AN380" s="2695"/>
      <c r="AO380" s="2695"/>
      <c r="AP380" s="2695"/>
      <c r="AQ380" s="2695"/>
      <c r="AR380" s="2695"/>
      <c r="AS380" s="2695"/>
      <c r="AT380" s="2703"/>
      <c r="AU380" s="2704"/>
      <c r="AV380" s="1074">
        <f t="shared" si="238"/>
        <v>0</v>
      </c>
      <c r="AW380" s="1074">
        <f t="shared" si="239"/>
        <v>0</v>
      </c>
      <c r="AX380" s="1074">
        <f t="shared" si="240"/>
        <v>0</v>
      </c>
      <c r="AY380" s="2279">
        <f t="shared" si="215"/>
        <v>0</v>
      </c>
      <c r="AZ380" s="2675">
        <f t="shared" si="216"/>
        <v>0</v>
      </c>
      <c r="BA380" s="2675">
        <f t="shared" si="217"/>
        <v>0</v>
      </c>
      <c r="BB380" s="2675">
        <f t="shared" si="218"/>
        <v>0</v>
      </c>
      <c r="BC380" s="2675">
        <f t="shared" si="219"/>
        <v>0</v>
      </c>
      <c r="BD380" s="2675">
        <f t="shared" si="220"/>
        <v>0</v>
      </c>
      <c r="BE380" s="2675">
        <f t="shared" si="221"/>
        <v>0</v>
      </c>
      <c r="BF380" s="2675">
        <f t="shared" si="222"/>
        <v>0</v>
      </c>
      <c r="BG380" s="2675">
        <f t="shared" si="223"/>
        <v>0</v>
      </c>
      <c r="BH380" s="2675">
        <f t="shared" si="224"/>
        <v>0</v>
      </c>
      <c r="BI380" s="2675">
        <f t="shared" si="225"/>
        <v>0</v>
      </c>
      <c r="BJ380" s="2675">
        <f t="shared" si="226"/>
        <v>0</v>
      </c>
      <c r="BK380" s="2675">
        <f t="shared" si="227"/>
        <v>0</v>
      </c>
      <c r="BL380" s="2675">
        <f t="shared" si="228"/>
        <v>0</v>
      </c>
      <c r="BM380" s="2675">
        <f t="shared" si="229"/>
        <v>0</v>
      </c>
      <c r="BN380" s="2675">
        <f t="shared" si="230"/>
        <v>0</v>
      </c>
      <c r="BO380" s="2675">
        <f t="shared" si="231"/>
        <v>0</v>
      </c>
      <c r="BP380" s="2675">
        <f t="shared" si="232"/>
        <v>0</v>
      </c>
      <c r="BQ380" s="2675">
        <f t="shared" si="233"/>
        <v>0</v>
      </c>
      <c r="BR380" s="2675">
        <f t="shared" si="234"/>
        <v>0</v>
      </c>
      <c r="BS380" s="2675">
        <f t="shared" si="235"/>
        <v>0</v>
      </c>
      <c r="BT380" s="2722">
        <f t="shared" si="236"/>
        <v>0</v>
      </c>
    </row>
    <row r="381" spans="1:72">
      <c r="A381" s="2673"/>
      <c r="B381" s="2674"/>
      <c r="C381" s="2674"/>
      <c r="D381" s="2277"/>
      <c r="E381" s="2675">
        <f t="shared" si="237"/>
        <v>0</v>
      </c>
      <c r="F381" s="2676"/>
      <c r="G381" s="2677">
        <f t="shared" si="212"/>
        <v>0</v>
      </c>
      <c r="H381" s="2678">
        <f t="shared" si="213"/>
        <v>0</v>
      </c>
      <c r="I381" s="2685"/>
      <c r="J381" s="2685"/>
      <c r="K381" s="2685"/>
      <c r="L381" s="2685"/>
      <c r="M381" s="2685"/>
      <c r="N381" s="2685"/>
      <c r="O381" s="2685"/>
      <c r="P381" s="2685"/>
      <c r="Q381" s="2685"/>
      <c r="R381" s="2685"/>
      <c r="S381" s="2685"/>
      <c r="T381" s="2685"/>
      <c r="U381" s="2685"/>
      <c r="V381" s="2685"/>
      <c r="W381" s="2685"/>
      <c r="X381" s="2685"/>
      <c r="Y381" s="2685"/>
      <c r="Z381" s="2685"/>
      <c r="AA381" s="2685"/>
      <c r="AB381" s="2685"/>
      <c r="AC381" s="2675">
        <f t="shared" si="214"/>
        <v>0</v>
      </c>
      <c r="AD381" s="2695"/>
      <c r="AE381" s="2695"/>
      <c r="AF381" s="2695"/>
      <c r="AG381" s="2695"/>
      <c r="AH381" s="2695"/>
      <c r="AI381" s="2695"/>
      <c r="AJ381" s="2695"/>
      <c r="AK381" s="2695"/>
      <c r="AL381" s="2695"/>
      <c r="AM381" s="2695"/>
      <c r="AN381" s="2695"/>
      <c r="AO381" s="2695"/>
      <c r="AP381" s="2695"/>
      <c r="AQ381" s="2695"/>
      <c r="AR381" s="2695"/>
      <c r="AS381" s="2695"/>
      <c r="AT381" s="2703"/>
      <c r="AU381" s="2704"/>
      <c r="AV381" s="1074">
        <f t="shared" si="238"/>
        <v>0</v>
      </c>
      <c r="AW381" s="1074">
        <f t="shared" si="239"/>
        <v>0</v>
      </c>
      <c r="AX381" s="1074">
        <f t="shared" si="240"/>
        <v>0</v>
      </c>
      <c r="AY381" s="2279">
        <f t="shared" si="215"/>
        <v>0</v>
      </c>
      <c r="AZ381" s="2675">
        <f t="shared" si="216"/>
        <v>0</v>
      </c>
      <c r="BA381" s="2675">
        <f t="shared" si="217"/>
        <v>0</v>
      </c>
      <c r="BB381" s="2675">
        <f t="shared" si="218"/>
        <v>0</v>
      </c>
      <c r="BC381" s="2675">
        <f t="shared" si="219"/>
        <v>0</v>
      </c>
      <c r="BD381" s="2675">
        <f t="shared" si="220"/>
        <v>0</v>
      </c>
      <c r="BE381" s="2675">
        <f t="shared" si="221"/>
        <v>0</v>
      </c>
      <c r="BF381" s="2675">
        <f t="shared" si="222"/>
        <v>0</v>
      </c>
      <c r="BG381" s="2675">
        <f t="shared" si="223"/>
        <v>0</v>
      </c>
      <c r="BH381" s="2675">
        <f t="shared" si="224"/>
        <v>0</v>
      </c>
      <c r="BI381" s="2675">
        <f t="shared" si="225"/>
        <v>0</v>
      </c>
      <c r="BJ381" s="2675">
        <f t="shared" si="226"/>
        <v>0</v>
      </c>
      <c r="BK381" s="2675">
        <f t="shared" si="227"/>
        <v>0</v>
      </c>
      <c r="BL381" s="2675">
        <f t="shared" si="228"/>
        <v>0</v>
      </c>
      <c r="BM381" s="2675">
        <f t="shared" si="229"/>
        <v>0</v>
      </c>
      <c r="BN381" s="2675">
        <f t="shared" si="230"/>
        <v>0</v>
      </c>
      <c r="BO381" s="2675">
        <f t="shared" si="231"/>
        <v>0</v>
      </c>
      <c r="BP381" s="2675">
        <f t="shared" si="232"/>
        <v>0</v>
      </c>
      <c r="BQ381" s="2675">
        <f t="shared" si="233"/>
        <v>0</v>
      </c>
      <c r="BR381" s="2675">
        <f t="shared" si="234"/>
        <v>0</v>
      </c>
      <c r="BS381" s="2675">
        <f t="shared" si="235"/>
        <v>0</v>
      </c>
      <c r="BT381" s="2722">
        <f t="shared" si="236"/>
        <v>0</v>
      </c>
    </row>
    <row r="382" spans="1:72">
      <c r="A382" s="2673"/>
      <c r="B382" s="2674"/>
      <c r="C382" s="2674"/>
      <c r="D382" s="2277"/>
      <c r="E382" s="2675">
        <f t="shared" si="237"/>
        <v>0</v>
      </c>
      <c r="F382" s="2676"/>
      <c r="G382" s="2677">
        <f t="shared" si="212"/>
        <v>0</v>
      </c>
      <c r="H382" s="2678">
        <f t="shared" si="213"/>
        <v>0</v>
      </c>
      <c r="I382" s="2685"/>
      <c r="J382" s="2685"/>
      <c r="K382" s="2685"/>
      <c r="L382" s="2685"/>
      <c r="M382" s="2685"/>
      <c r="N382" s="2685"/>
      <c r="O382" s="2685"/>
      <c r="P382" s="2685"/>
      <c r="Q382" s="2685"/>
      <c r="R382" s="2685"/>
      <c r="S382" s="2685"/>
      <c r="T382" s="2685"/>
      <c r="U382" s="2685"/>
      <c r="V382" s="2685"/>
      <c r="W382" s="2685"/>
      <c r="X382" s="2685"/>
      <c r="Y382" s="2685"/>
      <c r="Z382" s="2685"/>
      <c r="AA382" s="2685"/>
      <c r="AB382" s="2685"/>
      <c r="AC382" s="2675">
        <f t="shared" si="214"/>
        <v>0</v>
      </c>
      <c r="AD382" s="2695"/>
      <c r="AE382" s="2695"/>
      <c r="AF382" s="2695"/>
      <c r="AG382" s="2695"/>
      <c r="AH382" s="2695"/>
      <c r="AI382" s="2695"/>
      <c r="AJ382" s="2695"/>
      <c r="AK382" s="2695"/>
      <c r="AL382" s="2695"/>
      <c r="AM382" s="2695"/>
      <c r="AN382" s="2695"/>
      <c r="AO382" s="2695"/>
      <c r="AP382" s="2695"/>
      <c r="AQ382" s="2695"/>
      <c r="AR382" s="2695"/>
      <c r="AS382" s="2695"/>
      <c r="AT382" s="2703"/>
      <c r="AU382" s="2704"/>
      <c r="AV382" s="1074">
        <f t="shared" si="238"/>
        <v>0</v>
      </c>
      <c r="AW382" s="1074">
        <f t="shared" si="239"/>
        <v>0</v>
      </c>
      <c r="AX382" s="1074">
        <f t="shared" si="240"/>
        <v>0</v>
      </c>
      <c r="AY382" s="2279">
        <f t="shared" si="215"/>
        <v>0</v>
      </c>
      <c r="AZ382" s="2675">
        <f t="shared" si="216"/>
        <v>0</v>
      </c>
      <c r="BA382" s="2675">
        <f t="shared" si="217"/>
        <v>0</v>
      </c>
      <c r="BB382" s="2675">
        <f t="shared" si="218"/>
        <v>0</v>
      </c>
      <c r="BC382" s="2675">
        <f t="shared" si="219"/>
        <v>0</v>
      </c>
      <c r="BD382" s="2675">
        <f t="shared" si="220"/>
        <v>0</v>
      </c>
      <c r="BE382" s="2675">
        <f t="shared" si="221"/>
        <v>0</v>
      </c>
      <c r="BF382" s="2675">
        <f t="shared" si="222"/>
        <v>0</v>
      </c>
      <c r="BG382" s="2675">
        <f t="shared" si="223"/>
        <v>0</v>
      </c>
      <c r="BH382" s="2675">
        <f t="shared" si="224"/>
        <v>0</v>
      </c>
      <c r="BI382" s="2675">
        <f t="shared" si="225"/>
        <v>0</v>
      </c>
      <c r="BJ382" s="2675">
        <f t="shared" si="226"/>
        <v>0</v>
      </c>
      <c r="BK382" s="2675">
        <f t="shared" si="227"/>
        <v>0</v>
      </c>
      <c r="BL382" s="2675">
        <f t="shared" si="228"/>
        <v>0</v>
      </c>
      <c r="BM382" s="2675">
        <f t="shared" si="229"/>
        <v>0</v>
      </c>
      <c r="BN382" s="2675">
        <f t="shared" si="230"/>
        <v>0</v>
      </c>
      <c r="BO382" s="2675">
        <f t="shared" si="231"/>
        <v>0</v>
      </c>
      <c r="BP382" s="2675">
        <f t="shared" si="232"/>
        <v>0</v>
      </c>
      <c r="BQ382" s="2675">
        <f t="shared" si="233"/>
        <v>0</v>
      </c>
      <c r="BR382" s="2675">
        <f t="shared" si="234"/>
        <v>0</v>
      </c>
      <c r="BS382" s="2675">
        <f t="shared" si="235"/>
        <v>0</v>
      </c>
      <c r="BT382" s="2722">
        <f t="shared" si="236"/>
        <v>0</v>
      </c>
    </row>
    <row r="383" spans="1:72">
      <c r="A383" s="2673"/>
      <c r="B383" s="2674"/>
      <c r="C383" s="2674"/>
      <c r="D383" s="2277"/>
      <c r="E383" s="2675">
        <f t="shared" si="237"/>
        <v>0</v>
      </c>
      <c r="F383" s="2676"/>
      <c r="G383" s="2677">
        <f t="shared" si="212"/>
        <v>0</v>
      </c>
      <c r="H383" s="2678">
        <f t="shared" si="213"/>
        <v>0</v>
      </c>
      <c r="I383" s="2685"/>
      <c r="J383" s="2685"/>
      <c r="K383" s="2685"/>
      <c r="L383" s="2685"/>
      <c r="M383" s="2685"/>
      <c r="N383" s="2685"/>
      <c r="O383" s="2685"/>
      <c r="P383" s="2685"/>
      <c r="Q383" s="2685"/>
      <c r="R383" s="2685"/>
      <c r="S383" s="2685"/>
      <c r="T383" s="2685"/>
      <c r="U383" s="2685"/>
      <c r="V383" s="2685"/>
      <c r="W383" s="2685"/>
      <c r="X383" s="2685"/>
      <c r="Y383" s="2685"/>
      <c r="Z383" s="2685"/>
      <c r="AA383" s="2685"/>
      <c r="AB383" s="2685"/>
      <c r="AC383" s="2675">
        <f t="shared" si="214"/>
        <v>0</v>
      </c>
      <c r="AD383" s="2695"/>
      <c r="AE383" s="2695"/>
      <c r="AF383" s="2695"/>
      <c r="AG383" s="2695"/>
      <c r="AH383" s="2695"/>
      <c r="AI383" s="2695"/>
      <c r="AJ383" s="2695"/>
      <c r="AK383" s="2695"/>
      <c r="AL383" s="2695"/>
      <c r="AM383" s="2695"/>
      <c r="AN383" s="2695"/>
      <c r="AO383" s="2695"/>
      <c r="AP383" s="2695"/>
      <c r="AQ383" s="2695"/>
      <c r="AR383" s="2695"/>
      <c r="AS383" s="2695"/>
      <c r="AT383" s="2703"/>
      <c r="AU383" s="2704"/>
      <c r="AV383" s="1074">
        <f t="shared" si="238"/>
        <v>0</v>
      </c>
      <c r="AW383" s="1074">
        <f t="shared" si="239"/>
        <v>0</v>
      </c>
      <c r="AX383" s="1074">
        <f t="shared" si="240"/>
        <v>0</v>
      </c>
      <c r="AY383" s="2279">
        <f t="shared" si="215"/>
        <v>0</v>
      </c>
      <c r="AZ383" s="2675">
        <f t="shared" si="216"/>
        <v>0</v>
      </c>
      <c r="BA383" s="2675">
        <f t="shared" si="217"/>
        <v>0</v>
      </c>
      <c r="BB383" s="2675">
        <f t="shared" si="218"/>
        <v>0</v>
      </c>
      <c r="BC383" s="2675">
        <f t="shared" si="219"/>
        <v>0</v>
      </c>
      <c r="BD383" s="2675">
        <f t="shared" si="220"/>
        <v>0</v>
      </c>
      <c r="BE383" s="2675">
        <f t="shared" si="221"/>
        <v>0</v>
      </c>
      <c r="BF383" s="2675">
        <f t="shared" si="222"/>
        <v>0</v>
      </c>
      <c r="BG383" s="2675">
        <f t="shared" si="223"/>
        <v>0</v>
      </c>
      <c r="BH383" s="2675">
        <f t="shared" si="224"/>
        <v>0</v>
      </c>
      <c r="BI383" s="2675">
        <f t="shared" si="225"/>
        <v>0</v>
      </c>
      <c r="BJ383" s="2675">
        <f t="shared" si="226"/>
        <v>0</v>
      </c>
      <c r="BK383" s="2675">
        <f t="shared" si="227"/>
        <v>0</v>
      </c>
      <c r="BL383" s="2675">
        <f t="shared" si="228"/>
        <v>0</v>
      </c>
      <c r="BM383" s="2675">
        <f t="shared" si="229"/>
        <v>0</v>
      </c>
      <c r="BN383" s="2675">
        <f t="shared" si="230"/>
        <v>0</v>
      </c>
      <c r="BO383" s="2675">
        <f t="shared" si="231"/>
        <v>0</v>
      </c>
      <c r="BP383" s="2675">
        <f t="shared" si="232"/>
        <v>0</v>
      </c>
      <c r="BQ383" s="2675">
        <f t="shared" si="233"/>
        <v>0</v>
      </c>
      <c r="BR383" s="2675">
        <f t="shared" si="234"/>
        <v>0</v>
      </c>
      <c r="BS383" s="2675">
        <f t="shared" si="235"/>
        <v>0</v>
      </c>
      <c r="BT383" s="2722">
        <f t="shared" si="236"/>
        <v>0</v>
      </c>
    </row>
    <row r="384" spans="1:72">
      <c r="A384" s="2673"/>
      <c r="B384" s="2674"/>
      <c r="C384" s="2674"/>
      <c r="D384" s="2277"/>
      <c r="E384" s="2675">
        <f t="shared" si="237"/>
        <v>0</v>
      </c>
      <c r="F384" s="2676"/>
      <c r="G384" s="2677">
        <f t="shared" si="212"/>
        <v>0</v>
      </c>
      <c r="H384" s="2678">
        <f t="shared" si="213"/>
        <v>0</v>
      </c>
      <c r="I384" s="2685"/>
      <c r="J384" s="2685"/>
      <c r="K384" s="2685"/>
      <c r="L384" s="2685"/>
      <c r="M384" s="2685"/>
      <c r="N384" s="2685"/>
      <c r="O384" s="2685"/>
      <c r="P384" s="2685"/>
      <c r="Q384" s="2685"/>
      <c r="R384" s="2685"/>
      <c r="S384" s="2685"/>
      <c r="T384" s="2685"/>
      <c r="U384" s="2685"/>
      <c r="V384" s="2685"/>
      <c r="W384" s="2685"/>
      <c r="X384" s="2685"/>
      <c r="Y384" s="2685"/>
      <c r="Z384" s="2685"/>
      <c r="AA384" s="2685"/>
      <c r="AB384" s="2685"/>
      <c r="AC384" s="2675">
        <f t="shared" si="214"/>
        <v>0</v>
      </c>
      <c r="AD384" s="2695"/>
      <c r="AE384" s="2695"/>
      <c r="AF384" s="2695"/>
      <c r="AG384" s="2695"/>
      <c r="AH384" s="2695"/>
      <c r="AI384" s="2695"/>
      <c r="AJ384" s="2695"/>
      <c r="AK384" s="2695"/>
      <c r="AL384" s="2695"/>
      <c r="AM384" s="2695"/>
      <c r="AN384" s="2695"/>
      <c r="AO384" s="2695"/>
      <c r="AP384" s="2695"/>
      <c r="AQ384" s="2695"/>
      <c r="AR384" s="2695"/>
      <c r="AS384" s="2695"/>
      <c r="AT384" s="2703"/>
      <c r="AU384" s="2704"/>
      <c r="AV384" s="1074">
        <f t="shared" si="238"/>
        <v>0</v>
      </c>
      <c r="AW384" s="1074">
        <f t="shared" si="239"/>
        <v>0</v>
      </c>
      <c r="AX384" s="1074">
        <f t="shared" si="240"/>
        <v>0</v>
      </c>
      <c r="AY384" s="2279">
        <f t="shared" si="215"/>
        <v>0</v>
      </c>
      <c r="AZ384" s="2675">
        <f t="shared" si="216"/>
        <v>0</v>
      </c>
      <c r="BA384" s="2675">
        <f t="shared" si="217"/>
        <v>0</v>
      </c>
      <c r="BB384" s="2675">
        <f t="shared" si="218"/>
        <v>0</v>
      </c>
      <c r="BC384" s="2675">
        <f t="shared" si="219"/>
        <v>0</v>
      </c>
      <c r="BD384" s="2675">
        <f t="shared" si="220"/>
        <v>0</v>
      </c>
      <c r="BE384" s="2675">
        <f t="shared" si="221"/>
        <v>0</v>
      </c>
      <c r="BF384" s="2675">
        <f t="shared" si="222"/>
        <v>0</v>
      </c>
      <c r="BG384" s="2675">
        <f t="shared" si="223"/>
        <v>0</v>
      </c>
      <c r="BH384" s="2675">
        <f t="shared" si="224"/>
        <v>0</v>
      </c>
      <c r="BI384" s="2675">
        <f t="shared" si="225"/>
        <v>0</v>
      </c>
      <c r="BJ384" s="2675">
        <f t="shared" si="226"/>
        <v>0</v>
      </c>
      <c r="BK384" s="2675">
        <f t="shared" si="227"/>
        <v>0</v>
      </c>
      <c r="BL384" s="2675">
        <f t="shared" si="228"/>
        <v>0</v>
      </c>
      <c r="BM384" s="2675">
        <f t="shared" si="229"/>
        <v>0</v>
      </c>
      <c r="BN384" s="2675">
        <f t="shared" si="230"/>
        <v>0</v>
      </c>
      <c r="BO384" s="2675">
        <f t="shared" si="231"/>
        <v>0</v>
      </c>
      <c r="BP384" s="2675">
        <f t="shared" si="232"/>
        <v>0</v>
      </c>
      <c r="BQ384" s="2675">
        <f t="shared" si="233"/>
        <v>0</v>
      </c>
      <c r="BR384" s="2675">
        <f t="shared" si="234"/>
        <v>0</v>
      </c>
      <c r="BS384" s="2675">
        <f t="shared" si="235"/>
        <v>0</v>
      </c>
      <c r="BT384" s="2722">
        <f t="shared" si="236"/>
        <v>0</v>
      </c>
    </row>
    <row r="385" spans="1:72">
      <c r="A385" s="2673"/>
      <c r="B385" s="2674"/>
      <c r="C385" s="2674"/>
      <c r="D385" s="2277"/>
      <c r="E385" s="2675">
        <f t="shared" si="237"/>
        <v>0</v>
      </c>
      <c r="F385" s="2676"/>
      <c r="G385" s="2677">
        <f t="shared" si="212"/>
        <v>0</v>
      </c>
      <c r="H385" s="2678">
        <f t="shared" si="213"/>
        <v>0</v>
      </c>
      <c r="I385" s="2685"/>
      <c r="J385" s="2685"/>
      <c r="K385" s="2685"/>
      <c r="L385" s="2685"/>
      <c r="M385" s="2685"/>
      <c r="N385" s="2685"/>
      <c r="O385" s="2685"/>
      <c r="P385" s="2685"/>
      <c r="Q385" s="2685"/>
      <c r="R385" s="2685"/>
      <c r="S385" s="2685"/>
      <c r="T385" s="2685"/>
      <c r="U385" s="2685"/>
      <c r="V385" s="2685"/>
      <c r="W385" s="2685"/>
      <c r="X385" s="2685"/>
      <c r="Y385" s="2685"/>
      <c r="Z385" s="2685"/>
      <c r="AA385" s="2685"/>
      <c r="AB385" s="2685"/>
      <c r="AC385" s="2675">
        <f t="shared" si="214"/>
        <v>0</v>
      </c>
      <c r="AD385" s="2695"/>
      <c r="AE385" s="2695"/>
      <c r="AF385" s="2695"/>
      <c r="AG385" s="2695"/>
      <c r="AH385" s="2695"/>
      <c r="AI385" s="2695"/>
      <c r="AJ385" s="2695"/>
      <c r="AK385" s="2695"/>
      <c r="AL385" s="2695"/>
      <c r="AM385" s="2695"/>
      <c r="AN385" s="2695"/>
      <c r="AO385" s="2695"/>
      <c r="AP385" s="2695"/>
      <c r="AQ385" s="2695"/>
      <c r="AR385" s="2695"/>
      <c r="AS385" s="2695"/>
      <c r="AT385" s="2703"/>
      <c r="AU385" s="2704"/>
      <c r="AV385" s="1074">
        <f t="shared" si="238"/>
        <v>0</v>
      </c>
      <c r="AW385" s="1074">
        <f t="shared" si="239"/>
        <v>0</v>
      </c>
      <c r="AX385" s="1074">
        <f t="shared" si="240"/>
        <v>0</v>
      </c>
      <c r="AY385" s="2279">
        <f t="shared" si="215"/>
        <v>0</v>
      </c>
      <c r="AZ385" s="2675">
        <f t="shared" si="216"/>
        <v>0</v>
      </c>
      <c r="BA385" s="2675">
        <f t="shared" si="217"/>
        <v>0</v>
      </c>
      <c r="BB385" s="2675">
        <f t="shared" si="218"/>
        <v>0</v>
      </c>
      <c r="BC385" s="2675">
        <f t="shared" si="219"/>
        <v>0</v>
      </c>
      <c r="BD385" s="2675">
        <f t="shared" si="220"/>
        <v>0</v>
      </c>
      <c r="BE385" s="2675">
        <f t="shared" si="221"/>
        <v>0</v>
      </c>
      <c r="BF385" s="2675">
        <f t="shared" si="222"/>
        <v>0</v>
      </c>
      <c r="BG385" s="2675">
        <f t="shared" si="223"/>
        <v>0</v>
      </c>
      <c r="BH385" s="2675">
        <f t="shared" si="224"/>
        <v>0</v>
      </c>
      <c r="BI385" s="2675">
        <f t="shared" si="225"/>
        <v>0</v>
      </c>
      <c r="BJ385" s="2675">
        <f t="shared" si="226"/>
        <v>0</v>
      </c>
      <c r="BK385" s="2675">
        <f t="shared" si="227"/>
        <v>0</v>
      </c>
      <c r="BL385" s="2675">
        <f t="shared" si="228"/>
        <v>0</v>
      </c>
      <c r="BM385" s="2675">
        <f t="shared" si="229"/>
        <v>0</v>
      </c>
      <c r="BN385" s="2675">
        <f t="shared" si="230"/>
        <v>0</v>
      </c>
      <c r="BO385" s="2675">
        <f t="shared" si="231"/>
        <v>0</v>
      </c>
      <c r="BP385" s="2675">
        <f t="shared" si="232"/>
        <v>0</v>
      </c>
      <c r="BQ385" s="2675">
        <f t="shared" si="233"/>
        <v>0</v>
      </c>
      <c r="BR385" s="2675">
        <f t="shared" si="234"/>
        <v>0</v>
      </c>
      <c r="BS385" s="2675">
        <f t="shared" si="235"/>
        <v>0</v>
      </c>
      <c r="BT385" s="2722">
        <f t="shared" si="236"/>
        <v>0</v>
      </c>
    </row>
    <row r="386" spans="1:72">
      <c r="A386" s="2673"/>
      <c r="B386" s="2674"/>
      <c r="C386" s="2674"/>
      <c r="D386" s="2277"/>
      <c r="E386" s="2675">
        <f t="shared" si="237"/>
        <v>0</v>
      </c>
      <c r="F386" s="2676"/>
      <c r="G386" s="2677">
        <f t="shared" si="212"/>
        <v>0</v>
      </c>
      <c r="H386" s="2678">
        <f t="shared" si="213"/>
        <v>0</v>
      </c>
      <c r="I386" s="2685"/>
      <c r="J386" s="2685"/>
      <c r="K386" s="2685"/>
      <c r="L386" s="2685"/>
      <c r="M386" s="2685"/>
      <c r="N386" s="2685"/>
      <c r="O386" s="2685"/>
      <c r="P386" s="2685"/>
      <c r="Q386" s="2685"/>
      <c r="R386" s="2685"/>
      <c r="S386" s="2685"/>
      <c r="T386" s="2685"/>
      <c r="U386" s="2685"/>
      <c r="V386" s="2685"/>
      <c r="W386" s="2685"/>
      <c r="X386" s="2685"/>
      <c r="Y386" s="2685"/>
      <c r="Z386" s="2685"/>
      <c r="AA386" s="2685"/>
      <c r="AB386" s="2685"/>
      <c r="AC386" s="2675">
        <f t="shared" si="214"/>
        <v>0</v>
      </c>
      <c r="AD386" s="2695"/>
      <c r="AE386" s="2695"/>
      <c r="AF386" s="2695"/>
      <c r="AG386" s="2695"/>
      <c r="AH386" s="2695"/>
      <c r="AI386" s="2695"/>
      <c r="AJ386" s="2695"/>
      <c r="AK386" s="2695"/>
      <c r="AL386" s="2695"/>
      <c r="AM386" s="2695"/>
      <c r="AN386" s="2695"/>
      <c r="AO386" s="2695"/>
      <c r="AP386" s="2695"/>
      <c r="AQ386" s="2695"/>
      <c r="AR386" s="2695"/>
      <c r="AS386" s="2695"/>
      <c r="AT386" s="2703"/>
      <c r="AU386" s="2704"/>
      <c r="AV386" s="1074">
        <f t="shared" si="238"/>
        <v>0</v>
      </c>
      <c r="AW386" s="1074">
        <f t="shared" si="239"/>
        <v>0</v>
      </c>
      <c r="AX386" s="1074">
        <f t="shared" si="240"/>
        <v>0</v>
      </c>
      <c r="AY386" s="2279">
        <f t="shared" si="215"/>
        <v>0</v>
      </c>
      <c r="AZ386" s="2675">
        <f t="shared" si="216"/>
        <v>0</v>
      </c>
      <c r="BA386" s="2675">
        <f t="shared" si="217"/>
        <v>0</v>
      </c>
      <c r="BB386" s="2675">
        <f t="shared" si="218"/>
        <v>0</v>
      </c>
      <c r="BC386" s="2675">
        <f t="shared" si="219"/>
        <v>0</v>
      </c>
      <c r="BD386" s="2675">
        <f t="shared" si="220"/>
        <v>0</v>
      </c>
      <c r="BE386" s="2675">
        <f t="shared" si="221"/>
        <v>0</v>
      </c>
      <c r="BF386" s="2675">
        <f t="shared" si="222"/>
        <v>0</v>
      </c>
      <c r="BG386" s="2675">
        <f t="shared" si="223"/>
        <v>0</v>
      </c>
      <c r="BH386" s="2675">
        <f t="shared" si="224"/>
        <v>0</v>
      </c>
      <c r="BI386" s="2675">
        <f t="shared" si="225"/>
        <v>0</v>
      </c>
      <c r="BJ386" s="2675">
        <f t="shared" si="226"/>
        <v>0</v>
      </c>
      <c r="BK386" s="2675">
        <f t="shared" si="227"/>
        <v>0</v>
      </c>
      <c r="BL386" s="2675">
        <f t="shared" si="228"/>
        <v>0</v>
      </c>
      <c r="BM386" s="2675">
        <f t="shared" si="229"/>
        <v>0</v>
      </c>
      <c r="BN386" s="2675">
        <f t="shared" si="230"/>
        <v>0</v>
      </c>
      <c r="BO386" s="2675">
        <f t="shared" si="231"/>
        <v>0</v>
      </c>
      <c r="BP386" s="2675">
        <f t="shared" si="232"/>
        <v>0</v>
      </c>
      <c r="BQ386" s="2675">
        <f t="shared" si="233"/>
        <v>0</v>
      </c>
      <c r="BR386" s="2675">
        <f t="shared" si="234"/>
        <v>0</v>
      </c>
      <c r="BS386" s="2675">
        <f t="shared" si="235"/>
        <v>0</v>
      </c>
      <c r="BT386" s="2722">
        <f t="shared" si="236"/>
        <v>0</v>
      </c>
    </row>
    <row r="387" spans="1:72">
      <c r="A387" s="2673"/>
      <c r="B387" s="2674"/>
      <c r="C387" s="2674"/>
      <c r="D387" s="2277"/>
      <c r="E387" s="2675">
        <f t="shared" si="237"/>
        <v>0</v>
      </c>
      <c r="F387" s="2676"/>
      <c r="G387" s="2677">
        <f t="shared" si="212"/>
        <v>0</v>
      </c>
      <c r="H387" s="2678">
        <f t="shared" si="213"/>
        <v>0</v>
      </c>
      <c r="I387" s="2685"/>
      <c r="J387" s="2685"/>
      <c r="K387" s="2685"/>
      <c r="L387" s="2685"/>
      <c r="M387" s="2685"/>
      <c r="N387" s="2685"/>
      <c r="O387" s="2685"/>
      <c r="P387" s="2685"/>
      <c r="Q387" s="2685"/>
      <c r="R387" s="2685"/>
      <c r="S387" s="2685"/>
      <c r="T387" s="2685"/>
      <c r="U387" s="2685"/>
      <c r="V387" s="2685"/>
      <c r="W387" s="2685"/>
      <c r="X387" s="2685"/>
      <c r="Y387" s="2685"/>
      <c r="Z387" s="2685"/>
      <c r="AA387" s="2685"/>
      <c r="AB387" s="2685"/>
      <c r="AC387" s="2675">
        <f t="shared" si="214"/>
        <v>0</v>
      </c>
      <c r="AD387" s="2695"/>
      <c r="AE387" s="2695"/>
      <c r="AF387" s="2695"/>
      <c r="AG387" s="2695"/>
      <c r="AH387" s="2695"/>
      <c r="AI387" s="2695"/>
      <c r="AJ387" s="2695"/>
      <c r="AK387" s="2695"/>
      <c r="AL387" s="2695"/>
      <c r="AM387" s="2695"/>
      <c r="AN387" s="2695"/>
      <c r="AO387" s="2695"/>
      <c r="AP387" s="2695"/>
      <c r="AQ387" s="2695"/>
      <c r="AR387" s="2695"/>
      <c r="AS387" s="2695"/>
      <c r="AT387" s="2703"/>
      <c r="AU387" s="2704"/>
      <c r="AV387" s="1074">
        <f t="shared" si="238"/>
        <v>0</v>
      </c>
      <c r="AW387" s="1074">
        <f t="shared" si="239"/>
        <v>0</v>
      </c>
      <c r="AX387" s="1074">
        <f t="shared" si="240"/>
        <v>0</v>
      </c>
      <c r="AY387" s="2279">
        <f t="shared" si="215"/>
        <v>0</v>
      </c>
      <c r="AZ387" s="2675">
        <f t="shared" si="216"/>
        <v>0</v>
      </c>
      <c r="BA387" s="2675">
        <f t="shared" si="217"/>
        <v>0</v>
      </c>
      <c r="BB387" s="2675">
        <f t="shared" si="218"/>
        <v>0</v>
      </c>
      <c r="BC387" s="2675">
        <f t="shared" si="219"/>
        <v>0</v>
      </c>
      <c r="BD387" s="2675">
        <f t="shared" si="220"/>
        <v>0</v>
      </c>
      <c r="BE387" s="2675">
        <f t="shared" si="221"/>
        <v>0</v>
      </c>
      <c r="BF387" s="2675">
        <f t="shared" si="222"/>
        <v>0</v>
      </c>
      <c r="BG387" s="2675">
        <f t="shared" si="223"/>
        <v>0</v>
      </c>
      <c r="BH387" s="2675">
        <f t="shared" si="224"/>
        <v>0</v>
      </c>
      <c r="BI387" s="2675">
        <f t="shared" si="225"/>
        <v>0</v>
      </c>
      <c r="BJ387" s="2675">
        <f t="shared" si="226"/>
        <v>0</v>
      </c>
      <c r="BK387" s="2675">
        <f t="shared" si="227"/>
        <v>0</v>
      </c>
      <c r="BL387" s="2675">
        <f t="shared" si="228"/>
        <v>0</v>
      </c>
      <c r="BM387" s="2675">
        <f t="shared" si="229"/>
        <v>0</v>
      </c>
      <c r="BN387" s="2675">
        <f t="shared" si="230"/>
        <v>0</v>
      </c>
      <c r="BO387" s="2675">
        <f t="shared" si="231"/>
        <v>0</v>
      </c>
      <c r="BP387" s="2675">
        <f t="shared" si="232"/>
        <v>0</v>
      </c>
      <c r="BQ387" s="2675">
        <f t="shared" si="233"/>
        <v>0</v>
      </c>
      <c r="BR387" s="2675">
        <f t="shared" si="234"/>
        <v>0</v>
      </c>
      <c r="BS387" s="2675">
        <f t="shared" si="235"/>
        <v>0</v>
      </c>
      <c r="BT387" s="2722">
        <f t="shared" si="236"/>
        <v>0</v>
      </c>
    </row>
    <row r="388" spans="1:72">
      <c r="A388" s="2673"/>
      <c r="B388" s="2674"/>
      <c r="C388" s="2674"/>
      <c r="D388" s="2277"/>
      <c r="E388" s="2675">
        <f t="shared" si="237"/>
        <v>0</v>
      </c>
      <c r="F388" s="2676"/>
      <c r="G388" s="2677">
        <f t="shared" si="212"/>
        <v>0</v>
      </c>
      <c r="H388" s="2678">
        <f t="shared" si="213"/>
        <v>0</v>
      </c>
      <c r="I388" s="2685"/>
      <c r="J388" s="2685"/>
      <c r="K388" s="2685"/>
      <c r="L388" s="2685"/>
      <c r="M388" s="2685"/>
      <c r="N388" s="2685"/>
      <c r="O388" s="2685"/>
      <c r="P388" s="2685"/>
      <c r="Q388" s="2685"/>
      <c r="R388" s="2685"/>
      <c r="S388" s="2685"/>
      <c r="T388" s="2685"/>
      <c r="U388" s="2685"/>
      <c r="V388" s="2685"/>
      <c r="W388" s="2685"/>
      <c r="X388" s="2685"/>
      <c r="Y388" s="2685"/>
      <c r="Z388" s="2685"/>
      <c r="AA388" s="2685"/>
      <c r="AB388" s="2685"/>
      <c r="AC388" s="2675">
        <f t="shared" si="214"/>
        <v>0</v>
      </c>
      <c r="AD388" s="2695"/>
      <c r="AE388" s="2695"/>
      <c r="AF388" s="2695"/>
      <c r="AG388" s="2695"/>
      <c r="AH388" s="2695"/>
      <c r="AI388" s="2695"/>
      <c r="AJ388" s="2695"/>
      <c r="AK388" s="2695"/>
      <c r="AL388" s="2695"/>
      <c r="AM388" s="2695"/>
      <c r="AN388" s="2695"/>
      <c r="AO388" s="2695"/>
      <c r="AP388" s="2695"/>
      <c r="AQ388" s="2695"/>
      <c r="AR388" s="2695"/>
      <c r="AS388" s="2695"/>
      <c r="AT388" s="2703"/>
      <c r="AU388" s="2704"/>
      <c r="AV388" s="1074">
        <f t="shared" si="238"/>
        <v>0</v>
      </c>
      <c r="AW388" s="1074">
        <f t="shared" si="239"/>
        <v>0</v>
      </c>
      <c r="AX388" s="1074">
        <f t="shared" si="240"/>
        <v>0</v>
      </c>
      <c r="AY388" s="2279">
        <f t="shared" si="215"/>
        <v>0</v>
      </c>
      <c r="AZ388" s="2675">
        <f t="shared" si="216"/>
        <v>0</v>
      </c>
      <c r="BA388" s="2675">
        <f t="shared" si="217"/>
        <v>0</v>
      </c>
      <c r="BB388" s="2675">
        <f t="shared" si="218"/>
        <v>0</v>
      </c>
      <c r="BC388" s="2675">
        <f t="shared" si="219"/>
        <v>0</v>
      </c>
      <c r="BD388" s="2675">
        <f t="shared" si="220"/>
        <v>0</v>
      </c>
      <c r="BE388" s="2675">
        <f t="shared" si="221"/>
        <v>0</v>
      </c>
      <c r="BF388" s="2675">
        <f t="shared" si="222"/>
        <v>0</v>
      </c>
      <c r="BG388" s="2675">
        <f t="shared" si="223"/>
        <v>0</v>
      </c>
      <c r="BH388" s="2675">
        <f t="shared" si="224"/>
        <v>0</v>
      </c>
      <c r="BI388" s="2675">
        <f t="shared" si="225"/>
        <v>0</v>
      </c>
      <c r="BJ388" s="2675">
        <f t="shared" si="226"/>
        <v>0</v>
      </c>
      <c r="BK388" s="2675">
        <f t="shared" si="227"/>
        <v>0</v>
      </c>
      <c r="BL388" s="2675">
        <f t="shared" si="228"/>
        <v>0</v>
      </c>
      <c r="BM388" s="2675">
        <f t="shared" si="229"/>
        <v>0</v>
      </c>
      <c r="BN388" s="2675">
        <f t="shared" si="230"/>
        <v>0</v>
      </c>
      <c r="BO388" s="2675">
        <f t="shared" si="231"/>
        <v>0</v>
      </c>
      <c r="BP388" s="2675">
        <f t="shared" si="232"/>
        <v>0</v>
      </c>
      <c r="BQ388" s="2675">
        <f t="shared" si="233"/>
        <v>0</v>
      </c>
      <c r="BR388" s="2675">
        <f t="shared" si="234"/>
        <v>0</v>
      </c>
      <c r="BS388" s="2675">
        <f t="shared" si="235"/>
        <v>0</v>
      </c>
      <c r="BT388" s="2722">
        <f t="shared" si="236"/>
        <v>0</v>
      </c>
    </row>
    <row r="389" spans="1:72">
      <c r="A389" s="2673"/>
      <c r="B389" s="2674"/>
      <c r="C389" s="2674"/>
      <c r="D389" s="2277"/>
      <c r="E389" s="2675">
        <f t="shared" si="237"/>
        <v>0</v>
      </c>
      <c r="F389" s="2676"/>
      <c r="G389" s="2677">
        <f t="shared" si="212"/>
        <v>0</v>
      </c>
      <c r="H389" s="2678">
        <f t="shared" si="213"/>
        <v>0</v>
      </c>
      <c r="I389" s="2685"/>
      <c r="J389" s="2685"/>
      <c r="K389" s="2685"/>
      <c r="L389" s="2685"/>
      <c r="M389" s="2685"/>
      <c r="N389" s="2685"/>
      <c r="O389" s="2685"/>
      <c r="P389" s="2685"/>
      <c r="Q389" s="2685"/>
      <c r="R389" s="2685"/>
      <c r="S389" s="2685"/>
      <c r="T389" s="2685"/>
      <c r="U389" s="2685"/>
      <c r="V389" s="2685"/>
      <c r="W389" s="2685"/>
      <c r="X389" s="2685"/>
      <c r="Y389" s="2685"/>
      <c r="Z389" s="2685"/>
      <c r="AA389" s="2685"/>
      <c r="AB389" s="2685"/>
      <c r="AC389" s="2675">
        <f t="shared" si="214"/>
        <v>0</v>
      </c>
      <c r="AD389" s="2695"/>
      <c r="AE389" s="2695"/>
      <c r="AF389" s="2695"/>
      <c r="AG389" s="2695"/>
      <c r="AH389" s="2695"/>
      <c r="AI389" s="2695"/>
      <c r="AJ389" s="2695"/>
      <c r="AK389" s="2695"/>
      <c r="AL389" s="2695"/>
      <c r="AM389" s="2695"/>
      <c r="AN389" s="2695"/>
      <c r="AO389" s="2695"/>
      <c r="AP389" s="2695"/>
      <c r="AQ389" s="2695"/>
      <c r="AR389" s="2695"/>
      <c r="AS389" s="2695"/>
      <c r="AT389" s="2703"/>
      <c r="AU389" s="2704"/>
      <c r="AV389" s="1074">
        <f t="shared" si="238"/>
        <v>0</v>
      </c>
      <c r="AW389" s="1074">
        <f t="shared" si="239"/>
        <v>0</v>
      </c>
      <c r="AX389" s="1074">
        <f t="shared" si="240"/>
        <v>0</v>
      </c>
      <c r="AY389" s="2279">
        <f t="shared" si="215"/>
        <v>0</v>
      </c>
      <c r="AZ389" s="2675">
        <f t="shared" si="216"/>
        <v>0</v>
      </c>
      <c r="BA389" s="2675">
        <f t="shared" si="217"/>
        <v>0</v>
      </c>
      <c r="BB389" s="2675">
        <f t="shared" si="218"/>
        <v>0</v>
      </c>
      <c r="BC389" s="2675">
        <f t="shared" si="219"/>
        <v>0</v>
      </c>
      <c r="BD389" s="2675">
        <f t="shared" si="220"/>
        <v>0</v>
      </c>
      <c r="BE389" s="2675">
        <f t="shared" si="221"/>
        <v>0</v>
      </c>
      <c r="BF389" s="2675">
        <f t="shared" si="222"/>
        <v>0</v>
      </c>
      <c r="BG389" s="2675">
        <f t="shared" si="223"/>
        <v>0</v>
      </c>
      <c r="BH389" s="2675">
        <f t="shared" si="224"/>
        <v>0</v>
      </c>
      <c r="BI389" s="2675">
        <f t="shared" si="225"/>
        <v>0</v>
      </c>
      <c r="BJ389" s="2675">
        <f t="shared" si="226"/>
        <v>0</v>
      </c>
      <c r="BK389" s="2675">
        <f t="shared" si="227"/>
        <v>0</v>
      </c>
      <c r="BL389" s="2675">
        <f t="shared" si="228"/>
        <v>0</v>
      </c>
      <c r="BM389" s="2675">
        <f t="shared" si="229"/>
        <v>0</v>
      </c>
      <c r="BN389" s="2675">
        <f t="shared" si="230"/>
        <v>0</v>
      </c>
      <c r="BO389" s="2675">
        <f t="shared" si="231"/>
        <v>0</v>
      </c>
      <c r="BP389" s="2675">
        <f t="shared" si="232"/>
        <v>0</v>
      </c>
      <c r="BQ389" s="2675">
        <f t="shared" si="233"/>
        <v>0</v>
      </c>
      <c r="BR389" s="2675">
        <f t="shared" si="234"/>
        <v>0</v>
      </c>
      <c r="BS389" s="2675">
        <f t="shared" si="235"/>
        <v>0</v>
      </c>
      <c r="BT389" s="2722">
        <f t="shared" si="236"/>
        <v>0</v>
      </c>
    </row>
    <row r="390" spans="1:72">
      <c r="A390" s="2673"/>
      <c r="B390" s="2674"/>
      <c r="C390" s="2674"/>
      <c r="D390" s="2277"/>
      <c r="E390" s="2675">
        <f t="shared" si="237"/>
        <v>0</v>
      </c>
      <c r="F390" s="2676"/>
      <c r="G390" s="2677">
        <f t="shared" si="212"/>
        <v>0</v>
      </c>
      <c r="H390" s="2678">
        <f t="shared" si="213"/>
        <v>0</v>
      </c>
      <c r="I390" s="2685"/>
      <c r="J390" s="2685"/>
      <c r="K390" s="2685"/>
      <c r="L390" s="2685"/>
      <c r="M390" s="2685"/>
      <c r="N390" s="2685"/>
      <c r="O390" s="2685"/>
      <c r="P390" s="2685"/>
      <c r="Q390" s="2685"/>
      <c r="R390" s="2685"/>
      <c r="S390" s="2685"/>
      <c r="T390" s="2685"/>
      <c r="U390" s="2685"/>
      <c r="V390" s="2685"/>
      <c r="W390" s="2685"/>
      <c r="X390" s="2685"/>
      <c r="Y390" s="2685"/>
      <c r="Z390" s="2685"/>
      <c r="AA390" s="2685"/>
      <c r="AB390" s="2685"/>
      <c r="AC390" s="2675">
        <f t="shared" si="214"/>
        <v>0</v>
      </c>
      <c r="AD390" s="2695"/>
      <c r="AE390" s="2695"/>
      <c r="AF390" s="2695"/>
      <c r="AG390" s="2695"/>
      <c r="AH390" s="2695"/>
      <c r="AI390" s="2695"/>
      <c r="AJ390" s="2695"/>
      <c r="AK390" s="2695"/>
      <c r="AL390" s="2695"/>
      <c r="AM390" s="2695"/>
      <c r="AN390" s="2695"/>
      <c r="AO390" s="2695"/>
      <c r="AP390" s="2695"/>
      <c r="AQ390" s="2695"/>
      <c r="AR390" s="2695"/>
      <c r="AS390" s="2695"/>
      <c r="AT390" s="2703"/>
      <c r="AU390" s="2704"/>
      <c r="AV390" s="1074">
        <f t="shared" si="238"/>
        <v>0</v>
      </c>
      <c r="AW390" s="1074">
        <f t="shared" si="239"/>
        <v>0</v>
      </c>
      <c r="AX390" s="1074">
        <f t="shared" si="240"/>
        <v>0</v>
      </c>
      <c r="AY390" s="2279">
        <f t="shared" si="215"/>
        <v>0</v>
      </c>
      <c r="AZ390" s="2675">
        <f t="shared" si="216"/>
        <v>0</v>
      </c>
      <c r="BA390" s="2675">
        <f t="shared" si="217"/>
        <v>0</v>
      </c>
      <c r="BB390" s="2675">
        <f t="shared" si="218"/>
        <v>0</v>
      </c>
      <c r="BC390" s="2675">
        <f t="shared" si="219"/>
        <v>0</v>
      </c>
      <c r="BD390" s="2675">
        <f t="shared" si="220"/>
        <v>0</v>
      </c>
      <c r="BE390" s="2675">
        <f t="shared" si="221"/>
        <v>0</v>
      </c>
      <c r="BF390" s="2675">
        <f t="shared" si="222"/>
        <v>0</v>
      </c>
      <c r="BG390" s="2675">
        <f t="shared" si="223"/>
        <v>0</v>
      </c>
      <c r="BH390" s="2675">
        <f t="shared" si="224"/>
        <v>0</v>
      </c>
      <c r="BI390" s="2675">
        <f t="shared" si="225"/>
        <v>0</v>
      </c>
      <c r="BJ390" s="2675">
        <f t="shared" si="226"/>
        <v>0</v>
      </c>
      <c r="BK390" s="2675">
        <f t="shared" si="227"/>
        <v>0</v>
      </c>
      <c r="BL390" s="2675">
        <f t="shared" si="228"/>
        <v>0</v>
      </c>
      <c r="BM390" s="2675">
        <f t="shared" si="229"/>
        <v>0</v>
      </c>
      <c r="BN390" s="2675">
        <f t="shared" si="230"/>
        <v>0</v>
      </c>
      <c r="BO390" s="2675">
        <f t="shared" si="231"/>
        <v>0</v>
      </c>
      <c r="BP390" s="2675">
        <f t="shared" si="232"/>
        <v>0</v>
      </c>
      <c r="BQ390" s="2675">
        <f t="shared" si="233"/>
        <v>0</v>
      </c>
      <c r="BR390" s="2675">
        <f t="shared" si="234"/>
        <v>0</v>
      </c>
      <c r="BS390" s="2675">
        <f t="shared" si="235"/>
        <v>0</v>
      </c>
      <c r="BT390" s="2722">
        <f t="shared" si="236"/>
        <v>0</v>
      </c>
    </row>
    <row r="391" spans="1:72">
      <c r="A391" s="2673"/>
      <c r="B391" s="2674"/>
      <c r="C391" s="2674"/>
      <c r="D391" s="2277"/>
      <c r="E391" s="2675">
        <f t="shared" si="237"/>
        <v>0</v>
      </c>
      <c r="F391" s="2676"/>
      <c r="G391" s="2677">
        <f t="shared" si="212"/>
        <v>0</v>
      </c>
      <c r="H391" s="2678">
        <f t="shared" si="213"/>
        <v>0</v>
      </c>
      <c r="I391" s="2685"/>
      <c r="J391" s="2685"/>
      <c r="K391" s="2685"/>
      <c r="L391" s="2685"/>
      <c r="M391" s="2685"/>
      <c r="N391" s="2685"/>
      <c r="O391" s="2685"/>
      <c r="P391" s="2685"/>
      <c r="Q391" s="2685"/>
      <c r="R391" s="2685"/>
      <c r="S391" s="2685"/>
      <c r="T391" s="2685"/>
      <c r="U391" s="2685"/>
      <c r="V391" s="2685"/>
      <c r="W391" s="2685"/>
      <c r="X391" s="2685"/>
      <c r="Y391" s="2685"/>
      <c r="Z391" s="2685"/>
      <c r="AA391" s="2685"/>
      <c r="AB391" s="2685"/>
      <c r="AC391" s="2675">
        <f t="shared" si="214"/>
        <v>0</v>
      </c>
      <c r="AD391" s="2695"/>
      <c r="AE391" s="2695"/>
      <c r="AF391" s="2695"/>
      <c r="AG391" s="2695"/>
      <c r="AH391" s="2695"/>
      <c r="AI391" s="2695"/>
      <c r="AJ391" s="2695"/>
      <c r="AK391" s="2695"/>
      <c r="AL391" s="2695"/>
      <c r="AM391" s="2695"/>
      <c r="AN391" s="2695"/>
      <c r="AO391" s="2695"/>
      <c r="AP391" s="2695"/>
      <c r="AQ391" s="2695"/>
      <c r="AR391" s="2695"/>
      <c r="AS391" s="2695"/>
      <c r="AT391" s="2703"/>
      <c r="AU391" s="2704"/>
      <c r="AV391" s="1074">
        <f t="shared" si="238"/>
        <v>0</v>
      </c>
      <c r="AW391" s="1074">
        <f t="shared" si="239"/>
        <v>0</v>
      </c>
      <c r="AX391" s="1074">
        <f t="shared" si="240"/>
        <v>0</v>
      </c>
      <c r="AY391" s="2279">
        <f t="shared" si="215"/>
        <v>0</v>
      </c>
      <c r="AZ391" s="2675">
        <f t="shared" si="216"/>
        <v>0</v>
      </c>
      <c r="BA391" s="2675">
        <f t="shared" si="217"/>
        <v>0</v>
      </c>
      <c r="BB391" s="2675">
        <f t="shared" si="218"/>
        <v>0</v>
      </c>
      <c r="BC391" s="2675">
        <f t="shared" si="219"/>
        <v>0</v>
      </c>
      <c r="BD391" s="2675">
        <f t="shared" si="220"/>
        <v>0</v>
      </c>
      <c r="BE391" s="2675">
        <f t="shared" si="221"/>
        <v>0</v>
      </c>
      <c r="BF391" s="2675">
        <f t="shared" si="222"/>
        <v>0</v>
      </c>
      <c r="BG391" s="2675">
        <f t="shared" si="223"/>
        <v>0</v>
      </c>
      <c r="BH391" s="2675">
        <f t="shared" si="224"/>
        <v>0</v>
      </c>
      <c r="BI391" s="2675">
        <f t="shared" si="225"/>
        <v>0</v>
      </c>
      <c r="BJ391" s="2675">
        <f t="shared" si="226"/>
        <v>0</v>
      </c>
      <c r="BK391" s="2675">
        <f t="shared" si="227"/>
        <v>0</v>
      </c>
      <c r="BL391" s="2675">
        <f t="shared" si="228"/>
        <v>0</v>
      </c>
      <c r="BM391" s="2675">
        <f t="shared" si="229"/>
        <v>0</v>
      </c>
      <c r="BN391" s="2675">
        <f t="shared" si="230"/>
        <v>0</v>
      </c>
      <c r="BO391" s="2675">
        <f t="shared" si="231"/>
        <v>0</v>
      </c>
      <c r="BP391" s="2675">
        <f t="shared" si="232"/>
        <v>0</v>
      </c>
      <c r="BQ391" s="2675">
        <f t="shared" si="233"/>
        <v>0</v>
      </c>
      <c r="BR391" s="2675">
        <f t="shared" si="234"/>
        <v>0</v>
      </c>
      <c r="BS391" s="2675">
        <f t="shared" si="235"/>
        <v>0</v>
      </c>
      <c r="BT391" s="2722">
        <f t="shared" si="236"/>
        <v>0</v>
      </c>
    </row>
    <row r="392" spans="1:72">
      <c r="A392" s="2673"/>
      <c r="B392" s="2674"/>
      <c r="C392" s="2674"/>
      <c r="D392" s="2277"/>
      <c r="E392" s="2675">
        <f t="shared" si="237"/>
        <v>0</v>
      </c>
      <c r="F392" s="2676"/>
      <c r="G392" s="2677">
        <f t="shared" si="212"/>
        <v>0</v>
      </c>
      <c r="H392" s="2678">
        <f t="shared" si="213"/>
        <v>0</v>
      </c>
      <c r="I392" s="2685"/>
      <c r="J392" s="2685"/>
      <c r="K392" s="2685"/>
      <c r="L392" s="2685"/>
      <c r="M392" s="2685"/>
      <c r="N392" s="2685"/>
      <c r="O392" s="2685"/>
      <c r="P392" s="2685"/>
      <c r="Q392" s="2685"/>
      <c r="R392" s="2685"/>
      <c r="S392" s="2685"/>
      <c r="T392" s="2685"/>
      <c r="U392" s="2685"/>
      <c r="V392" s="2685"/>
      <c r="W392" s="2685"/>
      <c r="X392" s="2685"/>
      <c r="Y392" s="2685"/>
      <c r="Z392" s="2685"/>
      <c r="AA392" s="2685"/>
      <c r="AB392" s="2685"/>
      <c r="AC392" s="2675">
        <f t="shared" si="214"/>
        <v>0</v>
      </c>
      <c r="AD392" s="2695"/>
      <c r="AE392" s="2695"/>
      <c r="AF392" s="2695"/>
      <c r="AG392" s="2695"/>
      <c r="AH392" s="2695"/>
      <c r="AI392" s="2695"/>
      <c r="AJ392" s="2695"/>
      <c r="AK392" s="2695"/>
      <c r="AL392" s="2695"/>
      <c r="AM392" s="2695"/>
      <c r="AN392" s="2695"/>
      <c r="AO392" s="2695"/>
      <c r="AP392" s="2695"/>
      <c r="AQ392" s="2695"/>
      <c r="AR392" s="2695"/>
      <c r="AS392" s="2695"/>
      <c r="AT392" s="2703"/>
      <c r="AU392" s="2704"/>
      <c r="AV392" s="1074">
        <f t="shared" si="238"/>
        <v>0</v>
      </c>
      <c r="AW392" s="1074">
        <f t="shared" si="239"/>
        <v>0</v>
      </c>
      <c r="AX392" s="1074">
        <f t="shared" si="240"/>
        <v>0</v>
      </c>
      <c r="AY392" s="2279">
        <f t="shared" si="215"/>
        <v>0</v>
      </c>
      <c r="AZ392" s="2675">
        <f t="shared" si="216"/>
        <v>0</v>
      </c>
      <c r="BA392" s="2675">
        <f t="shared" si="217"/>
        <v>0</v>
      </c>
      <c r="BB392" s="2675">
        <f t="shared" si="218"/>
        <v>0</v>
      </c>
      <c r="BC392" s="2675">
        <f t="shared" si="219"/>
        <v>0</v>
      </c>
      <c r="BD392" s="2675">
        <f t="shared" si="220"/>
        <v>0</v>
      </c>
      <c r="BE392" s="2675">
        <f t="shared" si="221"/>
        <v>0</v>
      </c>
      <c r="BF392" s="2675">
        <f t="shared" si="222"/>
        <v>0</v>
      </c>
      <c r="BG392" s="2675">
        <f t="shared" si="223"/>
        <v>0</v>
      </c>
      <c r="BH392" s="2675">
        <f t="shared" si="224"/>
        <v>0</v>
      </c>
      <c r="BI392" s="2675">
        <f t="shared" si="225"/>
        <v>0</v>
      </c>
      <c r="BJ392" s="2675">
        <f t="shared" si="226"/>
        <v>0</v>
      </c>
      <c r="BK392" s="2675">
        <f t="shared" si="227"/>
        <v>0</v>
      </c>
      <c r="BL392" s="2675">
        <f t="shared" si="228"/>
        <v>0</v>
      </c>
      <c r="BM392" s="2675">
        <f t="shared" si="229"/>
        <v>0</v>
      </c>
      <c r="BN392" s="2675">
        <f t="shared" si="230"/>
        <v>0</v>
      </c>
      <c r="BO392" s="2675">
        <f t="shared" si="231"/>
        <v>0</v>
      </c>
      <c r="BP392" s="2675">
        <f t="shared" si="232"/>
        <v>0</v>
      </c>
      <c r="BQ392" s="2675">
        <f t="shared" si="233"/>
        <v>0</v>
      </c>
      <c r="BR392" s="2675">
        <f t="shared" si="234"/>
        <v>0</v>
      </c>
      <c r="BS392" s="2675">
        <f t="shared" si="235"/>
        <v>0</v>
      </c>
      <c r="BT392" s="2722">
        <f t="shared" si="236"/>
        <v>0</v>
      </c>
    </row>
    <row r="393" spans="1:72">
      <c r="A393" s="2673"/>
      <c r="B393" s="2674"/>
      <c r="C393" s="2674"/>
      <c r="D393" s="2277"/>
      <c r="E393" s="2675">
        <f t="shared" si="237"/>
        <v>0</v>
      </c>
      <c r="F393" s="2676"/>
      <c r="G393" s="2677">
        <f t="shared" si="212"/>
        <v>0</v>
      </c>
      <c r="H393" s="2678">
        <f t="shared" si="213"/>
        <v>0</v>
      </c>
      <c r="I393" s="2685"/>
      <c r="J393" s="2685"/>
      <c r="K393" s="2685"/>
      <c r="L393" s="2685"/>
      <c r="M393" s="2685"/>
      <c r="N393" s="2685"/>
      <c r="O393" s="2685"/>
      <c r="P393" s="2685"/>
      <c r="Q393" s="2685"/>
      <c r="R393" s="2685"/>
      <c r="S393" s="2685"/>
      <c r="T393" s="2685"/>
      <c r="U393" s="2685"/>
      <c r="V393" s="2685"/>
      <c r="W393" s="2685"/>
      <c r="X393" s="2685"/>
      <c r="Y393" s="2685"/>
      <c r="Z393" s="2685"/>
      <c r="AA393" s="2685"/>
      <c r="AB393" s="2685"/>
      <c r="AC393" s="2675">
        <f t="shared" si="214"/>
        <v>0</v>
      </c>
      <c r="AD393" s="2695"/>
      <c r="AE393" s="2695"/>
      <c r="AF393" s="2695"/>
      <c r="AG393" s="2695"/>
      <c r="AH393" s="2695"/>
      <c r="AI393" s="2695"/>
      <c r="AJ393" s="2695"/>
      <c r="AK393" s="2695"/>
      <c r="AL393" s="2695"/>
      <c r="AM393" s="2695"/>
      <c r="AN393" s="2695"/>
      <c r="AO393" s="2695"/>
      <c r="AP393" s="2695"/>
      <c r="AQ393" s="2695"/>
      <c r="AR393" s="2695"/>
      <c r="AS393" s="2695"/>
      <c r="AT393" s="2703"/>
      <c r="AU393" s="2704"/>
      <c r="AV393" s="1074">
        <f t="shared" si="238"/>
        <v>0</v>
      </c>
      <c r="AW393" s="1074">
        <f t="shared" si="239"/>
        <v>0</v>
      </c>
      <c r="AX393" s="1074">
        <f t="shared" si="240"/>
        <v>0</v>
      </c>
      <c r="AY393" s="2279">
        <f t="shared" si="215"/>
        <v>0</v>
      </c>
      <c r="AZ393" s="2675">
        <f t="shared" si="216"/>
        <v>0</v>
      </c>
      <c r="BA393" s="2675">
        <f t="shared" si="217"/>
        <v>0</v>
      </c>
      <c r="BB393" s="2675">
        <f t="shared" si="218"/>
        <v>0</v>
      </c>
      <c r="BC393" s="2675">
        <f t="shared" si="219"/>
        <v>0</v>
      </c>
      <c r="BD393" s="2675">
        <f t="shared" si="220"/>
        <v>0</v>
      </c>
      <c r="BE393" s="2675">
        <f t="shared" si="221"/>
        <v>0</v>
      </c>
      <c r="BF393" s="2675">
        <f t="shared" si="222"/>
        <v>0</v>
      </c>
      <c r="BG393" s="2675">
        <f t="shared" si="223"/>
        <v>0</v>
      </c>
      <c r="BH393" s="2675">
        <f t="shared" si="224"/>
        <v>0</v>
      </c>
      <c r="BI393" s="2675">
        <f t="shared" si="225"/>
        <v>0</v>
      </c>
      <c r="BJ393" s="2675">
        <f t="shared" si="226"/>
        <v>0</v>
      </c>
      <c r="BK393" s="2675">
        <f t="shared" si="227"/>
        <v>0</v>
      </c>
      <c r="BL393" s="2675">
        <f t="shared" si="228"/>
        <v>0</v>
      </c>
      <c r="BM393" s="2675">
        <f t="shared" si="229"/>
        <v>0</v>
      </c>
      <c r="BN393" s="2675">
        <f t="shared" si="230"/>
        <v>0</v>
      </c>
      <c r="BO393" s="2675">
        <f t="shared" si="231"/>
        <v>0</v>
      </c>
      <c r="BP393" s="2675">
        <f t="shared" si="232"/>
        <v>0</v>
      </c>
      <c r="BQ393" s="2675">
        <f t="shared" si="233"/>
        <v>0</v>
      </c>
      <c r="BR393" s="2675">
        <f t="shared" si="234"/>
        <v>0</v>
      </c>
      <c r="BS393" s="2675">
        <f t="shared" si="235"/>
        <v>0</v>
      </c>
      <c r="BT393" s="2722">
        <f t="shared" si="236"/>
        <v>0</v>
      </c>
    </row>
    <row r="394" spans="1:72">
      <c r="A394" s="2673"/>
      <c r="B394" s="2674"/>
      <c r="C394" s="2674"/>
      <c r="D394" s="2277"/>
      <c r="E394" s="2675">
        <f t="shared" si="237"/>
        <v>0</v>
      </c>
      <c r="F394" s="2676"/>
      <c r="G394" s="2677">
        <f t="shared" si="212"/>
        <v>0</v>
      </c>
      <c r="H394" s="2678">
        <f t="shared" si="213"/>
        <v>0</v>
      </c>
      <c r="I394" s="2685"/>
      <c r="J394" s="2685"/>
      <c r="K394" s="2685"/>
      <c r="L394" s="2685"/>
      <c r="M394" s="2685"/>
      <c r="N394" s="2685"/>
      <c r="O394" s="2685"/>
      <c r="P394" s="2685"/>
      <c r="Q394" s="2685"/>
      <c r="R394" s="2685"/>
      <c r="S394" s="2685"/>
      <c r="T394" s="2685"/>
      <c r="U394" s="2685"/>
      <c r="V394" s="2685"/>
      <c r="W394" s="2685"/>
      <c r="X394" s="2685"/>
      <c r="Y394" s="2685"/>
      <c r="Z394" s="2685"/>
      <c r="AA394" s="2685"/>
      <c r="AB394" s="2685"/>
      <c r="AC394" s="2675">
        <f t="shared" si="214"/>
        <v>0</v>
      </c>
      <c r="AD394" s="2695"/>
      <c r="AE394" s="2695"/>
      <c r="AF394" s="2695"/>
      <c r="AG394" s="2695"/>
      <c r="AH394" s="2695"/>
      <c r="AI394" s="2695"/>
      <c r="AJ394" s="2695"/>
      <c r="AK394" s="2695"/>
      <c r="AL394" s="2695"/>
      <c r="AM394" s="2695"/>
      <c r="AN394" s="2695"/>
      <c r="AO394" s="2695"/>
      <c r="AP394" s="2695"/>
      <c r="AQ394" s="2695"/>
      <c r="AR394" s="2695"/>
      <c r="AS394" s="2695"/>
      <c r="AT394" s="2703"/>
      <c r="AU394" s="2704"/>
      <c r="AV394" s="1074">
        <f t="shared" si="238"/>
        <v>0</v>
      </c>
      <c r="AW394" s="1074">
        <f t="shared" si="239"/>
        <v>0</v>
      </c>
      <c r="AX394" s="1074">
        <f t="shared" si="240"/>
        <v>0</v>
      </c>
      <c r="AY394" s="2279">
        <f t="shared" si="215"/>
        <v>0</v>
      </c>
      <c r="AZ394" s="2675">
        <f t="shared" si="216"/>
        <v>0</v>
      </c>
      <c r="BA394" s="2675">
        <f t="shared" si="217"/>
        <v>0</v>
      </c>
      <c r="BB394" s="2675">
        <f t="shared" si="218"/>
        <v>0</v>
      </c>
      <c r="BC394" s="2675">
        <f t="shared" si="219"/>
        <v>0</v>
      </c>
      <c r="BD394" s="2675">
        <f t="shared" si="220"/>
        <v>0</v>
      </c>
      <c r="BE394" s="2675">
        <f t="shared" si="221"/>
        <v>0</v>
      </c>
      <c r="BF394" s="2675">
        <f t="shared" si="222"/>
        <v>0</v>
      </c>
      <c r="BG394" s="2675">
        <f t="shared" si="223"/>
        <v>0</v>
      </c>
      <c r="BH394" s="2675">
        <f t="shared" si="224"/>
        <v>0</v>
      </c>
      <c r="BI394" s="2675">
        <f t="shared" si="225"/>
        <v>0</v>
      </c>
      <c r="BJ394" s="2675">
        <f t="shared" si="226"/>
        <v>0</v>
      </c>
      <c r="BK394" s="2675">
        <f t="shared" si="227"/>
        <v>0</v>
      </c>
      <c r="BL394" s="2675">
        <f t="shared" si="228"/>
        <v>0</v>
      </c>
      <c r="BM394" s="2675">
        <f t="shared" si="229"/>
        <v>0</v>
      </c>
      <c r="BN394" s="2675">
        <f t="shared" si="230"/>
        <v>0</v>
      </c>
      <c r="BO394" s="2675">
        <f t="shared" si="231"/>
        <v>0</v>
      </c>
      <c r="BP394" s="2675">
        <f t="shared" si="232"/>
        <v>0</v>
      </c>
      <c r="BQ394" s="2675">
        <f t="shared" si="233"/>
        <v>0</v>
      </c>
      <c r="BR394" s="2675">
        <f t="shared" si="234"/>
        <v>0</v>
      </c>
      <c r="BS394" s="2675">
        <f t="shared" si="235"/>
        <v>0</v>
      </c>
      <c r="BT394" s="2722">
        <f t="shared" si="236"/>
        <v>0</v>
      </c>
    </row>
    <row r="395" spans="1:72">
      <c r="A395" s="2673"/>
      <c r="B395" s="2673"/>
      <c r="C395" s="2673"/>
      <c r="D395" s="2277"/>
      <c r="E395" s="2675">
        <f t="shared" si="237"/>
        <v>0</v>
      </c>
      <c r="F395" s="2723"/>
      <c r="G395" s="2677">
        <f t="shared" si="212"/>
        <v>0</v>
      </c>
      <c r="H395" s="2678">
        <f t="shared" si="213"/>
        <v>0</v>
      </c>
      <c r="I395" s="2724"/>
      <c r="J395" s="2724"/>
      <c r="K395" s="2685"/>
      <c r="L395" s="2685"/>
      <c r="M395" s="2685"/>
      <c r="N395" s="2685"/>
      <c r="O395" s="2685"/>
      <c r="P395" s="2685"/>
      <c r="Q395" s="2685"/>
      <c r="R395" s="2685"/>
      <c r="S395" s="2685"/>
      <c r="T395" s="2685"/>
      <c r="U395" s="2685"/>
      <c r="V395" s="2685"/>
      <c r="W395" s="2685"/>
      <c r="X395" s="2685"/>
      <c r="Y395" s="2685"/>
      <c r="Z395" s="2685"/>
      <c r="AA395" s="2685"/>
      <c r="AB395" s="2685"/>
      <c r="AC395" s="2675">
        <f t="shared" si="214"/>
        <v>0</v>
      </c>
      <c r="AD395" s="2695"/>
      <c r="AE395" s="2695"/>
      <c r="AF395" s="2695"/>
      <c r="AG395" s="2695"/>
      <c r="AH395" s="2695"/>
      <c r="AI395" s="2695"/>
      <c r="AJ395" s="2695"/>
      <c r="AK395" s="2695"/>
      <c r="AL395" s="2695"/>
      <c r="AM395" s="2695"/>
      <c r="AN395" s="2695"/>
      <c r="AO395" s="2695"/>
      <c r="AP395" s="2695"/>
      <c r="AQ395" s="2695"/>
      <c r="AR395" s="2695"/>
      <c r="AS395" s="2695"/>
      <c r="AT395" s="2695"/>
      <c r="AU395" s="2725"/>
      <c r="AV395" s="1074">
        <f t="shared" si="238"/>
        <v>0</v>
      </c>
      <c r="AW395" s="1074">
        <f t="shared" si="239"/>
        <v>0</v>
      </c>
      <c r="AX395" s="1074">
        <f t="shared" si="240"/>
        <v>0</v>
      </c>
      <c r="AY395" s="2279">
        <f t="shared" si="215"/>
        <v>0</v>
      </c>
      <c r="AZ395" s="2675">
        <f t="shared" si="216"/>
        <v>0</v>
      </c>
      <c r="BA395" s="2675">
        <f t="shared" si="217"/>
        <v>0</v>
      </c>
      <c r="BB395" s="2675">
        <f t="shared" si="218"/>
        <v>0</v>
      </c>
      <c r="BC395" s="2675">
        <f t="shared" si="219"/>
        <v>0</v>
      </c>
      <c r="BD395" s="2675">
        <f t="shared" si="220"/>
        <v>0</v>
      </c>
      <c r="BE395" s="2675">
        <f t="shared" si="221"/>
        <v>0</v>
      </c>
      <c r="BF395" s="2675">
        <f t="shared" si="222"/>
        <v>0</v>
      </c>
      <c r="BG395" s="2675">
        <f t="shared" si="223"/>
        <v>0</v>
      </c>
      <c r="BH395" s="2675">
        <f t="shared" si="224"/>
        <v>0</v>
      </c>
      <c r="BI395" s="2675">
        <f t="shared" si="225"/>
        <v>0</v>
      </c>
      <c r="BJ395" s="2675">
        <f t="shared" si="226"/>
        <v>0</v>
      </c>
      <c r="BK395" s="2675">
        <f t="shared" si="227"/>
        <v>0</v>
      </c>
      <c r="BL395" s="2675">
        <f t="shared" si="228"/>
        <v>0</v>
      </c>
      <c r="BM395" s="2675">
        <f t="shared" si="229"/>
        <v>0</v>
      </c>
      <c r="BN395" s="2675">
        <f t="shared" si="230"/>
        <v>0</v>
      </c>
      <c r="BO395" s="2675">
        <f t="shared" si="231"/>
        <v>0</v>
      </c>
      <c r="BP395" s="2675">
        <f t="shared" si="232"/>
        <v>0</v>
      </c>
      <c r="BQ395" s="2675">
        <f t="shared" si="233"/>
        <v>0</v>
      </c>
      <c r="BR395" s="2675">
        <f t="shared" si="234"/>
        <v>0</v>
      </c>
      <c r="BS395" s="2675">
        <f t="shared" si="235"/>
        <v>0</v>
      </c>
      <c r="BT395" s="2722">
        <f t="shared" si="236"/>
        <v>0</v>
      </c>
    </row>
    <row r="396" spans="1:72">
      <c r="A396" s="2673"/>
      <c r="B396" s="2673"/>
      <c r="C396" s="2673"/>
      <c r="D396" s="2277"/>
      <c r="E396" s="2675">
        <f t="shared" si="237"/>
        <v>0</v>
      </c>
      <c r="F396" s="2723"/>
      <c r="G396" s="2677">
        <f t="shared" si="212"/>
        <v>0</v>
      </c>
      <c r="H396" s="2678">
        <f t="shared" si="213"/>
        <v>0</v>
      </c>
      <c r="I396" s="2685"/>
      <c r="J396" s="2685"/>
      <c r="K396" s="2685"/>
      <c r="L396" s="2685"/>
      <c r="M396" s="2685"/>
      <c r="N396" s="2685"/>
      <c r="O396" s="2685"/>
      <c r="P396" s="2685"/>
      <c r="Q396" s="2685"/>
      <c r="R396" s="2685"/>
      <c r="S396" s="2685"/>
      <c r="T396" s="2685"/>
      <c r="U396" s="2685"/>
      <c r="V396" s="2685"/>
      <c r="W396" s="2685"/>
      <c r="X396" s="2685"/>
      <c r="Y396" s="2685"/>
      <c r="Z396" s="2685"/>
      <c r="AA396" s="2685"/>
      <c r="AB396" s="2685"/>
      <c r="AC396" s="2675">
        <f t="shared" si="214"/>
        <v>0</v>
      </c>
      <c r="AD396" s="2695"/>
      <c r="AE396" s="2695"/>
      <c r="AF396" s="2695"/>
      <c r="AG396" s="2695"/>
      <c r="AH396" s="2695"/>
      <c r="AI396" s="2695"/>
      <c r="AJ396" s="2695"/>
      <c r="AK396" s="2695"/>
      <c r="AL396" s="2695"/>
      <c r="AM396" s="2695"/>
      <c r="AN396" s="2695"/>
      <c r="AO396" s="2695"/>
      <c r="AP396" s="2695"/>
      <c r="AQ396" s="2695"/>
      <c r="AR396" s="2695"/>
      <c r="AS396" s="2695"/>
      <c r="AT396" s="2695"/>
      <c r="AU396" s="2725"/>
      <c r="AV396" s="1074">
        <f t="shared" si="238"/>
        <v>0</v>
      </c>
      <c r="AW396" s="1074">
        <f t="shared" si="239"/>
        <v>0</v>
      </c>
      <c r="AX396" s="1074">
        <f t="shared" si="240"/>
        <v>0</v>
      </c>
      <c r="AY396" s="2279">
        <f t="shared" si="215"/>
        <v>0</v>
      </c>
      <c r="AZ396" s="2675">
        <f t="shared" si="216"/>
        <v>0</v>
      </c>
      <c r="BA396" s="2675">
        <f t="shared" si="217"/>
        <v>0</v>
      </c>
      <c r="BB396" s="2675">
        <f t="shared" si="218"/>
        <v>0</v>
      </c>
      <c r="BC396" s="2675">
        <f t="shared" si="219"/>
        <v>0</v>
      </c>
      <c r="BD396" s="2675">
        <f t="shared" si="220"/>
        <v>0</v>
      </c>
      <c r="BE396" s="2675">
        <f t="shared" si="221"/>
        <v>0</v>
      </c>
      <c r="BF396" s="2675">
        <f t="shared" si="222"/>
        <v>0</v>
      </c>
      <c r="BG396" s="2675">
        <f t="shared" si="223"/>
        <v>0</v>
      </c>
      <c r="BH396" s="2675">
        <f t="shared" si="224"/>
        <v>0</v>
      </c>
      <c r="BI396" s="2675">
        <f t="shared" si="225"/>
        <v>0</v>
      </c>
      <c r="BJ396" s="2675">
        <f t="shared" si="226"/>
        <v>0</v>
      </c>
      <c r="BK396" s="2675">
        <f t="shared" si="227"/>
        <v>0</v>
      </c>
      <c r="BL396" s="2675">
        <f t="shared" si="228"/>
        <v>0</v>
      </c>
      <c r="BM396" s="2675">
        <f t="shared" si="229"/>
        <v>0</v>
      </c>
      <c r="BN396" s="2675">
        <f t="shared" si="230"/>
        <v>0</v>
      </c>
      <c r="BO396" s="2675">
        <f t="shared" si="231"/>
        <v>0</v>
      </c>
      <c r="BP396" s="2675">
        <f t="shared" si="232"/>
        <v>0</v>
      </c>
      <c r="BQ396" s="2675">
        <f t="shared" si="233"/>
        <v>0</v>
      </c>
      <c r="BR396" s="2675">
        <f t="shared" si="234"/>
        <v>0</v>
      </c>
      <c r="BS396" s="2675">
        <f t="shared" si="235"/>
        <v>0</v>
      </c>
      <c r="BT396" s="2722">
        <f t="shared" si="236"/>
        <v>0</v>
      </c>
    </row>
    <row r="397" spans="1:72">
      <c r="A397" s="2673"/>
      <c r="B397" s="2673"/>
      <c r="C397" s="2673"/>
      <c r="D397" s="2277"/>
      <c r="E397" s="2675">
        <f t="shared" si="237"/>
        <v>0</v>
      </c>
      <c r="F397" s="2723"/>
      <c r="G397" s="2677">
        <f t="shared" si="212"/>
        <v>0</v>
      </c>
      <c r="H397" s="2678">
        <f t="shared" si="213"/>
        <v>0</v>
      </c>
      <c r="I397" s="2685"/>
      <c r="J397" s="2685"/>
      <c r="K397" s="2685"/>
      <c r="L397" s="2685"/>
      <c r="M397" s="2685"/>
      <c r="N397" s="2685"/>
      <c r="O397" s="2685"/>
      <c r="P397" s="2685"/>
      <c r="Q397" s="2685"/>
      <c r="R397" s="2685"/>
      <c r="S397" s="2685"/>
      <c r="T397" s="2685"/>
      <c r="U397" s="2685"/>
      <c r="V397" s="2685"/>
      <c r="W397" s="2685"/>
      <c r="X397" s="2685"/>
      <c r="Y397" s="2685"/>
      <c r="Z397" s="2685"/>
      <c r="AA397" s="2685"/>
      <c r="AB397" s="2685"/>
      <c r="AC397" s="2675">
        <f t="shared" si="214"/>
        <v>0</v>
      </c>
      <c r="AD397" s="2695"/>
      <c r="AE397" s="2695"/>
      <c r="AF397" s="2695"/>
      <c r="AG397" s="2695"/>
      <c r="AH397" s="2695"/>
      <c r="AI397" s="2695"/>
      <c r="AJ397" s="2695"/>
      <c r="AK397" s="2695"/>
      <c r="AL397" s="2695"/>
      <c r="AM397" s="2695"/>
      <c r="AN397" s="2695"/>
      <c r="AO397" s="2695"/>
      <c r="AP397" s="2695"/>
      <c r="AQ397" s="2695"/>
      <c r="AR397" s="2695"/>
      <c r="AS397" s="2695"/>
      <c r="AT397" s="2695"/>
      <c r="AU397" s="2725"/>
      <c r="AV397" s="1074">
        <f t="shared" si="238"/>
        <v>0</v>
      </c>
      <c r="AW397" s="1074">
        <f t="shared" si="239"/>
        <v>0</v>
      </c>
      <c r="AX397" s="1074">
        <f t="shared" si="240"/>
        <v>0</v>
      </c>
      <c r="AY397" s="2279">
        <f t="shared" si="215"/>
        <v>0</v>
      </c>
      <c r="AZ397" s="2675">
        <f t="shared" si="216"/>
        <v>0</v>
      </c>
      <c r="BA397" s="2675">
        <f t="shared" si="217"/>
        <v>0</v>
      </c>
      <c r="BB397" s="2675">
        <f t="shared" si="218"/>
        <v>0</v>
      </c>
      <c r="BC397" s="2675">
        <f t="shared" si="219"/>
        <v>0</v>
      </c>
      <c r="BD397" s="2675">
        <f t="shared" si="220"/>
        <v>0</v>
      </c>
      <c r="BE397" s="2675">
        <f t="shared" si="221"/>
        <v>0</v>
      </c>
      <c r="BF397" s="2675">
        <f t="shared" si="222"/>
        <v>0</v>
      </c>
      <c r="BG397" s="2675">
        <f t="shared" si="223"/>
        <v>0</v>
      </c>
      <c r="BH397" s="2675">
        <f t="shared" si="224"/>
        <v>0</v>
      </c>
      <c r="BI397" s="2675">
        <f t="shared" si="225"/>
        <v>0</v>
      </c>
      <c r="BJ397" s="2675">
        <f t="shared" si="226"/>
        <v>0</v>
      </c>
      <c r="BK397" s="2675">
        <f t="shared" si="227"/>
        <v>0</v>
      </c>
      <c r="BL397" s="2675">
        <f t="shared" si="228"/>
        <v>0</v>
      </c>
      <c r="BM397" s="2675">
        <f t="shared" si="229"/>
        <v>0</v>
      </c>
      <c r="BN397" s="2675">
        <f t="shared" si="230"/>
        <v>0</v>
      </c>
      <c r="BO397" s="2675">
        <f t="shared" si="231"/>
        <v>0</v>
      </c>
      <c r="BP397" s="2675">
        <f t="shared" si="232"/>
        <v>0</v>
      </c>
      <c r="BQ397" s="2675">
        <f t="shared" si="233"/>
        <v>0</v>
      </c>
      <c r="BR397" s="2675">
        <f t="shared" si="234"/>
        <v>0</v>
      </c>
      <c r="BS397" s="2675">
        <f t="shared" si="235"/>
        <v>0</v>
      </c>
      <c r="BT397" s="2722">
        <f t="shared" si="236"/>
        <v>0</v>
      </c>
    </row>
    <row r="398" spans="1:72">
      <c r="A398" s="2673"/>
      <c r="B398" s="2674"/>
      <c r="C398" s="2674"/>
      <c r="D398" s="2277"/>
      <c r="E398" s="2675">
        <f t="shared" ref="E398:E492" si="241">IF($C$3="是",ROUND($A$3*G398/$B$3,2),ROUND($A$3*(G398-AT398)/$B$3,2))</f>
        <v>0</v>
      </c>
      <c r="F398" s="2676"/>
      <c r="G398" s="2677">
        <f t="shared" ref="G398:G489" si="242">H398+AC398+AT398</f>
        <v>0</v>
      </c>
      <c r="H398" s="2678">
        <f t="shared" ref="H398:H489" si="243">SUMIF(I$12:AB$12,"总值",I398:AB398)</f>
        <v>0</v>
      </c>
      <c r="I398" s="2685"/>
      <c r="J398" s="2685"/>
      <c r="K398" s="2685"/>
      <c r="L398" s="2685"/>
      <c r="M398" s="2685"/>
      <c r="N398" s="2685"/>
      <c r="O398" s="2685"/>
      <c r="P398" s="2685"/>
      <c r="Q398" s="2685"/>
      <c r="R398" s="2685"/>
      <c r="S398" s="2685"/>
      <c r="T398" s="2685"/>
      <c r="U398" s="2685"/>
      <c r="V398" s="2685"/>
      <c r="W398" s="2685"/>
      <c r="X398" s="2685"/>
      <c r="Y398" s="2685"/>
      <c r="Z398" s="2685"/>
      <c r="AA398" s="2685"/>
      <c r="AB398" s="2685"/>
      <c r="AC398" s="2675">
        <f t="shared" ref="AC398:AC489" si="244">SUMIF(AD$12:AS$12,"总值",AD398:AS398)</f>
        <v>0</v>
      </c>
      <c r="AD398" s="2695"/>
      <c r="AE398" s="2695"/>
      <c r="AF398" s="2695"/>
      <c r="AG398" s="2695"/>
      <c r="AH398" s="2695"/>
      <c r="AI398" s="2695"/>
      <c r="AJ398" s="2695"/>
      <c r="AK398" s="2695"/>
      <c r="AL398" s="2695"/>
      <c r="AM398" s="2695"/>
      <c r="AN398" s="2695"/>
      <c r="AO398" s="2695"/>
      <c r="AP398" s="2695"/>
      <c r="AQ398" s="2695"/>
      <c r="AR398" s="2695"/>
      <c r="AS398" s="2695"/>
      <c r="AT398" s="2703"/>
      <c r="AU398" s="2704"/>
      <c r="AV398" s="1074">
        <f t="shared" ref="AV398:AV492" si="245">A398</f>
        <v>0</v>
      </c>
      <c r="AW398" s="1074">
        <f t="shared" ref="AW398:AW492" si="246">B398</f>
        <v>0</v>
      </c>
      <c r="AX398" s="1074">
        <f t="shared" ref="AX398:AX492" si="247">C398</f>
        <v>0</v>
      </c>
      <c r="AY398" s="2279">
        <f t="shared" ref="AY398:AY489" si="248">ROUND($AY$6*AZ398/$AZ$5,2)</f>
        <v>0</v>
      </c>
      <c r="AZ398" s="2675">
        <f t="shared" ref="AZ398:AZ489" si="249">BA398+BL398</f>
        <v>0</v>
      </c>
      <c r="BA398" s="2675">
        <f t="shared" ref="BA398:BA489" si="250">SUM(BB398:BK398)</f>
        <v>0</v>
      </c>
      <c r="BB398" s="2675">
        <f t="shared" ref="BB398:BB489" si="251">IF($D398="是",I398-J398,0)</f>
        <v>0</v>
      </c>
      <c r="BC398" s="2675">
        <f t="shared" ref="BC398:BC489" si="252">IF($D398="是",K398-L398,0)</f>
        <v>0</v>
      </c>
      <c r="BD398" s="2675">
        <f t="shared" ref="BD398:BD489" si="253">IF($D398="是",M398-N398,0)</f>
        <v>0</v>
      </c>
      <c r="BE398" s="2675">
        <f t="shared" ref="BE398:BE489" si="254">IF($D398="是",O398-P398,0)</f>
        <v>0</v>
      </c>
      <c r="BF398" s="2675">
        <f t="shared" ref="BF398:BF489" si="255">IF($D398="是",Q398-R398,0)</f>
        <v>0</v>
      </c>
      <c r="BG398" s="2675">
        <f t="shared" ref="BG398:BG489" si="256">IF($D398="是",S398-T398,0)</f>
        <v>0</v>
      </c>
      <c r="BH398" s="2675">
        <f t="shared" ref="BH398:BH489" si="257">IF($D398="是",U398-V398,0)</f>
        <v>0</v>
      </c>
      <c r="BI398" s="2675">
        <f t="shared" ref="BI398:BI489" si="258">IF($D398="是",W398-X398,0)</f>
        <v>0</v>
      </c>
      <c r="BJ398" s="2675">
        <f t="shared" ref="BJ398:BJ489" si="259">IF($D398="是",Y398-Z398,0)</f>
        <v>0</v>
      </c>
      <c r="BK398" s="2675">
        <f t="shared" ref="BK398:BK489" si="260">IF($D398="是",AA398-AB398,0)</f>
        <v>0</v>
      </c>
      <c r="BL398" s="2675">
        <f t="shared" ref="BL398:BL489" si="261">SUM(BM398:BT398)</f>
        <v>0</v>
      </c>
      <c r="BM398" s="2675">
        <f t="shared" ref="BM398:BM489" si="262">IF($D398="是",AD398-AE398,0)</f>
        <v>0</v>
      </c>
      <c r="BN398" s="2675">
        <f t="shared" ref="BN398:BN489" si="263">IF($D398="是",AF398-AG398,0)</f>
        <v>0</v>
      </c>
      <c r="BO398" s="2675">
        <f t="shared" ref="BO398:BO489" si="264">IF($D398="是",AH398-AI398,0)</f>
        <v>0</v>
      </c>
      <c r="BP398" s="2675">
        <f t="shared" ref="BP398:BP489" si="265">IF($D398="是",AJ398-AK398,0)</f>
        <v>0</v>
      </c>
      <c r="BQ398" s="2675">
        <f t="shared" ref="BQ398:BQ489" si="266">IF($D398="是",AL398-AM398,0)</f>
        <v>0</v>
      </c>
      <c r="BR398" s="2675">
        <f t="shared" ref="BR398:BR489" si="267">IF($D398="是",AN398-AO398,0)</f>
        <v>0</v>
      </c>
      <c r="BS398" s="2675">
        <f t="shared" ref="BS398:BS489" si="268">IF($D398="是",AP398-AQ398,0)</f>
        <v>0</v>
      </c>
      <c r="BT398" s="2722">
        <f t="shared" ref="BT398:BT489" si="269">IF($D398="是",AR398-AS398,0)</f>
        <v>0</v>
      </c>
    </row>
    <row r="399" spans="1:72">
      <c r="A399" s="2673"/>
      <c r="B399" s="2674"/>
      <c r="C399" s="2674"/>
      <c r="D399" s="2277"/>
      <c r="E399" s="2675">
        <f t="shared" si="241"/>
        <v>0</v>
      </c>
      <c r="F399" s="2676"/>
      <c r="G399" s="2677">
        <f t="shared" si="242"/>
        <v>0</v>
      </c>
      <c r="H399" s="2678">
        <f t="shared" si="243"/>
        <v>0</v>
      </c>
      <c r="I399" s="2685"/>
      <c r="J399" s="2685"/>
      <c r="K399" s="2685"/>
      <c r="L399" s="2685"/>
      <c r="M399" s="2685"/>
      <c r="N399" s="2685"/>
      <c r="O399" s="2685"/>
      <c r="P399" s="2685"/>
      <c r="Q399" s="2685"/>
      <c r="R399" s="2685"/>
      <c r="S399" s="2685"/>
      <c r="T399" s="2685"/>
      <c r="U399" s="2685"/>
      <c r="V399" s="2685"/>
      <c r="W399" s="2685"/>
      <c r="X399" s="2685"/>
      <c r="Y399" s="2685"/>
      <c r="Z399" s="2685"/>
      <c r="AA399" s="2685"/>
      <c r="AB399" s="2685"/>
      <c r="AC399" s="2675">
        <f t="shared" si="244"/>
        <v>0</v>
      </c>
      <c r="AD399" s="2695"/>
      <c r="AE399" s="2695"/>
      <c r="AF399" s="2695"/>
      <c r="AG399" s="2695"/>
      <c r="AH399" s="2695"/>
      <c r="AI399" s="2695"/>
      <c r="AJ399" s="2695"/>
      <c r="AK399" s="2695"/>
      <c r="AL399" s="2695"/>
      <c r="AM399" s="2695"/>
      <c r="AN399" s="2695"/>
      <c r="AO399" s="2695"/>
      <c r="AP399" s="2695"/>
      <c r="AQ399" s="2695"/>
      <c r="AR399" s="2695"/>
      <c r="AS399" s="2695"/>
      <c r="AT399" s="2703"/>
      <c r="AU399" s="2704"/>
      <c r="AV399" s="1074">
        <f t="shared" si="245"/>
        <v>0</v>
      </c>
      <c r="AW399" s="1074">
        <f t="shared" si="246"/>
        <v>0</v>
      </c>
      <c r="AX399" s="1074">
        <f t="shared" si="247"/>
        <v>0</v>
      </c>
      <c r="AY399" s="2279">
        <f t="shared" si="248"/>
        <v>0</v>
      </c>
      <c r="AZ399" s="2675">
        <f t="shared" si="249"/>
        <v>0</v>
      </c>
      <c r="BA399" s="2675">
        <f t="shared" si="250"/>
        <v>0</v>
      </c>
      <c r="BB399" s="2675">
        <f t="shared" si="251"/>
        <v>0</v>
      </c>
      <c r="BC399" s="2675">
        <f t="shared" si="252"/>
        <v>0</v>
      </c>
      <c r="BD399" s="2675">
        <f t="shared" si="253"/>
        <v>0</v>
      </c>
      <c r="BE399" s="2675">
        <f t="shared" si="254"/>
        <v>0</v>
      </c>
      <c r="BF399" s="2675">
        <f t="shared" si="255"/>
        <v>0</v>
      </c>
      <c r="BG399" s="2675">
        <f t="shared" si="256"/>
        <v>0</v>
      </c>
      <c r="BH399" s="2675">
        <f t="shared" si="257"/>
        <v>0</v>
      </c>
      <c r="BI399" s="2675">
        <f t="shared" si="258"/>
        <v>0</v>
      </c>
      <c r="BJ399" s="2675">
        <f t="shared" si="259"/>
        <v>0</v>
      </c>
      <c r="BK399" s="2675">
        <f t="shared" si="260"/>
        <v>0</v>
      </c>
      <c r="BL399" s="2675">
        <f t="shared" si="261"/>
        <v>0</v>
      </c>
      <c r="BM399" s="2675">
        <f t="shared" si="262"/>
        <v>0</v>
      </c>
      <c r="BN399" s="2675">
        <f t="shared" si="263"/>
        <v>0</v>
      </c>
      <c r="BO399" s="2675">
        <f t="shared" si="264"/>
        <v>0</v>
      </c>
      <c r="BP399" s="2675">
        <f t="shared" si="265"/>
        <v>0</v>
      </c>
      <c r="BQ399" s="2675">
        <f t="shared" si="266"/>
        <v>0</v>
      </c>
      <c r="BR399" s="2675">
        <f t="shared" si="267"/>
        <v>0</v>
      </c>
      <c r="BS399" s="2675">
        <f t="shared" si="268"/>
        <v>0</v>
      </c>
      <c r="BT399" s="2722">
        <f t="shared" si="269"/>
        <v>0</v>
      </c>
    </row>
    <row r="400" spans="1:72">
      <c r="A400" s="2673"/>
      <c r="B400" s="2674"/>
      <c r="C400" s="2674"/>
      <c r="D400" s="2277"/>
      <c r="E400" s="2675">
        <f t="shared" si="241"/>
        <v>0</v>
      </c>
      <c r="F400" s="2676"/>
      <c r="G400" s="2677">
        <f t="shared" si="242"/>
        <v>0</v>
      </c>
      <c r="H400" s="2678">
        <f t="shared" si="243"/>
        <v>0</v>
      </c>
      <c r="I400" s="2685"/>
      <c r="J400" s="2685"/>
      <c r="K400" s="2685"/>
      <c r="L400" s="2685"/>
      <c r="M400" s="2685"/>
      <c r="N400" s="2685"/>
      <c r="O400" s="2685"/>
      <c r="P400" s="2685"/>
      <c r="Q400" s="2685"/>
      <c r="R400" s="2685"/>
      <c r="S400" s="2685"/>
      <c r="T400" s="2685"/>
      <c r="U400" s="2685"/>
      <c r="V400" s="2685"/>
      <c r="W400" s="2685"/>
      <c r="X400" s="2685"/>
      <c r="Y400" s="2685"/>
      <c r="Z400" s="2685"/>
      <c r="AA400" s="2685"/>
      <c r="AB400" s="2685"/>
      <c r="AC400" s="2675">
        <f t="shared" si="244"/>
        <v>0</v>
      </c>
      <c r="AD400" s="2695"/>
      <c r="AE400" s="2695"/>
      <c r="AF400" s="2695"/>
      <c r="AG400" s="2695"/>
      <c r="AH400" s="2695"/>
      <c r="AI400" s="2695"/>
      <c r="AJ400" s="2695"/>
      <c r="AK400" s="2695"/>
      <c r="AL400" s="2695"/>
      <c r="AM400" s="2695"/>
      <c r="AN400" s="2695"/>
      <c r="AO400" s="2695"/>
      <c r="AP400" s="2695"/>
      <c r="AQ400" s="2695"/>
      <c r="AR400" s="2695"/>
      <c r="AS400" s="2695"/>
      <c r="AT400" s="2703"/>
      <c r="AU400" s="2704"/>
      <c r="AV400" s="1074">
        <f t="shared" si="245"/>
        <v>0</v>
      </c>
      <c r="AW400" s="1074">
        <f t="shared" si="246"/>
        <v>0</v>
      </c>
      <c r="AX400" s="1074">
        <f t="shared" si="247"/>
        <v>0</v>
      </c>
      <c r="AY400" s="2279">
        <f t="shared" si="248"/>
        <v>0</v>
      </c>
      <c r="AZ400" s="2675">
        <f t="shared" si="249"/>
        <v>0</v>
      </c>
      <c r="BA400" s="2675">
        <f t="shared" si="250"/>
        <v>0</v>
      </c>
      <c r="BB400" s="2675">
        <f t="shared" si="251"/>
        <v>0</v>
      </c>
      <c r="BC400" s="2675">
        <f t="shared" si="252"/>
        <v>0</v>
      </c>
      <c r="BD400" s="2675">
        <f t="shared" si="253"/>
        <v>0</v>
      </c>
      <c r="BE400" s="2675">
        <f t="shared" si="254"/>
        <v>0</v>
      </c>
      <c r="BF400" s="2675">
        <f t="shared" si="255"/>
        <v>0</v>
      </c>
      <c r="BG400" s="2675">
        <f t="shared" si="256"/>
        <v>0</v>
      </c>
      <c r="BH400" s="2675">
        <f t="shared" si="257"/>
        <v>0</v>
      </c>
      <c r="BI400" s="2675">
        <f t="shared" si="258"/>
        <v>0</v>
      </c>
      <c r="BJ400" s="2675">
        <f t="shared" si="259"/>
        <v>0</v>
      </c>
      <c r="BK400" s="2675">
        <f t="shared" si="260"/>
        <v>0</v>
      </c>
      <c r="BL400" s="2675">
        <f t="shared" si="261"/>
        <v>0</v>
      </c>
      <c r="BM400" s="2675">
        <f t="shared" si="262"/>
        <v>0</v>
      </c>
      <c r="BN400" s="2675">
        <f t="shared" si="263"/>
        <v>0</v>
      </c>
      <c r="BO400" s="2675">
        <f t="shared" si="264"/>
        <v>0</v>
      </c>
      <c r="BP400" s="2675">
        <f t="shared" si="265"/>
        <v>0</v>
      </c>
      <c r="BQ400" s="2675">
        <f t="shared" si="266"/>
        <v>0</v>
      </c>
      <c r="BR400" s="2675">
        <f t="shared" si="267"/>
        <v>0</v>
      </c>
      <c r="BS400" s="2675">
        <f t="shared" si="268"/>
        <v>0</v>
      </c>
      <c r="BT400" s="2722">
        <f t="shared" si="269"/>
        <v>0</v>
      </c>
    </row>
    <row r="401" spans="1:72">
      <c r="A401" s="2673"/>
      <c r="B401" s="2674"/>
      <c r="C401" s="2674"/>
      <c r="D401" s="2277"/>
      <c r="E401" s="2675">
        <f t="shared" si="241"/>
        <v>0</v>
      </c>
      <c r="F401" s="2676"/>
      <c r="G401" s="2677">
        <f t="shared" si="242"/>
        <v>0</v>
      </c>
      <c r="H401" s="2678">
        <f t="shared" si="243"/>
        <v>0</v>
      </c>
      <c r="I401" s="2685"/>
      <c r="J401" s="2685"/>
      <c r="K401" s="2685"/>
      <c r="L401" s="2685"/>
      <c r="M401" s="2685"/>
      <c r="N401" s="2685"/>
      <c r="O401" s="2685"/>
      <c r="P401" s="2685"/>
      <c r="Q401" s="2685"/>
      <c r="R401" s="2685"/>
      <c r="S401" s="2685"/>
      <c r="T401" s="2685"/>
      <c r="U401" s="2685"/>
      <c r="V401" s="2685"/>
      <c r="W401" s="2685"/>
      <c r="X401" s="2685"/>
      <c r="Y401" s="2685"/>
      <c r="Z401" s="2685"/>
      <c r="AA401" s="2685"/>
      <c r="AB401" s="2685"/>
      <c r="AC401" s="2675">
        <f t="shared" si="244"/>
        <v>0</v>
      </c>
      <c r="AD401" s="2695"/>
      <c r="AE401" s="2695"/>
      <c r="AF401" s="2695"/>
      <c r="AG401" s="2695"/>
      <c r="AH401" s="2695"/>
      <c r="AI401" s="2695"/>
      <c r="AJ401" s="2695"/>
      <c r="AK401" s="2695"/>
      <c r="AL401" s="2695"/>
      <c r="AM401" s="2695"/>
      <c r="AN401" s="2695"/>
      <c r="AO401" s="2695"/>
      <c r="AP401" s="2695"/>
      <c r="AQ401" s="2695"/>
      <c r="AR401" s="2695"/>
      <c r="AS401" s="2695"/>
      <c r="AT401" s="2703"/>
      <c r="AU401" s="2704"/>
      <c r="AV401" s="1074">
        <f t="shared" si="245"/>
        <v>0</v>
      </c>
      <c r="AW401" s="1074">
        <f t="shared" si="246"/>
        <v>0</v>
      </c>
      <c r="AX401" s="1074">
        <f t="shared" si="247"/>
        <v>0</v>
      </c>
      <c r="AY401" s="2279">
        <f t="shared" si="248"/>
        <v>0</v>
      </c>
      <c r="AZ401" s="2675">
        <f t="shared" si="249"/>
        <v>0</v>
      </c>
      <c r="BA401" s="2675">
        <f t="shared" si="250"/>
        <v>0</v>
      </c>
      <c r="BB401" s="2675">
        <f t="shared" si="251"/>
        <v>0</v>
      </c>
      <c r="BC401" s="2675">
        <f t="shared" si="252"/>
        <v>0</v>
      </c>
      <c r="BD401" s="2675">
        <f t="shared" si="253"/>
        <v>0</v>
      </c>
      <c r="BE401" s="2675">
        <f t="shared" si="254"/>
        <v>0</v>
      </c>
      <c r="BF401" s="2675">
        <f t="shared" si="255"/>
        <v>0</v>
      </c>
      <c r="BG401" s="2675">
        <f t="shared" si="256"/>
        <v>0</v>
      </c>
      <c r="BH401" s="2675">
        <f t="shared" si="257"/>
        <v>0</v>
      </c>
      <c r="BI401" s="2675">
        <f t="shared" si="258"/>
        <v>0</v>
      </c>
      <c r="BJ401" s="2675">
        <f t="shared" si="259"/>
        <v>0</v>
      </c>
      <c r="BK401" s="2675">
        <f t="shared" si="260"/>
        <v>0</v>
      </c>
      <c r="BL401" s="2675">
        <f t="shared" si="261"/>
        <v>0</v>
      </c>
      <c r="BM401" s="2675">
        <f t="shared" si="262"/>
        <v>0</v>
      </c>
      <c r="BN401" s="2675">
        <f t="shared" si="263"/>
        <v>0</v>
      </c>
      <c r="BO401" s="2675">
        <f t="shared" si="264"/>
        <v>0</v>
      </c>
      <c r="BP401" s="2675">
        <f t="shared" si="265"/>
        <v>0</v>
      </c>
      <c r="BQ401" s="2675">
        <f t="shared" si="266"/>
        <v>0</v>
      </c>
      <c r="BR401" s="2675">
        <f t="shared" si="267"/>
        <v>0</v>
      </c>
      <c r="BS401" s="2675">
        <f t="shared" si="268"/>
        <v>0</v>
      </c>
      <c r="BT401" s="2722">
        <f t="shared" si="269"/>
        <v>0</v>
      </c>
    </row>
    <row r="402" spans="1:72">
      <c r="A402" s="2673"/>
      <c r="B402" s="2674"/>
      <c r="C402" s="2674"/>
      <c r="D402" s="2277"/>
      <c r="E402" s="2675">
        <f t="shared" si="241"/>
        <v>0</v>
      </c>
      <c r="F402" s="2676"/>
      <c r="G402" s="2677">
        <f t="shared" si="242"/>
        <v>0</v>
      </c>
      <c r="H402" s="2678">
        <f t="shared" si="243"/>
        <v>0</v>
      </c>
      <c r="I402" s="2685"/>
      <c r="J402" s="2685"/>
      <c r="K402" s="2685"/>
      <c r="L402" s="2685"/>
      <c r="M402" s="2685"/>
      <c r="N402" s="2685"/>
      <c r="O402" s="2685"/>
      <c r="P402" s="2685"/>
      <c r="Q402" s="2685"/>
      <c r="R402" s="2685"/>
      <c r="S402" s="2685"/>
      <c r="T402" s="2685"/>
      <c r="U402" s="2685"/>
      <c r="V402" s="2685"/>
      <c r="W402" s="2685"/>
      <c r="X402" s="2685"/>
      <c r="Y402" s="2685"/>
      <c r="Z402" s="2685"/>
      <c r="AA402" s="2685"/>
      <c r="AB402" s="2685"/>
      <c r="AC402" s="2675">
        <f t="shared" si="244"/>
        <v>0</v>
      </c>
      <c r="AD402" s="2695"/>
      <c r="AE402" s="2695"/>
      <c r="AF402" s="2695"/>
      <c r="AG402" s="2695"/>
      <c r="AH402" s="2695"/>
      <c r="AI402" s="2695"/>
      <c r="AJ402" s="2695"/>
      <c r="AK402" s="2695"/>
      <c r="AL402" s="2695"/>
      <c r="AM402" s="2695"/>
      <c r="AN402" s="2695"/>
      <c r="AO402" s="2695"/>
      <c r="AP402" s="2695"/>
      <c r="AQ402" s="2695"/>
      <c r="AR402" s="2695"/>
      <c r="AS402" s="2695"/>
      <c r="AT402" s="2703"/>
      <c r="AU402" s="2704"/>
      <c r="AV402" s="1074">
        <f t="shared" si="245"/>
        <v>0</v>
      </c>
      <c r="AW402" s="1074">
        <f t="shared" si="246"/>
        <v>0</v>
      </c>
      <c r="AX402" s="1074">
        <f t="shared" si="247"/>
        <v>0</v>
      </c>
      <c r="AY402" s="2279">
        <f t="shared" si="248"/>
        <v>0</v>
      </c>
      <c r="AZ402" s="2675">
        <f t="shared" si="249"/>
        <v>0</v>
      </c>
      <c r="BA402" s="2675">
        <f t="shared" si="250"/>
        <v>0</v>
      </c>
      <c r="BB402" s="2675">
        <f t="shared" si="251"/>
        <v>0</v>
      </c>
      <c r="BC402" s="2675">
        <f t="shared" si="252"/>
        <v>0</v>
      </c>
      <c r="BD402" s="2675">
        <f t="shared" si="253"/>
        <v>0</v>
      </c>
      <c r="BE402" s="2675">
        <f t="shared" si="254"/>
        <v>0</v>
      </c>
      <c r="BF402" s="2675">
        <f t="shared" si="255"/>
        <v>0</v>
      </c>
      <c r="BG402" s="2675">
        <f t="shared" si="256"/>
        <v>0</v>
      </c>
      <c r="BH402" s="2675">
        <f t="shared" si="257"/>
        <v>0</v>
      </c>
      <c r="BI402" s="2675">
        <f t="shared" si="258"/>
        <v>0</v>
      </c>
      <c r="BJ402" s="2675">
        <f t="shared" si="259"/>
        <v>0</v>
      </c>
      <c r="BK402" s="2675">
        <f t="shared" si="260"/>
        <v>0</v>
      </c>
      <c r="BL402" s="2675">
        <f t="shared" si="261"/>
        <v>0</v>
      </c>
      <c r="BM402" s="2675">
        <f t="shared" si="262"/>
        <v>0</v>
      </c>
      <c r="BN402" s="2675">
        <f t="shared" si="263"/>
        <v>0</v>
      </c>
      <c r="BO402" s="2675">
        <f t="shared" si="264"/>
        <v>0</v>
      </c>
      <c r="BP402" s="2675">
        <f t="shared" si="265"/>
        <v>0</v>
      </c>
      <c r="BQ402" s="2675">
        <f t="shared" si="266"/>
        <v>0</v>
      </c>
      <c r="BR402" s="2675">
        <f t="shared" si="267"/>
        <v>0</v>
      </c>
      <c r="BS402" s="2675">
        <f t="shared" si="268"/>
        <v>0</v>
      </c>
      <c r="BT402" s="2722">
        <f t="shared" si="269"/>
        <v>0</v>
      </c>
    </row>
    <row r="403" spans="1:72">
      <c r="A403" s="2673"/>
      <c r="B403" s="2674"/>
      <c r="C403" s="2674"/>
      <c r="D403" s="2277"/>
      <c r="E403" s="2675">
        <f t="shared" si="241"/>
        <v>0</v>
      </c>
      <c r="F403" s="2676"/>
      <c r="G403" s="2677">
        <f t="shared" si="242"/>
        <v>0</v>
      </c>
      <c r="H403" s="2678">
        <f t="shared" si="243"/>
        <v>0</v>
      </c>
      <c r="I403" s="2685"/>
      <c r="J403" s="2685"/>
      <c r="K403" s="2685"/>
      <c r="L403" s="2685"/>
      <c r="M403" s="2685"/>
      <c r="N403" s="2685"/>
      <c r="O403" s="2685"/>
      <c r="P403" s="2685"/>
      <c r="Q403" s="2685"/>
      <c r="R403" s="2685"/>
      <c r="S403" s="2685"/>
      <c r="T403" s="2685"/>
      <c r="U403" s="2685"/>
      <c r="V403" s="2685"/>
      <c r="W403" s="2685"/>
      <c r="X403" s="2685"/>
      <c r="Y403" s="2685"/>
      <c r="Z403" s="2685"/>
      <c r="AA403" s="2685"/>
      <c r="AB403" s="2685"/>
      <c r="AC403" s="2675">
        <f t="shared" si="244"/>
        <v>0</v>
      </c>
      <c r="AD403" s="2695"/>
      <c r="AE403" s="2695"/>
      <c r="AF403" s="2695"/>
      <c r="AG403" s="2695"/>
      <c r="AH403" s="2695"/>
      <c r="AI403" s="2695"/>
      <c r="AJ403" s="2695"/>
      <c r="AK403" s="2695"/>
      <c r="AL403" s="2695"/>
      <c r="AM403" s="2695"/>
      <c r="AN403" s="2695"/>
      <c r="AO403" s="2695"/>
      <c r="AP403" s="2695"/>
      <c r="AQ403" s="2695"/>
      <c r="AR403" s="2695"/>
      <c r="AS403" s="2695"/>
      <c r="AT403" s="2703"/>
      <c r="AU403" s="2704"/>
      <c r="AV403" s="1074">
        <f t="shared" si="245"/>
        <v>0</v>
      </c>
      <c r="AW403" s="1074">
        <f t="shared" si="246"/>
        <v>0</v>
      </c>
      <c r="AX403" s="1074">
        <f t="shared" si="247"/>
        <v>0</v>
      </c>
      <c r="AY403" s="2279">
        <f t="shared" si="248"/>
        <v>0</v>
      </c>
      <c r="AZ403" s="2675">
        <f t="shared" si="249"/>
        <v>0</v>
      </c>
      <c r="BA403" s="2675">
        <f t="shared" si="250"/>
        <v>0</v>
      </c>
      <c r="BB403" s="2675">
        <f t="shared" si="251"/>
        <v>0</v>
      </c>
      <c r="BC403" s="2675">
        <f t="shared" si="252"/>
        <v>0</v>
      </c>
      <c r="BD403" s="2675">
        <f t="shared" si="253"/>
        <v>0</v>
      </c>
      <c r="BE403" s="2675">
        <f t="shared" si="254"/>
        <v>0</v>
      </c>
      <c r="BF403" s="2675">
        <f t="shared" si="255"/>
        <v>0</v>
      </c>
      <c r="BG403" s="2675">
        <f t="shared" si="256"/>
        <v>0</v>
      </c>
      <c r="BH403" s="2675">
        <f t="shared" si="257"/>
        <v>0</v>
      </c>
      <c r="BI403" s="2675">
        <f t="shared" si="258"/>
        <v>0</v>
      </c>
      <c r="BJ403" s="2675">
        <f t="shared" si="259"/>
        <v>0</v>
      </c>
      <c r="BK403" s="2675">
        <f t="shared" si="260"/>
        <v>0</v>
      </c>
      <c r="BL403" s="2675">
        <f t="shared" si="261"/>
        <v>0</v>
      </c>
      <c r="BM403" s="2675">
        <f t="shared" si="262"/>
        <v>0</v>
      </c>
      <c r="BN403" s="2675">
        <f t="shared" si="263"/>
        <v>0</v>
      </c>
      <c r="BO403" s="2675">
        <f t="shared" si="264"/>
        <v>0</v>
      </c>
      <c r="BP403" s="2675">
        <f t="shared" si="265"/>
        <v>0</v>
      </c>
      <c r="BQ403" s="2675">
        <f t="shared" si="266"/>
        <v>0</v>
      </c>
      <c r="BR403" s="2675">
        <f t="shared" si="267"/>
        <v>0</v>
      </c>
      <c r="BS403" s="2675">
        <f t="shared" si="268"/>
        <v>0</v>
      </c>
      <c r="BT403" s="2722">
        <f t="shared" si="269"/>
        <v>0</v>
      </c>
    </row>
    <row r="404" spans="1:72">
      <c r="A404" s="2673"/>
      <c r="B404" s="2674"/>
      <c r="C404" s="2674"/>
      <c r="D404" s="2277"/>
      <c r="E404" s="2675">
        <f t="shared" si="241"/>
        <v>0</v>
      </c>
      <c r="F404" s="2676"/>
      <c r="G404" s="2677">
        <f t="shared" si="242"/>
        <v>0</v>
      </c>
      <c r="H404" s="2678">
        <f t="shared" si="243"/>
        <v>0</v>
      </c>
      <c r="I404" s="2685"/>
      <c r="J404" s="2685"/>
      <c r="K404" s="2685"/>
      <c r="L404" s="2685"/>
      <c r="M404" s="2685"/>
      <c r="N404" s="2685"/>
      <c r="O404" s="2685"/>
      <c r="P404" s="2685"/>
      <c r="Q404" s="2685"/>
      <c r="R404" s="2685"/>
      <c r="S404" s="2685"/>
      <c r="T404" s="2685"/>
      <c r="U404" s="2685"/>
      <c r="V404" s="2685"/>
      <c r="W404" s="2685"/>
      <c r="X404" s="2685"/>
      <c r="Y404" s="2685"/>
      <c r="Z404" s="2685"/>
      <c r="AA404" s="2685"/>
      <c r="AB404" s="2685"/>
      <c r="AC404" s="2675">
        <f t="shared" si="244"/>
        <v>0</v>
      </c>
      <c r="AD404" s="2695"/>
      <c r="AE404" s="2695"/>
      <c r="AF404" s="2695"/>
      <c r="AG404" s="2695"/>
      <c r="AH404" s="2695"/>
      <c r="AI404" s="2695"/>
      <c r="AJ404" s="2695"/>
      <c r="AK404" s="2695"/>
      <c r="AL404" s="2695"/>
      <c r="AM404" s="2695"/>
      <c r="AN404" s="2695"/>
      <c r="AO404" s="2695"/>
      <c r="AP404" s="2695"/>
      <c r="AQ404" s="2695"/>
      <c r="AR404" s="2695"/>
      <c r="AS404" s="2695"/>
      <c r="AT404" s="2703"/>
      <c r="AU404" s="2704"/>
      <c r="AV404" s="1074">
        <f t="shared" si="245"/>
        <v>0</v>
      </c>
      <c r="AW404" s="1074">
        <f t="shared" si="246"/>
        <v>0</v>
      </c>
      <c r="AX404" s="1074">
        <f t="shared" si="247"/>
        <v>0</v>
      </c>
      <c r="AY404" s="2279">
        <f t="shared" si="248"/>
        <v>0</v>
      </c>
      <c r="AZ404" s="2675">
        <f t="shared" si="249"/>
        <v>0</v>
      </c>
      <c r="BA404" s="2675">
        <f t="shared" si="250"/>
        <v>0</v>
      </c>
      <c r="BB404" s="2675">
        <f t="shared" si="251"/>
        <v>0</v>
      </c>
      <c r="BC404" s="2675">
        <f t="shared" si="252"/>
        <v>0</v>
      </c>
      <c r="BD404" s="2675">
        <f t="shared" si="253"/>
        <v>0</v>
      </c>
      <c r="BE404" s="2675">
        <f t="shared" si="254"/>
        <v>0</v>
      </c>
      <c r="BF404" s="2675">
        <f t="shared" si="255"/>
        <v>0</v>
      </c>
      <c r="BG404" s="2675">
        <f t="shared" si="256"/>
        <v>0</v>
      </c>
      <c r="BH404" s="2675">
        <f t="shared" si="257"/>
        <v>0</v>
      </c>
      <c r="BI404" s="2675">
        <f t="shared" si="258"/>
        <v>0</v>
      </c>
      <c r="BJ404" s="2675">
        <f t="shared" si="259"/>
        <v>0</v>
      </c>
      <c r="BK404" s="2675">
        <f t="shared" si="260"/>
        <v>0</v>
      </c>
      <c r="BL404" s="2675">
        <f t="shared" si="261"/>
        <v>0</v>
      </c>
      <c r="BM404" s="2675">
        <f t="shared" si="262"/>
        <v>0</v>
      </c>
      <c r="BN404" s="2675">
        <f t="shared" si="263"/>
        <v>0</v>
      </c>
      <c r="BO404" s="2675">
        <f t="shared" si="264"/>
        <v>0</v>
      </c>
      <c r="BP404" s="2675">
        <f t="shared" si="265"/>
        <v>0</v>
      </c>
      <c r="BQ404" s="2675">
        <f t="shared" si="266"/>
        <v>0</v>
      </c>
      <c r="BR404" s="2675">
        <f t="shared" si="267"/>
        <v>0</v>
      </c>
      <c r="BS404" s="2675">
        <f t="shared" si="268"/>
        <v>0</v>
      </c>
      <c r="BT404" s="2722">
        <f t="shared" si="269"/>
        <v>0</v>
      </c>
    </row>
    <row r="405" spans="1:72">
      <c r="A405" s="2673"/>
      <c r="B405" s="2674"/>
      <c r="C405" s="2674"/>
      <c r="D405" s="2277"/>
      <c r="E405" s="2675">
        <f t="shared" si="241"/>
        <v>0</v>
      </c>
      <c r="F405" s="2676"/>
      <c r="G405" s="2677">
        <f t="shared" si="242"/>
        <v>0</v>
      </c>
      <c r="H405" s="2678">
        <f t="shared" si="243"/>
        <v>0</v>
      </c>
      <c r="I405" s="2685"/>
      <c r="J405" s="2685"/>
      <c r="K405" s="2685"/>
      <c r="L405" s="2685"/>
      <c r="M405" s="2685"/>
      <c r="N405" s="2685"/>
      <c r="O405" s="2685"/>
      <c r="P405" s="2685"/>
      <c r="Q405" s="2685"/>
      <c r="R405" s="2685"/>
      <c r="S405" s="2685"/>
      <c r="T405" s="2685"/>
      <c r="U405" s="2685"/>
      <c r="V405" s="2685"/>
      <c r="W405" s="2685"/>
      <c r="X405" s="2685"/>
      <c r="Y405" s="2685"/>
      <c r="Z405" s="2685"/>
      <c r="AA405" s="2685"/>
      <c r="AB405" s="2685"/>
      <c r="AC405" s="2675">
        <f t="shared" si="244"/>
        <v>0</v>
      </c>
      <c r="AD405" s="2695"/>
      <c r="AE405" s="2695"/>
      <c r="AF405" s="2695"/>
      <c r="AG405" s="2695"/>
      <c r="AH405" s="2695"/>
      <c r="AI405" s="2695"/>
      <c r="AJ405" s="2695"/>
      <c r="AK405" s="2695"/>
      <c r="AL405" s="2695"/>
      <c r="AM405" s="2695"/>
      <c r="AN405" s="2695"/>
      <c r="AO405" s="2695"/>
      <c r="AP405" s="2695"/>
      <c r="AQ405" s="2695"/>
      <c r="AR405" s="2695"/>
      <c r="AS405" s="2695"/>
      <c r="AT405" s="2703"/>
      <c r="AU405" s="2704"/>
      <c r="AV405" s="1074">
        <f t="shared" si="245"/>
        <v>0</v>
      </c>
      <c r="AW405" s="1074">
        <f t="shared" si="246"/>
        <v>0</v>
      </c>
      <c r="AX405" s="1074">
        <f t="shared" si="247"/>
        <v>0</v>
      </c>
      <c r="AY405" s="2279">
        <f t="shared" si="248"/>
        <v>0</v>
      </c>
      <c r="AZ405" s="2675">
        <f t="shared" si="249"/>
        <v>0</v>
      </c>
      <c r="BA405" s="2675">
        <f t="shared" si="250"/>
        <v>0</v>
      </c>
      <c r="BB405" s="2675">
        <f t="shared" si="251"/>
        <v>0</v>
      </c>
      <c r="BC405" s="2675">
        <f t="shared" si="252"/>
        <v>0</v>
      </c>
      <c r="BD405" s="2675">
        <f t="shared" si="253"/>
        <v>0</v>
      </c>
      <c r="BE405" s="2675">
        <f t="shared" si="254"/>
        <v>0</v>
      </c>
      <c r="BF405" s="2675">
        <f t="shared" si="255"/>
        <v>0</v>
      </c>
      <c r="BG405" s="2675">
        <f t="shared" si="256"/>
        <v>0</v>
      </c>
      <c r="BH405" s="2675">
        <f t="shared" si="257"/>
        <v>0</v>
      </c>
      <c r="BI405" s="2675">
        <f t="shared" si="258"/>
        <v>0</v>
      </c>
      <c r="BJ405" s="2675">
        <f t="shared" si="259"/>
        <v>0</v>
      </c>
      <c r="BK405" s="2675">
        <f t="shared" si="260"/>
        <v>0</v>
      </c>
      <c r="BL405" s="2675">
        <f t="shared" si="261"/>
        <v>0</v>
      </c>
      <c r="BM405" s="2675">
        <f t="shared" si="262"/>
        <v>0</v>
      </c>
      <c r="BN405" s="2675">
        <f t="shared" si="263"/>
        <v>0</v>
      </c>
      <c r="BO405" s="2675">
        <f t="shared" si="264"/>
        <v>0</v>
      </c>
      <c r="BP405" s="2675">
        <f t="shared" si="265"/>
        <v>0</v>
      </c>
      <c r="BQ405" s="2675">
        <f t="shared" si="266"/>
        <v>0</v>
      </c>
      <c r="BR405" s="2675">
        <f t="shared" si="267"/>
        <v>0</v>
      </c>
      <c r="BS405" s="2675">
        <f t="shared" si="268"/>
        <v>0</v>
      </c>
      <c r="BT405" s="2722">
        <f t="shared" si="269"/>
        <v>0</v>
      </c>
    </row>
    <row r="406" spans="1:72">
      <c r="A406" s="2673"/>
      <c r="B406" s="2674"/>
      <c r="C406" s="2674"/>
      <c r="D406" s="2277"/>
      <c r="E406" s="2675">
        <f t="shared" si="241"/>
        <v>0</v>
      </c>
      <c r="F406" s="2676"/>
      <c r="G406" s="2677">
        <f t="shared" si="242"/>
        <v>0</v>
      </c>
      <c r="H406" s="2678">
        <f t="shared" si="243"/>
        <v>0</v>
      </c>
      <c r="I406" s="2685"/>
      <c r="J406" s="2685"/>
      <c r="K406" s="2685"/>
      <c r="L406" s="2685"/>
      <c r="M406" s="2685"/>
      <c r="N406" s="2685"/>
      <c r="O406" s="2685"/>
      <c r="P406" s="2685"/>
      <c r="Q406" s="2685"/>
      <c r="R406" s="2685"/>
      <c r="S406" s="2685"/>
      <c r="T406" s="2685"/>
      <c r="U406" s="2685"/>
      <c r="V406" s="2685"/>
      <c r="W406" s="2685"/>
      <c r="X406" s="2685"/>
      <c r="Y406" s="2685"/>
      <c r="Z406" s="2685"/>
      <c r="AA406" s="2685"/>
      <c r="AB406" s="2685"/>
      <c r="AC406" s="2675">
        <f t="shared" si="244"/>
        <v>0</v>
      </c>
      <c r="AD406" s="2695"/>
      <c r="AE406" s="2695"/>
      <c r="AF406" s="2695"/>
      <c r="AG406" s="2695"/>
      <c r="AH406" s="2695"/>
      <c r="AI406" s="2695"/>
      <c r="AJ406" s="2695"/>
      <c r="AK406" s="2695"/>
      <c r="AL406" s="2695"/>
      <c r="AM406" s="2695"/>
      <c r="AN406" s="2695"/>
      <c r="AO406" s="2695"/>
      <c r="AP406" s="2695"/>
      <c r="AQ406" s="2695"/>
      <c r="AR406" s="2695"/>
      <c r="AS406" s="2695"/>
      <c r="AT406" s="2703"/>
      <c r="AU406" s="2704"/>
      <c r="AV406" s="1074">
        <f t="shared" si="245"/>
        <v>0</v>
      </c>
      <c r="AW406" s="1074">
        <f t="shared" si="246"/>
        <v>0</v>
      </c>
      <c r="AX406" s="1074">
        <f t="shared" si="247"/>
        <v>0</v>
      </c>
      <c r="AY406" s="2279">
        <f t="shared" si="248"/>
        <v>0</v>
      </c>
      <c r="AZ406" s="2675">
        <f t="shared" si="249"/>
        <v>0</v>
      </c>
      <c r="BA406" s="2675">
        <f t="shared" si="250"/>
        <v>0</v>
      </c>
      <c r="BB406" s="2675">
        <f t="shared" si="251"/>
        <v>0</v>
      </c>
      <c r="BC406" s="2675">
        <f t="shared" si="252"/>
        <v>0</v>
      </c>
      <c r="BD406" s="2675">
        <f t="shared" si="253"/>
        <v>0</v>
      </c>
      <c r="BE406" s="2675">
        <f t="shared" si="254"/>
        <v>0</v>
      </c>
      <c r="BF406" s="2675">
        <f t="shared" si="255"/>
        <v>0</v>
      </c>
      <c r="BG406" s="2675">
        <f t="shared" si="256"/>
        <v>0</v>
      </c>
      <c r="BH406" s="2675">
        <f t="shared" si="257"/>
        <v>0</v>
      </c>
      <c r="BI406" s="2675">
        <f t="shared" si="258"/>
        <v>0</v>
      </c>
      <c r="BJ406" s="2675">
        <f t="shared" si="259"/>
        <v>0</v>
      </c>
      <c r="BK406" s="2675">
        <f t="shared" si="260"/>
        <v>0</v>
      </c>
      <c r="BL406" s="2675">
        <f t="shared" si="261"/>
        <v>0</v>
      </c>
      <c r="BM406" s="2675">
        <f t="shared" si="262"/>
        <v>0</v>
      </c>
      <c r="BN406" s="2675">
        <f t="shared" si="263"/>
        <v>0</v>
      </c>
      <c r="BO406" s="2675">
        <f t="shared" si="264"/>
        <v>0</v>
      </c>
      <c r="BP406" s="2675">
        <f t="shared" si="265"/>
        <v>0</v>
      </c>
      <c r="BQ406" s="2675">
        <f t="shared" si="266"/>
        <v>0</v>
      </c>
      <c r="BR406" s="2675">
        <f t="shared" si="267"/>
        <v>0</v>
      </c>
      <c r="BS406" s="2675">
        <f t="shared" si="268"/>
        <v>0</v>
      </c>
      <c r="BT406" s="2722">
        <f t="shared" si="269"/>
        <v>0</v>
      </c>
    </row>
    <row r="407" spans="1:72">
      <c r="A407" s="2673"/>
      <c r="B407" s="2674"/>
      <c r="C407" s="2674"/>
      <c r="D407" s="2277"/>
      <c r="E407" s="2675">
        <f t="shared" si="241"/>
        <v>0</v>
      </c>
      <c r="F407" s="2676"/>
      <c r="G407" s="2677">
        <f t="shared" si="242"/>
        <v>0</v>
      </c>
      <c r="H407" s="2678">
        <f t="shared" si="243"/>
        <v>0</v>
      </c>
      <c r="I407" s="2685"/>
      <c r="J407" s="2685"/>
      <c r="K407" s="2685"/>
      <c r="L407" s="2685"/>
      <c r="M407" s="2685"/>
      <c r="N407" s="2685"/>
      <c r="O407" s="2685"/>
      <c r="P407" s="2685"/>
      <c r="Q407" s="2685"/>
      <c r="R407" s="2685"/>
      <c r="S407" s="2685"/>
      <c r="T407" s="2685"/>
      <c r="U407" s="2685"/>
      <c r="V407" s="2685"/>
      <c r="W407" s="2685"/>
      <c r="X407" s="2685"/>
      <c r="Y407" s="2685"/>
      <c r="Z407" s="2685"/>
      <c r="AA407" s="2685"/>
      <c r="AB407" s="2685"/>
      <c r="AC407" s="2675">
        <f t="shared" si="244"/>
        <v>0</v>
      </c>
      <c r="AD407" s="2695"/>
      <c r="AE407" s="2695"/>
      <c r="AF407" s="2695"/>
      <c r="AG407" s="2695"/>
      <c r="AH407" s="2695"/>
      <c r="AI407" s="2695"/>
      <c r="AJ407" s="2695"/>
      <c r="AK407" s="2695"/>
      <c r="AL407" s="2695"/>
      <c r="AM407" s="2695"/>
      <c r="AN407" s="2695"/>
      <c r="AO407" s="2695"/>
      <c r="AP407" s="2695"/>
      <c r="AQ407" s="2695"/>
      <c r="AR407" s="2695"/>
      <c r="AS407" s="2695"/>
      <c r="AT407" s="2703"/>
      <c r="AU407" s="2704"/>
      <c r="AV407" s="1074">
        <f t="shared" si="245"/>
        <v>0</v>
      </c>
      <c r="AW407" s="1074">
        <f t="shared" si="246"/>
        <v>0</v>
      </c>
      <c r="AX407" s="1074">
        <f t="shared" si="247"/>
        <v>0</v>
      </c>
      <c r="AY407" s="2279">
        <f t="shared" si="248"/>
        <v>0</v>
      </c>
      <c r="AZ407" s="2675">
        <f t="shared" si="249"/>
        <v>0</v>
      </c>
      <c r="BA407" s="2675">
        <f t="shared" si="250"/>
        <v>0</v>
      </c>
      <c r="BB407" s="2675">
        <f t="shared" si="251"/>
        <v>0</v>
      </c>
      <c r="BC407" s="2675">
        <f t="shared" si="252"/>
        <v>0</v>
      </c>
      <c r="BD407" s="2675">
        <f t="shared" si="253"/>
        <v>0</v>
      </c>
      <c r="BE407" s="2675">
        <f t="shared" si="254"/>
        <v>0</v>
      </c>
      <c r="BF407" s="2675">
        <f t="shared" si="255"/>
        <v>0</v>
      </c>
      <c r="BG407" s="2675">
        <f t="shared" si="256"/>
        <v>0</v>
      </c>
      <c r="BH407" s="2675">
        <f t="shared" si="257"/>
        <v>0</v>
      </c>
      <c r="BI407" s="2675">
        <f t="shared" si="258"/>
        <v>0</v>
      </c>
      <c r="BJ407" s="2675">
        <f t="shared" si="259"/>
        <v>0</v>
      </c>
      <c r="BK407" s="2675">
        <f t="shared" si="260"/>
        <v>0</v>
      </c>
      <c r="BL407" s="2675">
        <f t="shared" si="261"/>
        <v>0</v>
      </c>
      <c r="BM407" s="2675">
        <f t="shared" si="262"/>
        <v>0</v>
      </c>
      <c r="BN407" s="2675">
        <f t="shared" si="263"/>
        <v>0</v>
      </c>
      <c r="BO407" s="2675">
        <f t="shared" si="264"/>
        <v>0</v>
      </c>
      <c r="BP407" s="2675">
        <f t="shared" si="265"/>
        <v>0</v>
      </c>
      <c r="BQ407" s="2675">
        <f t="shared" si="266"/>
        <v>0</v>
      </c>
      <c r="BR407" s="2675">
        <f t="shared" si="267"/>
        <v>0</v>
      </c>
      <c r="BS407" s="2675">
        <f t="shared" si="268"/>
        <v>0</v>
      </c>
      <c r="BT407" s="2722">
        <f t="shared" si="269"/>
        <v>0</v>
      </c>
    </row>
    <row r="408" spans="1:72">
      <c r="A408" s="2673"/>
      <c r="B408" s="2674"/>
      <c r="C408" s="2674"/>
      <c r="D408" s="2277"/>
      <c r="E408" s="2675">
        <f t="shared" si="241"/>
        <v>0</v>
      </c>
      <c r="F408" s="2676"/>
      <c r="G408" s="2677">
        <f t="shared" si="242"/>
        <v>0</v>
      </c>
      <c r="H408" s="2678">
        <f t="shared" si="243"/>
        <v>0</v>
      </c>
      <c r="I408" s="2685"/>
      <c r="J408" s="2685"/>
      <c r="K408" s="2685"/>
      <c r="L408" s="2685"/>
      <c r="M408" s="2685"/>
      <c r="N408" s="2685"/>
      <c r="O408" s="2685"/>
      <c r="P408" s="2685"/>
      <c r="Q408" s="2685"/>
      <c r="R408" s="2685"/>
      <c r="S408" s="2685"/>
      <c r="T408" s="2685"/>
      <c r="U408" s="2685"/>
      <c r="V408" s="2685"/>
      <c r="W408" s="2685"/>
      <c r="X408" s="2685"/>
      <c r="Y408" s="2685"/>
      <c r="Z408" s="2685"/>
      <c r="AA408" s="2685"/>
      <c r="AB408" s="2685"/>
      <c r="AC408" s="2675">
        <f t="shared" si="244"/>
        <v>0</v>
      </c>
      <c r="AD408" s="2695"/>
      <c r="AE408" s="2695"/>
      <c r="AF408" s="2695"/>
      <c r="AG408" s="2695"/>
      <c r="AH408" s="2695"/>
      <c r="AI408" s="2695"/>
      <c r="AJ408" s="2695"/>
      <c r="AK408" s="2695"/>
      <c r="AL408" s="2695"/>
      <c r="AM408" s="2695"/>
      <c r="AN408" s="2695"/>
      <c r="AO408" s="2695"/>
      <c r="AP408" s="2695"/>
      <c r="AQ408" s="2695"/>
      <c r="AR408" s="2695"/>
      <c r="AS408" s="2695"/>
      <c r="AT408" s="2703"/>
      <c r="AU408" s="2704"/>
      <c r="AV408" s="1074">
        <f t="shared" si="245"/>
        <v>0</v>
      </c>
      <c r="AW408" s="1074">
        <f t="shared" si="246"/>
        <v>0</v>
      </c>
      <c r="AX408" s="1074">
        <f t="shared" si="247"/>
        <v>0</v>
      </c>
      <c r="AY408" s="2279">
        <f t="shared" si="248"/>
        <v>0</v>
      </c>
      <c r="AZ408" s="2675">
        <f t="shared" si="249"/>
        <v>0</v>
      </c>
      <c r="BA408" s="2675">
        <f t="shared" si="250"/>
        <v>0</v>
      </c>
      <c r="BB408" s="2675">
        <f t="shared" si="251"/>
        <v>0</v>
      </c>
      <c r="BC408" s="2675">
        <f t="shared" si="252"/>
        <v>0</v>
      </c>
      <c r="BD408" s="2675">
        <f t="shared" si="253"/>
        <v>0</v>
      </c>
      <c r="BE408" s="2675">
        <f t="shared" si="254"/>
        <v>0</v>
      </c>
      <c r="BF408" s="2675">
        <f t="shared" si="255"/>
        <v>0</v>
      </c>
      <c r="BG408" s="2675">
        <f t="shared" si="256"/>
        <v>0</v>
      </c>
      <c r="BH408" s="2675">
        <f t="shared" si="257"/>
        <v>0</v>
      </c>
      <c r="BI408" s="2675">
        <f t="shared" si="258"/>
        <v>0</v>
      </c>
      <c r="BJ408" s="2675">
        <f t="shared" si="259"/>
        <v>0</v>
      </c>
      <c r="BK408" s="2675">
        <f t="shared" si="260"/>
        <v>0</v>
      </c>
      <c r="BL408" s="2675">
        <f t="shared" si="261"/>
        <v>0</v>
      </c>
      <c r="BM408" s="2675">
        <f t="shared" si="262"/>
        <v>0</v>
      </c>
      <c r="BN408" s="2675">
        <f t="shared" si="263"/>
        <v>0</v>
      </c>
      <c r="BO408" s="2675">
        <f t="shared" si="264"/>
        <v>0</v>
      </c>
      <c r="BP408" s="2675">
        <f t="shared" si="265"/>
        <v>0</v>
      </c>
      <c r="BQ408" s="2675">
        <f t="shared" si="266"/>
        <v>0</v>
      </c>
      <c r="BR408" s="2675">
        <f t="shared" si="267"/>
        <v>0</v>
      </c>
      <c r="BS408" s="2675">
        <f t="shared" si="268"/>
        <v>0</v>
      </c>
      <c r="BT408" s="2722">
        <f t="shared" si="269"/>
        <v>0</v>
      </c>
    </row>
    <row r="409" spans="1:72">
      <c r="A409" s="2673"/>
      <c r="B409" s="2674"/>
      <c r="C409" s="2674"/>
      <c r="D409" s="2277"/>
      <c r="E409" s="2675">
        <f t="shared" si="241"/>
        <v>0</v>
      </c>
      <c r="F409" s="2676"/>
      <c r="G409" s="2677">
        <f t="shared" si="242"/>
        <v>0</v>
      </c>
      <c r="H409" s="2678">
        <f t="shared" si="243"/>
        <v>0</v>
      </c>
      <c r="I409" s="2685"/>
      <c r="J409" s="2685"/>
      <c r="K409" s="2685"/>
      <c r="L409" s="2685"/>
      <c r="M409" s="2685"/>
      <c r="N409" s="2685"/>
      <c r="O409" s="2685"/>
      <c r="P409" s="2685"/>
      <c r="Q409" s="2685"/>
      <c r="R409" s="2685"/>
      <c r="S409" s="2685"/>
      <c r="T409" s="2685"/>
      <c r="U409" s="2685"/>
      <c r="V409" s="2685"/>
      <c r="W409" s="2685"/>
      <c r="X409" s="2685"/>
      <c r="Y409" s="2685"/>
      <c r="Z409" s="2685"/>
      <c r="AA409" s="2685"/>
      <c r="AB409" s="2685"/>
      <c r="AC409" s="2675">
        <f t="shared" si="244"/>
        <v>0</v>
      </c>
      <c r="AD409" s="2695"/>
      <c r="AE409" s="2695"/>
      <c r="AF409" s="2695"/>
      <c r="AG409" s="2695"/>
      <c r="AH409" s="2695"/>
      <c r="AI409" s="2695"/>
      <c r="AJ409" s="2695"/>
      <c r="AK409" s="2695"/>
      <c r="AL409" s="2695"/>
      <c r="AM409" s="2695"/>
      <c r="AN409" s="2695"/>
      <c r="AO409" s="2695"/>
      <c r="AP409" s="2695"/>
      <c r="AQ409" s="2695"/>
      <c r="AR409" s="2695"/>
      <c r="AS409" s="2695"/>
      <c r="AT409" s="2703"/>
      <c r="AU409" s="2704"/>
      <c r="AV409" s="1074">
        <f t="shared" si="245"/>
        <v>0</v>
      </c>
      <c r="AW409" s="1074">
        <f t="shared" si="246"/>
        <v>0</v>
      </c>
      <c r="AX409" s="1074">
        <f t="shared" si="247"/>
        <v>0</v>
      </c>
      <c r="AY409" s="2279">
        <f t="shared" si="248"/>
        <v>0</v>
      </c>
      <c r="AZ409" s="2675">
        <f t="shared" si="249"/>
        <v>0</v>
      </c>
      <c r="BA409" s="2675">
        <f t="shared" si="250"/>
        <v>0</v>
      </c>
      <c r="BB409" s="2675">
        <f t="shared" si="251"/>
        <v>0</v>
      </c>
      <c r="BC409" s="2675">
        <f t="shared" si="252"/>
        <v>0</v>
      </c>
      <c r="BD409" s="2675">
        <f t="shared" si="253"/>
        <v>0</v>
      </c>
      <c r="BE409" s="2675">
        <f t="shared" si="254"/>
        <v>0</v>
      </c>
      <c r="BF409" s="2675">
        <f t="shared" si="255"/>
        <v>0</v>
      </c>
      <c r="BG409" s="2675">
        <f t="shared" si="256"/>
        <v>0</v>
      </c>
      <c r="BH409" s="2675">
        <f t="shared" si="257"/>
        <v>0</v>
      </c>
      <c r="BI409" s="2675">
        <f t="shared" si="258"/>
        <v>0</v>
      </c>
      <c r="BJ409" s="2675">
        <f t="shared" si="259"/>
        <v>0</v>
      </c>
      <c r="BK409" s="2675">
        <f t="shared" si="260"/>
        <v>0</v>
      </c>
      <c r="BL409" s="2675">
        <f t="shared" si="261"/>
        <v>0</v>
      </c>
      <c r="BM409" s="2675">
        <f t="shared" si="262"/>
        <v>0</v>
      </c>
      <c r="BN409" s="2675">
        <f t="shared" si="263"/>
        <v>0</v>
      </c>
      <c r="BO409" s="2675">
        <f t="shared" si="264"/>
        <v>0</v>
      </c>
      <c r="BP409" s="2675">
        <f t="shared" si="265"/>
        <v>0</v>
      </c>
      <c r="BQ409" s="2675">
        <f t="shared" si="266"/>
        <v>0</v>
      </c>
      <c r="BR409" s="2675">
        <f t="shared" si="267"/>
        <v>0</v>
      </c>
      <c r="BS409" s="2675">
        <f t="shared" si="268"/>
        <v>0</v>
      </c>
      <c r="BT409" s="2722">
        <f t="shared" si="269"/>
        <v>0</v>
      </c>
    </row>
    <row r="410" spans="1:72">
      <c r="A410" s="2673"/>
      <c r="B410" s="2674"/>
      <c r="C410" s="2674"/>
      <c r="D410" s="2277"/>
      <c r="E410" s="2675">
        <f t="shared" si="241"/>
        <v>0</v>
      </c>
      <c r="F410" s="2676"/>
      <c r="G410" s="2677">
        <f t="shared" si="242"/>
        <v>0</v>
      </c>
      <c r="H410" s="2678">
        <f t="shared" si="243"/>
        <v>0</v>
      </c>
      <c r="I410" s="2685"/>
      <c r="J410" s="2685"/>
      <c r="K410" s="2685"/>
      <c r="L410" s="2685"/>
      <c r="M410" s="2685"/>
      <c r="N410" s="2685"/>
      <c r="O410" s="2685"/>
      <c r="P410" s="2685"/>
      <c r="Q410" s="2685"/>
      <c r="R410" s="2685"/>
      <c r="S410" s="2685"/>
      <c r="T410" s="2685"/>
      <c r="U410" s="2685"/>
      <c r="V410" s="2685"/>
      <c r="W410" s="2685"/>
      <c r="X410" s="2685"/>
      <c r="Y410" s="2685"/>
      <c r="Z410" s="2685"/>
      <c r="AA410" s="2685"/>
      <c r="AB410" s="2685"/>
      <c r="AC410" s="2675">
        <f t="shared" si="244"/>
        <v>0</v>
      </c>
      <c r="AD410" s="2695"/>
      <c r="AE410" s="2695"/>
      <c r="AF410" s="2695"/>
      <c r="AG410" s="2695"/>
      <c r="AH410" s="2695"/>
      <c r="AI410" s="2695"/>
      <c r="AJ410" s="2695"/>
      <c r="AK410" s="2695"/>
      <c r="AL410" s="2695"/>
      <c r="AM410" s="2695"/>
      <c r="AN410" s="2695"/>
      <c r="AO410" s="2695"/>
      <c r="AP410" s="2695"/>
      <c r="AQ410" s="2695"/>
      <c r="AR410" s="2695"/>
      <c r="AS410" s="2695"/>
      <c r="AT410" s="2703"/>
      <c r="AU410" s="2704"/>
      <c r="AV410" s="1074">
        <f t="shared" si="245"/>
        <v>0</v>
      </c>
      <c r="AW410" s="1074">
        <f t="shared" si="246"/>
        <v>0</v>
      </c>
      <c r="AX410" s="1074">
        <f t="shared" si="247"/>
        <v>0</v>
      </c>
      <c r="AY410" s="2279">
        <f t="shared" si="248"/>
        <v>0</v>
      </c>
      <c r="AZ410" s="2675">
        <f t="shared" si="249"/>
        <v>0</v>
      </c>
      <c r="BA410" s="2675">
        <f t="shared" si="250"/>
        <v>0</v>
      </c>
      <c r="BB410" s="2675">
        <f t="shared" si="251"/>
        <v>0</v>
      </c>
      <c r="BC410" s="2675">
        <f t="shared" si="252"/>
        <v>0</v>
      </c>
      <c r="BD410" s="2675">
        <f t="shared" si="253"/>
        <v>0</v>
      </c>
      <c r="BE410" s="2675">
        <f t="shared" si="254"/>
        <v>0</v>
      </c>
      <c r="BF410" s="2675">
        <f t="shared" si="255"/>
        <v>0</v>
      </c>
      <c r="BG410" s="2675">
        <f t="shared" si="256"/>
        <v>0</v>
      </c>
      <c r="BH410" s="2675">
        <f t="shared" si="257"/>
        <v>0</v>
      </c>
      <c r="BI410" s="2675">
        <f t="shared" si="258"/>
        <v>0</v>
      </c>
      <c r="BJ410" s="2675">
        <f t="shared" si="259"/>
        <v>0</v>
      </c>
      <c r="BK410" s="2675">
        <f t="shared" si="260"/>
        <v>0</v>
      </c>
      <c r="BL410" s="2675">
        <f t="shared" si="261"/>
        <v>0</v>
      </c>
      <c r="BM410" s="2675">
        <f t="shared" si="262"/>
        <v>0</v>
      </c>
      <c r="BN410" s="2675">
        <f t="shared" si="263"/>
        <v>0</v>
      </c>
      <c r="BO410" s="2675">
        <f t="shared" si="264"/>
        <v>0</v>
      </c>
      <c r="BP410" s="2675">
        <f t="shared" si="265"/>
        <v>0</v>
      </c>
      <c r="BQ410" s="2675">
        <f t="shared" si="266"/>
        <v>0</v>
      </c>
      <c r="BR410" s="2675">
        <f t="shared" si="267"/>
        <v>0</v>
      </c>
      <c r="BS410" s="2675">
        <f t="shared" si="268"/>
        <v>0</v>
      </c>
      <c r="BT410" s="2722">
        <f t="shared" si="269"/>
        <v>0</v>
      </c>
    </row>
    <row r="411" spans="1:72">
      <c r="A411" s="2673"/>
      <c r="B411" s="2674"/>
      <c r="C411" s="2674"/>
      <c r="D411" s="2277"/>
      <c r="E411" s="2675">
        <f t="shared" si="241"/>
        <v>0</v>
      </c>
      <c r="F411" s="2676"/>
      <c r="G411" s="2677">
        <f t="shared" si="242"/>
        <v>0</v>
      </c>
      <c r="H411" s="2678">
        <f t="shared" si="243"/>
        <v>0</v>
      </c>
      <c r="I411" s="2685"/>
      <c r="J411" s="2685"/>
      <c r="K411" s="2685"/>
      <c r="L411" s="2685"/>
      <c r="M411" s="2685"/>
      <c r="N411" s="2685"/>
      <c r="O411" s="2685"/>
      <c r="P411" s="2685"/>
      <c r="Q411" s="2685"/>
      <c r="R411" s="2685"/>
      <c r="S411" s="2685"/>
      <c r="T411" s="2685"/>
      <c r="U411" s="2685"/>
      <c r="V411" s="2685"/>
      <c r="W411" s="2685"/>
      <c r="X411" s="2685"/>
      <c r="Y411" s="2685"/>
      <c r="Z411" s="2685"/>
      <c r="AA411" s="2685"/>
      <c r="AB411" s="2685"/>
      <c r="AC411" s="2675">
        <f t="shared" si="244"/>
        <v>0</v>
      </c>
      <c r="AD411" s="2695"/>
      <c r="AE411" s="2695"/>
      <c r="AF411" s="2695"/>
      <c r="AG411" s="2695"/>
      <c r="AH411" s="2695"/>
      <c r="AI411" s="2695"/>
      <c r="AJ411" s="2695"/>
      <c r="AK411" s="2695"/>
      <c r="AL411" s="2695"/>
      <c r="AM411" s="2695"/>
      <c r="AN411" s="2695"/>
      <c r="AO411" s="2695"/>
      <c r="AP411" s="2695"/>
      <c r="AQ411" s="2695"/>
      <c r="AR411" s="2695"/>
      <c r="AS411" s="2695"/>
      <c r="AT411" s="2703"/>
      <c r="AU411" s="2704"/>
      <c r="AV411" s="1074">
        <f t="shared" si="245"/>
        <v>0</v>
      </c>
      <c r="AW411" s="1074">
        <f t="shared" si="246"/>
        <v>0</v>
      </c>
      <c r="AX411" s="1074">
        <f t="shared" si="247"/>
        <v>0</v>
      </c>
      <c r="AY411" s="2279">
        <f t="shared" si="248"/>
        <v>0</v>
      </c>
      <c r="AZ411" s="2675">
        <f t="shared" si="249"/>
        <v>0</v>
      </c>
      <c r="BA411" s="2675">
        <f t="shared" si="250"/>
        <v>0</v>
      </c>
      <c r="BB411" s="2675">
        <f t="shared" si="251"/>
        <v>0</v>
      </c>
      <c r="BC411" s="2675">
        <f t="shared" si="252"/>
        <v>0</v>
      </c>
      <c r="BD411" s="2675">
        <f t="shared" si="253"/>
        <v>0</v>
      </c>
      <c r="BE411" s="2675">
        <f t="shared" si="254"/>
        <v>0</v>
      </c>
      <c r="BF411" s="2675">
        <f t="shared" si="255"/>
        <v>0</v>
      </c>
      <c r="BG411" s="2675">
        <f t="shared" si="256"/>
        <v>0</v>
      </c>
      <c r="BH411" s="2675">
        <f t="shared" si="257"/>
        <v>0</v>
      </c>
      <c r="BI411" s="2675">
        <f t="shared" si="258"/>
        <v>0</v>
      </c>
      <c r="BJ411" s="2675">
        <f t="shared" si="259"/>
        <v>0</v>
      </c>
      <c r="BK411" s="2675">
        <f t="shared" si="260"/>
        <v>0</v>
      </c>
      <c r="BL411" s="2675">
        <f t="shared" si="261"/>
        <v>0</v>
      </c>
      <c r="BM411" s="2675">
        <f t="shared" si="262"/>
        <v>0</v>
      </c>
      <c r="BN411" s="2675">
        <f t="shared" si="263"/>
        <v>0</v>
      </c>
      <c r="BO411" s="2675">
        <f t="shared" si="264"/>
        <v>0</v>
      </c>
      <c r="BP411" s="2675">
        <f t="shared" si="265"/>
        <v>0</v>
      </c>
      <c r="BQ411" s="2675">
        <f t="shared" si="266"/>
        <v>0</v>
      </c>
      <c r="BR411" s="2675">
        <f t="shared" si="267"/>
        <v>0</v>
      </c>
      <c r="BS411" s="2675">
        <f t="shared" si="268"/>
        <v>0</v>
      </c>
      <c r="BT411" s="2722">
        <f t="shared" si="269"/>
        <v>0</v>
      </c>
    </row>
    <row r="412" spans="1:72">
      <c r="A412" s="2673"/>
      <c r="B412" s="2674"/>
      <c r="C412" s="2674"/>
      <c r="D412" s="2277"/>
      <c r="E412" s="2675">
        <f t="shared" si="241"/>
        <v>0</v>
      </c>
      <c r="F412" s="2676"/>
      <c r="G412" s="2677">
        <f t="shared" si="242"/>
        <v>0</v>
      </c>
      <c r="H412" s="2678">
        <f t="shared" si="243"/>
        <v>0</v>
      </c>
      <c r="I412" s="2685"/>
      <c r="J412" s="2685"/>
      <c r="K412" s="2685"/>
      <c r="L412" s="2685"/>
      <c r="M412" s="2685"/>
      <c r="N412" s="2685"/>
      <c r="O412" s="2685"/>
      <c r="P412" s="2685"/>
      <c r="Q412" s="2685"/>
      <c r="R412" s="2685"/>
      <c r="S412" s="2685"/>
      <c r="T412" s="2685"/>
      <c r="U412" s="2685"/>
      <c r="V412" s="2685"/>
      <c r="W412" s="2685"/>
      <c r="X412" s="2685"/>
      <c r="Y412" s="2685"/>
      <c r="Z412" s="2685"/>
      <c r="AA412" s="2685"/>
      <c r="AB412" s="2685"/>
      <c r="AC412" s="2675">
        <f t="shared" si="244"/>
        <v>0</v>
      </c>
      <c r="AD412" s="2695"/>
      <c r="AE412" s="2695"/>
      <c r="AF412" s="2695"/>
      <c r="AG412" s="2695"/>
      <c r="AH412" s="2695"/>
      <c r="AI412" s="2695"/>
      <c r="AJ412" s="2695"/>
      <c r="AK412" s="2695"/>
      <c r="AL412" s="2695"/>
      <c r="AM412" s="2695"/>
      <c r="AN412" s="2695"/>
      <c r="AO412" s="2695"/>
      <c r="AP412" s="2695"/>
      <c r="AQ412" s="2695"/>
      <c r="AR412" s="2695"/>
      <c r="AS412" s="2695"/>
      <c r="AT412" s="2703"/>
      <c r="AU412" s="2704"/>
      <c r="AV412" s="1074">
        <f t="shared" si="245"/>
        <v>0</v>
      </c>
      <c r="AW412" s="1074">
        <f t="shared" si="246"/>
        <v>0</v>
      </c>
      <c r="AX412" s="1074">
        <f t="shared" si="247"/>
        <v>0</v>
      </c>
      <c r="AY412" s="2279">
        <f t="shared" si="248"/>
        <v>0</v>
      </c>
      <c r="AZ412" s="2675">
        <f t="shared" si="249"/>
        <v>0</v>
      </c>
      <c r="BA412" s="2675">
        <f t="shared" si="250"/>
        <v>0</v>
      </c>
      <c r="BB412" s="2675">
        <f t="shared" si="251"/>
        <v>0</v>
      </c>
      <c r="BC412" s="2675">
        <f t="shared" si="252"/>
        <v>0</v>
      </c>
      <c r="BD412" s="2675">
        <f t="shared" si="253"/>
        <v>0</v>
      </c>
      <c r="BE412" s="2675">
        <f t="shared" si="254"/>
        <v>0</v>
      </c>
      <c r="BF412" s="2675">
        <f t="shared" si="255"/>
        <v>0</v>
      </c>
      <c r="BG412" s="2675">
        <f t="shared" si="256"/>
        <v>0</v>
      </c>
      <c r="BH412" s="2675">
        <f t="shared" si="257"/>
        <v>0</v>
      </c>
      <c r="BI412" s="2675">
        <f t="shared" si="258"/>
        <v>0</v>
      </c>
      <c r="BJ412" s="2675">
        <f t="shared" si="259"/>
        <v>0</v>
      </c>
      <c r="BK412" s="2675">
        <f t="shared" si="260"/>
        <v>0</v>
      </c>
      <c r="BL412" s="2675">
        <f t="shared" si="261"/>
        <v>0</v>
      </c>
      <c r="BM412" s="2675">
        <f t="shared" si="262"/>
        <v>0</v>
      </c>
      <c r="BN412" s="2675">
        <f t="shared" si="263"/>
        <v>0</v>
      </c>
      <c r="BO412" s="2675">
        <f t="shared" si="264"/>
        <v>0</v>
      </c>
      <c r="BP412" s="2675">
        <f t="shared" si="265"/>
        <v>0</v>
      </c>
      <c r="BQ412" s="2675">
        <f t="shared" si="266"/>
        <v>0</v>
      </c>
      <c r="BR412" s="2675">
        <f t="shared" si="267"/>
        <v>0</v>
      </c>
      <c r="BS412" s="2675">
        <f t="shared" si="268"/>
        <v>0</v>
      </c>
      <c r="BT412" s="2722">
        <f t="shared" si="269"/>
        <v>0</v>
      </c>
    </row>
    <row r="413" spans="1:72">
      <c r="A413" s="2673"/>
      <c r="B413" s="2674"/>
      <c r="C413" s="2674"/>
      <c r="D413" s="2277"/>
      <c r="E413" s="2675">
        <f t="shared" si="241"/>
        <v>0</v>
      </c>
      <c r="F413" s="2676"/>
      <c r="G413" s="2677">
        <f t="shared" si="242"/>
        <v>0</v>
      </c>
      <c r="H413" s="2678">
        <f t="shared" si="243"/>
        <v>0</v>
      </c>
      <c r="I413" s="2685"/>
      <c r="J413" s="2685"/>
      <c r="K413" s="2685"/>
      <c r="L413" s="2685"/>
      <c r="M413" s="2685"/>
      <c r="N413" s="2685"/>
      <c r="O413" s="2685"/>
      <c r="P413" s="2685"/>
      <c r="Q413" s="2685"/>
      <c r="R413" s="2685"/>
      <c r="S413" s="2685"/>
      <c r="T413" s="2685"/>
      <c r="U413" s="2685"/>
      <c r="V413" s="2685"/>
      <c r="W413" s="2685"/>
      <c r="X413" s="2685"/>
      <c r="Y413" s="2685"/>
      <c r="Z413" s="2685"/>
      <c r="AA413" s="2685"/>
      <c r="AB413" s="2685"/>
      <c r="AC413" s="2675">
        <f t="shared" si="244"/>
        <v>0</v>
      </c>
      <c r="AD413" s="2695"/>
      <c r="AE413" s="2695"/>
      <c r="AF413" s="2695"/>
      <c r="AG413" s="2695"/>
      <c r="AH413" s="2695"/>
      <c r="AI413" s="2695"/>
      <c r="AJ413" s="2695"/>
      <c r="AK413" s="2695"/>
      <c r="AL413" s="2695"/>
      <c r="AM413" s="2695"/>
      <c r="AN413" s="2695"/>
      <c r="AO413" s="2695"/>
      <c r="AP413" s="2695"/>
      <c r="AQ413" s="2695"/>
      <c r="AR413" s="2695"/>
      <c r="AS413" s="2695"/>
      <c r="AT413" s="2703"/>
      <c r="AU413" s="2704"/>
      <c r="AV413" s="1074">
        <f t="shared" si="245"/>
        <v>0</v>
      </c>
      <c r="AW413" s="1074">
        <f t="shared" si="246"/>
        <v>0</v>
      </c>
      <c r="AX413" s="1074">
        <f t="shared" si="247"/>
        <v>0</v>
      </c>
      <c r="AY413" s="2279">
        <f t="shared" si="248"/>
        <v>0</v>
      </c>
      <c r="AZ413" s="2675">
        <f t="shared" si="249"/>
        <v>0</v>
      </c>
      <c r="BA413" s="2675">
        <f t="shared" si="250"/>
        <v>0</v>
      </c>
      <c r="BB413" s="2675">
        <f t="shared" si="251"/>
        <v>0</v>
      </c>
      <c r="BC413" s="2675">
        <f t="shared" si="252"/>
        <v>0</v>
      </c>
      <c r="BD413" s="2675">
        <f t="shared" si="253"/>
        <v>0</v>
      </c>
      <c r="BE413" s="2675">
        <f t="shared" si="254"/>
        <v>0</v>
      </c>
      <c r="BF413" s="2675">
        <f t="shared" si="255"/>
        <v>0</v>
      </c>
      <c r="BG413" s="2675">
        <f t="shared" si="256"/>
        <v>0</v>
      </c>
      <c r="BH413" s="2675">
        <f t="shared" si="257"/>
        <v>0</v>
      </c>
      <c r="BI413" s="2675">
        <f t="shared" si="258"/>
        <v>0</v>
      </c>
      <c r="BJ413" s="2675">
        <f t="shared" si="259"/>
        <v>0</v>
      </c>
      <c r="BK413" s="2675">
        <f t="shared" si="260"/>
        <v>0</v>
      </c>
      <c r="BL413" s="2675">
        <f t="shared" si="261"/>
        <v>0</v>
      </c>
      <c r="BM413" s="2675">
        <f t="shared" si="262"/>
        <v>0</v>
      </c>
      <c r="BN413" s="2675">
        <f t="shared" si="263"/>
        <v>0</v>
      </c>
      <c r="BO413" s="2675">
        <f t="shared" si="264"/>
        <v>0</v>
      </c>
      <c r="BP413" s="2675">
        <f t="shared" si="265"/>
        <v>0</v>
      </c>
      <c r="BQ413" s="2675">
        <f t="shared" si="266"/>
        <v>0</v>
      </c>
      <c r="BR413" s="2675">
        <f t="shared" si="267"/>
        <v>0</v>
      </c>
      <c r="BS413" s="2675">
        <f t="shared" si="268"/>
        <v>0</v>
      </c>
      <c r="BT413" s="2722">
        <f t="shared" si="269"/>
        <v>0</v>
      </c>
    </row>
    <row r="414" spans="1:72">
      <c r="A414" s="2673"/>
      <c r="B414" s="2674"/>
      <c r="C414" s="2674"/>
      <c r="D414" s="2277"/>
      <c r="E414" s="2675">
        <f t="shared" si="241"/>
        <v>0</v>
      </c>
      <c r="F414" s="2676"/>
      <c r="G414" s="2677">
        <f t="shared" si="242"/>
        <v>0</v>
      </c>
      <c r="H414" s="2678">
        <f t="shared" si="243"/>
        <v>0</v>
      </c>
      <c r="I414" s="2685"/>
      <c r="J414" s="2685"/>
      <c r="K414" s="2685"/>
      <c r="L414" s="2685"/>
      <c r="M414" s="2685"/>
      <c r="N414" s="2685"/>
      <c r="O414" s="2685"/>
      <c r="P414" s="2685"/>
      <c r="Q414" s="2685"/>
      <c r="R414" s="2685"/>
      <c r="S414" s="2685"/>
      <c r="T414" s="2685"/>
      <c r="U414" s="2685"/>
      <c r="V414" s="2685"/>
      <c r="W414" s="2685"/>
      <c r="X414" s="2685"/>
      <c r="Y414" s="2685"/>
      <c r="Z414" s="2685"/>
      <c r="AA414" s="2685"/>
      <c r="AB414" s="2685"/>
      <c r="AC414" s="2675">
        <f t="shared" si="244"/>
        <v>0</v>
      </c>
      <c r="AD414" s="2695"/>
      <c r="AE414" s="2695"/>
      <c r="AF414" s="2695"/>
      <c r="AG414" s="2695"/>
      <c r="AH414" s="2695"/>
      <c r="AI414" s="2695"/>
      <c r="AJ414" s="2695"/>
      <c r="AK414" s="2695"/>
      <c r="AL414" s="2695"/>
      <c r="AM414" s="2695"/>
      <c r="AN414" s="2695"/>
      <c r="AO414" s="2695"/>
      <c r="AP414" s="2695"/>
      <c r="AQ414" s="2695"/>
      <c r="AR414" s="2695"/>
      <c r="AS414" s="2695"/>
      <c r="AT414" s="2703"/>
      <c r="AU414" s="2704"/>
      <c r="AV414" s="1074">
        <f t="shared" si="245"/>
        <v>0</v>
      </c>
      <c r="AW414" s="1074">
        <f t="shared" si="246"/>
        <v>0</v>
      </c>
      <c r="AX414" s="1074">
        <f t="shared" si="247"/>
        <v>0</v>
      </c>
      <c r="AY414" s="2279">
        <f t="shared" si="248"/>
        <v>0</v>
      </c>
      <c r="AZ414" s="2675">
        <f t="shared" si="249"/>
        <v>0</v>
      </c>
      <c r="BA414" s="2675">
        <f t="shared" si="250"/>
        <v>0</v>
      </c>
      <c r="BB414" s="2675">
        <f t="shared" si="251"/>
        <v>0</v>
      </c>
      <c r="BC414" s="2675">
        <f t="shared" si="252"/>
        <v>0</v>
      </c>
      <c r="BD414" s="2675">
        <f t="shared" si="253"/>
        <v>0</v>
      </c>
      <c r="BE414" s="2675">
        <f t="shared" si="254"/>
        <v>0</v>
      </c>
      <c r="BF414" s="2675">
        <f t="shared" si="255"/>
        <v>0</v>
      </c>
      <c r="BG414" s="2675">
        <f t="shared" si="256"/>
        <v>0</v>
      </c>
      <c r="BH414" s="2675">
        <f t="shared" si="257"/>
        <v>0</v>
      </c>
      <c r="BI414" s="2675">
        <f t="shared" si="258"/>
        <v>0</v>
      </c>
      <c r="BJ414" s="2675">
        <f t="shared" si="259"/>
        <v>0</v>
      </c>
      <c r="BK414" s="2675">
        <f t="shared" si="260"/>
        <v>0</v>
      </c>
      <c r="BL414" s="2675">
        <f t="shared" si="261"/>
        <v>0</v>
      </c>
      <c r="BM414" s="2675">
        <f t="shared" si="262"/>
        <v>0</v>
      </c>
      <c r="BN414" s="2675">
        <f t="shared" si="263"/>
        <v>0</v>
      </c>
      <c r="BO414" s="2675">
        <f t="shared" si="264"/>
        <v>0</v>
      </c>
      <c r="BP414" s="2675">
        <f t="shared" si="265"/>
        <v>0</v>
      </c>
      <c r="BQ414" s="2675">
        <f t="shared" si="266"/>
        <v>0</v>
      </c>
      <c r="BR414" s="2675">
        <f t="shared" si="267"/>
        <v>0</v>
      </c>
      <c r="BS414" s="2675">
        <f t="shared" si="268"/>
        <v>0</v>
      </c>
      <c r="BT414" s="2722">
        <f t="shared" si="269"/>
        <v>0</v>
      </c>
    </row>
    <row r="415" spans="1:72">
      <c r="A415" s="2673"/>
      <c r="B415" s="2674"/>
      <c r="C415" s="2674"/>
      <c r="D415" s="2277"/>
      <c r="E415" s="2675">
        <f t="shared" si="241"/>
        <v>0</v>
      </c>
      <c r="F415" s="2676"/>
      <c r="G415" s="2677">
        <f t="shared" si="242"/>
        <v>0</v>
      </c>
      <c r="H415" s="2678">
        <f t="shared" si="243"/>
        <v>0</v>
      </c>
      <c r="I415" s="2685"/>
      <c r="J415" s="2685"/>
      <c r="K415" s="2685"/>
      <c r="L415" s="2685"/>
      <c r="M415" s="2685"/>
      <c r="N415" s="2685"/>
      <c r="O415" s="2685"/>
      <c r="P415" s="2685"/>
      <c r="Q415" s="2685"/>
      <c r="R415" s="2685"/>
      <c r="S415" s="2685"/>
      <c r="T415" s="2685"/>
      <c r="U415" s="2685"/>
      <c r="V415" s="2685"/>
      <c r="W415" s="2685"/>
      <c r="X415" s="2685"/>
      <c r="Y415" s="2685"/>
      <c r="Z415" s="2685"/>
      <c r="AA415" s="2685"/>
      <c r="AB415" s="2685"/>
      <c r="AC415" s="2675">
        <f t="shared" si="244"/>
        <v>0</v>
      </c>
      <c r="AD415" s="2695"/>
      <c r="AE415" s="2695"/>
      <c r="AF415" s="2695"/>
      <c r="AG415" s="2695"/>
      <c r="AH415" s="2695"/>
      <c r="AI415" s="2695"/>
      <c r="AJ415" s="2695"/>
      <c r="AK415" s="2695"/>
      <c r="AL415" s="2695"/>
      <c r="AM415" s="2695"/>
      <c r="AN415" s="2695"/>
      <c r="AO415" s="2695"/>
      <c r="AP415" s="2695"/>
      <c r="AQ415" s="2695"/>
      <c r="AR415" s="2695"/>
      <c r="AS415" s="2695"/>
      <c r="AT415" s="2703"/>
      <c r="AU415" s="2704"/>
      <c r="AV415" s="1074">
        <f t="shared" si="245"/>
        <v>0</v>
      </c>
      <c r="AW415" s="1074">
        <f t="shared" si="246"/>
        <v>0</v>
      </c>
      <c r="AX415" s="1074">
        <f t="shared" si="247"/>
        <v>0</v>
      </c>
      <c r="AY415" s="2279">
        <f t="shared" si="248"/>
        <v>0</v>
      </c>
      <c r="AZ415" s="2675">
        <f t="shared" si="249"/>
        <v>0</v>
      </c>
      <c r="BA415" s="2675">
        <f t="shared" si="250"/>
        <v>0</v>
      </c>
      <c r="BB415" s="2675">
        <f t="shared" si="251"/>
        <v>0</v>
      </c>
      <c r="BC415" s="2675">
        <f t="shared" si="252"/>
        <v>0</v>
      </c>
      <c r="BD415" s="2675">
        <f t="shared" si="253"/>
        <v>0</v>
      </c>
      <c r="BE415" s="2675">
        <f t="shared" si="254"/>
        <v>0</v>
      </c>
      <c r="BF415" s="2675">
        <f t="shared" si="255"/>
        <v>0</v>
      </c>
      <c r="BG415" s="2675">
        <f t="shared" si="256"/>
        <v>0</v>
      </c>
      <c r="BH415" s="2675">
        <f t="shared" si="257"/>
        <v>0</v>
      </c>
      <c r="BI415" s="2675">
        <f t="shared" si="258"/>
        <v>0</v>
      </c>
      <c r="BJ415" s="2675">
        <f t="shared" si="259"/>
        <v>0</v>
      </c>
      <c r="BK415" s="2675">
        <f t="shared" si="260"/>
        <v>0</v>
      </c>
      <c r="BL415" s="2675">
        <f t="shared" si="261"/>
        <v>0</v>
      </c>
      <c r="BM415" s="2675">
        <f t="shared" si="262"/>
        <v>0</v>
      </c>
      <c r="BN415" s="2675">
        <f t="shared" si="263"/>
        <v>0</v>
      </c>
      <c r="BO415" s="2675">
        <f t="shared" si="264"/>
        <v>0</v>
      </c>
      <c r="BP415" s="2675">
        <f t="shared" si="265"/>
        <v>0</v>
      </c>
      <c r="BQ415" s="2675">
        <f t="shared" si="266"/>
        <v>0</v>
      </c>
      <c r="BR415" s="2675">
        <f t="shared" si="267"/>
        <v>0</v>
      </c>
      <c r="BS415" s="2675">
        <f t="shared" si="268"/>
        <v>0</v>
      </c>
      <c r="BT415" s="2722">
        <f t="shared" si="269"/>
        <v>0</v>
      </c>
    </row>
    <row r="416" spans="1:72">
      <c r="A416" s="2673"/>
      <c r="B416" s="2674"/>
      <c r="C416" s="2674"/>
      <c r="D416" s="2277"/>
      <c r="E416" s="2675">
        <f t="shared" si="241"/>
        <v>0</v>
      </c>
      <c r="F416" s="2676"/>
      <c r="G416" s="2677">
        <f t="shared" si="242"/>
        <v>0</v>
      </c>
      <c r="H416" s="2678">
        <f t="shared" si="243"/>
        <v>0</v>
      </c>
      <c r="I416" s="2685"/>
      <c r="J416" s="2685"/>
      <c r="K416" s="2685"/>
      <c r="L416" s="2685"/>
      <c r="M416" s="2685"/>
      <c r="N416" s="2685"/>
      <c r="O416" s="2685"/>
      <c r="P416" s="2685"/>
      <c r="Q416" s="2685"/>
      <c r="R416" s="2685"/>
      <c r="S416" s="2685"/>
      <c r="T416" s="2685"/>
      <c r="U416" s="2685"/>
      <c r="V416" s="2685"/>
      <c r="W416" s="2685"/>
      <c r="X416" s="2685"/>
      <c r="Y416" s="2685"/>
      <c r="Z416" s="2685"/>
      <c r="AA416" s="2685"/>
      <c r="AB416" s="2685"/>
      <c r="AC416" s="2675">
        <f t="shared" si="244"/>
        <v>0</v>
      </c>
      <c r="AD416" s="2695"/>
      <c r="AE416" s="2695"/>
      <c r="AF416" s="2695"/>
      <c r="AG416" s="2695"/>
      <c r="AH416" s="2695"/>
      <c r="AI416" s="2695"/>
      <c r="AJ416" s="2695"/>
      <c r="AK416" s="2695"/>
      <c r="AL416" s="2695"/>
      <c r="AM416" s="2695"/>
      <c r="AN416" s="2695"/>
      <c r="AO416" s="2695"/>
      <c r="AP416" s="2695"/>
      <c r="AQ416" s="2695"/>
      <c r="AR416" s="2695"/>
      <c r="AS416" s="2695"/>
      <c r="AT416" s="2703"/>
      <c r="AU416" s="2704"/>
      <c r="AV416" s="1074">
        <f t="shared" si="245"/>
        <v>0</v>
      </c>
      <c r="AW416" s="1074">
        <f t="shared" si="246"/>
        <v>0</v>
      </c>
      <c r="AX416" s="1074">
        <f t="shared" si="247"/>
        <v>0</v>
      </c>
      <c r="AY416" s="2279">
        <f t="shared" si="248"/>
        <v>0</v>
      </c>
      <c r="AZ416" s="2675">
        <f t="shared" si="249"/>
        <v>0</v>
      </c>
      <c r="BA416" s="2675">
        <f t="shared" si="250"/>
        <v>0</v>
      </c>
      <c r="BB416" s="2675">
        <f t="shared" si="251"/>
        <v>0</v>
      </c>
      <c r="BC416" s="2675">
        <f t="shared" si="252"/>
        <v>0</v>
      </c>
      <c r="BD416" s="2675">
        <f t="shared" si="253"/>
        <v>0</v>
      </c>
      <c r="BE416" s="2675">
        <f t="shared" si="254"/>
        <v>0</v>
      </c>
      <c r="BF416" s="2675">
        <f t="shared" si="255"/>
        <v>0</v>
      </c>
      <c r="BG416" s="2675">
        <f t="shared" si="256"/>
        <v>0</v>
      </c>
      <c r="BH416" s="2675">
        <f t="shared" si="257"/>
        <v>0</v>
      </c>
      <c r="BI416" s="2675">
        <f t="shared" si="258"/>
        <v>0</v>
      </c>
      <c r="BJ416" s="2675">
        <f t="shared" si="259"/>
        <v>0</v>
      </c>
      <c r="BK416" s="2675">
        <f t="shared" si="260"/>
        <v>0</v>
      </c>
      <c r="BL416" s="2675">
        <f t="shared" si="261"/>
        <v>0</v>
      </c>
      <c r="BM416" s="2675">
        <f t="shared" si="262"/>
        <v>0</v>
      </c>
      <c r="BN416" s="2675">
        <f t="shared" si="263"/>
        <v>0</v>
      </c>
      <c r="BO416" s="2675">
        <f t="shared" si="264"/>
        <v>0</v>
      </c>
      <c r="BP416" s="2675">
        <f t="shared" si="265"/>
        <v>0</v>
      </c>
      <c r="BQ416" s="2675">
        <f t="shared" si="266"/>
        <v>0</v>
      </c>
      <c r="BR416" s="2675">
        <f t="shared" si="267"/>
        <v>0</v>
      </c>
      <c r="BS416" s="2675">
        <f t="shared" si="268"/>
        <v>0</v>
      </c>
      <c r="BT416" s="2722">
        <f t="shared" si="269"/>
        <v>0</v>
      </c>
    </row>
    <row r="417" spans="1:72">
      <c r="A417" s="2673"/>
      <c r="B417" s="2674"/>
      <c r="C417" s="2674"/>
      <c r="D417" s="2277"/>
      <c r="E417" s="2675">
        <f t="shared" si="241"/>
        <v>0</v>
      </c>
      <c r="F417" s="2676"/>
      <c r="G417" s="2677">
        <f t="shared" si="242"/>
        <v>0</v>
      </c>
      <c r="H417" s="2678">
        <f t="shared" si="243"/>
        <v>0</v>
      </c>
      <c r="I417" s="2685"/>
      <c r="J417" s="2685"/>
      <c r="K417" s="2685"/>
      <c r="L417" s="2685"/>
      <c r="M417" s="2685"/>
      <c r="N417" s="2685"/>
      <c r="O417" s="2685"/>
      <c r="P417" s="2685"/>
      <c r="Q417" s="2685"/>
      <c r="R417" s="2685"/>
      <c r="S417" s="2685"/>
      <c r="T417" s="2685"/>
      <c r="U417" s="2685"/>
      <c r="V417" s="2685"/>
      <c r="W417" s="2685"/>
      <c r="X417" s="2685"/>
      <c r="Y417" s="2685"/>
      <c r="Z417" s="2685"/>
      <c r="AA417" s="2685"/>
      <c r="AB417" s="2685"/>
      <c r="AC417" s="2675">
        <f t="shared" si="244"/>
        <v>0</v>
      </c>
      <c r="AD417" s="2695"/>
      <c r="AE417" s="2695"/>
      <c r="AF417" s="2695"/>
      <c r="AG417" s="2695"/>
      <c r="AH417" s="2695"/>
      <c r="AI417" s="2695"/>
      <c r="AJ417" s="2695"/>
      <c r="AK417" s="2695"/>
      <c r="AL417" s="2695"/>
      <c r="AM417" s="2695"/>
      <c r="AN417" s="2695"/>
      <c r="AO417" s="2695"/>
      <c r="AP417" s="2695"/>
      <c r="AQ417" s="2695"/>
      <c r="AR417" s="2695"/>
      <c r="AS417" s="2695"/>
      <c r="AT417" s="2703"/>
      <c r="AU417" s="2704"/>
      <c r="AV417" s="1074">
        <f t="shared" si="245"/>
        <v>0</v>
      </c>
      <c r="AW417" s="1074">
        <f t="shared" si="246"/>
        <v>0</v>
      </c>
      <c r="AX417" s="1074">
        <f t="shared" si="247"/>
        <v>0</v>
      </c>
      <c r="AY417" s="2279">
        <f t="shared" si="248"/>
        <v>0</v>
      </c>
      <c r="AZ417" s="2675">
        <f t="shared" si="249"/>
        <v>0</v>
      </c>
      <c r="BA417" s="2675">
        <f t="shared" si="250"/>
        <v>0</v>
      </c>
      <c r="BB417" s="2675">
        <f t="shared" si="251"/>
        <v>0</v>
      </c>
      <c r="BC417" s="2675">
        <f t="shared" si="252"/>
        <v>0</v>
      </c>
      <c r="BD417" s="2675">
        <f t="shared" si="253"/>
        <v>0</v>
      </c>
      <c r="BE417" s="2675">
        <f t="shared" si="254"/>
        <v>0</v>
      </c>
      <c r="BF417" s="2675">
        <f t="shared" si="255"/>
        <v>0</v>
      </c>
      <c r="BG417" s="2675">
        <f t="shared" si="256"/>
        <v>0</v>
      </c>
      <c r="BH417" s="2675">
        <f t="shared" si="257"/>
        <v>0</v>
      </c>
      <c r="BI417" s="2675">
        <f t="shared" si="258"/>
        <v>0</v>
      </c>
      <c r="BJ417" s="2675">
        <f t="shared" si="259"/>
        <v>0</v>
      </c>
      <c r="BK417" s="2675">
        <f t="shared" si="260"/>
        <v>0</v>
      </c>
      <c r="BL417" s="2675">
        <f t="shared" si="261"/>
        <v>0</v>
      </c>
      <c r="BM417" s="2675">
        <f t="shared" si="262"/>
        <v>0</v>
      </c>
      <c r="BN417" s="2675">
        <f t="shared" si="263"/>
        <v>0</v>
      </c>
      <c r="BO417" s="2675">
        <f t="shared" si="264"/>
        <v>0</v>
      </c>
      <c r="BP417" s="2675">
        <f t="shared" si="265"/>
        <v>0</v>
      </c>
      <c r="BQ417" s="2675">
        <f t="shared" si="266"/>
        <v>0</v>
      </c>
      <c r="BR417" s="2675">
        <f t="shared" si="267"/>
        <v>0</v>
      </c>
      <c r="BS417" s="2675">
        <f t="shared" si="268"/>
        <v>0</v>
      </c>
      <c r="BT417" s="2722">
        <f t="shared" si="269"/>
        <v>0</v>
      </c>
    </row>
    <row r="418" spans="1:72">
      <c r="A418" s="2673"/>
      <c r="B418" s="2674"/>
      <c r="C418" s="2674"/>
      <c r="D418" s="2277"/>
      <c r="E418" s="2675">
        <f t="shared" si="241"/>
        <v>0</v>
      </c>
      <c r="F418" s="2676"/>
      <c r="G418" s="2677">
        <f t="shared" si="242"/>
        <v>0</v>
      </c>
      <c r="H418" s="2678">
        <f t="shared" si="243"/>
        <v>0</v>
      </c>
      <c r="I418" s="2685"/>
      <c r="J418" s="2685"/>
      <c r="K418" s="2685"/>
      <c r="L418" s="2685"/>
      <c r="M418" s="2685"/>
      <c r="N418" s="2685"/>
      <c r="O418" s="2685"/>
      <c r="P418" s="2685"/>
      <c r="Q418" s="2685"/>
      <c r="R418" s="2685"/>
      <c r="S418" s="2685"/>
      <c r="T418" s="2685"/>
      <c r="U418" s="2685"/>
      <c r="V418" s="2685"/>
      <c r="W418" s="2685"/>
      <c r="X418" s="2685"/>
      <c r="Y418" s="2685"/>
      <c r="Z418" s="2685"/>
      <c r="AA418" s="2685"/>
      <c r="AB418" s="2685"/>
      <c r="AC418" s="2675">
        <f t="shared" si="244"/>
        <v>0</v>
      </c>
      <c r="AD418" s="2695"/>
      <c r="AE418" s="2695"/>
      <c r="AF418" s="2695"/>
      <c r="AG418" s="2695"/>
      <c r="AH418" s="2695"/>
      <c r="AI418" s="2695"/>
      <c r="AJ418" s="2695"/>
      <c r="AK418" s="2695"/>
      <c r="AL418" s="2695"/>
      <c r="AM418" s="2695"/>
      <c r="AN418" s="2695"/>
      <c r="AO418" s="2695"/>
      <c r="AP418" s="2695"/>
      <c r="AQ418" s="2695"/>
      <c r="AR418" s="2695"/>
      <c r="AS418" s="2695"/>
      <c r="AT418" s="2703"/>
      <c r="AU418" s="2704"/>
      <c r="AV418" s="1074">
        <f t="shared" si="245"/>
        <v>0</v>
      </c>
      <c r="AW418" s="1074">
        <f t="shared" si="246"/>
        <v>0</v>
      </c>
      <c r="AX418" s="1074">
        <f t="shared" si="247"/>
        <v>0</v>
      </c>
      <c r="AY418" s="2279">
        <f t="shared" si="248"/>
        <v>0</v>
      </c>
      <c r="AZ418" s="2675">
        <f t="shared" si="249"/>
        <v>0</v>
      </c>
      <c r="BA418" s="2675">
        <f t="shared" si="250"/>
        <v>0</v>
      </c>
      <c r="BB418" s="2675">
        <f t="shared" si="251"/>
        <v>0</v>
      </c>
      <c r="BC418" s="2675">
        <f t="shared" si="252"/>
        <v>0</v>
      </c>
      <c r="BD418" s="2675">
        <f t="shared" si="253"/>
        <v>0</v>
      </c>
      <c r="BE418" s="2675">
        <f t="shared" si="254"/>
        <v>0</v>
      </c>
      <c r="BF418" s="2675">
        <f t="shared" si="255"/>
        <v>0</v>
      </c>
      <c r="BG418" s="2675">
        <f t="shared" si="256"/>
        <v>0</v>
      </c>
      <c r="BH418" s="2675">
        <f t="shared" si="257"/>
        <v>0</v>
      </c>
      <c r="BI418" s="2675">
        <f t="shared" si="258"/>
        <v>0</v>
      </c>
      <c r="BJ418" s="2675">
        <f t="shared" si="259"/>
        <v>0</v>
      </c>
      <c r="BK418" s="2675">
        <f t="shared" si="260"/>
        <v>0</v>
      </c>
      <c r="BL418" s="2675">
        <f t="shared" si="261"/>
        <v>0</v>
      </c>
      <c r="BM418" s="2675">
        <f t="shared" si="262"/>
        <v>0</v>
      </c>
      <c r="BN418" s="2675">
        <f t="shared" si="263"/>
        <v>0</v>
      </c>
      <c r="BO418" s="2675">
        <f t="shared" si="264"/>
        <v>0</v>
      </c>
      <c r="BP418" s="2675">
        <f t="shared" si="265"/>
        <v>0</v>
      </c>
      <c r="BQ418" s="2675">
        <f t="shared" si="266"/>
        <v>0</v>
      </c>
      <c r="BR418" s="2675">
        <f t="shared" si="267"/>
        <v>0</v>
      </c>
      <c r="BS418" s="2675">
        <f t="shared" si="268"/>
        <v>0</v>
      </c>
      <c r="BT418" s="2722">
        <f t="shared" si="269"/>
        <v>0</v>
      </c>
    </row>
    <row r="419" spans="1:72">
      <c r="A419" s="2673"/>
      <c r="B419" s="2674"/>
      <c r="C419" s="2674"/>
      <c r="D419" s="2277"/>
      <c r="E419" s="2675">
        <f t="shared" si="241"/>
        <v>0</v>
      </c>
      <c r="F419" s="2676"/>
      <c r="G419" s="2677">
        <f t="shared" si="242"/>
        <v>0</v>
      </c>
      <c r="H419" s="2678">
        <f t="shared" si="243"/>
        <v>0</v>
      </c>
      <c r="I419" s="2685"/>
      <c r="J419" s="2685"/>
      <c r="K419" s="2685"/>
      <c r="L419" s="2685"/>
      <c r="M419" s="2685"/>
      <c r="N419" s="2685"/>
      <c r="O419" s="2685"/>
      <c r="P419" s="2685"/>
      <c r="Q419" s="2685"/>
      <c r="R419" s="2685"/>
      <c r="S419" s="2685"/>
      <c r="T419" s="2685"/>
      <c r="U419" s="2685"/>
      <c r="V419" s="2685"/>
      <c r="W419" s="2685"/>
      <c r="X419" s="2685"/>
      <c r="Y419" s="2685"/>
      <c r="Z419" s="2685"/>
      <c r="AA419" s="2685"/>
      <c r="AB419" s="2685"/>
      <c r="AC419" s="2675">
        <f t="shared" si="244"/>
        <v>0</v>
      </c>
      <c r="AD419" s="2695"/>
      <c r="AE419" s="2695"/>
      <c r="AF419" s="2695"/>
      <c r="AG419" s="2695"/>
      <c r="AH419" s="2695"/>
      <c r="AI419" s="2695"/>
      <c r="AJ419" s="2695"/>
      <c r="AK419" s="2695"/>
      <c r="AL419" s="2695"/>
      <c r="AM419" s="2695"/>
      <c r="AN419" s="2695"/>
      <c r="AO419" s="2695"/>
      <c r="AP419" s="2695"/>
      <c r="AQ419" s="2695"/>
      <c r="AR419" s="2695"/>
      <c r="AS419" s="2695"/>
      <c r="AT419" s="2703"/>
      <c r="AU419" s="2704"/>
      <c r="AV419" s="1074">
        <f t="shared" si="245"/>
        <v>0</v>
      </c>
      <c r="AW419" s="1074">
        <f t="shared" si="246"/>
        <v>0</v>
      </c>
      <c r="AX419" s="1074">
        <f t="shared" si="247"/>
        <v>0</v>
      </c>
      <c r="AY419" s="2279">
        <f t="shared" si="248"/>
        <v>0</v>
      </c>
      <c r="AZ419" s="2675">
        <f t="shared" si="249"/>
        <v>0</v>
      </c>
      <c r="BA419" s="2675">
        <f t="shared" si="250"/>
        <v>0</v>
      </c>
      <c r="BB419" s="2675">
        <f t="shared" si="251"/>
        <v>0</v>
      </c>
      <c r="BC419" s="2675">
        <f t="shared" si="252"/>
        <v>0</v>
      </c>
      <c r="BD419" s="2675">
        <f t="shared" si="253"/>
        <v>0</v>
      </c>
      <c r="BE419" s="2675">
        <f t="shared" si="254"/>
        <v>0</v>
      </c>
      <c r="BF419" s="2675">
        <f t="shared" si="255"/>
        <v>0</v>
      </c>
      <c r="BG419" s="2675">
        <f t="shared" si="256"/>
        <v>0</v>
      </c>
      <c r="BH419" s="2675">
        <f t="shared" si="257"/>
        <v>0</v>
      </c>
      <c r="BI419" s="2675">
        <f t="shared" si="258"/>
        <v>0</v>
      </c>
      <c r="BJ419" s="2675">
        <f t="shared" si="259"/>
        <v>0</v>
      </c>
      <c r="BK419" s="2675">
        <f t="shared" si="260"/>
        <v>0</v>
      </c>
      <c r="BL419" s="2675">
        <f t="shared" si="261"/>
        <v>0</v>
      </c>
      <c r="BM419" s="2675">
        <f t="shared" si="262"/>
        <v>0</v>
      </c>
      <c r="BN419" s="2675">
        <f t="shared" si="263"/>
        <v>0</v>
      </c>
      <c r="BO419" s="2675">
        <f t="shared" si="264"/>
        <v>0</v>
      </c>
      <c r="BP419" s="2675">
        <f t="shared" si="265"/>
        <v>0</v>
      </c>
      <c r="BQ419" s="2675">
        <f t="shared" si="266"/>
        <v>0</v>
      </c>
      <c r="BR419" s="2675">
        <f t="shared" si="267"/>
        <v>0</v>
      </c>
      <c r="BS419" s="2675">
        <f t="shared" si="268"/>
        <v>0</v>
      </c>
      <c r="BT419" s="2722">
        <f t="shared" si="269"/>
        <v>0</v>
      </c>
    </row>
    <row r="420" spans="1:72">
      <c r="A420" s="2673"/>
      <c r="B420" s="2674"/>
      <c r="C420" s="2674"/>
      <c r="D420" s="2277"/>
      <c r="E420" s="2675">
        <f t="shared" si="241"/>
        <v>0</v>
      </c>
      <c r="F420" s="2676"/>
      <c r="G420" s="2677">
        <f t="shared" si="242"/>
        <v>0</v>
      </c>
      <c r="H420" s="2678">
        <f t="shared" si="243"/>
        <v>0</v>
      </c>
      <c r="I420" s="2685"/>
      <c r="J420" s="2685"/>
      <c r="K420" s="2685"/>
      <c r="L420" s="2685"/>
      <c r="M420" s="2685"/>
      <c r="N420" s="2685"/>
      <c r="O420" s="2685"/>
      <c r="P420" s="2685"/>
      <c r="Q420" s="2685"/>
      <c r="R420" s="2685"/>
      <c r="S420" s="2685"/>
      <c r="T420" s="2685"/>
      <c r="U420" s="2685"/>
      <c r="V420" s="2685"/>
      <c r="W420" s="2685"/>
      <c r="X420" s="2685"/>
      <c r="Y420" s="2685"/>
      <c r="Z420" s="2685"/>
      <c r="AA420" s="2685"/>
      <c r="AB420" s="2685"/>
      <c r="AC420" s="2675">
        <f t="shared" si="244"/>
        <v>0</v>
      </c>
      <c r="AD420" s="2695"/>
      <c r="AE420" s="2695"/>
      <c r="AF420" s="2695"/>
      <c r="AG420" s="2695"/>
      <c r="AH420" s="2695"/>
      <c r="AI420" s="2695"/>
      <c r="AJ420" s="2695"/>
      <c r="AK420" s="2695"/>
      <c r="AL420" s="2695"/>
      <c r="AM420" s="2695"/>
      <c r="AN420" s="2695"/>
      <c r="AO420" s="2695"/>
      <c r="AP420" s="2695"/>
      <c r="AQ420" s="2695"/>
      <c r="AR420" s="2695"/>
      <c r="AS420" s="2695"/>
      <c r="AT420" s="2703"/>
      <c r="AU420" s="2704"/>
      <c r="AV420" s="1074">
        <f t="shared" si="245"/>
        <v>0</v>
      </c>
      <c r="AW420" s="1074">
        <f t="shared" si="246"/>
        <v>0</v>
      </c>
      <c r="AX420" s="1074">
        <f t="shared" si="247"/>
        <v>0</v>
      </c>
      <c r="AY420" s="2279">
        <f t="shared" si="248"/>
        <v>0</v>
      </c>
      <c r="AZ420" s="2675">
        <f t="shared" si="249"/>
        <v>0</v>
      </c>
      <c r="BA420" s="2675">
        <f t="shared" si="250"/>
        <v>0</v>
      </c>
      <c r="BB420" s="2675">
        <f t="shared" si="251"/>
        <v>0</v>
      </c>
      <c r="BC420" s="2675">
        <f t="shared" si="252"/>
        <v>0</v>
      </c>
      <c r="BD420" s="2675">
        <f t="shared" si="253"/>
        <v>0</v>
      </c>
      <c r="BE420" s="2675">
        <f t="shared" si="254"/>
        <v>0</v>
      </c>
      <c r="BF420" s="2675">
        <f t="shared" si="255"/>
        <v>0</v>
      </c>
      <c r="BG420" s="2675">
        <f t="shared" si="256"/>
        <v>0</v>
      </c>
      <c r="BH420" s="2675">
        <f t="shared" si="257"/>
        <v>0</v>
      </c>
      <c r="BI420" s="2675">
        <f t="shared" si="258"/>
        <v>0</v>
      </c>
      <c r="BJ420" s="2675">
        <f t="shared" si="259"/>
        <v>0</v>
      </c>
      <c r="BK420" s="2675">
        <f t="shared" si="260"/>
        <v>0</v>
      </c>
      <c r="BL420" s="2675">
        <f t="shared" si="261"/>
        <v>0</v>
      </c>
      <c r="BM420" s="2675">
        <f t="shared" si="262"/>
        <v>0</v>
      </c>
      <c r="BN420" s="2675">
        <f t="shared" si="263"/>
        <v>0</v>
      </c>
      <c r="BO420" s="2675">
        <f t="shared" si="264"/>
        <v>0</v>
      </c>
      <c r="BP420" s="2675">
        <f t="shared" si="265"/>
        <v>0</v>
      </c>
      <c r="BQ420" s="2675">
        <f t="shared" si="266"/>
        <v>0</v>
      </c>
      <c r="BR420" s="2675">
        <f t="shared" si="267"/>
        <v>0</v>
      </c>
      <c r="BS420" s="2675">
        <f t="shared" si="268"/>
        <v>0</v>
      </c>
      <c r="BT420" s="2722">
        <f t="shared" si="269"/>
        <v>0</v>
      </c>
    </row>
    <row r="421" spans="1:72">
      <c r="A421" s="2673"/>
      <c r="B421" s="2674"/>
      <c r="C421" s="2674"/>
      <c r="D421" s="2277"/>
      <c r="E421" s="2675">
        <f t="shared" si="241"/>
        <v>0</v>
      </c>
      <c r="F421" s="2676"/>
      <c r="G421" s="2677">
        <f t="shared" si="242"/>
        <v>0</v>
      </c>
      <c r="H421" s="2678">
        <f t="shared" si="243"/>
        <v>0</v>
      </c>
      <c r="I421" s="2685"/>
      <c r="J421" s="2685"/>
      <c r="K421" s="2685"/>
      <c r="L421" s="2685"/>
      <c r="M421" s="2685"/>
      <c r="N421" s="2685"/>
      <c r="O421" s="2685"/>
      <c r="P421" s="2685"/>
      <c r="Q421" s="2685"/>
      <c r="R421" s="2685"/>
      <c r="S421" s="2685"/>
      <c r="T421" s="2685"/>
      <c r="U421" s="2685"/>
      <c r="V421" s="2685"/>
      <c r="W421" s="2685"/>
      <c r="X421" s="2685"/>
      <c r="Y421" s="2685"/>
      <c r="Z421" s="2685"/>
      <c r="AA421" s="2685"/>
      <c r="AB421" s="2685"/>
      <c r="AC421" s="2675">
        <f t="shared" si="244"/>
        <v>0</v>
      </c>
      <c r="AD421" s="2695"/>
      <c r="AE421" s="2695"/>
      <c r="AF421" s="2695"/>
      <c r="AG421" s="2695"/>
      <c r="AH421" s="2695"/>
      <c r="AI421" s="2695"/>
      <c r="AJ421" s="2695"/>
      <c r="AK421" s="2695"/>
      <c r="AL421" s="2695"/>
      <c r="AM421" s="2695"/>
      <c r="AN421" s="2695"/>
      <c r="AO421" s="2695"/>
      <c r="AP421" s="2695"/>
      <c r="AQ421" s="2695"/>
      <c r="AR421" s="2695"/>
      <c r="AS421" s="2695"/>
      <c r="AT421" s="2703"/>
      <c r="AU421" s="2704"/>
      <c r="AV421" s="1074">
        <f t="shared" si="245"/>
        <v>0</v>
      </c>
      <c r="AW421" s="1074">
        <f t="shared" si="246"/>
        <v>0</v>
      </c>
      <c r="AX421" s="1074">
        <f t="shared" si="247"/>
        <v>0</v>
      </c>
      <c r="AY421" s="2279">
        <f t="shared" si="248"/>
        <v>0</v>
      </c>
      <c r="AZ421" s="2675">
        <f t="shared" si="249"/>
        <v>0</v>
      </c>
      <c r="BA421" s="2675">
        <f t="shared" si="250"/>
        <v>0</v>
      </c>
      <c r="BB421" s="2675">
        <f t="shared" si="251"/>
        <v>0</v>
      </c>
      <c r="BC421" s="2675">
        <f t="shared" si="252"/>
        <v>0</v>
      </c>
      <c r="BD421" s="2675">
        <f t="shared" si="253"/>
        <v>0</v>
      </c>
      <c r="BE421" s="2675">
        <f t="shared" si="254"/>
        <v>0</v>
      </c>
      <c r="BF421" s="2675">
        <f t="shared" si="255"/>
        <v>0</v>
      </c>
      <c r="BG421" s="2675">
        <f t="shared" si="256"/>
        <v>0</v>
      </c>
      <c r="BH421" s="2675">
        <f t="shared" si="257"/>
        <v>0</v>
      </c>
      <c r="BI421" s="2675">
        <f t="shared" si="258"/>
        <v>0</v>
      </c>
      <c r="BJ421" s="2675">
        <f t="shared" si="259"/>
        <v>0</v>
      </c>
      <c r="BK421" s="2675">
        <f t="shared" si="260"/>
        <v>0</v>
      </c>
      <c r="BL421" s="2675">
        <f t="shared" si="261"/>
        <v>0</v>
      </c>
      <c r="BM421" s="2675">
        <f t="shared" si="262"/>
        <v>0</v>
      </c>
      <c r="BN421" s="2675">
        <f t="shared" si="263"/>
        <v>0</v>
      </c>
      <c r="BO421" s="2675">
        <f t="shared" si="264"/>
        <v>0</v>
      </c>
      <c r="BP421" s="2675">
        <f t="shared" si="265"/>
        <v>0</v>
      </c>
      <c r="BQ421" s="2675">
        <f t="shared" si="266"/>
        <v>0</v>
      </c>
      <c r="BR421" s="2675">
        <f t="shared" si="267"/>
        <v>0</v>
      </c>
      <c r="BS421" s="2675">
        <f t="shared" si="268"/>
        <v>0</v>
      </c>
      <c r="BT421" s="2722">
        <f t="shared" si="269"/>
        <v>0</v>
      </c>
    </row>
    <row r="422" spans="1:72">
      <c r="A422" s="2673"/>
      <c r="B422" s="2674"/>
      <c r="C422" s="2674"/>
      <c r="D422" s="2277"/>
      <c r="E422" s="2675">
        <f t="shared" si="241"/>
        <v>0</v>
      </c>
      <c r="F422" s="2676"/>
      <c r="G422" s="2677">
        <f t="shared" si="242"/>
        <v>0</v>
      </c>
      <c r="H422" s="2678">
        <f t="shared" si="243"/>
        <v>0</v>
      </c>
      <c r="I422" s="2685"/>
      <c r="J422" s="2685"/>
      <c r="K422" s="2685"/>
      <c r="L422" s="2685"/>
      <c r="M422" s="2685"/>
      <c r="N422" s="2685"/>
      <c r="O422" s="2685"/>
      <c r="P422" s="2685"/>
      <c r="Q422" s="2685"/>
      <c r="R422" s="2685"/>
      <c r="S422" s="2685"/>
      <c r="T422" s="2685"/>
      <c r="U422" s="2685"/>
      <c r="V422" s="2685"/>
      <c r="W422" s="2685"/>
      <c r="X422" s="2685"/>
      <c r="Y422" s="2685"/>
      <c r="Z422" s="2685"/>
      <c r="AA422" s="2685"/>
      <c r="AB422" s="2685"/>
      <c r="AC422" s="2675">
        <f t="shared" si="244"/>
        <v>0</v>
      </c>
      <c r="AD422" s="2695"/>
      <c r="AE422" s="2695"/>
      <c r="AF422" s="2695"/>
      <c r="AG422" s="2695"/>
      <c r="AH422" s="2695"/>
      <c r="AI422" s="2695"/>
      <c r="AJ422" s="2695"/>
      <c r="AK422" s="2695"/>
      <c r="AL422" s="2695"/>
      <c r="AM422" s="2695"/>
      <c r="AN422" s="2695"/>
      <c r="AO422" s="2695"/>
      <c r="AP422" s="2695"/>
      <c r="AQ422" s="2695"/>
      <c r="AR422" s="2695"/>
      <c r="AS422" s="2695"/>
      <c r="AT422" s="2703"/>
      <c r="AU422" s="2704"/>
      <c r="AV422" s="1074">
        <f t="shared" si="245"/>
        <v>0</v>
      </c>
      <c r="AW422" s="1074">
        <f t="shared" si="246"/>
        <v>0</v>
      </c>
      <c r="AX422" s="1074">
        <f t="shared" si="247"/>
        <v>0</v>
      </c>
      <c r="AY422" s="2279">
        <f t="shared" si="248"/>
        <v>0</v>
      </c>
      <c r="AZ422" s="2675">
        <f t="shared" si="249"/>
        <v>0</v>
      </c>
      <c r="BA422" s="2675">
        <f t="shared" si="250"/>
        <v>0</v>
      </c>
      <c r="BB422" s="2675">
        <f t="shared" si="251"/>
        <v>0</v>
      </c>
      <c r="BC422" s="2675">
        <f t="shared" si="252"/>
        <v>0</v>
      </c>
      <c r="BD422" s="2675">
        <f t="shared" si="253"/>
        <v>0</v>
      </c>
      <c r="BE422" s="2675">
        <f t="shared" si="254"/>
        <v>0</v>
      </c>
      <c r="BF422" s="2675">
        <f t="shared" si="255"/>
        <v>0</v>
      </c>
      <c r="BG422" s="2675">
        <f t="shared" si="256"/>
        <v>0</v>
      </c>
      <c r="BH422" s="2675">
        <f t="shared" si="257"/>
        <v>0</v>
      </c>
      <c r="BI422" s="2675">
        <f t="shared" si="258"/>
        <v>0</v>
      </c>
      <c r="BJ422" s="2675">
        <f t="shared" si="259"/>
        <v>0</v>
      </c>
      <c r="BK422" s="2675">
        <f t="shared" si="260"/>
        <v>0</v>
      </c>
      <c r="BL422" s="2675">
        <f t="shared" si="261"/>
        <v>0</v>
      </c>
      <c r="BM422" s="2675">
        <f t="shared" si="262"/>
        <v>0</v>
      </c>
      <c r="BN422" s="2675">
        <f t="shared" si="263"/>
        <v>0</v>
      </c>
      <c r="BO422" s="2675">
        <f t="shared" si="264"/>
        <v>0</v>
      </c>
      <c r="BP422" s="2675">
        <f t="shared" si="265"/>
        <v>0</v>
      </c>
      <c r="BQ422" s="2675">
        <f t="shared" si="266"/>
        <v>0</v>
      </c>
      <c r="BR422" s="2675">
        <f t="shared" si="267"/>
        <v>0</v>
      </c>
      <c r="BS422" s="2675">
        <f t="shared" si="268"/>
        <v>0</v>
      </c>
      <c r="BT422" s="2722">
        <f t="shared" si="269"/>
        <v>0</v>
      </c>
    </row>
    <row r="423" spans="1:72">
      <c r="A423" s="2673"/>
      <c r="B423" s="2674"/>
      <c r="C423" s="2674"/>
      <c r="D423" s="2277"/>
      <c r="E423" s="2675">
        <f t="shared" si="241"/>
        <v>0</v>
      </c>
      <c r="F423" s="2676"/>
      <c r="G423" s="2677">
        <f t="shared" si="242"/>
        <v>0</v>
      </c>
      <c r="H423" s="2678">
        <f t="shared" si="243"/>
        <v>0</v>
      </c>
      <c r="I423" s="2685"/>
      <c r="J423" s="2685"/>
      <c r="K423" s="2685"/>
      <c r="L423" s="2685"/>
      <c r="M423" s="2685"/>
      <c r="N423" s="2685"/>
      <c r="O423" s="2685"/>
      <c r="P423" s="2685"/>
      <c r="Q423" s="2685"/>
      <c r="R423" s="2685"/>
      <c r="S423" s="2685"/>
      <c r="T423" s="2685"/>
      <c r="U423" s="2685"/>
      <c r="V423" s="2685"/>
      <c r="W423" s="2685"/>
      <c r="X423" s="2685"/>
      <c r="Y423" s="2685"/>
      <c r="Z423" s="2685"/>
      <c r="AA423" s="2685"/>
      <c r="AB423" s="2685"/>
      <c r="AC423" s="2675">
        <f t="shared" si="244"/>
        <v>0</v>
      </c>
      <c r="AD423" s="2695"/>
      <c r="AE423" s="2695"/>
      <c r="AF423" s="2695"/>
      <c r="AG423" s="2695"/>
      <c r="AH423" s="2695"/>
      <c r="AI423" s="2695"/>
      <c r="AJ423" s="2695"/>
      <c r="AK423" s="2695"/>
      <c r="AL423" s="2695"/>
      <c r="AM423" s="2695"/>
      <c r="AN423" s="2695"/>
      <c r="AO423" s="2695"/>
      <c r="AP423" s="2695"/>
      <c r="AQ423" s="2695"/>
      <c r="AR423" s="2695"/>
      <c r="AS423" s="2695"/>
      <c r="AT423" s="2703"/>
      <c r="AU423" s="2704"/>
      <c r="AV423" s="1074">
        <f t="shared" si="245"/>
        <v>0</v>
      </c>
      <c r="AW423" s="1074">
        <f t="shared" si="246"/>
        <v>0</v>
      </c>
      <c r="AX423" s="1074">
        <f t="shared" si="247"/>
        <v>0</v>
      </c>
      <c r="AY423" s="2279">
        <f t="shared" si="248"/>
        <v>0</v>
      </c>
      <c r="AZ423" s="2675">
        <f t="shared" si="249"/>
        <v>0</v>
      </c>
      <c r="BA423" s="2675">
        <f t="shared" si="250"/>
        <v>0</v>
      </c>
      <c r="BB423" s="2675">
        <f t="shared" si="251"/>
        <v>0</v>
      </c>
      <c r="BC423" s="2675">
        <f t="shared" si="252"/>
        <v>0</v>
      </c>
      <c r="BD423" s="2675">
        <f t="shared" si="253"/>
        <v>0</v>
      </c>
      <c r="BE423" s="2675">
        <f t="shared" si="254"/>
        <v>0</v>
      </c>
      <c r="BF423" s="2675">
        <f t="shared" si="255"/>
        <v>0</v>
      </c>
      <c r="BG423" s="2675">
        <f t="shared" si="256"/>
        <v>0</v>
      </c>
      <c r="BH423" s="2675">
        <f t="shared" si="257"/>
        <v>0</v>
      </c>
      <c r="BI423" s="2675">
        <f t="shared" si="258"/>
        <v>0</v>
      </c>
      <c r="BJ423" s="2675">
        <f t="shared" si="259"/>
        <v>0</v>
      </c>
      <c r="BK423" s="2675">
        <f t="shared" si="260"/>
        <v>0</v>
      </c>
      <c r="BL423" s="2675">
        <f t="shared" si="261"/>
        <v>0</v>
      </c>
      <c r="BM423" s="2675">
        <f t="shared" si="262"/>
        <v>0</v>
      </c>
      <c r="BN423" s="2675">
        <f t="shared" si="263"/>
        <v>0</v>
      </c>
      <c r="BO423" s="2675">
        <f t="shared" si="264"/>
        <v>0</v>
      </c>
      <c r="BP423" s="2675">
        <f t="shared" si="265"/>
        <v>0</v>
      </c>
      <c r="BQ423" s="2675">
        <f t="shared" si="266"/>
        <v>0</v>
      </c>
      <c r="BR423" s="2675">
        <f t="shared" si="267"/>
        <v>0</v>
      </c>
      <c r="BS423" s="2675">
        <f t="shared" si="268"/>
        <v>0</v>
      </c>
      <c r="BT423" s="2722">
        <f t="shared" si="269"/>
        <v>0</v>
      </c>
    </row>
    <row r="424" spans="1:72">
      <c r="A424" s="2673"/>
      <c r="B424" s="2674"/>
      <c r="C424" s="2674"/>
      <c r="D424" s="2277"/>
      <c r="E424" s="2675">
        <f t="shared" si="241"/>
        <v>0</v>
      </c>
      <c r="F424" s="2676"/>
      <c r="G424" s="2677">
        <f t="shared" si="242"/>
        <v>0</v>
      </c>
      <c r="H424" s="2678">
        <f t="shared" si="243"/>
        <v>0</v>
      </c>
      <c r="I424" s="2685"/>
      <c r="J424" s="2685"/>
      <c r="K424" s="2685"/>
      <c r="L424" s="2685"/>
      <c r="M424" s="2685"/>
      <c r="N424" s="2685"/>
      <c r="O424" s="2685"/>
      <c r="P424" s="2685"/>
      <c r="Q424" s="2685"/>
      <c r="R424" s="2685"/>
      <c r="S424" s="2685"/>
      <c r="T424" s="2685"/>
      <c r="U424" s="2685"/>
      <c r="V424" s="2685"/>
      <c r="W424" s="2685"/>
      <c r="X424" s="2685"/>
      <c r="Y424" s="2685"/>
      <c r="Z424" s="2685"/>
      <c r="AA424" s="2685"/>
      <c r="AB424" s="2685"/>
      <c r="AC424" s="2675">
        <f t="shared" si="244"/>
        <v>0</v>
      </c>
      <c r="AD424" s="2695"/>
      <c r="AE424" s="2695"/>
      <c r="AF424" s="2695"/>
      <c r="AG424" s="2695"/>
      <c r="AH424" s="2695"/>
      <c r="AI424" s="2695"/>
      <c r="AJ424" s="2695"/>
      <c r="AK424" s="2695"/>
      <c r="AL424" s="2695"/>
      <c r="AM424" s="2695"/>
      <c r="AN424" s="2695"/>
      <c r="AO424" s="2695"/>
      <c r="AP424" s="2695"/>
      <c r="AQ424" s="2695"/>
      <c r="AR424" s="2695"/>
      <c r="AS424" s="2695"/>
      <c r="AT424" s="2703"/>
      <c r="AU424" s="2704"/>
      <c r="AV424" s="1074">
        <f t="shared" si="245"/>
        <v>0</v>
      </c>
      <c r="AW424" s="1074">
        <f t="shared" si="246"/>
        <v>0</v>
      </c>
      <c r="AX424" s="1074">
        <f t="shared" si="247"/>
        <v>0</v>
      </c>
      <c r="AY424" s="2279">
        <f t="shared" si="248"/>
        <v>0</v>
      </c>
      <c r="AZ424" s="2675">
        <f t="shared" si="249"/>
        <v>0</v>
      </c>
      <c r="BA424" s="2675">
        <f t="shared" si="250"/>
        <v>0</v>
      </c>
      <c r="BB424" s="2675">
        <f t="shared" si="251"/>
        <v>0</v>
      </c>
      <c r="BC424" s="2675">
        <f t="shared" si="252"/>
        <v>0</v>
      </c>
      <c r="BD424" s="2675">
        <f t="shared" si="253"/>
        <v>0</v>
      </c>
      <c r="BE424" s="2675">
        <f t="shared" si="254"/>
        <v>0</v>
      </c>
      <c r="BF424" s="2675">
        <f t="shared" si="255"/>
        <v>0</v>
      </c>
      <c r="BG424" s="2675">
        <f t="shared" si="256"/>
        <v>0</v>
      </c>
      <c r="BH424" s="2675">
        <f t="shared" si="257"/>
        <v>0</v>
      </c>
      <c r="BI424" s="2675">
        <f t="shared" si="258"/>
        <v>0</v>
      </c>
      <c r="BJ424" s="2675">
        <f t="shared" si="259"/>
        <v>0</v>
      </c>
      <c r="BK424" s="2675">
        <f t="shared" si="260"/>
        <v>0</v>
      </c>
      <c r="BL424" s="2675">
        <f t="shared" si="261"/>
        <v>0</v>
      </c>
      <c r="BM424" s="2675">
        <f t="shared" si="262"/>
        <v>0</v>
      </c>
      <c r="BN424" s="2675">
        <f t="shared" si="263"/>
        <v>0</v>
      </c>
      <c r="BO424" s="2675">
        <f t="shared" si="264"/>
        <v>0</v>
      </c>
      <c r="BP424" s="2675">
        <f t="shared" si="265"/>
        <v>0</v>
      </c>
      <c r="BQ424" s="2675">
        <f t="shared" si="266"/>
        <v>0</v>
      </c>
      <c r="BR424" s="2675">
        <f t="shared" si="267"/>
        <v>0</v>
      </c>
      <c r="BS424" s="2675">
        <f t="shared" si="268"/>
        <v>0</v>
      </c>
      <c r="BT424" s="2722">
        <f t="shared" si="269"/>
        <v>0</v>
      </c>
    </row>
    <row r="425" spans="1:72">
      <c r="A425" s="2673"/>
      <c r="B425" s="2674"/>
      <c r="C425" s="2674"/>
      <c r="D425" s="2277"/>
      <c r="E425" s="2675">
        <f t="shared" si="241"/>
        <v>0</v>
      </c>
      <c r="F425" s="2676"/>
      <c r="G425" s="2677">
        <f t="shared" si="242"/>
        <v>0</v>
      </c>
      <c r="H425" s="2678">
        <f t="shared" si="243"/>
        <v>0</v>
      </c>
      <c r="I425" s="2685"/>
      <c r="J425" s="2685"/>
      <c r="K425" s="2685"/>
      <c r="L425" s="2685"/>
      <c r="M425" s="2685"/>
      <c r="N425" s="2685"/>
      <c r="O425" s="2685"/>
      <c r="P425" s="2685"/>
      <c r="Q425" s="2685"/>
      <c r="R425" s="2685"/>
      <c r="S425" s="2685"/>
      <c r="T425" s="2685"/>
      <c r="U425" s="2685"/>
      <c r="V425" s="2685"/>
      <c r="W425" s="2685"/>
      <c r="X425" s="2685"/>
      <c r="Y425" s="2685"/>
      <c r="Z425" s="2685"/>
      <c r="AA425" s="2685"/>
      <c r="AB425" s="2685"/>
      <c r="AC425" s="2675">
        <f t="shared" si="244"/>
        <v>0</v>
      </c>
      <c r="AD425" s="2695"/>
      <c r="AE425" s="2695"/>
      <c r="AF425" s="2695"/>
      <c r="AG425" s="2695"/>
      <c r="AH425" s="2695"/>
      <c r="AI425" s="2695"/>
      <c r="AJ425" s="2695"/>
      <c r="AK425" s="2695"/>
      <c r="AL425" s="2695"/>
      <c r="AM425" s="2695"/>
      <c r="AN425" s="2695"/>
      <c r="AO425" s="2695"/>
      <c r="AP425" s="2695"/>
      <c r="AQ425" s="2695"/>
      <c r="AR425" s="2695"/>
      <c r="AS425" s="2695"/>
      <c r="AT425" s="2703"/>
      <c r="AU425" s="2704"/>
      <c r="AV425" s="1074">
        <f t="shared" si="245"/>
        <v>0</v>
      </c>
      <c r="AW425" s="1074">
        <f t="shared" si="246"/>
        <v>0</v>
      </c>
      <c r="AX425" s="1074">
        <f t="shared" si="247"/>
        <v>0</v>
      </c>
      <c r="AY425" s="2279">
        <f t="shared" si="248"/>
        <v>0</v>
      </c>
      <c r="AZ425" s="2675">
        <f t="shared" si="249"/>
        <v>0</v>
      </c>
      <c r="BA425" s="2675">
        <f t="shared" si="250"/>
        <v>0</v>
      </c>
      <c r="BB425" s="2675">
        <f t="shared" si="251"/>
        <v>0</v>
      </c>
      <c r="BC425" s="2675">
        <f t="shared" si="252"/>
        <v>0</v>
      </c>
      <c r="BD425" s="2675">
        <f t="shared" si="253"/>
        <v>0</v>
      </c>
      <c r="BE425" s="2675">
        <f t="shared" si="254"/>
        <v>0</v>
      </c>
      <c r="BF425" s="2675">
        <f t="shared" si="255"/>
        <v>0</v>
      </c>
      <c r="BG425" s="2675">
        <f t="shared" si="256"/>
        <v>0</v>
      </c>
      <c r="BH425" s="2675">
        <f t="shared" si="257"/>
        <v>0</v>
      </c>
      <c r="BI425" s="2675">
        <f t="shared" si="258"/>
        <v>0</v>
      </c>
      <c r="BJ425" s="2675">
        <f t="shared" si="259"/>
        <v>0</v>
      </c>
      <c r="BK425" s="2675">
        <f t="shared" si="260"/>
        <v>0</v>
      </c>
      <c r="BL425" s="2675">
        <f t="shared" si="261"/>
        <v>0</v>
      </c>
      <c r="BM425" s="2675">
        <f t="shared" si="262"/>
        <v>0</v>
      </c>
      <c r="BN425" s="2675">
        <f t="shared" si="263"/>
        <v>0</v>
      </c>
      <c r="BO425" s="2675">
        <f t="shared" si="264"/>
        <v>0</v>
      </c>
      <c r="BP425" s="2675">
        <f t="shared" si="265"/>
        <v>0</v>
      </c>
      <c r="BQ425" s="2675">
        <f t="shared" si="266"/>
        <v>0</v>
      </c>
      <c r="BR425" s="2675">
        <f t="shared" si="267"/>
        <v>0</v>
      </c>
      <c r="BS425" s="2675">
        <f t="shared" si="268"/>
        <v>0</v>
      </c>
      <c r="BT425" s="2722">
        <f t="shared" si="269"/>
        <v>0</v>
      </c>
    </row>
    <row r="426" spans="1:72">
      <c r="A426" s="2673"/>
      <c r="B426" s="2674"/>
      <c r="C426" s="2674"/>
      <c r="D426" s="2277"/>
      <c r="E426" s="2675">
        <f t="shared" si="241"/>
        <v>0</v>
      </c>
      <c r="F426" s="2676"/>
      <c r="G426" s="2677">
        <f t="shared" si="242"/>
        <v>0</v>
      </c>
      <c r="H426" s="2678">
        <f t="shared" si="243"/>
        <v>0</v>
      </c>
      <c r="I426" s="2685"/>
      <c r="J426" s="2685"/>
      <c r="K426" s="2685"/>
      <c r="L426" s="2685"/>
      <c r="M426" s="2685"/>
      <c r="N426" s="2685"/>
      <c r="O426" s="2685"/>
      <c r="P426" s="2685"/>
      <c r="Q426" s="2685"/>
      <c r="R426" s="2685"/>
      <c r="S426" s="2685"/>
      <c r="T426" s="2685"/>
      <c r="U426" s="2685"/>
      <c r="V426" s="2685"/>
      <c r="W426" s="2685"/>
      <c r="X426" s="2685"/>
      <c r="Y426" s="2685"/>
      <c r="Z426" s="2685"/>
      <c r="AA426" s="2685"/>
      <c r="AB426" s="2685"/>
      <c r="AC426" s="2675">
        <f t="shared" si="244"/>
        <v>0</v>
      </c>
      <c r="AD426" s="2695"/>
      <c r="AE426" s="2695"/>
      <c r="AF426" s="2695"/>
      <c r="AG426" s="2695"/>
      <c r="AH426" s="2695"/>
      <c r="AI426" s="2695"/>
      <c r="AJ426" s="2695"/>
      <c r="AK426" s="2695"/>
      <c r="AL426" s="2695"/>
      <c r="AM426" s="2695"/>
      <c r="AN426" s="2695"/>
      <c r="AO426" s="2695"/>
      <c r="AP426" s="2695"/>
      <c r="AQ426" s="2695"/>
      <c r="AR426" s="2695"/>
      <c r="AS426" s="2695"/>
      <c r="AT426" s="2703"/>
      <c r="AU426" s="2704"/>
      <c r="AV426" s="1074">
        <f t="shared" si="245"/>
        <v>0</v>
      </c>
      <c r="AW426" s="1074">
        <f t="shared" si="246"/>
        <v>0</v>
      </c>
      <c r="AX426" s="1074">
        <f t="shared" si="247"/>
        <v>0</v>
      </c>
      <c r="AY426" s="2279">
        <f t="shared" si="248"/>
        <v>0</v>
      </c>
      <c r="AZ426" s="2675">
        <f t="shared" si="249"/>
        <v>0</v>
      </c>
      <c r="BA426" s="2675">
        <f t="shared" si="250"/>
        <v>0</v>
      </c>
      <c r="BB426" s="2675">
        <f t="shared" si="251"/>
        <v>0</v>
      </c>
      <c r="BC426" s="2675">
        <f t="shared" si="252"/>
        <v>0</v>
      </c>
      <c r="BD426" s="2675">
        <f t="shared" si="253"/>
        <v>0</v>
      </c>
      <c r="BE426" s="2675">
        <f t="shared" si="254"/>
        <v>0</v>
      </c>
      <c r="BF426" s="2675">
        <f t="shared" si="255"/>
        <v>0</v>
      </c>
      <c r="BG426" s="2675">
        <f t="shared" si="256"/>
        <v>0</v>
      </c>
      <c r="BH426" s="2675">
        <f t="shared" si="257"/>
        <v>0</v>
      </c>
      <c r="BI426" s="2675">
        <f t="shared" si="258"/>
        <v>0</v>
      </c>
      <c r="BJ426" s="2675">
        <f t="shared" si="259"/>
        <v>0</v>
      </c>
      <c r="BK426" s="2675">
        <f t="shared" si="260"/>
        <v>0</v>
      </c>
      <c r="BL426" s="2675">
        <f t="shared" si="261"/>
        <v>0</v>
      </c>
      <c r="BM426" s="2675">
        <f t="shared" si="262"/>
        <v>0</v>
      </c>
      <c r="BN426" s="2675">
        <f t="shared" si="263"/>
        <v>0</v>
      </c>
      <c r="BO426" s="2675">
        <f t="shared" si="264"/>
        <v>0</v>
      </c>
      <c r="BP426" s="2675">
        <f t="shared" si="265"/>
        <v>0</v>
      </c>
      <c r="BQ426" s="2675">
        <f t="shared" si="266"/>
        <v>0</v>
      </c>
      <c r="BR426" s="2675">
        <f t="shared" si="267"/>
        <v>0</v>
      </c>
      <c r="BS426" s="2675">
        <f t="shared" si="268"/>
        <v>0</v>
      </c>
      <c r="BT426" s="2722">
        <f t="shared" si="269"/>
        <v>0</v>
      </c>
    </row>
    <row r="427" spans="1:72">
      <c r="A427" s="2673"/>
      <c r="B427" s="2674"/>
      <c r="C427" s="2674"/>
      <c r="D427" s="2277"/>
      <c r="E427" s="2675">
        <f t="shared" si="241"/>
        <v>0</v>
      </c>
      <c r="F427" s="2676"/>
      <c r="G427" s="2677">
        <f t="shared" si="242"/>
        <v>0</v>
      </c>
      <c r="H427" s="2678">
        <f t="shared" si="243"/>
        <v>0</v>
      </c>
      <c r="I427" s="2685"/>
      <c r="J427" s="2685"/>
      <c r="K427" s="2685"/>
      <c r="L427" s="2685"/>
      <c r="M427" s="2685"/>
      <c r="N427" s="2685"/>
      <c r="O427" s="2685"/>
      <c r="P427" s="2685"/>
      <c r="Q427" s="2685"/>
      <c r="R427" s="2685"/>
      <c r="S427" s="2685"/>
      <c r="T427" s="2685"/>
      <c r="U427" s="2685"/>
      <c r="V427" s="2685"/>
      <c r="W427" s="2685"/>
      <c r="X427" s="2685"/>
      <c r="Y427" s="2685"/>
      <c r="Z427" s="2685"/>
      <c r="AA427" s="2685"/>
      <c r="AB427" s="2685"/>
      <c r="AC427" s="2675">
        <f t="shared" si="244"/>
        <v>0</v>
      </c>
      <c r="AD427" s="2695"/>
      <c r="AE427" s="2695"/>
      <c r="AF427" s="2695"/>
      <c r="AG427" s="2695"/>
      <c r="AH427" s="2695"/>
      <c r="AI427" s="2695"/>
      <c r="AJ427" s="2695"/>
      <c r="AK427" s="2695"/>
      <c r="AL427" s="2695"/>
      <c r="AM427" s="2695"/>
      <c r="AN427" s="2695"/>
      <c r="AO427" s="2695"/>
      <c r="AP427" s="2695"/>
      <c r="AQ427" s="2695"/>
      <c r="AR427" s="2695"/>
      <c r="AS427" s="2695"/>
      <c r="AT427" s="2703"/>
      <c r="AU427" s="2704"/>
      <c r="AV427" s="1074">
        <f t="shared" si="245"/>
        <v>0</v>
      </c>
      <c r="AW427" s="1074">
        <f t="shared" si="246"/>
        <v>0</v>
      </c>
      <c r="AX427" s="1074">
        <f t="shared" si="247"/>
        <v>0</v>
      </c>
      <c r="AY427" s="2279">
        <f t="shared" si="248"/>
        <v>0</v>
      </c>
      <c r="AZ427" s="2675">
        <f t="shared" si="249"/>
        <v>0</v>
      </c>
      <c r="BA427" s="2675">
        <f t="shared" si="250"/>
        <v>0</v>
      </c>
      <c r="BB427" s="2675">
        <f t="shared" si="251"/>
        <v>0</v>
      </c>
      <c r="BC427" s="2675">
        <f t="shared" si="252"/>
        <v>0</v>
      </c>
      <c r="BD427" s="2675">
        <f t="shared" si="253"/>
        <v>0</v>
      </c>
      <c r="BE427" s="2675">
        <f t="shared" si="254"/>
        <v>0</v>
      </c>
      <c r="BF427" s="2675">
        <f t="shared" si="255"/>
        <v>0</v>
      </c>
      <c r="BG427" s="2675">
        <f t="shared" si="256"/>
        <v>0</v>
      </c>
      <c r="BH427" s="2675">
        <f t="shared" si="257"/>
        <v>0</v>
      </c>
      <c r="BI427" s="2675">
        <f t="shared" si="258"/>
        <v>0</v>
      </c>
      <c r="BJ427" s="2675">
        <f t="shared" si="259"/>
        <v>0</v>
      </c>
      <c r="BK427" s="2675">
        <f t="shared" si="260"/>
        <v>0</v>
      </c>
      <c r="BL427" s="2675">
        <f t="shared" si="261"/>
        <v>0</v>
      </c>
      <c r="BM427" s="2675">
        <f t="shared" si="262"/>
        <v>0</v>
      </c>
      <c r="BN427" s="2675">
        <f t="shared" si="263"/>
        <v>0</v>
      </c>
      <c r="BO427" s="2675">
        <f t="shared" si="264"/>
        <v>0</v>
      </c>
      <c r="BP427" s="2675">
        <f t="shared" si="265"/>
        <v>0</v>
      </c>
      <c r="BQ427" s="2675">
        <f t="shared" si="266"/>
        <v>0</v>
      </c>
      <c r="BR427" s="2675">
        <f t="shared" si="267"/>
        <v>0</v>
      </c>
      <c r="BS427" s="2675">
        <f t="shared" si="268"/>
        <v>0</v>
      </c>
      <c r="BT427" s="2722">
        <f t="shared" si="269"/>
        <v>0</v>
      </c>
    </row>
    <row r="428" spans="1:72">
      <c r="A428" s="2673"/>
      <c r="B428" s="2674"/>
      <c r="C428" s="2674"/>
      <c r="D428" s="2277"/>
      <c r="E428" s="2675">
        <f t="shared" si="241"/>
        <v>0</v>
      </c>
      <c r="F428" s="2676"/>
      <c r="G428" s="2677">
        <f t="shared" si="242"/>
        <v>0</v>
      </c>
      <c r="H428" s="2678">
        <f t="shared" si="243"/>
        <v>0</v>
      </c>
      <c r="I428" s="2685"/>
      <c r="J428" s="2685"/>
      <c r="K428" s="2685"/>
      <c r="L428" s="2685"/>
      <c r="M428" s="2685"/>
      <c r="N428" s="2685"/>
      <c r="O428" s="2685"/>
      <c r="P428" s="2685"/>
      <c r="Q428" s="2685"/>
      <c r="R428" s="2685"/>
      <c r="S428" s="2685"/>
      <c r="T428" s="2685"/>
      <c r="U428" s="2685"/>
      <c r="V428" s="2685"/>
      <c r="W428" s="2685"/>
      <c r="X428" s="2685"/>
      <c r="Y428" s="2685"/>
      <c r="Z428" s="2685"/>
      <c r="AA428" s="2685"/>
      <c r="AB428" s="2685"/>
      <c r="AC428" s="2675">
        <f t="shared" si="244"/>
        <v>0</v>
      </c>
      <c r="AD428" s="2695"/>
      <c r="AE428" s="2695"/>
      <c r="AF428" s="2695"/>
      <c r="AG428" s="2695"/>
      <c r="AH428" s="2695"/>
      <c r="AI428" s="2695"/>
      <c r="AJ428" s="2695"/>
      <c r="AK428" s="2695"/>
      <c r="AL428" s="2695"/>
      <c r="AM428" s="2695"/>
      <c r="AN428" s="2695"/>
      <c r="AO428" s="2695"/>
      <c r="AP428" s="2695"/>
      <c r="AQ428" s="2695"/>
      <c r="AR428" s="2695"/>
      <c r="AS428" s="2695"/>
      <c r="AT428" s="2703"/>
      <c r="AU428" s="2704"/>
      <c r="AV428" s="1074">
        <f t="shared" si="245"/>
        <v>0</v>
      </c>
      <c r="AW428" s="1074">
        <f t="shared" si="246"/>
        <v>0</v>
      </c>
      <c r="AX428" s="1074">
        <f t="shared" si="247"/>
        <v>0</v>
      </c>
      <c r="AY428" s="2279">
        <f t="shared" si="248"/>
        <v>0</v>
      </c>
      <c r="AZ428" s="2675">
        <f t="shared" si="249"/>
        <v>0</v>
      </c>
      <c r="BA428" s="2675">
        <f t="shared" si="250"/>
        <v>0</v>
      </c>
      <c r="BB428" s="2675">
        <f t="shared" si="251"/>
        <v>0</v>
      </c>
      <c r="BC428" s="2675">
        <f t="shared" si="252"/>
        <v>0</v>
      </c>
      <c r="BD428" s="2675">
        <f t="shared" si="253"/>
        <v>0</v>
      </c>
      <c r="BE428" s="2675">
        <f t="shared" si="254"/>
        <v>0</v>
      </c>
      <c r="BF428" s="2675">
        <f t="shared" si="255"/>
        <v>0</v>
      </c>
      <c r="BG428" s="2675">
        <f t="shared" si="256"/>
        <v>0</v>
      </c>
      <c r="BH428" s="2675">
        <f t="shared" si="257"/>
        <v>0</v>
      </c>
      <c r="BI428" s="2675">
        <f t="shared" si="258"/>
        <v>0</v>
      </c>
      <c r="BJ428" s="2675">
        <f t="shared" si="259"/>
        <v>0</v>
      </c>
      <c r="BK428" s="2675">
        <f t="shared" si="260"/>
        <v>0</v>
      </c>
      <c r="BL428" s="2675">
        <f t="shared" si="261"/>
        <v>0</v>
      </c>
      <c r="BM428" s="2675">
        <f t="shared" si="262"/>
        <v>0</v>
      </c>
      <c r="BN428" s="2675">
        <f t="shared" si="263"/>
        <v>0</v>
      </c>
      <c r="BO428" s="2675">
        <f t="shared" si="264"/>
        <v>0</v>
      </c>
      <c r="BP428" s="2675">
        <f t="shared" si="265"/>
        <v>0</v>
      </c>
      <c r="BQ428" s="2675">
        <f t="shared" si="266"/>
        <v>0</v>
      </c>
      <c r="BR428" s="2675">
        <f t="shared" si="267"/>
        <v>0</v>
      </c>
      <c r="BS428" s="2675">
        <f t="shared" si="268"/>
        <v>0</v>
      </c>
      <c r="BT428" s="2722">
        <f t="shared" si="269"/>
        <v>0</v>
      </c>
    </row>
    <row r="429" spans="1:72">
      <c r="A429" s="2673"/>
      <c r="B429" s="2674"/>
      <c r="C429" s="2674"/>
      <c r="D429" s="2277"/>
      <c r="E429" s="2675">
        <f t="shared" si="241"/>
        <v>0</v>
      </c>
      <c r="F429" s="2676"/>
      <c r="G429" s="2677">
        <f t="shared" si="242"/>
        <v>0</v>
      </c>
      <c r="H429" s="2678">
        <f t="shared" si="243"/>
        <v>0</v>
      </c>
      <c r="I429" s="2685"/>
      <c r="J429" s="2685"/>
      <c r="K429" s="2685"/>
      <c r="L429" s="2685"/>
      <c r="M429" s="2685"/>
      <c r="N429" s="2685"/>
      <c r="O429" s="2685"/>
      <c r="P429" s="2685"/>
      <c r="Q429" s="2685"/>
      <c r="R429" s="2685"/>
      <c r="S429" s="2685"/>
      <c r="T429" s="2685"/>
      <c r="U429" s="2685"/>
      <c r="V429" s="2685"/>
      <c r="W429" s="2685"/>
      <c r="X429" s="2685"/>
      <c r="Y429" s="2685"/>
      <c r="Z429" s="2685"/>
      <c r="AA429" s="2685"/>
      <c r="AB429" s="2685"/>
      <c r="AC429" s="2675">
        <f t="shared" si="244"/>
        <v>0</v>
      </c>
      <c r="AD429" s="2695"/>
      <c r="AE429" s="2695"/>
      <c r="AF429" s="2695"/>
      <c r="AG429" s="2695"/>
      <c r="AH429" s="2695"/>
      <c r="AI429" s="2695"/>
      <c r="AJ429" s="2695"/>
      <c r="AK429" s="2695"/>
      <c r="AL429" s="2695"/>
      <c r="AM429" s="2695"/>
      <c r="AN429" s="2695"/>
      <c r="AO429" s="2695"/>
      <c r="AP429" s="2695"/>
      <c r="AQ429" s="2695"/>
      <c r="AR429" s="2695"/>
      <c r="AS429" s="2695"/>
      <c r="AT429" s="2703"/>
      <c r="AU429" s="2704"/>
      <c r="AV429" s="1074">
        <f t="shared" si="245"/>
        <v>0</v>
      </c>
      <c r="AW429" s="1074">
        <f t="shared" si="246"/>
        <v>0</v>
      </c>
      <c r="AX429" s="1074">
        <f t="shared" si="247"/>
        <v>0</v>
      </c>
      <c r="AY429" s="2279">
        <f t="shared" si="248"/>
        <v>0</v>
      </c>
      <c r="AZ429" s="2675">
        <f t="shared" si="249"/>
        <v>0</v>
      </c>
      <c r="BA429" s="2675">
        <f t="shared" si="250"/>
        <v>0</v>
      </c>
      <c r="BB429" s="2675">
        <f t="shared" si="251"/>
        <v>0</v>
      </c>
      <c r="BC429" s="2675">
        <f t="shared" si="252"/>
        <v>0</v>
      </c>
      <c r="BD429" s="2675">
        <f t="shared" si="253"/>
        <v>0</v>
      </c>
      <c r="BE429" s="2675">
        <f t="shared" si="254"/>
        <v>0</v>
      </c>
      <c r="BF429" s="2675">
        <f t="shared" si="255"/>
        <v>0</v>
      </c>
      <c r="BG429" s="2675">
        <f t="shared" si="256"/>
        <v>0</v>
      </c>
      <c r="BH429" s="2675">
        <f t="shared" si="257"/>
        <v>0</v>
      </c>
      <c r="BI429" s="2675">
        <f t="shared" si="258"/>
        <v>0</v>
      </c>
      <c r="BJ429" s="2675">
        <f t="shared" si="259"/>
        <v>0</v>
      </c>
      <c r="BK429" s="2675">
        <f t="shared" si="260"/>
        <v>0</v>
      </c>
      <c r="BL429" s="2675">
        <f t="shared" si="261"/>
        <v>0</v>
      </c>
      <c r="BM429" s="2675">
        <f t="shared" si="262"/>
        <v>0</v>
      </c>
      <c r="BN429" s="2675">
        <f t="shared" si="263"/>
        <v>0</v>
      </c>
      <c r="BO429" s="2675">
        <f t="shared" si="264"/>
        <v>0</v>
      </c>
      <c r="BP429" s="2675">
        <f t="shared" si="265"/>
        <v>0</v>
      </c>
      <c r="BQ429" s="2675">
        <f t="shared" si="266"/>
        <v>0</v>
      </c>
      <c r="BR429" s="2675">
        <f t="shared" si="267"/>
        <v>0</v>
      </c>
      <c r="BS429" s="2675">
        <f t="shared" si="268"/>
        <v>0</v>
      </c>
      <c r="BT429" s="2722">
        <f t="shared" si="269"/>
        <v>0</v>
      </c>
    </row>
    <row r="430" spans="1:72">
      <c r="A430" s="2673"/>
      <c r="B430" s="2674"/>
      <c r="C430" s="2674"/>
      <c r="D430" s="2277"/>
      <c r="E430" s="2675">
        <f t="shared" si="241"/>
        <v>0</v>
      </c>
      <c r="F430" s="2676"/>
      <c r="G430" s="2677">
        <f t="shared" si="242"/>
        <v>0</v>
      </c>
      <c r="H430" s="2678">
        <f t="shared" si="243"/>
        <v>0</v>
      </c>
      <c r="I430" s="2685"/>
      <c r="J430" s="2685"/>
      <c r="K430" s="2685"/>
      <c r="L430" s="2685"/>
      <c r="M430" s="2685"/>
      <c r="N430" s="2685"/>
      <c r="O430" s="2685"/>
      <c r="P430" s="2685"/>
      <c r="Q430" s="2685"/>
      <c r="R430" s="2685"/>
      <c r="S430" s="2685"/>
      <c r="T430" s="2685"/>
      <c r="U430" s="2685"/>
      <c r="V430" s="2685"/>
      <c r="W430" s="2685"/>
      <c r="X430" s="2685"/>
      <c r="Y430" s="2685"/>
      <c r="Z430" s="2685"/>
      <c r="AA430" s="2685"/>
      <c r="AB430" s="2685"/>
      <c r="AC430" s="2675">
        <f t="shared" si="244"/>
        <v>0</v>
      </c>
      <c r="AD430" s="2695"/>
      <c r="AE430" s="2695"/>
      <c r="AF430" s="2695"/>
      <c r="AG430" s="2695"/>
      <c r="AH430" s="2695"/>
      <c r="AI430" s="2695"/>
      <c r="AJ430" s="2695"/>
      <c r="AK430" s="2695"/>
      <c r="AL430" s="2695"/>
      <c r="AM430" s="2695"/>
      <c r="AN430" s="2695"/>
      <c r="AO430" s="2695"/>
      <c r="AP430" s="2695"/>
      <c r="AQ430" s="2695"/>
      <c r="AR430" s="2695"/>
      <c r="AS430" s="2695"/>
      <c r="AT430" s="2703"/>
      <c r="AU430" s="2704"/>
      <c r="AV430" s="1074">
        <f t="shared" si="245"/>
        <v>0</v>
      </c>
      <c r="AW430" s="1074">
        <f t="shared" si="246"/>
        <v>0</v>
      </c>
      <c r="AX430" s="1074">
        <f t="shared" si="247"/>
        <v>0</v>
      </c>
      <c r="AY430" s="2279">
        <f t="shared" si="248"/>
        <v>0</v>
      </c>
      <c r="AZ430" s="2675">
        <f t="shared" si="249"/>
        <v>0</v>
      </c>
      <c r="BA430" s="2675">
        <f t="shared" si="250"/>
        <v>0</v>
      </c>
      <c r="BB430" s="2675">
        <f t="shared" si="251"/>
        <v>0</v>
      </c>
      <c r="BC430" s="2675">
        <f t="shared" si="252"/>
        <v>0</v>
      </c>
      <c r="BD430" s="2675">
        <f t="shared" si="253"/>
        <v>0</v>
      </c>
      <c r="BE430" s="2675">
        <f t="shared" si="254"/>
        <v>0</v>
      </c>
      <c r="BF430" s="2675">
        <f t="shared" si="255"/>
        <v>0</v>
      </c>
      <c r="BG430" s="2675">
        <f t="shared" si="256"/>
        <v>0</v>
      </c>
      <c r="BH430" s="2675">
        <f t="shared" si="257"/>
        <v>0</v>
      </c>
      <c r="BI430" s="2675">
        <f t="shared" si="258"/>
        <v>0</v>
      </c>
      <c r="BJ430" s="2675">
        <f t="shared" si="259"/>
        <v>0</v>
      </c>
      <c r="BK430" s="2675">
        <f t="shared" si="260"/>
        <v>0</v>
      </c>
      <c r="BL430" s="2675">
        <f t="shared" si="261"/>
        <v>0</v>
      </c>
      <c r="BM430" s="2675">
        <f t="shared" si="262"/>
        <v>0</v>
      </c>
      <c r="BN430" s="2675">
        <f t="shared" si="263"/>
        <v>0</v>
      </c>
      <c r="BO430" s="2675">
        <f t="shared" si="264"/>
        <v>0</v>
      </c>
      <c r="BP430" s="2675">
        <f t="shared" si="265"/>
        <v>0</v>
      </c>
      <c r="BQ430" s="2675">
        <f t="shared" si="266"/>
        <v>0</v>
      </c>
      <c r="BR430" s="2675">
        <f t="shared" si="267"/>
        <v>0</v>
      </c>
      <c r="BS430" s="2675">
        <f t="shared" si="268"/>
        <v>0</v>
      </c>
      <c r="BT430" s="2722">
        <f t="shared" si="269"/>
        <v>0</v>
      </c>
    </row>
    <row r="431" spans="1:72">
      <c r="A431" s="2673"/>
      <c r="B431" s="2674"/>
      <c r="C431" s="2674"/>
      <c r="D431" s="2277"/>
      <c r="E431" s="2675">
        <f t="shared" si="241"/>
        <v>0</v>
      </c>
      <c r="F431" s="2676"/>
      <c r="G431" s="2677">
        <f t="shared" si="242"/>
        <v>0</v>
      </c>
      <c r="H431" s="2678">
        <f t="shared" si="243"/>
        <v>0</v>
      </c>
      <c r="I431" s="2685"/>
      <c r="J431" s="2685"/>
      <c r="K431" s="2685"/>
      <c r="L431" s="2685"/>
      <c r="M431" s="2685"/>
      <c r="N431" s="2685"/>
      <c r="O431" s="2685"/>
      <c r="P431" s="2685"/>
      <c r="Q431" s="2685"/>
      <c r="R431" s="2685"/>
      <c r="S431" s="2685"/>
      <c r="T431" s="2685"/>
      <c r="U431" s="2685"/>
      <c r="V431" s="2685"/>
      <c r="W431" s="2685"/>
      <c r="X431" s="2685"/>
      <c r="Y431" s="2685"/>
      <c r="Z431" s="2685"/>
      <c r="AA431" s="2685"/>
      <c r="AB431" s="2685"/>
      <c r="AC431" s="2675">
        <f t="shared" si="244"/>
        <v>0</v>
      </c>
      <c r="AD431" s="2695"/>
      <c r="AE431" s="2695"/>
      <c r="AF431" s="2695"/>
      <c r="AG431" s="2695"/>
      <c r="AH431" s="2695"/>
      <c r="AI431" s="2695"/>
      <c r="AJ431" s="2695"/>
      <c r="AK431" s="2695"/>
      <c r="AL431" s="2695"/>
      <c r="AM431" s="2695"/>
      <c r="AN431" s="2695"/>
      <c r="AO431" s="2695"/>
      <c r="AP431" s="2695"/>
      <c r="AQ431" s="2695"/>
      <c r="AR431" s="2695"/>
      <c r="AS431" s="2695"/>
      <c r="AT431" s="2703"/>
      <c r="AU431" s="2704"/>
      <c r="AV431" s="1074">
        <f t="shared" si="245"/>
        <v>0</v>
      </c>
      <c r="AW431" s="1074">
        <f t="shared" si="246"/>
        <v>0</v>
      </c>
      <c r="AX431" s="1074">
        <f t="shared" si="247"/>
        <v>0</v>
      </c>
      <c r="AY431" s="2279">
        <f t="shared" si="248"/>
        <v>0</v>
      </c>
      <c r="AZ431" s="2675">
        <f t="shared" si="249"/>
        <v>0</v>
      </c>
      <c r="BA431" s="2675">
        <f t="shared" si="250"/>
        <v>0</v>
      </c>
      <c r="BB431" s="2675">
        <f t="shared" si="251"/>
        <v>0</v>
      </c>
      <c r="BC431" s="2675">
        <f t="shared" si="252"/>
        <v>0</v>
      </c>
      <c r="BD431" s="2675">
        <f t="shared" si="253"/>
        <v>0</v>
      </c>
      <c r="BE431" s="2675">
        <f t="shared" si="254"/>
        <v>0</v>
      </c>
      <c r="BF431" s="2675">
        <f t="shared" si="255"/>
        <v>0</v>
      </c>
      <c r="BG431" s="2675">
        <f t="shared" si="256"/>
        <v>0</v>
      </c>
      <c r="BH431" s="2675">
        <f t="shared" si="257"/>
        <v>0</v>
      </c>
      <c r="BI431" s="2675">
        <f t="shared" si="258"/>
        <v>0</v>
      </c>
      <c r="BJ431" s="2675">
        <f t="shared" si="259"/>
        <v>0</v>
      </c>
      <c r="BK431" s="2675">
        <f t="shared" si="260"/>
        <v>0</v>
      </c>
      <c r="BL431" s="2675">
        <f t="shared" si="261"/>
        <v>0</v>
      </c>
      <c r="BM431" s="2675">
        <f t="shared" si="262"/>
        <v>0</v>
      </c>
      <c r="BN431" s="2675">
        <f t="shared" si="263"/>
        <v>0</v>
      </c>
      <c r="BO431" s="2675">
        <f t="shared" si="264"/>
        <v>0</v>
      </c>
      <c r="BP431" s="2675">
        <f t="shared" si="265"/>
        <v>0</v>
      </c>
      <c r="BQ431" s="2675">
        <f t="shared" si="266"/>
        <v>0</v>
      </c>
      <c r="BR431" s="2675">
        <f t="shared" si="267"/>
        <v>0</v>
      </c>
      <c r="BS431" s="2675">
        <f t="shared" si="268"/>
        <v>0</v>
      </c>
      <c r="BT431" s="2722">
        <f t="shared" si="269"/>
        <v>0</v>
      </c>
    </row>
    <row r="432" spans="1:72">
      <c r="A432" s="2673"/>
      <c r="B432" s="2674"/>
      <c r="C432" s="2674"/>
      <c r="D432" s="2277"/>
      <c r="E432" s="2675">
        <f t="shared" si="241"/>
        <v>0</v>
      </c>
      <c r="F432" s="2676"/>
      <c r="G432" s="2677">
        <f t="shared" si="242"/>
        <v>0</v>
      </c>
      <c r="H432" s="2678">
        <f t="shared" si="243"/>
        <v>0</v>
      </c>
      <c r="I432" s="2685"/>
      <c r="J432" s="2685"/>
      <c r="K432" s="2685"/>
      <c r="L432" s="2685"/>
      <c r="M432" s="2685"/>
      <c r="N432" s="2685"/>
      <c r="O432" s="2685"/>
      <c r="P432" s="2685"/>
      <c r="Q432" s="2685"/>
      <c r="R432" s="2685"/>
      <c r="S432" s="2685"/>
      <c r="T432" s="2685"/>
      <c r="U432" s="2685"/>
      <c r="V432" s="2685"/>
      <c r="W432" s="2685"/>
      <c r="X432" s="2685"/>
      <c r="Y432" s="2685"/>
      <c r="Z432" s="2685"/>
      <c r="AA432" s="2685"/>
      <c r="AB432" s="2685"/>
      <c r="AC432" s="2675">
        <f t="shared" si="244"/>
        <v>0</v>
      </c>
      <c r="AD432" s="2695"/>
      <c r="AE432" s="2695"/>
      <c r="AF432" s="2695"/>
      <c r="AG432" s="2695"/>
      <c r="AH432" s="2695"/>
      <c r="AI432" s="2695"/>
      <c r="AJ432" s="2695"/>
      <c r="AK432" s="2695"/>
      <c r="AL432" s="2695"/>
      <c r="AM432" s="2695"/>
      <c r="AN432" s="2695"/>
      <c r="AO432" s="2695"/>
      <c r="AP432" s="2695"/>
      <c r="AQ432" s="2695"/>
      <c r="AR432" s="2695"/>
      <c r="AS432" s="2695"/>
      <c r="AT432" s="2703"/>
      <c r="AU432" s="2704"/>
      <c r="AV432" s="1074">
        <f t="shared" si="245"/>
        <v>0</v>
      </c>
      <c r="AW432" s="1074">
        <f t="shared" si="246"/>
        <v>0</v>
      </c>
      <c r="AX432" s="1074">
        <f t="shared" si="247"/>
        <v>0</v>
      </c>
      <c r="AY432" s="2279">
        <f t="shared" si="248"/>
        <v>0</v>
      </c>
      <c r="AZ432" s="2675">
        <f t="shared" si="249"/>
        <v>0</v>
      </c>
      <c r="BA432" s="2675">
        <f t="shared" si="250"/>
        <v>0</v>
      </c>
      <c r="BB432" s="2675">
        <f t="shared" si="251"/>
        <v>0</v>
      </c>
      <c r="BC432" s="2675">
        <f t="shared" si="252"/>
        <v>0</v>
      </c>
      <c r="BD432" s="2675">
        <f t="shared" si="253"/>
        <v>0</v>
      </c>
      <c r="BE432" s="2675">
        <f t="shared" si="254"/>
        <v>0</v>
      </c>
      <c r="BF432" s="2675">
        <f t="shared" si="255"/>
        <v>0</v>
      </c>
      <c r="BG432" s="2675">
        <f t="shared" si="256"/>
        <v>0</v>
      </c>
      <c r="BH432" s="2675">
        <f t="shared" si="257"/>
        <v>0</v>
      </c>
      <c r="BI432" s="2675">
        <f t="shared" si="258"/>
        <v>0</v>
      </c>
      <c r="BJ432" s="2675">
        <f t="shared" si="259"/>
        <v>0</v>
      </c>
      <c r="BK432" s="2675">
        <f t="shared" si="260"/>
        <v>0</v>
      </c>
      <c r="BL432" s="2675">
        <f t="shared" si="261"/>
        <v>0</v>
      </c>
      <c r="BM432" s="2675">
        <f t="shared" si="262"/>
        <v>0</v>
      </c>
      <c r="BN432" s="2675">
        <f t="shared" si="263"/>
        <v>0</v>
      </c>
      <c r="BO432" s="2675">
        <f t="shared" si="264"/>
        <v>0</v>
      </c>
      <c r="BP432" s="2675">
        <f t="shared" si="265"/>
        <v>0</v>
      </c>
      <c r="BQ432" s="2675">
        <f t="shared" si="266"/>
        <v>0</v>
      </c>
      <c r="BR432" s="2675">
        <f t="shared" si="267"/>
        <v>0</v>
      </c>
      <c r="BS432" s="2675">
        <f t="shared" si="268"/>
        <v>0</v>
      </c>
      <c r="BT432" s="2722">
        <f t="shared" si="269"/>
        <v>0</v>
      </c>
    </row>
    <row r="433" spans="1:72">
      <c r="A433" s="2673"/>
      <c r="B433" s="2674"/>
      <c r="C433" s="2674"/>
      <c r="D433" s="2277"/>
      <c r="E433" s="2675">
        <f t="shared" si="241"/>
        <v>0</v>
      </c>
      <c r="F433" s="2676"/>
      <c r="G433" s="2677">
        <f t="shared" si="242"/>
        <v>0</v>
      </c>
      <c r="H433" s="2678">
        <f t="shared" si="243"/>
        <v>0</v>
      </c>
      <c r="I433" s="2685"/>
      <c r="J433" s="2685"/>
      <c r="K433" s="2685"/>
      <c r="L433" s="2685"/>
      <c r="M433" s="2685"/>
      <c r="N433" s="2685"/>
      <c r="O433" s="2685"/>
      <c r="P433" s="2685"/>
      <c r="Q433" s="2685"/>
      <c r="R433" s="2685"/>
      <c r="S433" s="2685"/>
      <c r="T433" s="2685"/>
      <c r="U433" s="2685"/>
      <c r="V433" s="2685"/>
      <c r="W433" s="2685"/>
      <c r="X433" s="2685"/>
      <c r="Y433" s="2685"/>
      <c r="Z433" s="2685"/>
      <c r="AA433" s="2685"/>
      <c r="AB433" s="2685"/>
      <c r="AC433" s="2675">
        <f t="shared" si="244"/>
        <v>0</v>
      </c>
      <c r="AD433" s="2695"/>
      <c r="AE433" s="2695"/>
      <c r="AF433" s="2695"/>
      <c r="AG433" s="2695"/>
      <c r="AH433" s="2695"/>
      <c r="AI433" s="2695"/>
      <c r="AJ433" s="2695"/>
      <c r="AK433" s="2695"/>
      <c r="AL433" s="2695"/>
      <c r="AM433" s="2695"/>
      <c r="AN433" s="2695"/>
      <c r="AO433" s="2695"/>
      <c r="AP433" s="2695"/>
      <c r="AQ433" s="2695"/>
      <c r="AR433" s="2695"/>
      <c r="AS433" s="2695"/>
      <c r="AT433" s="2703"/>
      <c r="AU433" s="2704"/>
      <c r="AV433" s="1074">
        <f t="shared" si="245"/>
        <v>0</v>
      </c>
      <c r="AW433" s="1074">
        <f t="shared" si="246"/>
        <v>0</v>
      </c>
      <c r="AX433" s="1074">
        <f t="shared" si="247"/>
        <v>0</v>
      </c>
      <c r="AY433" s="2279">
        <f t="shared" si="248"/>
        <v>0</v>
      </c>
      <c r="AZ433" s="2675">
        <f t="shared" si="249"/>
        <v>0</v>
      </c>
      <c r="BA433" s="2675">
        <f t="shared" si="250"/>
        <v>0</v>
      </c>
      <c r="BB433" s="2675">
        <f t="shared" si="251"/>
        <v>0</v>
      </c>
      <c r="BC433" s="2675">
        <f t="shared" si="252"/>
        <v>0</v>
      </c>
      <c r="BD433" s="2675">
        <f t="shared" si="253"/>
        <v>0</v>
      </c>
      <c r="BE433" s="2675">
        <f t="shared" si="254"/>
        <v>0</v>
      </c>
      <c r="BF433" s="2675">
        <f t="shared" si="255"/>
        <v>0</v>
      </c>
      <c r="BG433" s="2675">
        <f t="shared" si="256"/>
        <v>0</v>
      </c>
      <c r="BH433" s="2675">
        <f t="shared" si="257"/>
        <v>0</v>
      </c>
      <c r="BI433" s="2675">
        <f t="shared" si="258"/>
        <v>0</v>
      </c>
      <c r="BJ433" s="2675">
        <f t="shared" si="259"/>
        <v>0</v>
      </c>
      <c r="BK433" s="2675">
        <f t="shared" si="260"/>
        <v>0</v>
      </c>
      <c r="BL433" s="2675">
        <f t="shared" si="261"/>
        <v>0</v>
      </c>
      <c r="BM433" s="2675">
        <f t="shared" si="262"/>
        <v>0</v>
      </c>
      <c r="BN433" s="2675">
        <f t="shared" si="263"/>
        <v>0</v>
      </c>
      <c r="BO433" s="2675">
        <f t="shared" si="264"/>
        <v>0</v>
      </c>
      <c r="BP433" s="2675">
        <f t="shared" si="265"/>
        <v>0</v>
      </c>
      <c r="BQ433" s="2675">
        <f t="shared" si="266"/>
        <v>0</v>
      </c>
      <c r="BR433" s="2675">
        <f t="shared" si="267"/>
        <v>0</v>
      </c>
      <c r="BS433" s="2675">
        <f t="shared" si="268"/>
        <v>0</v>
      </c>
      <c r="BT433" s="2722">
        <f t="shared" si="269"/>
        <v>0</v>
      </c>
    </row>
    <row r="434" spans="1:72">
      <c r="A434" s="2673"/>
      <c r="B434" s="2674"/>
      <c r="C434" s="2674"/>
      <c r="D434" s="2277"/>
      <c r="E434" s="2675">
        <f t="shared" si="241"/>
        <v>0</v>
      </c>
      <c r="F434" s="2676"/>
      <c r="G434" s="2677">
        <f t="shared" si="242"/>
        <v>0</v>
      </c>
      <c r="H434" s="2678">
        <f t="shared" si="243"/>
        <v>0</v>
      </c>
      <c r="I434" s="2685"/>
      <c r="J434" s="2685"/>
      <c r="K434" s="2685"/>
      <c r="L434" s="2685"/>
      <c r="M434" s="2685"/>
      <c r="N434" s="2685"/>
      <c r="O434" s="2685"/>
      <c r="P434" s="2685"/>
      <c r="Q434" s="2685"/>
      <c r="R434" s="2685"/>
      <c r="S434" s="2685"/>
      <c r="T434" s="2685"/>
      <c r="U434" s="2685"/>
      <c r="V434" s="2685"/>
      <c r="W434" s="2685"/>
      <c r="X434" s="2685"/>
      <c r="Y434" s="2685"/>
      <c r="Z434" s="2685"/>
      <c r="AA434" s="2685"/>
      <c r="AB434" s="2685"/>
      <c r="AC434" s="2675">
        <f t="shared" si="244"/>
        <v>0</v>
      </c>
      <c r="AD434" s="2695"/>
      <c r="AE434" s="2695"/>
      <c r="AF434" s="2695"/>
      <c r="AG434" s="2695"/>
      <c r="AH434" s="2695"/>
      <c r="AI434" s="2695"/>
      <c r="AJ434" s="2695"/>
      <c r="AK434" s="2695"/>
      <c r="AL434" s="2695"/>
      <c r="AM434" s="2695"/>
      <c r="AN434" s="2695"/>
      <c r="AO434" s="2695"/>
      <c r="AP434" s="2695"/>
      <c r="AQ434" s="2695"/>
      <c r="AR434" s="2695"/>
      <c r="AS434" s="2695"/>
      <c r="AT434" s="2703"/>
      <c r="AU434" s="2704"/>
      <c r="AV434" s="1074">
        <f t="shared" si="245"/>
        <v>0</v>
      </c>
      <c r="AW434" s="1074">
        <f t="shared" si="246"/>
        <v>0</v>
      </c>
      <c r="AX434" s="1074">
        <f t="shared" si="247"/>
        <v>0</v>
      </c>
      <c r="AY434" s="2279">
        <f t="shared" si="248"/>
        <v>0</v>
      </c>
      <c r="AZ434" s="2675">
        <f t="shared" si="249"/>
        <v>0</v>
      </c>
      <c r="BA434" s="2675">
        <f t="shared" si="250"/>
        <v>0</v>
      </c>
      <c r="BB434" s="2675">
        <f t="shared" si="251"/>
        <v>0</v>
      </c>
      <c r="BC434" s="2675">
        <f t="shared" si="252"/>
        <v>0</v>
      </c>
      <c r="BD434" s="2675">
        <f t="shared" si="253"/>
        <v>0</v>
      </c>
      <c r="BE434" s="2675">
        <f t="shared" si="254"/>
        <v>0</v>
      </c>
      <c r="BF434" s="2675">
        <f t="shared" si="255"/>
        <v>0</v>
      </c>
      <c r="BG434" s="2675">
        <f t="shared" si="256"/>
        <v>0</v>
      </c>
      <c r="BH434" s="2675">
        <f t="shared" si="257"/>
        <v>0</v>
      </c>
      <c r="BI434" s="2675">
        <f t="shared" si="258"/>
        <v>0</v>
      </c>
      <c r="BJ434" s="2675">
        <f t="shared" si="259"/>
        <v>0</v>
      </c>
      <c r="BK434" s="2675">
        <f t="shared" si="260"/>
        <v>0</v>
      </c>
      <c r="BL434" s="2675">
        <f t="shared" si="261"/>
        <v>0</v>
      </c>
      <c r="BM434" s="2675">
        <f t="shared" si="262"/>
        <v>0</v>
      </c>
      <c r="BN434" s="2675">
        <f t="shared" si="263"/>
        <v>0</v>
      </c>
      <c r="BO434" s="2675">
        <f t="shared" si="264"/>
        <v>0</v>
      </c>
      <c r="BP434" s="2675">
        <f t="shared" si="265"/>
        <v>0</v>
      </c>
      <c r="BQ434" s="2675">
        <f t="shared" si="266"/>
        <v>0</v>
      </c>
      <c r="BR434" s="2675">
        <f t="shared" si="267"/>
        <v>0</v>
      </c>
      <c r="BS434" s="2675">
        <f t="shared" si="268"/>
        <v>0</v>
      </c>
      <c r="BT434" s="2722">
        <f t="shared" si="269"/>
        <v>0</v>
      </c>
    </row>
    <row r="435" spans="1:72">
      <c r="A435" s="2673"/>
      <c r="B435" s="2674"/>
      <c r="C435" s="2674"/>
      <c r="D435" s="2277"/>
      <c r="E435" s="2675">
        <f t="shared" si="241"/>
        <v>0</v>
      </c>
      <c r="F435" s="2676"/>
      <c r="G435" s="2677">
        <f t="shared" si="242"/>
        <v>0</v>
      </c>
      <c r="H435" s="2678">
        <f t="shared" si="243"/>
        <v>0</v>
      </c>
      <c r="I435" s="2685"/>
      <c r="J435" s="2685"/>
      <c r="K435" s="2685"/>
      <c r="L435" s="2685"/>
      <c r="M435" s="2685"/>
      <c r="N435" s="2685"/>
      <c r="O435" s="2685"/>
      <c r="P435" s="2685"/>
      <c r="Q435" s="2685"/>
      <c r="R435" s="2685"/>
      <c r="S435" s="2685"/>
      <c r="T435" s="2685"/>
      <c r="U435" s="2685"/>
      <c r="V435" s="2685"/>
      <c r="W435" s="2685"/>
      <c r="X435" s="2685"/>
      <c r="Y435" s="2685"/>
      <c r="Z435" s="2685"/>
      <c r="AA435" s="2685"/>
      <c r="AB435" s="2685"/>
      <c r="AC435" s="2675">
        <f t="shared" si="244"/>
        <v>0</v>
      </c>
      <c r="AD435" s="2695"/>
      <c r="AE435" s="2695"/>
      <c r="AF435" s="2695"/>
      <c r="AG435" s="2695"/>
      <c r="AH435" s="2695"/>
      <c r="AI435" s="2695"/>
      <c r="AJ435" s="2695"/>
      <c r="AK435" s="2695"/>
      <c r="AL435" s="2695"/>
      <c r="AM435" s="2695"/>
      <c r="AN435" s="2695"/>
      <c r="AO435" s="2695"/>
      <c r="AP435" s="2695"/>
      <c r="AQ435" s="2695"/>
      <c r="AR435" s="2695"/>
      <c r="AS435" s="2695"/>
      <c r="AT435" s="2703"/>
      <c r="AU435" s="2704"/>
      <c r="AV435" s="1074">
        <f t="shared" si="245"/>
        <v>0</v>
      </c>
      <c r="AW435" s="1074">
        <f t="shared" si="246"/>
        <v>0</v>
      </c>
      <c r="AX435" s="1074">
        <f t="shared" si="247"/>
        <v>0</v>
      </c>
      <c r="AY435" s="2279">
        <f t="shared" si="248"/>
        <v>0</v>
      </c>
      <c r="AZ435" s="2675">
        <f t="shared" si="249"/>
        <v>0</v>
      </c>
      <c r="BA435" s="2675">
        <f t="shared" si="250"/>
        <v>0</v>
      </c>
      <c r="BB435" s="2675">
        <f t="shared" si="251"/>
        <v>0</v>
      </c>
      <c r="BC435" s="2675">
        <f t="shared" si="252"/>
        <v>0</v>
      </c>
      <c r="BD435" s="2675">
        <f t="shared" si="253"/>
        <v>0</v>
      </c>
      <c r="BE435" s="2675">
        <f t="shared" si="254"/>
        <v>0</v>
      </c>
      <c r="BF435" s="2675">
        <f t="shared" si="255"/>
        <v>0</v>
      </c>
      <c r="BG435" s="2675">
        <f t="shared" si="256"/>
        <v>0</v>
      </c>
      <c r="BH435" s="2675">
        <f t="shared" si="257"/>
        <v>0</v>
      </c>
      <c r="BI435" s="2675">
        <f t="shared" si="258"/>
        <v>0</v>
      </c>
      <c r="BJ435" s="2675">
        <f t="shared" si="259"/>
        <v>0</v>
      </c>
      <c r="BK435" s="2675">
        <f t="shared" si="260"/>
        <v>0</v>
      </c>
      <c r="BL435" s="2675">
        <f t="shared" si="261"/>
        <v>0</v>
      </c>
      <c r="BM435" s="2675">
        <f t="shared" si="262"/>
        <v>0</v>
      </c>
      <c r="BN435" s="2675">
        <f t="shared" si="263"/>
        <v>0</v>
      </c>
      <c r="BO435" s="2675">
        <f t="shared" si="264"/>
        <v>0</v>
      </c>
      <c r="BP435" s="2675">
        <f t="shared" si="265"/>
        <v>0</v>
      </c>
      <c r="BQ435" s="2675">
        <f t="shared" si="266"/>
        <v>0</v>
      </c>
      <c r="BR435" s="2675">
        <f t="shared" si="267"/>
        <v>0</v>
      </c>
      <c r="BS435" s="2675">
        <f t="shared" si="268"/>
        <v>0</v>
      </c>
      <c r="BT435" s="2722">
        <f t="shared" si="269"/>
        <v>0</v>
      </c>
    </row>
    <row r="436" spans="1:72">
      <c r="A436" s="2673"/>
      <c r="B436" s="2674"/>
      <c r="C436" s="2674"/>
      <c r="D436" s="2277"/>
      <c r="E436" s="2675">
        <f t="shared" si="241"/>
        <v>0</v>
      </c>
      <c r="F436" s="2676"/>
      <c r="G436" s="2677">
        <f t="shared" si="242"/>
        <v>0</v>
      </c>
      <c r="H436" s="2678">
        <f t="shared" si="243"/>
        <v>0</v>
      </c>
      <c r="I436" s="2685"/>
      <c r="J436" s="2685"/>
      <c r="K436" s="2685"/>
      <c r="L436" s="2685"/>
      <c r="M436" s="2685"/>
      <c r="N436" s="2685"/>
      <c r="O436" s="2685"/>
      <c r="P436" s="2685"/>
      <c r="Q436" s="2685"/>
      <c r="R436" s="2685"/>
      <c r="S436" s="2685"/>
      <c r="T436" s="2685"/>
      <c r="U436" s="2685"/>
      <c r="V436" s="2685"/>
      <c r="W436" s="2685"/>
      <c r="X436" s="2685"/>
      <c r="Y436" s="2685"/>
      <c r="Z436" s="2685"/>
      <c r="AA436" s="2685"/>
      <c r="AB436" s="2685"/>
      <c r="AC436" s="2675">
        <f t="shared" si="244"/>
        <v>0</v>
      </c>
      <c r="AD436" s="2695"/>
      <c r="AE436" s="2695"/>
      <c r="AF436" s="2695"/>
      <c r="AG436" s="2695"/>
      <c r="AH436" s="2695"/>
      <c r="AI436" s="2695"/>
      <c r="AJ436" s="2695"/>
      <c r="AK436" s="2695"/>
      <c r="AL436" s="2695"/>
      <c r="AM436" s="2695"/>
      <c r="AN436" s="2695"/>
      <c r="AO436" s="2695"/>
      <c r="AP436" s="2695"/>
      <c r="AQ436" s="2695"/>
      <c r="AR436" s="2695"/>
      <c r="AS436" s="2695"/>
      <c r="AT436" s="2703"/>
      <c r="AU436" s="2704"/>
      <c r="AV436" s="1074">
        <f t="shared" si="245"/>
        <v>0</v>
      </c>
      <c r="AW436" s="1074">
        <f t="shared" si="246"/>
        <v>0</v>
      </c>
      <c r="AX436" s="1074">
        <f t="shared" si="247"/>
        <v>0</v>
      </c>
      <c r="AY436" s="2279">
        <f t="shared" si="248"/>
        <v>0</v>
      </c>
      <c r="AZ436" s="2675">
        <f t="shared" si="249"/>
        <v>0</v>
      </c>
      <c r="BA436" s="2675">
        <f t="shared" si="250"/>
        <v>0</v>
      </c>
      <c r="BB436" s="2675">
        <f t="shared" si="251"/>
        <v>0</v>
      </c>
      <c r="BC436" s="2675">
        <f t="shared" si="252"/>
        <v>0</v>
      </c>
      <c r="BD436" s="2675">
        <f t="shared" si="253"/>
        <v>0</v>
      </c>
      <c r="BE436" s="2675">
        <f t="shared" si="254"/>
        <v>0</v>
      </c>
      <c r="BF436" s="2675">
        <f t="shared" si="255"/>
        <v>0</v>
      </c>
      <c r="BG436" s="2675">
        <f t="shared" si="256"/>
        <v>0</v>
      </c>
      <c r="BH436" s="2675">
        <f t="shared" si="257"/>
        <v>0</v>
      </c>
      <c r="BI436" s="2675">
        <f t="shared" si="258"/>
        <v>0</v>
      </c>
      <c r="BJ436" s="2675">
        <f t="shared" si="259"/>
        <v>0</v>
      </c>
      <c r="BK436" s="2675">
        <f t="shared" si="260"/>
        <v>0</v>
      </c>
      <c r="BL436" s="2675">
        <f t="shared" si="261"/>
        <v>0</v>
      </c>
      <c r="BM436" s="2675">
        <f t="shared" si="262"/>
        <v>0</v>
      </c>
      <c r="BN436" s="2675">
        <f t="shared" si="263"/>
        <v>0</v>
      </c>
      <c r="BO436" s="2675">
        <f t="shared" si="264"/>
        <v>0</v>
      </c>
      <c r="BP436" s="2675">
        <f t="shared" si="265"/>
        <v>0</v>
      </c>
      <c r="BQ436" s="2675">
        <f t="shared" si="266"/>
        <v>0</v>
      </c>
      <c r="BR436" s="2675">
        <f t="shared" si="267"/>
        <v>0</v>
      </c>
      <c r="BS436" s="2675">
        <f t="shared" si="268"/>
        <v>0</v>
      </c>
      <c r="BT436" s="2722">
        <f t="shared" si="269"/>
        <v>0</v>
      </c>
    </row>
    <row r="437" spans="1:72">
      <c r="A437" s="2673"/>
      <c r="B437" s="2674"/>
      <c r="C437" s="2674"/>
      <c r="D437" s="2277"/>
      <c r="E437" s="2675">
        <f t="shared" si="241"/>
        <v>0</v>
      </c>
      <c r="F437" s="2676"/>
      <c r="G437" s="2677">
        <f t="shared" si="242"/>
        <v>0</v>
      </c>
      <c r="H437" s="2678">
        <f t="shared" si="243"/>
        <v>0</v>
      </c>
      <c r="I437" s="2685"/>
      <c r="J437" s="2685"/>
      <c r="K437" s="2685"/>
      <c r="L437" s="2685"/>
      <c r="M437" s="2685"/>
      <c r="N437" s="2685"/>
      <c r="O437" s="2685"/>
      <c r="P437" s="2685"/>
      <c r="Q437" s="2685"/>
      <c r="R437" s="2685"/>
      <c r="S437" s="2685"/>
      <c r="T437" s="2685"/>
      <c r="U437" s="2685"/>
      <c r="V437" s="2685"/>
      <c r="W437" s="2685"/>
      <c r="X437" s="2685"/>
      <c r="Y437" s="2685"/>
      <c r="Z437" s="2685"/>
      <c r="AA437" s="2685"/>
      <c r="AB437" s="2685"/>
      <c r="AC437" s="2675">
        <f t="shared" si="244"/>
        <v>0</v>
      </c>
      <c r="AD437" s="2695"/>
      <c r="AE437" s="2695"/>
      <c r="AF437" s="2695"/>
      <c r="AG437" s="2695"/>
      <c r="AH437" s="2695"/>
      <c r="AI437" s="2695"/>
      <c r="AJ437" s="2695"/>
      <c r="AK437" s="2695"/>
      <c r="AL437" s="2695"/>
      <c r="AM437" s="2695"/>
      <c r="AN437" s="2695"/>
      <c r="AO437" s="2695"/>
      <c r="AP437" s="2695"/>
      <c r="AQ437" s="2695"/>
      <c r="AR437" s="2695"/>
      <c r="AS437" s="2695"/>
      <c r="AT437" s="2703"/>
      <c r="AU437" s="2704"/>
      <c r="AV437" s="1074">
        <f t="shared" si="245"/>
        <v>0</v>
      </c>
      <c r="AW437" s="1074">
        <f t="shared" si="246"/>
        <v>0</v>
      </c>
      <c r="AX437" s="1074">
        <f t="shared" si="247"/>
        <v>0</v>
      </c>
      <c r="AY437" s="2279">
        <f t="shared" si="248"/>
        <v>0</v>
      </c>
      <c r="AZ437" s="2675">
        <f t="shared" si="249"/>
        <v>0</v>
      </c>
      <c r="BA437" s="2675">
        <f t="shared" si="250"/>
        <v>0</v>
      </c>
      <c r="BB437" s="2675">
        <f t="shared" si="251"/>
        <v>0</v>
      </c>
      <c r="BC437" s="2675">
        <f t="shared" si="252"/>
        <v>0</v>
      </c>
      <c r="BD437" s="2675">
        <f t="shared" si="253"/>
        <v>0</v>
      </c>
      <c r="BE437" s="2675">
        <f t="shared" si="254"/>
        <v>0</v>
      </c>
      <c r="BF437" s="2675">
        <f t="shared" si="255"/>
        <v>0</v>
      </c>
      <c r="BG437" s="2675">
        <f t="shared" si="256"/>
        <v>0</v>
      </c>
      <c r="BH437" s="2675">
        <f t="shared" si="257"/>
        <v>0</v>
      </c>
      <c r="BI437" s="2675">
        <f t="shared" si="258"/>
        <v>0</v>
      </c>
      <c r="BJ437" s="2675">
        <f t="shared" si="259"/>
        <v>0</v>
      </c>
      <c r="BK437" s="2675">
        <f t="shared" si="260"/>
        <v>0</v>
      </c>
      <c r="BL437" s="2675">
        <f t="shared" si="261"/>
        <v>0</v>
      </c>
      <c r="BM437" s="2675">
        <f t="shared" si="262"/>
        <v>0</v>
      </c>
      <c r="BN437" s="2675">
        <f t="shared" si="263"/>
        <v>0</v>
      </c>
      <c r="BO437" s="2675">
        <f t="shared" si="264"/>
        <v>0</v>
      </c>
      <c r="BP437" s="2675">
        <f t="shared" si="265"/>
        <v>0</v>
      </c>
      <c r="BQ437" s="2675">
        <f t="shared" si="266"/>
        <v>0</v>
      </c>
      <c r="BR437" s="2675">
        <f t="shared" si="267"/>
        <v>0</v>
      </c>
      <c r="BS437" s="2675">
        <f t="shared" si="268"/>
        <v>0</v>
      </c>
      <c r="BT437" s="2722">
        <f t="shared" si="269"/>
        <v>0</v>
      </c>
    </row>
    <row r="438" spans="1:72">
      <c r="A438" s="2673"/>
      <c r="B438" s="2674"/>
      <c r="C438" s="2674"/>
      <c r="D438" s="2277"/>
      <c r="E438" s="2675">
        <f t="shared" si="241"/>
        <v>0</v>
      </c>
      <c r="F438" s="2676"/>
      <c r="G438" s="2677">
        <f t="shared" si="242"/>
        <v>0</v>
      </c>
      <c r="H438" s="2678">
        <f t="shared" si="243"/>
        <v>0</v>
      </c>
      <c r="I438" s="2685"/>
      <c r="J438" s="2685"/>
      <c r="K438" s="2685"/>
      <c r="L438" s="2685"/>
      <c r="M438" s="2685"/>
      <c r="N438" s="2685"/>
      <c r="O438" s="2685"/>
      <c r="P438" s="2685"/>
      <c r="Q438" s="2685"/>
      <c r="R438" s="2685"/>
      <c r="S438" s="2685"/>
      <c r="T438" s="2685"/>
      <c r="U438" s="2685"/>
      <c r="V438" s="2685"/>
      <c r="W438" s="2685"/>
      <c r="X438" s="2685"/>
      <c r="Y438" s="2685"/>
      <c r="Z438" s="2685"/>
      <c r="AA438" s="2685"/>
      <c r="AB438" s="2685"/>
      <c r="AC438" s="2675">
        <f t="shared" si="244"/>
        <v>0</v>
      </c>
      <c r="AD438" s="2695"/>
      <c r="AE438" s="2695"/>
      <c r="AF438" s="2695"/>
      <c r="AG438" s="2695"/>
      <c r="AH438" s="2695"/>
      <c r="AI438" s="2695"/>
      <c r="AJ438" s="2695"/>
      <c r="AK438" s="2695"/>
      <c r="AL438" s="2695"/>
      <c r="AM438" s="2695"/>
      <c r="AN438" s="2695"/>
      <c r="AO438" s="2695"/>
      <c r="AP438" s="2695"/>
      <c r="AQ438" s="2695"/>
      <c r="AR438" s="2695"/>
      <c r="AS438" s="2695"/>
      <c r="AT438" s="2703"/>
      <c r="AU438" s="2704"/>
      <c r="AV438" s="1074">
        <f t="shared" si="245"/>
        <v>0</v>
      </c>
      <c r="AW438" s="1074">
        <f t="shared" si="246"/>
        <v>0</v>
      </c>
      <c r="AX438" s="1074">
        <f t="shared" si="247"/>
        <v>0</v>
      </c>
      <c r="AY438" s="2279">
        <f t="shared" si="248"/>
        <v>0</v>
      </c>
      <c r="AZ438" s="2675">
        <f t="shared" si="249"/>
        <v>0</v>
      </c>
      <c r="BA438" s="2675">
        <f t="shared" si="250"/>
        <v>0</v>
      </c>
      <c r="BB438" s="2675">
        <f t="shared" si="251"/>
        <v>0</v>
      </c>
      <c r="BC438" s="2675">
        <f t="shared" si="252"/>
        <v>0</v>
      </c>
      <c r="BD438" s="2675">
        <f t="shared" si="253"/>
        <v>0</v>
      </c>
      <c r="BE438" s="2675">
        <f t="shared" si="254"/>
        <v>0</v>
      </c>
      <c r="BF438" s="2675">
        <f t="shared" si="255"/>
        <v>0</v>
      </c>
      <c r="BG438" s="2675">
        <f t="shared" si="256"/>
        <v>0</v>
      </c>
      <c r="BH438" s="2675">
        <f t="shared" si="257"/>
        <v>0</v>
      </c>
      <c r="BI438" s="2675">
        <f t="shared" si="258"/>
        <v>0</v>
      </c>
      <c r="BJ438" s="2675">
        <f t="shared" si="259"/>
        <v>0</v>
      </c>
      <c r="BK438" s="2675">
        <f t="shared" si="260"/>
        <v>0</v>
      </c>
      <c r="BL438" s="2675">
        <f t="shared" si="261"/>
        <v>0</v>
      </c>
      <c r="BM438" s="2675">
        <f t="shared" si="262"/>
        <v>0</v>
      </c>
      <c r="BN438" s="2675">
        <f t="shared" si="263"/>
        <v>0</v>
      </c>
      <c r="BO438" s="2675">
        <f t="shared" si="264"/>
        <v>0</v>
      </c>
      <c r="BP438" s="2675">
        <f t="shared" si="265"/>
        <v>0</v>
      </c>
      <c r="BQ438" s="2675">
        <f t="shared" si="266"/>
        <v>0</v>
      </c>
      <c r="BR438" s="2675">
        <f t="shared" si="267"/>
        <v>0</v>
      </c>
      <c r="BS438" s="2675">
        <f t="shared" si="268"/>
        <v>0</v>
      </c>
      <c r="BT438" s="2722">
        <f t="shared" si="269"/>
        <v>0</v>
      </c>
    </row>
    <row r="439" spans="1:72">
      <c r="A439" s="2673"/>
      <c r="B439" s="2674"/>
      <c r="C439" s="2674"/>
      <c r="D439" s="2277"/>
      <c r="E439" s="2675">
        <f t="shared" si="241"/>
        <v>0</v>
      </c>
      <c r="F439" s="2676"/>
      <c r="G439" s="2677">
        <f t="shared" si="242"/>
        <v>0</v>
      </c>
      <c r="H439" s="2678">
        <f t="shared" si="243"/>
        <v>0</v>
      </c>
      <c r="I439" s="2685"/>
      <c r="J439" s="2685"/>
      <c r="K439" s="2685"/>
      <c r="L439" s="2685"/>
      <c r="M439" s="2685"/>
      <c r="N439" s="2685"/>
      <c r="O439" s="2685"/>
      <c r="P439" s="2685"/>
      <c r="Q439" s="2685"/>
      <c r="R439" s="2685"/>
      <c r="S439" s="2685"/>
      <c r="T439" s="2685"/>
      <c r="U439" s="2685"/>
      <c r="V439" s="2685"/>
      <c r="W439" s="2685"/>
      <c r="X439" s="2685"/>
      <c r="Y439" s="2685"/>
      <c r="Z439" s="2685"/>
      <c r="AA439" s="2685"/>
      <c r="AB439" s="2685"/>
      <c r="AC439" s="2675">
        <f t="shared" si="244"/>
        <v>0</v>
      </c>
      <c r="AD439" s="2695"/>
      <c r="AE439" s="2695"/>
      <c r="AF439" s="2695"/>
      <c r="AG439" s="2695"/>
      <c r="AH439" s="2695"/>
      <c r="AI439" s="2695"/>
      <c r="AJ439" s="2695"/>
      <c r="AK439" s="2695"/>
      <c r="AL439" s="2695"/>
      <c r="AM439" s="2695"/>
      <c r="AN439" s="2695"/>
      <c r="AO439" s="2695"/>
      <c r="AP439" s="2695"/>
      <c r="AQ439" s="2695"/>
      <c r="AR439" s="2695"/>
      <c r="AS439" s="2695"/>
      <c r="AT439" s="2703"/>
      <c r="AU439" s="2704"/>
      <c r="AV439" s="1074">
        <f t="shared" si="245"/>
        <v>0</v>
      </c>
      <c r="AW439" s="1074">
        <f t="shared" si="246"/>
        <v>0</v>
      </c>
      <c r="AX439" s="1074">
        <f t="shared" si="247"/>
        <v>0</v>
      </c>
      <c r="AY439" s="2279">
        <f t="shared" si="248"/>
        <v>0</v>
      </c>
      <c r="AZ439" s="2675">
        <f t="shared" si="249"/>
        <v>0</v>
      </c>
      <c r="BA439" s="2675">
        <f t="shared" si="250"/>
        <v>0</v>
      </c>
      <c r="BB439" s="2675">
        <f t="shared" si="251"/>
        <v>0</v>
      </c>
      <c r="BC439" s="2675">
        <f t="shared" si="252"/>
        <v>0</v>
      </c>
      <c r="BD439" s="2675">
        <f t="shared" si="253"/>
        <v>0</v>
      </c>
      <c r="BE439" s="2675">
        <f t="shared" si="254"/>
        <v>0</v>
      </c>
      <c r="BF439" s="2675">
        <f t="shared" si="255"/>
        <v>0</v>
      </c>
      <c r="BG439" s="2675">
        <f t="shared" si="256"/>
        <v>0</v>
      </c>
      <c r="BH439" s="2675">
        <f t="shared" si="257"/>
        <v>0</v>
      </c>
      <c r="BI439" s="2675">
        <f t="shared" si="258"/>
        <v>0</v>
      </c>
      <c r="BJ439" s="2675">
        <f t="shared" si="259"/>
        <v>0</v>
      </c>
      <c r="BK439" s="2675">
        <f t="shared" si="260"/>
        <v>0</v>
      </c>
      <c r="BL439" s="2675">
        <f t="shared" si="261"/>
        <v>0</v>
      </c>
      <c r="BM439" s="2675">
        <f t="shared" si="262"/>
        <v>0</v>
      </c>
      <c r="BN439" s="2675">
        <f t="shared" si="263"/>
        <v>0</v>
      </c>
      <c r="BO439" s="2675">
        <f t="shared" si="264"/>
        <v>0</v>
      </c>
      <c r="BP439" s="2675">
        <f t="shared" si="265"/>
        <v>0</v>
      </c>
      <c r="BQ439" s="2675">
        <f t="shared" si="266"/>
        <v>0</v>
      </c>
      <c r="BR439" s="2675">
        <f t="shared" si="267"/>
        <v>0</v>
      </c>
      <c r="BS439" s="2675">
        <f t="shared" si="268"/>
        <v>0</v>
      </c>
      <c r="BT439" s="2722">
        <f t="shared" si="269"/>
        <v>0</v>
      </c>
    </row>
    <row r="440" spans="1:72">
      <c r="A440" s="2673"/>
      <c r="B440" s="2674"/>
      <c r="C440" s="2674"/>
      <c r="D440" s="2277"/>
      <c r="E440" s="2675">
        <f t="shared" si="241"/>
        <v>0</v>
      </c>
      <c r="F440" s="2676"/>
      <c r="G440" s="2677">
        <f t="shared" si="242"/>
        <v>0</v>
      </c>
      <c r="H440" s="2678">
        <f t="shared" si="243"/>
        <v>0</v>
      </c>
      <c r="I440" s="2685"/>
      <c r="J440" s="2685"/>
      <c r="K440" s="2685"/>
      <c r="L440" s="2685"/>
      <c r="M440" s="2685"/>
      <c r="N440" s="2685"/>
      <c r="O440" s="2685"/>
      <c r="P440" s="2685"/>
      <c r="Q440" s="2685"/>
      <c r="R440" s="2685"/>
      <c r="S440" s="2685"/>
      <c r="T440" s="2685"/>
      <c r="U440" s="2685"/>
      <c r="V440" s="2685"/>
      <c r="W440" s="2685"/>
      <c r="X440" s="2685"/>
      <c r="Y440" s="2685"/>
      <c r="Z440" s="2685"/>
      <c r="AA440" s="2685"/>
      <c r="AB440" s="2685"/>
      <c r="AC440" s="2675">
        <f t="shared" si="244"/>
        <v>0</v>
      </c>
      <c r="AD440" s="2695"/>
      <c r="AE440" s="2695"/>
      <c r="AF440" s="2695"/>
      <c r="AG440" s="2695"/>
      <c r="AH440" s="2695"/>
      <c r="AI440" s="2695"/>
      <c r="AJ440" s="2695"/>
      <c r="AK440" s="2695"/>
      <c r="AL440" s="2695"/>
      <c r="AM440" s="2695"/>
      <c r="AN440" s="2695"/>
      <c r="AO440" s="2695"/>
      <c r="AP440" s="2695"/>
      <c r="AQ440" s="2695"/>
      <c r="AR440" s="2695"/>
      <c r="AS440" s="2695"/>
      <c r="AT440" s="2703"/>
      <c r="AU440" s="2704"/>
      <c r="AV440" s="1074">
        <f t="shared" si="245"/>
        <v>0</v>
      </c>
      <c r="AW440" s="1074">
        <f t="shared" si="246"/>
        <v>0</v>
      </c>
      <c r="AX440" s="1074">
        <f t="shared" si="247"/>
        <v>0</v>
      </c>
      <c r="AY440" s="2279">
        <f t="shared" si="248"/>
        <v>0</v>
      </c>
      <c r="AZ440" s="2675">
        <f t="shared" si="249"/>
        <v>0</v>
      </c>
      <c r="BA440" s="2675">
        <f t="shared" si="250"/>
        <v>0</v>
      </c>
      <c r="BB440" s="2675">
        <f t="shared" si="251"/>
        <v>0</v>
      </c>
      <c r="BC440" s="2675">
        <f t="shared" si="252"/>
        <v>0</v>
      </c>
      <c r="BD440" s="2675">
        <f t="shared" si="253"/>
        <v>0</v>
      </c>
      <c r="BE440" s="2675">
        <f t="shared" si="254"/>
        <v>0</v>
      </c>
      <c r="BF440" s="2675">
        <f t="shared" si="255"/>
        <v>0</v>
      </c>
      <c r="BG440" s="2675">
        <f t="shared" si="256"/>
        <v>0</v>
      </c>
      <c r="BH440" s="2675">
        <f t="shared" si="257"/>
        <v>0</v>
      </c>
      <c r="BI440" s="2675">
        <f t="shared" si="258"/>
        <v>0</v>
      </c>
      <c r="BJ440" s="2675">
        <f t="shared" si="259"/>
        <v>0</v>
      </c>
      <c r="BK440" s="2675">
        <f t="shared" si="260"/>
        <v>0</v>
      </c>
      <c r="BL440" s="2675">
        <f t="shared" si="261"/>
        <v>0</v>
      </c>
      <c r="BM440" s="2675">
        <f t="shared" si="262"/>
        <v>0</v>
      </c>
      <c r="BN440" s="2675">
        <f t="shared" si="263"/>
        <v>0</v>
      </c>
      <c r="BO440" s="2675">
        <f t="shared" si="264"/>
        <v>0</v>
      </c>
      <c r="BP440" s="2675">
        <f t="shared" si="265"/>
        <v>0</v>
      </c>
      <c r="BQ440" s="2675">
        <f t="shared" si="266"/>
        <v>0</v>
      </c>
      <c r="BR440" s="2675">
        <f t="shared" si="267"/>
        <v>0</v>
      </c>
      <c r="BS440" s="2675">
        <f t="shared" si="268"/>
        <v>0</v>
      </c>
      <c r="BT440" s="2722">
        <f t="shared" si="269"/>
        <v>0</v>
      </c>
    </row>
    <row r="441" spans="1:72">
      <c r="A441" s="2673"/>
      <c r="B441" s="2674"/>
      <c r="C441" s="2674"/>
      <c r="D441" s="2277"/>
      <c r="E441" s="2675">
        <f t="shared" si="241"/>
        <v>0</v>
      </c>
      <c r="F441" s="2676"/>
      <c r="G441" s="2677">
        <f t="shared" si="242"/>
        <v>0</v>
      </c>
      <c r="H441" s="2678">
        <f t="shared" si="243"/>
        <v>0</v>
      </c>
      <c r="I441" s="2685"/>
      <c r="J441" s="2685"/>
      <c r="K441" s="2685"/>
      <c r="L441" s="2685"/>
      <c r="M441" s="2685"/>
      <c r="N441" s="2685"/>
      <c r="O441" s="2685"/>
      <c r="P441" s="2685"/>
      <c r="Q441" s="2685"/>
      <c r="R441" s="2685"/>
      <c r="S441" s="2685"/>
      <c r="T441" s="2685"/>
      <c r="U441" s="2685"/>
      <c r="V441" s="2685"/>
      <c r="W441" s="2685"/>
      <c r="X441" s="2685"/>
      <c r="Y441" s="2685"/>
      <c r="Z441" s="2685"/>
      <c r="AA441" s="2685"/>
      <c r="AB441" s="2685"/>
      <c r="AC441" s="2675">
        <f t="shared" si="244"/>
        <v>0</v>
      </c>
      <c r="AD441" s="2695"/>
      <c r="AE441" s="2695"/>
      <c r="AF441" s="2695"/>
      <c r="AG441" s="2695"/>
      <c r="AH441" s="2695"/>
      <c r="AI441" s="2695"/>
      <c r="AJ441" s="2695"/>
      <c r="AK441" s="2695"/>
      <c r="AL441" s="2695"/>
      <c r="AM441" s="2695"/>
      <c r="AN441" s="2695"/>
      <c r="AO441" s="2695"/>
      <c r="AP441" s="2695"/>
      <c r="AQ441" s="2695"/>
      <c r="AR441" s="2695"/>
      <c r="AS441" s="2695"/>
      <c r="AT441" s="2703"/>
      <c r="AU441" s="2704"/>
      <c r="AV441" s="1074">
        <f t="shared" si="245"/>
        <v>0</v>
      </c>
      <c r="AW441" s="1074">
        <f t="shared" si="246"/>
        <v>0</v>
      </c>
      <c r="AX441" s="1074">
        <f t="shared" si="247"/>
        <v>0</v>
      </c>
      <c r="AY441" s="2279">
        <f t="shared" si="248"/>
        <v>0</v>
      </c>
      <c r="AZ441" s="2675">
        <f t="shared" si="249"/>
        <v>0</v>
      </c>
      <c r="BA441" s="2675">
        <f t="shared" si="250"/>
        <v>0</v>
      </c>
      <c r="BB441" s="2675">
        <f t="shared" si="251"/>
        <v>0</v>
      </c>
      <c r="BC441" s="2675">
        <f t="shared" si="252"/>
        <v>0</v>
      </c>
      <c r="BD441" s="2675">
        <f t="shared" si="253"/>
        <v>0</v>
      </c>
      <c r="BE441" s="2675">
        <f t="shared" si="254"/>
        <v>0</v>
      </c>
      <c r="BF441" s="2675">
        <f t="shared" si="255"/>
        <v>0</v>
      </c>
      <c r="BG441" s="2675">
        <f t="shared" si="256"/>
        <v>0</v>
      </c>
      <c r="BH441" s="2675">
        <f t="shared" si="257"/>
        <v>0</v>
      </c>
      <c r="BI441" s="2675">
        <f t="shared" si="258"/>
        <v>0</v>
      </c>
      <c r="BJ441" s="2675">
        <f t="shared" si="259"/>
        <v>0</v>
      </c>
      <c r="BK441" s="2675">
        <f t="shared" si="260"/>
        <v>0</v>
      </c>
      <c r="BL441" s="2675">
        <f t="shared" si="261"/>
        <v>0</v>
      </c>
      <c r="BM441" s="2675">
        <f t="shared" si="262"/>
        <v>0</v>
      </c>
      <c r="BN441" s="2675">
        <f t="shared" si="263"/>
        <v>0</v>
      </c>
      <c r="BO441" s="2675">
        <f t="shared" si="264"/>
        <v>0</v>
      </c>
      <c r="BP441" s="2675">
        <f t="shared" si="265"/>
        <v>0</v>
      </c>
      <c r="BQ441" s="2675">
        <f t="shared" si="266"/>
        <v>0</v>
      </c>
      <c r="BR441" s="2675">
        <f t="shared" si="267"/>
        <v>0</v>
      </c>
      <c r="BS441" s="2675">
        <f t="shared" si="268"/>
        <v>0</v>
      </c>
      <c r="BT441" s="2722">
        <f t="shared" si="269"/>
        <v>0</v>
      </c>
    </row>
    <row r="442" spans="1:72">
      <c r="A442" s="2673"/>
      <c r="B442" s="2674"/>
      <c r="C442" s="2674"/>
      <c r="D442" s="2277"/>
      <c r="E442" s="2675">
        <f t="shared" si="241"/>
        <v>0</v>
      </c>
      <c r="F442" s="2676"/>
      <c r="G442" s="2677">
        <f t="shared" si="242"/>
        <v>0</v>
      </c>
      <c r="H442" s="2678">
        <f t="shared" si="243"/>
        <v>0</v>
      </c>
      <c r="I442" s="2685"/>
      <c r="J442" s="2685"/>
      <c r="K442" s="2685"/>
      <c r="L442" s="2685"/>
      <c r="M442" s="2685"/>
      <c r="N442" s="2685"/>
      <c r="O442" s="2685"/>
      <c r="P442" s="2685"/>
      <c r="Q442" s="2685"/>
      <c r="R442" s="2685"/>
      <c r="S442" s="2685"/>
      <c r="T442" s="2685"/>
      <c r="U442" s="2685"/>
      <c r="V442" s="2685"/>
      <c r="W442" s="2685"/>
      <c r="X442" s="2685"/>
      <c r="Y442" s="2685"/>
      <c r="Z442" s="2685"/>
      <c r="AA442" s="2685"/>
      <c r="AB442" s="2685"/>
      <c r="AC442" s="2675">
        <f t="shared" si="244"/>
        <v>0</v>
      </c>
      <c r="AD442" s="2695"/>
      <c r="AE442" s="2695"/>
      <c r="AF442" s="2695"/>
      <c r="AG442" s="2695"/>
      <c r="AH442" s="2695"/>
      <c r="AI442" s="2695"/>
      <c r="AJ442" s="2695"/>
      <c r="AK442" s="2695"/>
      <c r="AL442" s="2695"/>
      <c r="AM442" s="2695"/>
      <c r="AN442" s="2695"/>
      <c r="AO442" s="2695"/>
      <c r="AP442" s="2695"/>
      <c r="AQ442" s="2695"/>
      <c r="AR442" s="2695"/>
      <c r="AS442" s="2695"/>
      <c r="AT442" s="2703"/>
      <c r="AU442" s="2704"/>
      <c r="AV442" s="1074">
        <f t="shared" si="245"/>
        <v>0</v>
      </c>
      <c r="AW442" s="1074">
        <f t="shared" si="246"/>
        <v>0</v>
      </c>
      <c r="AX442" s="1074">
        <f t="shared" si="247"/>
        <v>0</v>
      </c>
      <c r="AY442" s="2279">
        <f t="shared" si="248"/>
        <v>0</v>
      </c>
      <c r="AZ442" s="2675">
        <f t="shared" si="249"/>
        <v>0</v>
      </c>
      <c r="BA442" s="2675">
        <f t="shared" si="250"/>
        <v>0</v>
      </c>
      <c r="BB442" s="2675">
        <f t="shared" si="251"/>
        <v>0</v>
      </c>
      <c r="BC442" s="2675">
        <f t="shared" si="252"/>
        <v>0</v>
      </c>
      <c r="BD442" s="2675">
        <f t="shared" si="253"/>
        <v>0</v>
      </c>
      <c r="BE442" s="2675">
        <f t="shared" si="254"/>
        <v>0</v>
      </c>
      <c r="BF442" s="2675">
        <f t="shared" si="255"/>
        <v>0</v>
      </c>
      <c r="BG442" s="2675">
        <f t="shared" si="256"/>
        <v>0</v>
      </c>
      <c r="BH442" s="2675">
        <f t="shared" si="257"/>
        <v>0</v>
      </c>
      <c r="BI442" s="2675">
        <f t="shared" si="258"/>
        <v>0</v>
      </c>
      <c r="BJ442" s="2675">
        <f t="shared" si="259"/>
        <v>0</v>
      </c>
      <c r="BK442" s="2675">
        <f t="shared" si="260"/>
        <v>0</v>
      </c>
      <c r="BL442" s="2675">
        <f t="shared" si="261"/>
        <v>0</v>
      </c>
      <c r="BM442" s="2675">
        <f t="shared" si="262"/>
        <v>0</v>
      </c>
      <c r="BN442" s="2675">
        <f t="shared" si="263"/>
        <v>0</v>
      </c>
      <c r="BO442" s="2675">
        <f t="shared" si="264"/>
        <v>0</v>
      </c>
      <c r="BP442" s="2675">
        <f t="shared" si="265"/>
        <v>0</v>
      </c>
      <c r="BQ442" s="2675">
        <f t="shared" si="266"/>
        <v>0</v>
      </c>
      <c r="BR442" s="2675">
        <f t="shared" si="267"/>
        <v>0</v>
      </c>
      <c r="BS442" s="2675">
        <f t="shared" si="268"/>
        <v>0</v>
      </c>
      <c r="BT442" s="2722">
        <f t="shared" si="269"/>
        <v>0</v>
      </c>
    </row>
    <row r="443" spans="1:72">
      <c r="A443" s="2673"/>
      <c r="B443" s="2674"/>
      <c r="C443" s="2674"/>
      <c r="D443" s="2277"/>
      <c r="E443" s="2675">
        <f t="shared" si="241"/>
        <v>0</v>
      </c>
      <c r="F443" s="2676"/>
      <c r="G443" s="2677">
        <f t="shared" si="242"/>
        <v>0</v>
      </c>
      <c r="H443" s="2678">
        <f t="shared" si="243"/>
        <v>0</v>
      </c>
      <c r="I443" s="2685"/>
      <c r="J443" s="2685"/>
      <c r="K443" s="2685"/>
      <c r="L443" s="2685"/>
      <c r="M443" s="2685"/>
      <c r="N443" s="2685"/>
      <c r="O443" s="2685"/>
      <c r="P443" s="2685"/>
      <c r="Q443" s="2685"/>
      <c r="R443" s="2685"/>
      <c r="S443" s="2685"/>
      <c r="T443" s="2685"/>
      <c r="U443" s="2685"/>
      <c r="V443" s="2685"/>
      <c r="W443" s="2685"/>
      <c r="X443" s="2685"/>
      <c r="Y443" s="2685"/>
      <c r="Z443" s="2685"/>
      <c r="AA443" s="2685"/>
      <c r="AB443" s="2685"/>
      <c r="AC443" s="2675">
        <f t="shared" si="244"/>
        <v>0</v>
      </c>
      <c r="AD443" s="2695"/>
      <c r="AE443" s="2695"/>
      <c r="AF443" s="2695"/>
      <c r="AG443" s="2695"/>
      <c r="AH443" s="2695"/>
      <c r="AI443" s="2695"/>
      <c r="AJ443" s="2695"/>
      <c r="AK443" s="2695"/>
      <c r="AL443" s="2695"/>
      <c r="AM443" s="2695"/>
      <c r="AN443" s="2695"/>
      <c r="AO443" s="2695"/>
      <c r="AP443" s="2695"/>
      <c r="AQ443" s="2695"/>
      <c r="AR443" s="2695"/>
      <c r="AS443" s="2695"/>
      <c r="AT443" s="2703"/>
      <c r="AU443" s="2704"/>
      <c r="AV443" s="1074">
        <f t="shared" si="245"/>
        <v>0</v>
      </c>
      <c r="AW443" s="1074">
        <f t="shared" si="246"/>
        <v>0</v>
      </c>
      <c r="AX443" s="1074">
        <f t="shared" si="247"/>
        <v>0</v>
      </c>
      <c r="AY443" s="2279">
        <f t="shared" si="248"/>
        <v>0</v>
      </c>
      <c r="AZ443" s="2675">
        <f t="shared" si="249"/>
        <v>0</v>
      </c>
      <c r="BA443" s="2675">
        <f t="shared" si="250"/>
        <v>0</v>
      </c>
      <c r="BB443" s="2675">
        <f t="shared" si="251"/>
        <v>0</v>
      </c>
      <c r="BC443" s="2675">
        <f t="shared" si="252"/>
        <v>0</v>
      </c>
      <c r="BD443" s="2675">
        <f t="shared" si="253"/>
        <v>0</v>
      </c>
      <c r="BE443" s="2675">
        <f t="shared" si="254"/>
        <v>0</v>
      </c>
      <c r="BF443" s="2675">
        <f t="shared" si="255"/>
        <v>0</v>
      </c>
      <c r="BG443" s="2675">
        <f t="shared" si="256"/>
        <v>0</v>
      </c>
      <c r="BH443" s="2675">
        <f t="shared" si="257"/>
        <v>0</v>
      </c>
      <c r="BI443" s="2675">
        <f t="shared" si="258"/>
        <v>0</v>
      </c>
      <c r="BJ443" s="2675">
        <f t="shared" si="259"/>
        <v>0</v>
      </c>
      <c r="BK443" s="2675">
        <f t="shared" si="260"/>
        <v>0</v>
      </c>
      <c r="BL443" s="2675">
        <f t="shared" si="261"/>
        <v>0</v>
      </c>
      <c r="BM443" s="2675">
        <f t="shared" si="262"/>
        <v>0</v>
      </c>
      <c r="BN443" s="2675">
        <f t="shared" si="263"/>
        <v>0</v>
      </c>
      <c r="BO443" s="2675">
        <f t="shared" si="264"/>
        <v>0</v>
      </c>
      <c r="BP443" s="2675">
        <f t="shared" si="265"/>
        <v>0</v>
      </c>
      <c r="BQ443" s="2675">
        <f t="shared" si="266"/>
        <v>0</v>
      </c>
      <c r="BR443" s="2675">
        <f t="shared" si="267"/>
        <v>0</v>
      </c>
      <c r="BS443" s="2675">
        <f t="shared" si="268"/>
        <v>0</v>
      </c>
      <c r="BT443" s="2722">
        <f t="shared" si="269"/>
        <v>0</v>
      </c>
    </row>
    <row r="444" spans="1:72">
      <c r="A444" s="2673"/>
      <c r="B444" s="2674"/>
      <c r="C444" s="2674"/>
      <c r="D444" s="2277"/>
      <c r="E444" s="2675">
        <f t="shared" si="241"/>
        <v>0</v>
      </c>
      <c r="F444" s="2676"/>
      <c r="G444" s="2677">
        <f t="shared" si="242"/>
        <v>0</v>
      </c>
      <c r="H444" s="2678">
        <f t="shared" si="243"/>
        <v>0</v>
      </c>
      <c r="I444" s="2685"/>
      <c r="J444" s="2685"/>
      <c r="K444" s="2685"/>
      <c r="L444" s="2685"/>
      <c r="M444" s="2685"/>
      <c r="N444" s="2685"/>
      <c r="O444" s="2685"/>
      <c r="P444" s="2685"/>
      <c r="Q444" s="2685"/>
      <c r="R444" s="2685"/>
      <c r="S444" s="2685"/>
      <c r="T444" s="2685"/>
      <c r="U444" s="2685"/>
      <c r="V444" s="2685"/>
      <c r="W444" s="2685"/>
      <c r="X444" s="2685"/>
      <c r="Y444" s="2685"/>
      <c r="Z444" s="2685"/>
      <c r="AA444" s="2685"/>
      <c r="AB444" s="2685"/>
      <c r="AC444" s="2675">
        <f t="shared" si="244"/>
        <v>0</v>
      </c>
      <c r="AD444" s="2695"/>
      <c r="AE444" s="2695"/>
      <c r="AF444" s="2695"/>
      <c r="AG444" s="2695"/>
      <c r="AH444" s="2695"/>
      <c r="AI444" s="2695"/>
      <c r="AJ444" s="2695"/>
      <c r="AK444" s="2695"/>
      <c r="AL444" s="2695"/>
      <c r="AM444" s="2695"/>
      <c r="AN444" s="2695"/>
      <c r="AO444" s="2695"/>
      <c r="AP444" s="2695"/>
      <c r="AQ444" s="2695"/>
      <c r="AR444" s="2695"/>
      <c r="AS444" s="2695"/>
      <c r="AT444" s="2703"/>
      <c r="AU444" s="2704"/>
      <c r="AV444" s="1074">
        <f t="shared" si="245"/>
        <v>0</v>
      </c>
      <c r="AW444" s="1074">
        <f t="shared" si="246"/>
        <v>0</v>
      </c>
      <c r="AX444" s="1074">
        <f t="shared" si="247"/>
        <v>0</v>
      </c>
      <c r="AY444" s="2279">
        <f t="shared" si="248"/>
        <v>0</v>
      </c>
      <c r="AZ444" s="2675">
        <f t="shared" si="249"/>
        <v>0</v>
      </c>
      <c r="BA444" s="2675">
        <f t="shared" si="250"/>
        <v>0</v>
      </c>
      <c r="BB444" s="2675">
        <f t="shared" si="251"/>
        <v>0</v>
      </c>
      <c r="BC444" s="2675">
        <f t="shared" si="252"/>
        <v>0</v>
      </c>
      <c r="BD444" s="2675">
        <f t="shared" si="253"/>
        <v>0</v>
      </c>
      <c r="BE444" s="2675">
        <f t="shared" si="254"/>
        <v>0</v>
      </c>
      <c r="BF444" s="2675">
        <f t="shared" si="255"/>
        <v>0</v>
      </c>
      <c r="BG444" s="2675">
        <f t="shared" si="256"/>
        <v>0</v>
      </c>
      <c r="BH444" s="2675">
        <f t="shared" si="257"/>
        <v>0</v>
      </c>
      <c r="BI444" s="2675">
        <f t="shared" si="258"/>
        <v>0</v>
      </c>
      <c r="BJ444" s="2675">
        <f t="shared" si="259"/>
        <v>0</v>
      </c>
      <c r="BK444" s="2675">
        <f t="shared" si="260"/>
        <v>0</v>
      </c>
      <c r="BL444" s="2675">
        <f t="shared" si="261"/>
        <v>0</v>
      </c>
      <c r="BM444" s="2675">
        <f t="shared" si="262"/>
        <v>0</v>
      </c>
      <c r="BN444" s="2675">
        <f t="shared" si="263"/>
        <v>0</v>
      </c>
      <c r="BO444" s="2675">
        <f t="shared" si="264"/>
        <v>0</v>
      </c>
      <c r="BP444" s="2675">
        <f t="shared" si="265"/>
        <v>0</v>
      </c>
      <c r="BQ444" s="2675">
        <f t="shared" si="266"/>
        <v>0</v>
      </c>
      <c r="BR444" s="2675">
        <f t="shared" si="267"/>
        <v>0</v>
      </c>
      <c r="BS444" s="2675">
        <f t="shared" si="268"/>
        <v>0</v>
      </c>
      <c r="BT444" s="2722">
        <f t="shared" si="269"/>
        <v>0</v>
      </c>
    </row>
    <row r="445" spans="1:72">
      <c r="A445" s="2673"/>
      <c r="B445" s="2674"/>
      <c r="C445" s="2674"/>
      <c r="D445" s="2277"/>
      <c r="E445" s="2675">
        <f t="shared" si="241"/>
        <v>0</v>
      </c>
      <c r="F445" s="2676"/>
      <c r="G445" s="2677">
        <f t="shared" si="242"/>
        <v>0</v>
      </c>
      <c r="H445" s="2678">
        <f t="shared" si="243"/>
        <v>0</v>
      </c>
      <c r="I445" s="2685"/>
      <c r="J445" s="2685"/>
      <c r="K445" s="2685"/>
      <c r="L445" s="2685"/>
      <c r="M445" s="2685"/>
      <c r="N445" s="2685"/>
      <c r="O445" s="2685"/>
      <c r="P445" s="2685"/>
      <c r="Q445" s="2685"/>
      <c r="R445" s="2685"/>
      <c r="S445" s="2685"/>
      <c r="T445" s="2685"/>
      <c r="U445" s="2685"/>
      <c r="V445" s="2685"/>
      <c r="W445" s="2685"/>
      <c r="X445" s="2685"/>
      <c r="Y445" s="2685"/>
      <c r="Z445" s="2685"/>
      <c r="AA445" s="2685"/>
      <c r="AB445" s="2685"/>
      <c r="AC445" s="2675">
        <f t="shared" si="244"/>
        <v>0</v>
      </c>
      <c r="AD445" s="2695"/>
      <c r="AE445" s="2695"/>
      <c r="AF445" s="2695"/>
      <c r="AG445" s="2695"/>
      <c r="AH445" s="2695"/>
      <c r="AI445" s="2695"/>
      <c r="AJ445" s="2695"/>
      <c r="AK445" s="2695"/>
      <c r="AL445" s="2695"/>
      <c r="AM445" s="2695"/>
      <c r="AN445" s="2695"/>
      <c r="AO445" s="2695"/>
      <c r="AP445" s="2695"/>
      <c r="AQ445" s="2695"/>
      <c r="AR445" s="2695"/>
      <c r="AS445" s="2695"/>
      <c r="AT445" s="2703"/>
      <c r="AU445" s="2704"/>
      <c r="AV445" s="1074">
        <f t="shared" si="245"/>
        <v>0</v>
      </c>
      <c r="AW445" s="1074">
        <f t="shared" si="246"/>
        <v>0</v>
      </c>
      <c r="AX445" s="1074">
        <f t="shared" si="247"/>
        <v>0</v>
      </c>
      <c r="AY445" s="2279">
        <f t="shared" si="248"/>
        <v>0</v>
      </c>
      <c r="AZ445" s="2675">
        <f t="shared" si="249"/>
        <v>0</v>
      </c>
      <c r="BA445" s="2675">
        <f t="shared" si="250"/>
        <v>0</v>
      </c>
      <c r="BB445" s="2675">
        <f t="shared" si="251"/>
        <v>0</v>
      </c>
      <c r="BC445" s="2675">
        <f t="shared" si="252"/>
        <v>0</v>
      </c>
      <c r="BD445" s="2675">
        <f t="shared" si="253"/>
        <v>0</v>
      </c>
      <c r="BE445" s="2675">
        <f t="shared" si="254"/>
        <v>0</v>
      </c>
      <c r="BF445" s="2675">
        <f t="shared" si="255"/>
        <v>0</v>
      </c>
      <c r="BG445" s="2675">
        <f t="shared" si="256"/>
        <v>0</v>
      </c>
      <c r="BH445" s="2675">
        <f t="shared" si="257"/>
        <v>0</v>
      </c>
      <c r="BI445" s="2675">
        <f t="shared" si="258"/>
        <v>0</v>
      </c>
      <c r="BJ445" s="2675">
        <f t="shared" si="259"/>
        <v>0</v>
      </c>
      <c r="BK445" s="2675">
        <f t="shared" si="260"/>
        <v>0</v>
      </c>
      <c r="BL445" s="2675">
        <f t="shared" si="261"/>
        <v>0</v>
      </c>
      <c r="BM445" s="2675">
        <f t="shared" si="262"/>
        <v>0</v>
      </c>
      <c r="BN445" s="2675">
        <f t="shared" si="263"/>
        <v>0</v>
      </c>
      <c r="BO445" s="2675">
        <f t="shared" si="264"/>
        <v>0</v>
      </c>
      <c r="BP445" s="2675">
        <f t="shared" si="265"/>
        <v>0</v>
      </c>
      <c r="BQ445" s="2675">
        <f t="shared" si="266"/>
        <v>0</v>
      </c>
      <c r="BR445" s="2675">
        <f t="shared" si="267"/>
        <v>0</v>
      </c>
      <c r="BS445" s="2675">
        <f t="shared" si="268"/>
        <v>0</v>
      </c>
      <c r="BT445" s="2722">
        <f t="shared" si="269"/>
        <v>0</v>
      </c>
    </row>
    <row r="446" spans="1:72">
      <c r="A446" s="2673"/>
      <c r="B446" s="2674"/>
      <c r="C446" s="2674"/>
      <c r="D446" s="2277"/>
      <c r="E446" s="2675">
        <f t="shared" si="241"/>
        <v>0</v>
      </c>
      <c r="F446" s="2676"/>
      <c r="G446" s="2677">
        <f t="shared" si="242"/>
        <v>0</v>
      </c>
      <c r="H446" s="2678">
        <f t="shared" si="243"/>
        <v>0</v>
      </c>
      <c r="I446" s="2685"/>
      <c r="J446" s="2685"/>
      <c r="K446" s="2685"/>
      <c r="L446" s="2685"/>
      <c r="M446" s="2685"/>
      <c r="N446" s="2685"/>
      <c r="O446" s="2685"/>
      <c r="P446" s="2685"/>
      <c r="Q446" s="2685"/>
      <c r="R446" s="2685"/>
      <c r="S446" s="2685"/>
      <c r="T446" s="2685"/>
      <c r="U446" s="2685"/>
      <c r="V446" s="2685"/>
      <c r="W446" s="2685"/>
      <c r="X446" s="2685"/>
      <c r="Y446" s="2685"/>
      <c r="Z446" s="2685"/>
      <c r="AA446" s="2685"/>
      <c r="AB446" s="2685"/>
      <c r="AC446" s="2675">
        <f t="shared" si="244"/>
        <v>0</v>
      </c>
      <c r="AD446" s="2695"/>
      <c r="AE446" s="2695"/>
      <c r="AF446" s="2695"/>
      <c r="AG446" s="2695"/>
      <c r="AH446" s="2695"/>
      <c r="AI446" s="2695"/>
      <c r="AJ446" s="2695"/>
      <c r="AK446" s="2695"/>
      <c r="AL446" s="2695"/>
      <c r="AM446" s="2695"/>
      <c r="AN446" s="2695"/>
      <c r="AO446" s="2695"/>
      <c r="AP446" s="2695"/>
      <c r="AQ446" s="2695"/>
      <c r="AR446" s="2695"/>
      <c r="AS446" s="2695"/>
      <c r="AT446" s="2703"/>
      <c r="AU446" s="2704"/>
      <c r="AV446" s="1074">
        <f t="shared" si="245"/>
        <v>0</v>
      </c>
      <c r="AW446" s="1074">
        <f t="shared" si="246"/>
        <v>0</v>
      </c>
      <c r="AX446" s="1074">
        <f t="shared" si="247"/>
        <v>0</v>
      </c>
      <c r="AY446" s="2279">
        <f t="shared" si="248"/>
        <v>0</v>
      </c>
      <c r="AZ446" s="2675">
        <f t="shared" si="249"/>
        <v>0</v>
      </c>
      <c r="BA446" s="2675">
        <f t="shared" si="250"/>
        <v>0</v>
      </c>
      <c r="BB446" s="2675">
        <f t="shared" si="251"/>
        <v>0</v>
      </c>
      <c r="BC446" s="2675">
        <f t="shared" si="252"/>
        <v>0</v>
      </c>
      <c r="BD446" s="2675">
        <f t="shared" si="253"/>
        <v>0</v>
      </c>
      <c r="BE446" s="2675">
        <f t="shared" si="254"/>
        <v>0</v>
      </c>
      <c r="BF446" s="2675">
        <f t="shared" si="255"/>
        <v>0</v>
      </c>
      <c r="BG446" s="2675">
        <f t="shared" si="256"/>
        <v>0</v>
      </c>
      <c r="BH446" s="2675">
        <f t="shared" si="257"/>
        <v>0</v>
      </c>
      <c r="BI446" s="2675">
        <f t="shared" si="258"/>
        <v>0</v>
      </c>
      <c r="BJ446" s="2675">
        <f t="shared" si="259"/>
        <v>0</v>
      </c>
      <c r="BK446" s="2675">
        <f t="shared" si="260"/>
        <v>0</v>
      </c>
      <c r="BL446" s="2675">
        <f t="shared" si="261"/>
        <v>0</v>
      </c>
      <c r="BM446" s="2675">
        <f t="shared" si="262"/>
        <v>0</v>
      </c>
      <c r="BN446" s="2675">
        <f t="shared" si="263"/>
        <v>0</v>
      </c>
      <c r="BO446" s="2675">
        <f t="shared" si="264"/>
        <v>0</v>
      </c>
      <c r="BP446" s="2675">
        <f t="shared" si="265"/>
        <v>0</v>
      </c>
      <c r="BQ446" s="2675">
        <f t="shared" si="266"/>
        <v>0</v>
      </c>
      <c r="BR446" s="2675">
        <f t="shared" si="267"/>
        <v>0</v>
      </c>
      <c r="BS446" s="2675">
        <f t="shared" si="268"/>
        <v>0</v>
      </c>
      <c r="BT446" s="2722">
        <f t="shared" si="269"/>
        <v>0</v>
      </c>
    </row>
    <row r="447" spans="1:72">
      <c r="A447" s="2673"/>
      <c r="B447" s="2674"/>
      <c r="C447" s="2674"/>
      <c r="D447" s="2277"/>
      <c r="E447" s="2675">
        <f t="shared" si="241"/>
        <v>0</v>
      </c>
      <c r="F447" s="2676"/>
      <c r="G447" s="2677">
        <f t="shared" si="242"/>
        <v>0</v>
      </c>
      <c r="H447" s="2678">
        <f t="shared" si="243"/>
        <v>0</v>
      </c>
      <c r="I447" s="2685"/>
      <c r="J447" s="2685"/>
      <c r="K447" s="2685"/>
      <c r="L447" s="2685"/>
      <c r="M447" s="2685"/>
      <c r="N447" s="2685"/>
      <c r="O447" s="2685"/>
      <c r="P447" s="2685"/>
      <c r="Q447" s="2685"/>
      <c r="R447" s="2685"/>
      <c r="S447" s="2685"/>
      <c r="T447" s="2685"/>
      <c r="U447" s="2685"/>
      <c r="V447" s="2685"/>
      <c r="W447" s="2685"/>
      <c r="X447" s="2685"/>
      <c r="Y447" s="2685"/>
      <c r="Z447" s="2685"/>
      <c r="AA447" s="2685"/>
      <c r="AB447" s="2685"/>
      <c r="AC447" s="2675">
        <f t="shared" si="244"/>
        <v>0</v>
      </c>
      <c r="AD447" s="2695"/>
      <c r="AE447" s="2695"/>
      <c r="AF447" s="2695"/>
      <c r="AG447" s="2695"/>
      <c r="AH447" s="2695"/>
      <c r="AI447" s="2695"/>
      <c r="AJ447" s="2695"/>
      <c r="AK447" s="2695"/>
      <c r="AL447" s="2695"/>
      <c r="AM447" s="2695"/>
      <c r="AN447" s="2695"/>
      <c r="AO447" s="2695"/>
      <c r="AP447" s="2695"/>
      <c r="AQ447" s="2695"/>
      <c r="AR447" s="2695"/>
      <c r="AS447" s="2695"/>
      <c r="AT447" s="2703"/>
      <c r="AU447" s="2704"/>
      <c r="AV447" s="1074">
        <f t="shared" si="245"/>
        <v>0</v>
      </c>
      <c r="AW447" s="1074">
        <f t="shared" si="246"/>
        <v>0</v>
      </c>
      <c r="AX447" s="1074">
        <f t="shared" si="247"/>
        <v>0</v>
      </c>
      <c r="AY447" s="2279">
        <f t="shared" si="248"/>
        <v>0</v>
      </c>
      <c r="AZ447" s="2675">
        <f t="shared" si="249"/>
        <v>0</v>
      </c>
      <c r="BA447" s="2675">
        <f t="shared" si="250"/>
        <v>0</v>
      </c>
      <c r="BB447" s="2675">
        <f t="shared" si="251"/>
        <v>0</v>
      </c>
      <c r="BC447" s="2675">
        <f t="shared" si="252"/>
        <v>0</v>
      </c>
      <c r="BD447" s="2675">
        <f t="shared" si="253"/>
        <v>0</v>
      </c>
      <c r="BE447" s="2675">
        <f t="shared" si="254"/>
        <v>0</v>
      </c>
      <c r="BF447" s="2675">
        <f t="shared" si="255"/>
        <v>0</v>
      </c>
      <c r="BG447" s="2675">
        <f t="shared" si="256"/>
        <v>0</v>
      </c>
      <c r="BH447" s="2675">
        <f t="shared" si="257"/>
        <v>0</v>
      </c>
      <c r="BI447" s="2675">
        <f t="shared" si="258"/>
        <v>0</v>
      </c>
      <c r="BJ447" s="2675">
        <f t="shared" si="259"/>
        <v>0</v>
      </c>
      <c r="BK447" s="2675">
        <f t="shared" si="260"/>
        <v>0</v>
      </c>
      <c r="BL447" s="2675">
        <f t="shared" si="261"/>
        <v>0</v>
      </c>
      <c r="BM447" s="2675">
        <f t="shared" si="262"/>
        <v>0</v>
      </c>
      <c r="BN447" s="2675">
        <f t="shared" si="263"/>
        <v>0</v>
      </c>
      <c r="BO447" s="2675">
        <f t="shared" si="264"/>
        <v>0</v>
      </c>
      <c r="BP447" s="2675">
        <f t="shared" si="265"/>
        <v>0</v>
      </c>
      <c r="BQ447" s="2675">
        <f t="shared" si="266"/>
        <v>0</v>
      </c>
      <c r="BR447" s="2675">
        <f t="shared" si="267"/>
        <v>0</v>
      </c>
      <c r="BS447" s="2675">
        <f t="shared" si="268"/>
        <v>0</v>
      </c>
      <c r="BT447" s="2722">
        <f t="shared" si="269"/>
        <v>0</v>
      </c>
    </row>
    <row r="448" spans="1:72">
      <c r="A448" s="2673"/>
      <c r="B448" s="2674"/>
      <c r="C448" s="2674"/>
      <c r="D448" s="2277"/>
      <c r="E448" s="2675">
        <f t="shared" si="241"/>
        <v>0</v>
      </c>
      <c r="F448" s="2676"/>
      <c r="G448" s="2677">
        <f t="shared" si="242"/>
        <v>0</v>
      </c>
      <c r="H448" s="2678">
        <f t="shared" si="243"/>
        <v>0</v>
      </c>
      <c r="I448" s="2685"/>
      <c r="J448" s="2685"/>
      <c r="K448" s="2685"/>
      <c r="L448" s="2685"/>
      <c r="M448" s="2685"/>
      <c r="N448" s="2685"/>
      <c r="O448" s="2685"/>
      <c r="P448" s="2685"/>
      <c r="Q448" s="2685"/>
      <c r="R448" s="2685"/>
      <c r="S448" s="2685"/>
      <c r="T448" s="2685"/>
      <c r="U448" s="2685"/>
      <c r="V448" s="2685"/>
      <c r="W448" s="2685"/>
      <c r="X448" s="2685"/>
      <c r="Y448" s="2685"/>
      <c r="Z448" s="2685"/>
      <c r="AA448" s="2685"/>
      <c r="AB448" s="2685"/>
      <c r="AC448" s="2675">
        <f t="shared" si="244"/>
        <v>0</v>
      </c>
      <c r="AD448" s="2695"/>
      <c r="AE448" s="2695"/>
      <c r="AF448" s="2695"/>
      <c r="AG448" s="2695"/>
      <c r="AH448" s="2695"/>
      <c r="AI448" s="2695"/>
      <c r="AJ448" s="2695"/>
      <c r="AK448" s="2695"/>
      <c r="AL448" s="2695"/>
      <c r="AM448" s="2695"/>
      <c r="AN448" s="2695"/>
      <c r="AO448" s="2695"/>
      <c r="AP448" s="2695"/>
      <c r="AQ448" s="2695"/>
      <c r="AR448" s="2695"/>
      <c r="AS448" s="2695"/>
      <c r="AT448" s="2703"/>
      <c r="AU448" s="2704"/>
      <c r="AV448" s="1074">
        <f t="shared" si="245"/>
        <v>0</v>
      </c>
      <c r="AW448" s="1074">
        <f t="shared" si="246"/>
        <v>0</v>
      </c>
      <c r="AX448" s="1074">
        <f t="shared" si="247"/>
        <v>0</v>
      </c>
      <c r="AY448" s="2279">
        <f t="shared" si="248"/>
        <v>0</v>
      </c>
      <c r="AZ448" s="2675">
        <f t="shared" si="249"/>
        <v>0</v>
      </c>
      <c r="BA448" s="2675">
        <f t="shared" si="250"/>
        <v>0</v>
      </c>
      <c r="BB448" s="2675">
        <f t="shared" si="251"/>
        <v>0</v>
      </c>
      <c r="BC448" s="2675">
        <f t="shared" si="252"/>
        <v>0</v>
      </c>
      <c r="BD448" s="2675">
        <f t="shared" si="253"/>
        <v>0</v>
      </c>
      <c r="BE448" s="2675">
        <f t="shared" si="254"/>
        <v>0</v>
      </c>
      <c r="BF448" s="2675">
        <f t="shared" si="255"/>
        <v>0</v>
      </c>
      <c r="BG448" s="2675">
        <f t="shared" si="256"/>
        <v>0</v>
      </c>
      <c r="BH448" s="2675">
        <f t="shared" si="257"/>
        <v>0</v>
      </c>
      <c r="BI448" s="2675">
        <f t="shared" si="258"/>
        <v>0</v>
      </c>
      <c r="BJ448" s="2675">
        <f t="shared" si="259"/>
        <v>0</v>
      </c>
      <c r="BK448" s="2675">
        <f t="shared" si="260"/>
        <v>0</v>
      </c>
      <c r="BL448" s="2675">
        <f t="shared" si="261"/>
        <v>0</v>
      </c>
      <c r="BM448" s="2675">
        <f t="shared" si="262"/>
        <v>0</v>
      </c>
      <c r="BN448" s="2675">
        <f t="shared" si="263"/>
        <v>0</v>
      </c>
      <c r="BO448" s="2675">
        <f t="shared" si="264"/>
        <v>0</v>
      </c>
      <c r="BP448" s="2675">
        <f t="shared" si="265"/>
        <v>0</v>
      </c>
      <c r="BQ448" s="2675">
        <f t="shared" si="266"/>
        <v>0</v>
      </c>
      <c r="BR448" s="2675">
        <f t="shared" si="267"/>
        <v>0</v>
      </c>
      <c r="BS448" s="2675">
        <f t="shared" si="268"/>
        <v>0</v>
      </c>
      <c r="BT448" s="2722">
        <f t="shared" si="269"/>
        <v>0</v>
      </c>
    </row>
    <row r="449" spans="1:72">
      <c r="A449" s="2673"/>
      <c r="B449" s="2674"/>
      <c r="C449" s="2674"/>
      <c r="D449" s="2277"/>
      <c r="E449" s="2675">
        <f t="shared" si="241"/>
        <v>0</v>
      </c>
      <c r="F449" s="2676"/>
      <c r="G449" s="2677">
        <f t="shared" si="242"/>
        <v>0</v>
      </c>
      <c r="H449" s="2678">
        <f t="shared" si="243"/>
        <v>0</v>
      </c>
      <c r="I449" s="2685"/>
      <c r="J449" s="2685"/>
      <c r="K449" s="2685"/>
      <c r="L449" s="2685"/>
      <c r="M449" s="2685"/>
      <c r="N449" s="2685"/>
      <c r="O449" s="2685"/>
      <c r="P449" s="2685"/>
      <c r="Q449" s="2685"/>
      <c r="R449" s="2685"/>
      <c r="S449" s="2685"/>
      <c r="T449" s="2685"/>
      <c r="U449" s="2685"/>
      <c r="V449" s="2685"/>
      <c r="W449" s="2685"/>
      <c r="X449" s="2685"/>
      <c r="Y449" s="2685"/>
      <c r="Z449" s="2685"/>
      <c r="AA449" s="2685"/>
      <c r="AB449" s="2685"/>
      <c r="AC449" s="2675">
        <f t="shared" si="244"/>
        <v>0</v>
      </c>
      <c r="AD449" s="2695"/>
      <c r="AE449" s="2695"/>
      <c r="AF449" s="2695"/>
      <c r="AG449" s="2695"/>
      <c r="AH449" s="2695"/>
      <c r="AI449" s="2695"/>
      <c r="AJ449" s="2695"/>
      <c r="AK449" s="2695"/>
      <c r="AL449" s="2695"/>
      <c r="AM449" s="2695"/>
      <c r="AN449" s="2695"/>
      <c r="AO449" s="2695"/>
      <c r="AP449" s="2695"/>
      <c r="AQ449" s="2695"/>
      <c r="AR449" s="2695"/>
      <c r="AS449" s="2695"/>
      <c r="AT449" s="2703"/>
      <c r="AU449" s="2704"/>
      <c r="AV449" s="1074">
        <f t="shared" si="245"/>
        <v>0</v>
      </c>
      <c r="AW449" s="1074">
        <f t="shared" si="246"/>
        <v>0</v>
      </c>
      <c r="AX449" s="1074">
        <f t="shared" si="247"/>
        <v>0</v>
      </c>
      <c r="AY449" s="2279">
        <f t="shared" si="248"/>
        <v>0</v>
      </c>
      <c r="AZ449" s="2675">
        <f t="shared" si="249"/>
        <v>0</v>
      </c>
      <c r="BA449" s="2675">
        <f t="shared" si="250"/>
        <v>0</v>
      </c>
      <c r="BB449" s="2675">
        <f t="shared" si="251"/>
        <v>0</v>
      </c>
      <c r="BC449" s="2675">
        <f t="shared" si="252"/>
        <v>0</v>
      </c>
      <c r="BD449" s="2675">
        <f t="shared" si="253"/>
        <v>0</v>
      </c>
      <c r="BE449" s="2675">
        <f t="shared" si="254"/>
        <v>0</v>
      </c>
      <c r="BF449" s="2675">
        <f t="shared" si="255"/>
        <v>0</v>
      </c>
      <c r="BG449" s="2675">
        <f t="shared" si="256"/>
        <v>0</v>
      </c>
      <c r="BH449" s="2675">
        <f t="shared" si="257"/>
        <v>0</v>
      </c>
      <c r="BI449" s="2675">
        <f t="shared" si="258"/>
        <v>0</v>
      </c>
      <c r="BJ449" s="2675">
        <f t="shared" si="259"/>
        <v>0</v>
      </c>
      <c r="BK449" s="2675">
        <f t="shared" si="260"/>
        <v>0</v>
      </c>
      <c r="BL449" s="2675">
        <f t="shared" si="261"/>
        <v>0</v>
      </c>
      <c r="BM449" s="2675">
        <f t="shared" si="262"/>
        <v>0</v>
      </c>
      <c r="BN449" s="2675">
        <f t="shared" si="263"/>
        <v>0</v>
      </c>
      <c r="BO449" s="2675">
        <f t="shared" si="264"/>
        <v>0</v>
      </c>
      <c r="BP449" s="2675">
        <f t="shared" si="265"/>
        <v>0</v>
      </c>
      <c r="BQ449" s="2675">
        <f t="shared" si="266"/>
        <v>0</v>
      </c>
      <c r="BR449" s="2675">
        <f t="shared" si="267"/>
        <v>0</v>
      </c>
      <c r="BS449" s="2675">
        <f t="shared" si="268"/>
        <v>0</v>
      </c>
      <c r="BT449" s="2722">
        <f t="shared" si="269"/>
        <v>0</v>
      </c>
    </row>
    <row r="450" spans="1:72">
      <c r="A450" s="2673"/>
      <c r="B450" s="2674"/>
      <c r="C450" s="2674"/>
      <c r="D450" s="2277"/>
      <c r="E450" s="2675">
        <f t="shared" si="241"/>
        <v>0</v>
      </c>
      <c r="F450" s="2676"/>
      <c r="G450" s="2677">
        <f t="shared" si="242"/>
        <v>0</v>
      </c>
      <c r="H450" s="2678">
        <f t="shared" si="243"/>
        <v>0</v>
      </c>
      <c r="I450" s="2685"/>
      <c r="J450" s="2685"/>
      <c r="K450" s="2685"/>
      <c r="L450" s="2685"/>
      <c r="M450" s="2685"/>
      <c r="N450" s="2685"/>
      <c r="O450" s="2685"/>
      <c r="P450" s="2685"/>
      <c r="Q450" s="2685"/>
      <c r="R450" s="2685"/>
      <c r="S450" s="2685"/>
      <c r="T450" s="2685"/>
      <c r="U450" s="2685"/>
      <c r="V450" s="2685"/>
      <c r="W450" s="2685"/>
      <c r="X450" s="2685"/>
      <c r="Y450" s="2685"/>
      <c r="Z450" s="2685"/>
      <c r="AA450" s="2685"/>
      <c r="AB450" s="2685"/>
      <c r="AC450" s="2675">
        <f t="shared" si="244"/>
        <v>0</v>
      </c>
      <c r="AD450" s="2695"/>
      <c r="AE450" s="2695"/>
      <c r="AF450" s="2695"/>
      <c r="AG450" s="2695"/>
      <c r="AH450" s="2695"/>
      <c r="AI450" s="2695"/>
      <c r="AJ450" s="2695"/>
      <c r="AK450" s="2695"/>
      <c r="AL450" s="2695"/>
      <c r="AM450" s="2695"/>
      <c r="AN450" s="2695"/>
      <c r="AO450" s="2695"/>
      <c r="AP450" s="2695"/>
      <c r="AQ450" s="2695"/>
      <c r="AR450" s="2695"/>
      <c r="AS450" s="2695"/>
      <c r="AT450" s="2703"/>
      <c r="AU450" s="2704"/>
      <c r="AV450" s="1074">
        <f t="shared" si="245"/>
        <v>0</v>
      </c>
      <c r="AW450" s="1074">
        <f t="shared" si="246"/>
        <v>0</v>
      </c>
      <c r="AX450" s="1074">
        <f t="shared" si="247"/>
        <v>0</v>
      </c>
      <c r="AY450" s="2279">
        <f t="shared" si="248"/>
        <v>0</v>
      </c>
      <c r="AZ450" s="2675">
        <f t="shared" si="249"/>
        <v>0</v>
      </c>
      <c r="BA450" s="2675">
        <f t="shared" si="250"/>
        <v>0</v>
      </c>
      <c r="BB450" s="2675">
        <f t="shared" si="251"/>
        <v>0</v>
      </c>
      <c r="BC450" s="2675">
        <f t="shared" si="252"/>
        <v>0</v>
      </c>
      <c r="BD450" s="2675">
        <f t="shared" si="253"/>
        <v>0</v>
      </c>
      <c r="BE450" s="2675">
        <f t="shared" si="254"/>
        <v>0</v>
      </c>
      <c r="BF450" s="2675">
        <f t="shared" si="255"/>
        <v>0</v>
      </c>
      <c r="BG450" s="2675">
        <f t="shared" si="256"/>
        <v>0</v>
      </c>
      <c r="BH450" s="2675">
        <f t="shared" si="257"/>
        <v>0</v>
      </c>
      <c r="BI450" s="2675">
        <f t="shared" si="258"/>
        <v>0</v>
      </c>
      <c r="BJ450" s="2675">
        <f t="shared" si="259"/>
        <v>0</v>
      </c>
      <c r="BK450" s="2675">
        <f t="shared" si="260"/>
        <v>0</v>
      </c>
      <c r="BL450" s="2675">
        <f t="shared" si="261"/>
        <v>0</v>
      </c>
      <c r="BM450" s="2675">
        <f t="shared" si="262"/>
        <v>0</v>
      </c>
      <c r="BN450" s="2675">
        <f t="shared" si="263"/>
        <v>0</v>
      </c>
      <c r="BO450" s="2675">
        <f t="shared" si="264"/>
        <v>0</v>
      </c>
      <c r="BP450" s="2675">
        <f t="shared" si="265"/>
        <v>0</v>
      </c>
      <c r="BQ450" s="2675">
        <f t="shared" si="266"/>
        <v>0</v>
      </c>
      <c r="BR450" s="2675">
        <f t="shared" si="267"/>
        <v>0</v>
      </c>
      <c r="BS450" s="2675">
        <f t="shared" si="268"/>
        <v>0</v>
      </c>
      <c r="BT450" s="2722">
        <f t="shared" si="269"/>
        <v>0</v>
      </c>
    </row>
    <row r="451" spans="1:72">
      <c r="A451" s="2673"/>
      <c r="B451" s="2674"/>
      <c r="C451" s="2674"/>
      <c r="D451" s="2277"/>
      <c r="E451" s="2675">
        <f t="shared" si="241"/>
        <v>0</v>
      </c>
      <c r="F451" s="2676"/>
      <c r="G451" s="2677">
        <f t="shared" si="242"/>
        <v>0</v>
      </c>
      <c r="H451" s="2678">
        <f t="shared" si="243"/>
        <v>0</v>
      </c>
      <c r="I451" s="2685"/>
      <c r="J451" s="2685"/>
      <c r="K451" s="2685"/>
      <c r="L451" s="2685"/>
      <c r="M451" s="2685"/>
      <c r="N451" s="2685"/>
      <c r="O451" s="2685"/>
      <c r="P451" s="2685"/>
      <c r="Q451" s="2685"/>
      <c r="R451" s="2685"/>
      <c r="S451" s="2685"/>
      <c r="T451" s="2685"/>
      <c r="U451" s="2685"/>
      <c r="V451" s="2685"/>
      <c r="W451" s="2685"/>
      <c r="X451" s="2685"/>
      <c r="Y451" s="2685"/>
      <c r="Z451" s="2685"/>
      <c r="AA451" s="2685"/>
      <c r="AB451" s="2685"/>
      <c r="AC451" s="2675">
        <f t="shared" si="244"/>
        <v>0</v>
      </c>
      <c r="AD451" s="2695"/>
      <c r="AE451" s="2695"/>
      <c r="AF451" s="2695"/>
      <c r="AG451" s="2695"/>
      <c r="AH451" s="2695"/>
      <c r="AI451" s="2695"/>
      <c r="AJ451" s="2695"/>
      <c r="AK451" s="2695"/>
      <c r="AL451" s="2695"/>
      <c r="AM451" s="2695"/>
      <c r="AN451" s="2695"/>
      <c r="AO451" s="2695"/>
      <c r="AP451" s="2695"/>
      <c r="AQ451" s="2695"/>
      <c r="AR451" s="2695"/>
      <c r="AS451" s="2695"/>
      <c r="AT451" s="2703"/>
      <c r="AU451" s="2704"/>
      <c r="AV451" s="1074">
        <f t="shared" si="245"/>
        <v>0</v>
      </c>
      <c r="AW451" s="1074">
        <f t="shared" si="246"/>
        <v>0</v>
      </c>
      <c r="AX451" s="1074">
        <f t="shared" si="247"/>
        <v>0</v>
      </c>
      <c r="AY451" s="2279">
        <f t="shared" si="248"/>
        <v>0</v>
      </c>
      <c r="AZ451" s="2675">
        <f t="shared" si="249"/>
        <v>0</v>
      </c>
      <c r="BA451" s="2675">
        <f t="shared" si="250"/>
        <v>0</v>
      </c>
      <c r="BB451" s="2675">
        <f t="shared" si="251"/>
        <v>0</v>
      </c>
      <c r="BC451" s="2675">
        <f t="shared" si="252"/>
        <v>0</v>
      </c>
      <c r="BD451" s="2675">
        <f t="shared" si="253"/>
        <v>0</v>
      </c>
      <c r="BE451" s="2675">
        <f t="shared" si="254"/>
        <v>0</v>
      </c>
      <c r="BF451" s="2675">
        <f t="shared" si="255"/>
        <v>0</v>
      </c>
      <c r="BG451" s="2675">
        <f t="shared" si="256"/>
        <v>0</v>
      </c>
      <c r="BH451" s="2675">
        <f t="shared" si="257"/>
        <v>0</v>
      </c>
      <c r="BI451" s="2675">
        <f t="shared" si="258"/>
        <v>0</v>
      </c>
      <c r="BJ451" s="2675">
        <f t="shared" si="259"/>
        <v>0</v>
      </c>
      <c r="BK451" s="2675">
        <f t="shared" si="260"/>
        <v>0</v>
      </c>
      <c r="BL451" s="2675">
        <f t="shared" si="261"/>
        <v>0</v>
      </c>
      <c r="BM451" s="2675">
        <f t="shared" si="262"/>
        <v>0</v>
      </c>
      <c r="BN451" s="2675">
        <f t="shared" si="263"/>
        <v>0</v>
      </c>
      <c r="BO451" s="2675">
        <f t="shared" si="264"/>
        <v>0</v>
      </c>
      <c r="BP451" s="2675">
        <f t="shared" si="265"/>
        <v>0</v>
      </c>
      <c r="BQ451" s="2675">
        <f t="shared" si="266"/>
        <v>0</v>
      </c>
      <c r="BR451" s="2675">
        <f t="shared" si="267"/>
        <v>0</v>
      </c>
      <c r="BS451" s="2675">
        <f t="shared" si="268"/>
        <v>0</v>
      </c>
      <c r="BT451" s="2722">
        <f t="shared" si="269"/>
        <v>0</v>
      </c>
    </row>
    <row r="452" spans="1:72">
      <c r="A452" s="2673"/>
      <c r="B452" s="2674"/>
      <c r="C452" s="2674"/>
      <c r="D452" s="2277"/>
      <c r="E452" s="2675">
        <f t="shared" si="241"/>
        <v>0</v>
      </c>
      <c r="F452" s="2676"/>
      <c r="G452" s="2677">
        <f t="shared" si="242"/>
        <v>0</v>
      </c>
      <c r="H452" s="2678">
        <f t="shared" si="243"/>
        <v>0</v>
      </c>
      <c r="I452" s="2685"/>
      <c r="J452" s="2685"/>
      <c r="K452" s="2685"/>
      <c r="L452" s="2685"/>
      <c r="M452" s="2685"/>
      <c r="N452" s="2685"/>
      <c r="O452" s="2685"/>
      <c r="P452" s="2685"/>
      <c r="Q452" s="2685"/>
      <c r="R452" s="2685"/>
      <c r="S452" s="2685"/>
      <c r="T452" s="2685"/>
      <c r="U452" s="2685"/>
      <c r="V452" s="2685"/>
      <c r="W452" s="2685"/>
      <c r="X452" s="2685"/>
      <c r="Y452" s="2685"/>
      <c r="Z452" s="2685"/>
      <c r="AA452" s="2685"/>
      <c r="AB452" s="2685"/>
      <c r="AC452" s="2675">
        <f t="shared" si="244"/>
        <v>0</v>
      </c>
      <c r="AD452" s="2695"/>
      <c r="AE452" s="2695"/>
      <c r="AF452" s="2695"/>
      <c r="AG452" s="2695"/>
      <c r="AH452" s="2695"/>
      <c r="AI452" s="2695"/>
      <c r="AJ452" s="2695"/>
      <c r="AK452" s="2695"/>
      <c r="AL452" s="2695"/>
      <c r="AM452" s="2695"/>
      <c r="AN452" s="2695"/>
      <c r="AO452" s="2695"/>
      <c r="AP452" s="2695"/>
      <c r="AQ452" s="2695"/>
      <c r="AR452" s="2695"/>
      <c r="AS452" s="2695"/>
      <c r="AT452" s="2703"/>
      <c r="AU452" s="2704"/>
      <c r="AV452" s="1074">
        <f t="shared" si="245"/>
        <v>0</v>
      </c>
      <c r="AW452" s="1074">
        <f t="shared" si="246"/>
        <v>0</v>
      </c>
      <c r="AX452" s="1074">
        <f t="shared" si="247"/>
        <v>0</v>
      </c>
      <c r="AY452" s="2279">
        <f t="shared" si="248"/>
        <v>0</v>
      </c>
      <c r="AZ452" s="2675">
        <f t="shared" si="249"/>
        <v>0</v>
      </c>
      <c r="BA452" s="2675">
        <f t="shared" si="250"/>
        <v>0</v>
      </c>
      <c r="BB452" s="2675">
        <f t="shared" si="251"/>
        <v>0</v>
      </c>
      <c r="BC452" s="2675">
        <f t="shared" si="252"/>
        <v>0</v>
      </c>
      <c r="BD452" s="2675">
        <f t="shared" si="253"/>
        <v>0</v>
      </c>
      <c r="BE452" s="2675">
        <f t="shared" si="254"/>
        <v>0</v>
      </c>
      <c r="BF452" s="2675">
        <f t="shared" si="255"/>
        <v>0</v>
      </c>
      <c r="BG452" s="2675">
        <f t="shared" si="256"/>
        <v>0</v>
      </c>
      <c r="BH452" s="2675">
        <f t="shared" si="257"/>
        <v>0</v>
      </c>
      <c r="BI452" s="2675">
        <f t="shared" si="258"/>
        <v>0</v>
      </c>
      <c r="BJ452" s="2675">
        <f t="shared" si="259"/>
        <v>0</v>
      </c>
      <c r="BK452" s="2675">
        <f t="shared" si="260"/>
        <v>0</v>
      </c>
      <c r="BL452" s="2675">
        <f t="shared" si="261"/>
        <v>0</v>
      </c>
      <c r="BM452" s="2675">
        <f t="shared" si="262"/>
        <v>0</v>
      </c>
      <c r="BN452" s="2675">
        <f t="shared" si="263"/>
        <v>0</v>
      </c>
      <c r="BO452" s="2675">
        <f t="shared" si="264"/>
        <v>0</v>
      </c>
      <c r="BP452" s="2675">
        <f t="shared" si="265"/>
        <v>0</v>
      </c>
      <c r="BQ452" s="2675">
        <f t="shared" si="266"/>
        <v>0</v>
      </c>
      <c r="BR452" s="2675">
        <f t="shared" si="267"/>
        <v>0</v>
      </c>
      <c r="BS452" s="2675">
        <f t="shared" si="268"/>
        <v>0</v>
      </c>
      <c r="BT452" s="2722">
        <f t="shared" si="269"/>
        <v>0</v>
      </c>
    </row>
    <row r="453" spans="1:72">
      <c r="A453" s="2673"/>
      <c r="B453" s="2674"/>
      <c r="C453" s="2674"/>
      <c r="D453" s="2277"/>
      <c r="E453" s="2675">
        <f t="shared" si="241"/>
        <v>0</v>
      </c>
      <c r="F453" s="2676"/>
      <c r="G453" s="2677">
        <f t="shared" si="242"/>
        <v>0</v>
      </c>
      <c r="H453" s="2678">
        <f t="shared" si="243"/>
        <v>0</v>
      </c>
      <c r="I453" s="2685"/>
      <c r="J453" s="2685"/>
      <c r="K453" s="2685"/>
      <c r="L453" s="2685"/>
      <c r="M453" s="2685"/>
      <c r="N453" s="2685"/>
      <c r="O453" s="2685"/>
      <c r="P453" s="2685"/>
      <c r="Q453" s="2685"/>
      <c r="R453" s="2685"/>
      <c r="S453" s="2685"/>
      <c r="T453" s="2685"/>
      <c r="U453" s="2685"/>
      <c r="V453" s="2685"/>
      <c r="W453" s="2685"/>
      <c r="X453" s="2685"/>
      <c r="Y453" s="2685"/>
      <c r="Z453" s="2685"/>
      <c r="AA453" s="2685"/>
      <c r="AB453" s="2685"/>
      <c r="AC453" s="2675">
        <f t="shared" si="244"/>
        <v>0</v>
      </c>
      <c r="AD453" s="2695"/>
      <c r="AE453" s="2695"/>
      <c r="AF453" s="2695"/>
      <c r="AG453" s="2695"/>
      <c r="AH453" s="2695"/>
      <c r="AI453" s="2695"/>
      <c r="AJ453" s="2695"/>
      <c r="AK453" s="2695"/>
      <c r="AL453" s="2695"/>
      <c r="AM453" s="2695"/>
      <c r="AN453" s="2695"/>
      <c r="AO453" s="2695"/>
      <c r="AP453" s="2695"/>
      <c r="AQ453" s="2695"/>
      <c r="AR453" s="2695"/>
      <c r="AS453" s="2695"/>
      <c r="AT453" s="2703"/>
      <c r="AU453" s="2704"/>
      <c r="AV453" s="1074">
        <f t="shared" si="245"/>
        <v>0</v>
      </c>
      <c r="AW453" s="1074">
        <f t="shared" si="246"/>
        <v>0</v>
      </c>
      <c r="AX453" s="1074">
        <f t="shared" si="247"/>
        <v>0</v>
      </c>
      <c r="AY453" s="2279">
        <f t="shared" si="248"/>
        <v>0</v>
      </c>
      <c r="AZ453" s="2675">
        <f t="shared" si="249"/>
        <v>0</v>
      </c>
      <c r="BA453" s="2675">
        <f t="shared" si="250"/>
        <v>0</v>
      </c>
      <c r="BB453" s="2675">
        <f t="shared" si="251"/>
        <v>0</v>
      </c>
      <c r="BC453" s="2675">
        <f t="shared" si="252"/>
        <v>0</v>
      </c>
      <c r="BD453" s="2675">
        <f t="shared" si="253"/>
        <v>0</v>
      </c>
      <c r="BE453" s="2675">
        <f t="shared" si="254"/>
        <v>0</v>
      </c>
      <c r="BF453" s="2675">
        <f t="shared" si="255"/>
        <v>0</v>
      </c>
      <c r="BG453" s="2675">
        <f t="shared" si="256"/>
        <v>0</v>
      </c>
      <c r="BH453" s="2675">
        <f t="shared" si="257"/>
        <v>0</v>
      </c>
      <c r="BI453" s="2675">
        <f t="shared" si="258"/>
        <v>0</v>
      </c>
      <c r="BJ453" s="2675">
        <f t="shared" si="259"/>
        <v>0</v>
      </c>
      <c r="BK453" s="2675">
        <f t="shared" si="260"/>
        <v>0</v>
      </c>
      <c r="BL453" s="2675">
        <f t="shared" si="261"/>
        <v>0</v>
      </c>
      <c r="BM453" s="2675">
        <f t="shared" si="262"/>
        <v>0</v>
      </c>
      <c r="BN453" s="2675">
        <f t="shared" si="263"/>
        <v>0</v>
      </c>
      <c r="BO453" s="2675">
        <f t="shared" si="264"/>
        <v>0</v>
      </c>
      <c r="BP453" s="2675">
        <f t="shared" si="265"/>
        <v>0</v>
      </c>
      <c r="BQ453" s="2675">
        <f t="shared" si="266"/>
        <v>0</v>
      </c>
      <c r="BR453" s="2675">
        <f t="shared" si="267"/>
        <v>0</v>
      </c>
      <c r="BS453" s="2675">
        <f t="shared" si="268"/>
        <v>0</v>
      </c>
      <c r="BT453" s="2722">
        <f t="shared" si="269"/>
        <v>0</v>
      </c>
    </row>
    <row r="454" spans="1:72">
      <c r="A454" s="2673"/>
      <c r="B454" s="2674"/>
      <c r="C454" s="2674"/>
      <c r="D454" s="2277"/>
      <c r="E454" s="2675">
        <f t="shared" si="241"/>
        <v>0</v>
      </c>
      <c r="F454" s="2676"/>
      <c r="G454" s="2677">
        <f t="shared" si="242"/>
        <v>0</v>
      </c>
      <c r="H454" s="2678">
        <f t="shared" si="243"/>
        <v>0</v>
      </c>
      <c r="I454" s="2685"/>
      <c r="J454" s="2685"/>
      <c r="K454" s="2685"/>
      <c r="L454" s="2685"/>
      <c r="M454" s="2685"/>
      <c r="N454" s="2685"/>
      <c r="O454" s="2685"/>
      <c r="P454" s="2685"/>
      <c r="Q454" s="2685"/>
      <c r="R454" s="2685"/>
      <c r="S454" s="2685"/>
      <c r="T454" s="2685"/>
      <c r="U454" s="2685"/>
      <c r="V454" s="2685"/>
      <c r="W454" s="2685"/>
      <c r="X454" s="2685"/>
      <c r="Y454" s="2685"/>
      <c r="Z454" s="2685"/>
      <c r="AA454" s="2685"/>
      <c r="AB454" s="2685"/>
      <c r="AC454" s="2675">
        <f t="shared" si="244"/>
        <v>0</v>
      </c>
      <c r="AD454" s="2695"/>
      <c r="AE454" s="2695"/>
      <c r="AF454" s="2695"/>
      <c r="AG454" s="2695"/>
      <c r="AH454" s="2695"/>
      <c r="AI454" s="2695"/>
      <c r="AJ454" s="2695"/>
      <c r="AK454" s="2695"/>
      <c r="AL454" s="2695"/>
      <c r="AM454" s="2695"/>
      <c r="AN454" s="2695"/>
      <c r="AO454" s="2695"/>
      <c r="AP454" s="2695"/>
      <c r="AQ454" s="2695"/>
      <c r="AR454" s="2695"/>
      <c r="AS454" s="2695"/>
      <c r="AT454" s="2703"/>
      <c r="AU454" s="2704"/>
      <c r="AV454" s="1074">
        <f t="shared" si="245"/>
        <v>0</v>
      </c>
      <c r="AW454" s="1074">
        <f t="shared" si="246"/>
        <v>0</v>
      </c>
      <c r="AX454" s="1074">
        <f t="shared" si="247"/>
        <v>0</v>
      </c>
      <c r="AY454" s="2279">
        <f t="shared" si="248"/>
        <v>0</v>
      </c>
      <c r="AZ454" s="2675">
        <f t="shared" si="249"/>
        <v>0</v>
      </c>
      <c r="BA454" s="2675">
        <f t="shared" si="250"/>
        <v>0</v>
      </c>
      <c r="BB454" s="2675">
        <f t="shared" si="251"/>
        <v>0</v>
      </c>
      <c r="BC454" s="2675">
        <f t="shared" si="252"/>
        <v>0</v>
      </c>
      <c r="BD454" s="2675">
        <f t="shared" si="253"/>
        <v>0</v>
      </c>
      <c r="BE454" s="2675">
        <f t="shared" si="254"/>
        <v>0</v>
      </c>
      <c r="BF454" s="2675">
        <f t="shared" si="255"/>
        <v>0</v>
      </c>
      <c r="BG454" s="2675">
        <f t="shared" si="256"/>
        <v>0</v>
      </c>
      <c r="BH454" s="2675">
        <f t="shared" si="257"/>
        <v>0</v>
      </c>
      <c r="BI454" s="2675">
        <f t="shared" si="258"/>
        <v>0</v>
      </c>
      <c r="BJ454" s="2675">
        <f t="shared" si="259"/>
        <v>0</v>
      </c>
      <c r="BK454" s="2675">
        <f t="shared" si="260"/>
        <v>0</v>
      </c>
      <c r="BL454" s="2675">
        <f t="shared" si="261"/>
        <v>0</v>
      </c>
      <c r="BM454" s="2675">
        <f t="shared" si="262"/>
        <v>0</v>
      </c>
      <c r="BN454" s="2675">
        <f t="shared" si="263"/>
        <v>0</v>
      </c>
      <c r="BO454" s="2675">
        <f t="shared" si="264"/>
        <v>0</v>
      </c>
      <c r="BP454" s="2675">
        <f t="shared" si="265"/>
        <v>0</v>
      </c>
      <c r="BQ454" s="2675">
        <f t="shared" si="266"/>
        <v>0</v>
      </c>
      <c r="BR454" s="2675">
        <f t="shared" si="267"/>
        <v>0</v>
      </c>
      <c r="BS454" s="2675">
        <f t="shared" si="268"/>
        <v>0</v>
      </c>
      <c r="BT454" s="2722">
        <f t="shared" si="269"/>
        <v>0</v>
      </c>
    </row>
    <row r="455" spans="1:72">
      <c r="A455" s="2673"/>
      <c r="B455" s="2674"/>
      <c r="C455" s="2674"/>
      <c r="D455" s="2277"/>
      <c r="E455" s="2675">
        <f t="shared" si="241"/>
        <v>0</v>
      </c>
      <c r="F455" s="2676"/>
      <c r="G455" s="2677">
        <f t="shared" si="242"/>
        <v>0</v>
      </c>
      <c r="H455" s="2678">
        <f t="shared" si="243"/>
        <v>0</v>
      </c>
      <c r="I455" s="2685"/>
      <c r="J455" s="2685"/>
      <c r="K455" s="2685"/>
      <c r="L455" s="2685"/>
      <c r="M455" s="2685"/>
      <c r="N455" s="2685"/>
      <c r="O455" s="2685"/>
      <c r="P455" s="2685"/>
      <c r="Q455" s="2685"/>
      <c r="R455" s="2685"/>
      <c r="S455" s="2685"/>
      <c r="T455" s="2685"/>
      <c r="U455" s="2685"/>
      <c r="V455" s="2685"/>
      <c r="W455" s="2685"/>
      <c r="X455" s="2685"/>
      <c r="Y455" s="2685"/>
      <c r="Z455" s="2685"/>
      <c r="AA455" s="2685"/>
      <c r="AB455" s="2685"/>
      <c r="AC455" s="2675">
        <f t="shared" si="244"/>
        <v>0</v>
      </c>
      <c r="AD455" s="2695"/>
      <c r="AE455" s="2695"/>
      <c r="AF455" s="2695"/>
      <c r="AG455" s="2695"/>
      <c r="AH455" s="2695"/>
      <c r="AI455" s="2695"/>
      <c r="AJ455" s="2695"/>
      <c r="AK455" s="2695"/>
      <c r="AL455" s="2695"/>
      <c r="AM455" s="2695"/>
      <c r="AN455" s="2695"/>
      <c r="AO455" s="2695"/>
      <c r="AP455" s="2695"/>
      <c r="AQ455" s="2695"/>
      <c r="AR455" s="2695"/>
      <c r="AS455" s="2695"/>
      <c r="AT455" s="2703"/>
      <c r="AU455" s="2704"/>
      <c r="AV455" s="1074">
        <f t="shared" si="245"/>
        <v>0</v>
      </c>
      <c r="AW455" s="1074">
        <f t="shared" si="246"/>
        <v>0</v>
      </c>
      <c r="AX455" s="1074">
        <f t="shared" si="247"/>
        <v>0</v>
      </c>
      <c r="AY455" s="2279">
        <f t="shared" si="248"/>
        <v>0</v>
      </c>
      <c r="AZ455" s="2675">
        <f t="shared" si="249"/>
        <v>0</v>
      </c>
      <c r="BA455" s="2675">
        <f t="shared" si="250"/>
        <v>0</v>
      </c>
      <c r="BB455" s="2675">
        <f t="shared" si="251"/>
        <v>0</v>
      </c>
      <c r="BC455" s="2675">
        <f t="shared" si="252"/>
        <v>0</v>
      </c>
      <c r="BD455" s="2675">
        <f t="shared" si="253"/>
        <v>0</v>
      </c>
      <c r="BE455" s="2675">
        <f t="shared" si="254"/>
        <v>0</v>
      </c>
      <c r="BF455" s="2675">
        <f t="shared" si="255"/>
        <v>0</v>
      </c>
      <c r="BG455" s="2675">
        <f t="shared" si="256"/>
        <v>0</v>
      </c>
      <c r="BH455" s="2675">
        <f t="shared" si="257"/>
        <v>0</v>
      </c>
      <c r="BI455" s="2675">
        <f t="shared" si="258"/>
        <v>0</v>
      </c>
      <c r="BJ455" s="2675">
        <f t="shared" si="259"/>
        <v>0</v>
      </c>
      <c r="BK455" s="2675">
        <f t="shared" si="260"/>
        <v>0</v>
      </c>
      <c r="BL455" s="2675">
        <f t="shared" si="261"/>
        <v>0</v>
      </c>
      <c r="BM455" s="2675">
        <f t="shared" si="262"/>
        <v>0</v>
      </c>
      <c r="BN455" s="2675">
        <f t="shared" si="263"/>
        <v>0</v>
      </c>
      <c r="BO455" s="2675">
        <f t="shared" si="264"/>
        <v>0</v>
      </c>
      <c r="BP455" s="2675">
        <f t="shared" si="265"/>
        <v>0</v>
      </c>
      <c r="BQ455" s="2675">
        <f t="shared" si="266"/>
        <v>0</v>
      </c>
      <c r="BR455" s="2675">
        <f t="shared" si="267"/>
        <v>0</v>
      </c>
      <c r="BS455" s="2675">
        <f t="shared" si="268"/>
        <v>0</v>
      </c>
      <c r="BT455" s="2722">
        <f t="shared" si="269"/>
        <v>0</v>
      </c>
    </row>
    <row r="456" spans="1:72">
      <c r="A456" s="2673"/>
      <c r="B456" s="2674"/>
      <c r="C456" s="2674"/>
      <c r="D456" s="2277"/>
      <c r="E456" s="2675">
        <f t="shared" si="241"/>
        <v>0</v>
      </c>
      <c r="F456" s="2676"/>
      <c r="G456" s="2677">
        <f t="shared" si="242"/>
        <v>0</v>
      </c>
      <c r="H456" s="2678">
        <f t="shared" si="243"/>
        <v>0</v>
      </c>
      <c r="I456" s="2685"/>
      <c r="J456" s="2685"/>
      <c r="K456" s="2685"/>
      <c r="L456" s="2685"/>
      <c r="M456" s="2685"/>
      <c r="N456" s="2685"/>
      <c r="O456" s="2685"/>
      <c r="P456" s="2685"/>
      <c r="Q456" s="2685"/>
      <c r="R456" s="2685"/>
      <c r="S456" s="2685"/>
      <c r="T456" s="2685"/>
      <c r="U456" s="2685"/>
      <c r="V456" s="2685"/>
      <c r="W456" s="2685"/>
      <c r="X456" s="2685"/>
      <c r="Y456" s="2685"/>
      <c r="Z456" s="2685"/>
      <c r="AA456" s="2685"/>
      <c r="AB456" s="2685"/>
      <c r="AC456" s="2675">
        <f t="shared" si="244"/>
        <v>0</v>
      </c>
      <c r="AD456" s="2695"/>
      <c r="AE456" s="2695"/>
      <c r="AF456" s="2695"/>
      <c r="AG456" s="2695"/>
      <c r="AH456" s="2695"/>
      <c r="AI456" s="2695"/>
      <c r="AJ456" s="2695"/>
      <c r="AK456" s="2695"/>
      <c r="AL456" s="2695"/>
      <c r="AM456" s="2695"/>
      <c r="AN456" s="2695"/>
      <c r="AO456" s="2695"/>
      <c r="AP456" s="2695"/>
      <c r="AQ456" s="2695"/>
      <c r="AR456" s="2695"/>
      <c r="AS456" s="2695"/>
      <c r="AT456" s="2703"/>
      <c r="AU456" s="2704"/>
      <c r="AV456" s="1074">
        <f t="shared" si="245"/>
        <v>0</v>
      </c>
      <c r="AW456" s="1074">
        <f t="shared" si="246"/>
        <v>0</v>
      </c>
      <c r="AX456" s="1074">
        <f t="shared" si="247"/>
        <v>0</v>
      </c>
      <c r="AY456" s="2279">
        <f t="shared" si="248"/>
        <v>0</v>
      </c>
      <c r="AZ456" s="2675">
        <f t="shared" si="249"/>
        <v>0</v>
      </c>
      <c r="BA456" s="2675">
        <f t="shared" si="250"/>
        <v>0</v>
      </c>
      <c r="BB456" s="2675">
        <f t="shared" si="251"/>
        <v>0</v>
      </c>
      <c r="BC456" s="2675">
        <f t="shared" si="252"/>
        <v>0</v>
      </c>
      <c r="BD456" s="2675">
        <f t="shared" si="253"/>
        <v>0</v>
      </c>
      <c r="BE456" s="2675">
        <f t="shared" si="254"/>
        <v>0</v>
      </c>
      <c r="BF456" s="2675">
        <f t="shared" si="255"/>
        <v>0</v>
      </c>
      <c r="BG456" s="2675">
        <f t="shared" si="256"/>
        <v>0</v>
      </c>
      <c r="BH456" s="2675">
        <f t="shared" si="257"/>
        <v>0</v>
      </c>
      <c r="BI456" s="2675">
        <f t="shared" si="258"/>
        <v>0</v>
      </c>
      <c r="BJ456" s="2675">
        <f t="shared" si="259"/>
        <v>0</v>
      </c>
      <c r="BK456" s="2675">
        <f t="shared" si="260"/>
        <v>0</v>
      </c>
      <c r="BL456" s="2675">
        <f t="shared" si="261"/>
        <v>0</v>
      </c>
      <c r="BM456" s="2675">
        <f t="shared" si="262"/>
        <v>0</v>
      </c>
      <c r="BN456" s="2675">
        <f t="shared" si="263"/>
        <v>0</v>
      </c>
      <c r="BO456" s="2675">
        <f t="shared" si="264"/>
        <v>0</v>
      </c>
      <c r="BP456" s="2675">
        <f t="shared" si="265"/>
        <v>0</v>
      </c>
      <c r="BQ456" s="2675">
        <f t="shared" si="266"/>
        <v>0</v>
      </c>
      <c r="BR456" s="2675">
        <f t="shared" si="267"/>
        <v>0</v>
      </c>
      <c r="BS456" s="2675">
        <f t="shared" si="268"/>
        <v>0</v>
      </c>
      <c r="BT456" s="2722">
        <f t="shared" si="269"/>
        <v>0</v>
      </c>
    </row>
    <row r="457" spans="1:72">
      <c r="A457" s="2673"/>
      <c r="B457" s="2674"/>
      <c r="C457" s="2674"/>
      <c r="D457" s="2277"/>
      <c r="E457" s="2675">
        <f t="shared" si="241"/>
        <v>0</v>
      </c>
      <c r="F457" s="2676"/>
      <c r="G457" s="2677">
        <f t="shared" si="242"/>
        <v>0</v>
      </c>
      <c r="H457" s="2678">
        <f t="shared" si="243"/>
        <v>0</v>
      </c>
      <c r="I457" s="2685"/>
      <c r="J457" s="2685"/>
      <c r="K457" s="2685"/>
      <c r="L457" s="2685"/>
      <c r="M457" s="2685"/>
      <c r="N457" s="2685"/>
      <c r="O457" s="2685"/>
      <c r="P457" s="2685"/>
      <c r="Q457" s="2685"/>
      <c r="R457" s="2685"/>
      <c r="S457" s="2685"/>
      <c r="T457" s="2685"/>
      <c r="U457" s="2685"/>
      <c r="V457" s="2685"/>
      <c r="W457" s="2685"/>
      <c r="X457" s="2685"/>
      <c r="Y457" s="2685"/>
      <c r="Z457" s="2685"/>
      <c r="AA457" s="2685"/>
      <c r="AB457" s="2685"/>
      <c r="AC457" s="2675">
        <f t="shared" si="244"/>
        <v>0</v>
      </c>
      <c r="AD457" s="2695"/>
      <c r="AE457" s="2695"/>
      <c r="AF457" s="2695"/>
      <c r="AG457" s="2695"/>
      <c r="AH457" s="2695"/>
      <c r="AI457" s="2695"/>
      <c r="AJ457" s="2695"/>
      <c r="AK457" s="2695"/>
      <c r="AL457" s="2695"/>
      <c r="AM457" s="2695"/>
      <c r="AN457" s="2695"/>
      <c r="AO457" s="2695"/>
      <c r="AP457" s="2695"/>
      <c r="AQ457" s="2695"/>
      <c r="AR457" s="2695"/>
      <c r="AS457" s="2695"/>
      <c r="AT457" s="2703"/>
      <c r="AU457" s="2704"/>
      <c r="AV457" s="1074">
        <f t="shared" si="245"/>
        <v>0</v>
      </c>
      <c r="AW457" s="1074">
        <f t="shared" si="246"/>
        <v>0</v>
      </c>
      <c r="AX457" s="1074">
        <f t="shared" si="247"/>
        <v>0</v>
      </c>
      <c r="AY457" s="2279">
        <f t="shared" si="248"/>
        <v>0</v>
      </c>
      <c r="AZ457" s="2675">
        <f t="shared" si="249"/>
        <v>0</v>
      </c>
      <c r="BA457" s="2675">
        <f t="shared" si="250"/>
        <v>0</v>
      </c>
      <c r="BB457" s="2675">
        <f t="shared" si="251"/>
        <v>0</v>
      </c>
      <c r="BC457" s="2675">
        <f t="shared" si="252"/>
        <v>0</v>
      </c>
      <c r="BD457" s="2675">
        <f t="shared" si="253"/>
        <v>0</v>
      </c>
      <c r="BE457" s="2675">
        <f t="shared" si="254"/>
        <v>0</v>
      </c>
      <c r="BF457" s="2675">
        <f t="shared" si="255"/>
        <v>0</v>
      </c>
      <c r="BG457" s="2675">
        <f t="shared" si="256"/>
        <v>0</v>
      </c>
      <c r="BH457" s="2675">
        <f t="shared" si="257"/>
        <v>0</v>
      </c>
      <c r="BI457" s="2675">
        <f t="shared" si="258"/>
        <v>0</v>
      </c>
      <c r="BJ457" s="2675">
        <f t="shared" si="259"/>
        <v>0</v>
      </c>
      <c r="BK457" s="2675">
        <f t="shared" si="260"/>
        <v>0</v>
      </c>
      <c r="BL457" s="2675">
        <f t="shared" si="261"/>
        <v>0</v>
      </c>
      <c r="BM457" s="2675">
        <f t="shared" si="262"/>
        <v>0</v>
      </c>
      <c r="BN457" s="2675">
        <f t="shared" si="263"/>
        <v>0</v>
      </c>
      <c r="BO457" s="2675">
        <f t="shared" si="264"/>
        <v>0</v>
      </c>
      <c r="BP457" s="2675">
        <f t="shared" si="265"/>
        <v>0</v>
      </c>
      <c r="BQ457" s="2675">
        <f t="shared" si="266"/>
        <v>0</v>
      </c>
      <c r="BR457" s="2675">
        <f t="shared" si="267"/>
        <v>0</v>
      </c>
      <c r="BS457" s="2675">
        <f t="shared" si="268"/>
        <v>0</v>
      </c>
      <c r="BT457" s="2722">
        <f t="shared" si="269"/>
        <v>0</v>
      </c>
    </row>
    <row r="458" spans="1:72">
      <c r="A458" s="2673"/>
      <c r="B458" s="2674"/>
      <c r="C458" s="2674"/>
      <c r="D458" s="2277"/>
      <c r="E458" s="2675">
        <f t="shared" si="241"/>
        <v>0</v>
      </c>
      <c r="F458" s="2676"/>
      <c r="G458" s="2677">
        <f t="shared" si="242"/>
        <v>0</v>
      </c>
      <c r="H458" s="2678">
        <f t="shared" si="243"/>
        <v>0</v>
      </c>
      <c r="I458" s="2685"/>
      <c r="J458" s="2685"/>
      <c r="K458" s="2685"/>
      <c r="L458" s="2685"/>
      <c r="M458" s="2685"/>
      <c r="N458" s="2685"/>
      <c r="O458" s="2685"/>
      <c r="P458" s="2685"/>
      <c r="Q458" s="2685"/>
      <c r="R458" s="2685"/>
      <c r="S458" s="2685"/>
      <c r="T458" s="2685"/>
      <c r="U458" s="2685"/>
      <c r="V458" s="2685"/>
      <c r="W458" s="2685"/>
      <c r="X458" s="2685"/>
      <c r="Y458" s="2685"/>
      <c r="Z458" s="2685"/>
      <c r="AA458" s="2685"/>
      <c r="AB458" s="2685"/>
      <c r="AC458" s="2675">
        <f t="shared" si="244"/>
        <v>0</v>
      </c>
      <c r="AD458" s="2695"/>
      <c r="AE458" s="2695"/>
      <c r="AF458" s="2695"/>
      <c r="AG458" s="2695"/>
      <c r="AH458" s="2695"/>
      <c r="AI458" s="2695"/>
      <c r="AJ458" s="2695"/>
      <c r="AK458" s="2695"/>
      <c r="AL458" s="2695"/>
      <c r="AM458" s="2695"/>
      <c r="AN458" s="2695"/>
      <c r="AO458" s="2695"/>
      <c r="AP458" s="2695"/>
      <c r="AQ458" s="2695"/>
      <c r="AR458" s="2695"/>
      <c r="AS458" s="2695"/>
      <c r="AT458" s="2703"/>
      <c r="AU458" s="2704"/>
      <c r="AV458" s="1074">
        <f t="shared" si="245"/>
        <v>0</v>
      </c>
      <c r="AW458" s="1074">
        <f t="shared" si="246"/>
        <v>0</v>
      </c>
      <c r="AX458" s="1074">
        <f t="shared" si="247"/>
        <v>0</v>
      </c>
      <c r="AY458" s="2279">
        <f t="shared" si="248"/>
        <v>0</v>
      </c>
      <c r="AZ458" s="2675">
        <f t="shared" si="249"/>
        <v>0</v>
      </c>
      <c r="BA458" s="2675">
        <f t="shared" si="250"/>
        <v>0</v>
      </c>
      <c r="BB458" s="2675">
        <f t="shared" si="251"/>
        <v>0</v>
      </c>
      <c r="BC458" s="2675">
        <f t="shared" si="252"/>
        <v>0</v>
      </c>
      <c r="BD458" s="2675">
        <f t="shared" si="253"/>
        <v>0</v>
      </c>
      <c r="BE458" s="2675">
        <f t="shared" si="254"/>
        <v>0</v>
      </c>
      <c r="BF458" s="2675">
        <f t="shared" si="255"/>
        <v>0</v>
      </c>
      <c r="BG458" s="2675">
        <f t="shared" si="256"/>
        <v>0</v>
      </c>
      <c r="BH458" s="2675">
        <f t="shared" si="257"/>
        <v>0</v>
      </c>
      <c r="BI458" s="2675">
        <f t="shared" si="258"/>
        <v>0</v>
      </c>
      <c r="BJ458" s="2675">
        <f t="shared" si="259"/>
        <v>0</v>
      </c>
      <c r="BK458" s="2675">
        <f t="shared" si="260"/>
        <v>0</v>
      </c>
      <c r="BL458" s="2675">
        <f t="shared" si="261"/>
        <v>0</v>
      </c>
      <c r="BM458" s="2675">
        <f t="shared" si="262"/>
        <v>0</v>
      </c>
      <c r="BN458" s="2675">
        <f t="shared" si="263"/>
        <v>0</v>
      </c>
      <c r="BO458" s="2675">
        <f t="shared" si="264"/>
        <v>0</v>
      </c>
      <c r="BP458" s="2675">
        <f t="shared" si="265"/>
        <v>0</v>
      </c>
      <c r="BQ458" s="2675">
        <f t="shared" si="266"/>
        <v>0</v>
      </c>
      <c r="BR458" s="2675">
        <f t="shared" si="267"/>
        <v>0</v>
      </c>
      <c r="BS458" s="2675">
        <f t="shared" si="268"/>
        <v>0</v>
      </c>
      <c r="BT458" s="2722">
        <f t="shared" si="269"/>
        <v>0</v>
      </c>
    </row>
    <row r="459" spans="1:72">
      <c r="A459" s="2673"/>
      <c r="B459" s="2674"/>
      <c r="C459" s="2674"/>
      <c r="D459" s="2277"/>
      <c r="E459" s="2675">
        <f t="shared" si="241"/>
        <v>0</v>
      </c>
      <c r="F459" s="2676"/>
      <c r="G459" s="2677">
        <f t="shared" si="242"/>
        <v>0</v>
      </c>
      <c r="H459" s="2678">
        <f t="shared" si="243"/>
        <v>0</v>
      </c>
      <c r="I459" s="2685"/>
      <c r="J459" s="2685"/>
      <c r="K459" s="2685"/>
      <c r="L459" s="2685"/>
      <c r="M459" s="2685"/>
      <c r="N459" s="2685"/>
      <c r="O459" s="2685"/>
      <c r="P459" s="2685"/>
      <c r="Q459" s="2685"/>
      <c r="R459" s="2685"/>
      <c r="S459" s="2685"/>
      <c r="T459" s="2685"/>
      <c r="U459" s="2685"/>
      <c r="V459" s="2685"/>
      <c r="W459" s="2685"/>
      <c r="X459" s="2685"/>
      <c r="Y459" s="2685"/>
      <c r="Z459" s="2685"/>
      <c r="AA459" s="2685"/>
      <c r="AB459" s="2685"/>
      <c r="AC459" s="2675">
        <f t="shared" si="244"/>
        <v>0</v>
      </c>
      <c r="AD459" s="2695"/>
      <c r="AE459" s="2695"/>
      <c r="AF459" s="2695"/>
      <c r="AG459" s="2695"/>
      <c r="AH459" s="2695"/>
      <c r="AI459" s="2695"/>
      <c r="AJ459" s="2695"/>
      <c r="AK459" s="2695"/>
      <c r="AL459" s="2695"/>
      <c r="AM459" s="2695"/>
      <c r="AN459" s="2695"/>
      <c r="AO459" s="2695"/>
      <c r="AP459" s="2695"/>
      <c r="AQ459" s="2695"/>
      <c r="AR459" s="2695"/>
      <c r="AS459" s="2695"/>
      <c r="AT459" s="2703"/>
      <c r="AU459" s="2704"/>
      <c r="AV459" s="1074">
        <f t="shared" si="245"/>
        <v>0</v>
      </c>
      <c r="AW459" s="1074">
        <f t="shared" si="246"/>
        <v>0</v>
      </c>
      <c r="AX459" s="1074">
        <f t="shared" si="247"/>
        <v>0</v>
      </c>
      <c r="AY459" s="2279">
        <f t="shared" si="248"/>
        <v>0</v>
      </c>
      <c r="AZ459" s="2675">
        <f t="shared" si="249"/>
        <v>0</v>
      </c>
      <c r="BA459" s="2675">
        <f t="shared" si="250"/>
        <v>0</v>
      </c>
      <c r="BB459" s="2675">
        <f t="shared" si="251"/>
        <v>0</v>
      </c>
      <c r="BC459" s="2675">
        <f t="shared" si="252"/>
        <v>0</v>
      </c>
      <c r="BD459" s="2675">
        <f t="shared" si="253"/>
        <v>0</v>
      </c>
      <c r="BE459" s="2675">
        <f t="shared" si="254"/>
        <v>0</v>
      </c>
      <c r="BF459" s="2675">
        <f t="shared" si="255"/>
        <v>0</v>
      </c>
      <c r="BG459" s="2675">
        <f t="shared" si="256"/>
        <v>0</v>
      </c>
      <c r="BH459" s="2675">
        <f t="shared" si="257"/>
        <v>0</v>
      </c>
      <c r="BI459" s="2675">
        <f t="shared" si="258"/>
        <v>0</v>
      </c>
      <c r="BJ459" s="2675">
        <f t="shared" si="259"/>
        <v>0</v>
      </c>
      <c r="BK459" s="2675">
        <f t="shared" si="260"/>
        <v>0</v>
      </c>
      <c r="BL459" s="2675">
        <f t="shared" si="261"/>
        <v>0</v>
      </c>
      <c r="BM459" s="2675">
        <f t="shared" si="262"/>
        <v>0</v>
      </c>
      <c r="BN459" s="2675">
        <f t="shared" si="263"/>
        <v>0</v>
      </c>
      <c r="BO459" s="2675">
        <f t="shared" si="264"/>
        <v>0</v>
      </c>
      <c r="BP459" s="2675">
        <f t="shared" si="265"/>
        <v>0</v>
      </c>
      <c r="BQ459" s="2675">
        <f t="shared" si="266"/>
        <v>0</v>
      </c>
      <c r="BR459" s="2675">
        <f t="shared" si="267"/>
        <v>0</v>
      </c>
      <c r="BS459" s="2675">
        <f t="shared" si="268"/>
        <v>0</v>
      </c>
      <c r="BT459" s="2722">
        <f t="shared" si="269"/>
        <v>0</v>
      </c>
    </row>
    <row r="460" spans="1:72">
      <c r="A460" s="2673"/>
      <c r="B460" s="2674"/>
      <c r="C460" s="2674"/>
      <c r="D460" s="2277"/>
      <c r="E460" s="2675">
        <f t="shared" si="241"/>
        <v>0</v>
      </c>
      <c r="F460" s="2676"/>
      <c r="G460" s="2677">
        <f t="shared" si="242"/>
        <v>0</v>
      </c>
      <c r="H460" s="2678">
        <f t="shared" si="243"/>
        <v>0</v>
      </c>
      <c r="I460" s="2685"/>
      <c r="J460" s="2685"/>
      <c r="K460" s="2685"/>
      <c r="L460" s="2685"/>
      <c r="M460" s="2685"/>
      <c r="N460" s="2685"/>
      <c r="O460" s="2685"/>
      <c r="P460" s="2685"/>
      <c r="Q460" s="2685"/>
      <c r="R460" s="2685"/>
      <c r="S460" s="2685"/>
      <c r="T460" s="2685"/>
      <c r="U460" s="2685"/>
      <c r="V460" s="2685"/>
      <c r="W460" s="2685"/>
      <c r="X460" s="2685"/>
      <c r="Y460" s="2685"/>
      <c r="Z460" s="2685"/>
      <c r="AA460" s="2685"/>
      <c r="AB460" s="2685"/>
      <c r="AC460" s="2675">
        <f t="shared" si="244"/>
        <v>0</v>
      </c>
      <c r="AD460" s="2695"/>
      <c r="AE460" s="2695"/>
      <c r="AF460" s="2695"/>
      <c r="AG460" s="2695"/>
      <c r="AH460" s="2695"/>
      <c r="AI460" s="2695"/>
      <c r="AJ460" s="2695"/>
      <c r="AK460" s="2695"/>
      <c r="AL460" s="2695"/>
      <c r="AM460" s="2695"/>
      <c r="AN460" s="2695"/>
      <c r="AO460" s="2695"/>
      <c r="AP460" s="2695"/>
      <c r="AQ460" s="2695"/>
      <c r="AR460" s="2695"/>
      <c r="AS460" s="2695"/>
      <c r="AT460" s="2703"/>
      <c r="AU460" s="2704"/>
      <c r="AV460" s="1074">
        <f t="shared" si="245"/>
        <v>0</v>
      </c>
      <c r="AW460" s="1074">
        <f t="shared" si="246"/>
        <v>0</v>
      </c>
      <c r="AX460" s="1074">
        <f t="shared" si="247"/>
        <v>0</v>
      </c>
      <c r="AY460" s="2279">
        <f t="shared" si="248"/>
        <v>0</v>
      </c>
      <c r="AZ460" s="2675">
        <f t="shared" si="249"/>
        <v>0</v>
      </c>
      <c r="BA460" s="2675">
        <f t="shared" si="250"/>
        <v>0</v>
      </c>
      <c r="BB460" s="2675">
        <f t="shared" si="251"/>
        <v>0</v>
      </c>
      <c r="BC460" s="2675">
        <f t="shared" si="252"/>
        <v>0</v>
      </c>
      <c r="BD460" s="2675">
        <f t="shared" si="253"/>
        <v>0</v>
      </c>
      <c r="BE460" s="2675">
        <f t="shared" si="254"/>
        <v>0</v>
      </c>
      <c r="BF460" s="2675">
        <f t="shared" si="255"/>
        <v>0</v>
      </c>
      <c r="BG460" s="2675">
        <f t="shared" si="256"/>
        <v>0</v>
      </c>
      <c r="BH460" s="2675">
        <f t="shared" si="257"/>
        <v>0</v>
      </c>
      <c r="BI460" s="2675">
        <f t="shared" si="258"/>
        <v>0</v>
      </c>
      <c r="BJ460" s="2675">
        <f t="shared" si="259"/>
        <v>0</v>
      </c>
      <c r="BK460" s="2675">
        <f t="shared" si="260"/>
        <v>0</v>
      </c>
      <c r="BL460" s="2675">
        <f t="shared" si="261"/>
        <v>0</v>
      </c>
      <c r="BM460" s="2675">
        <f t="shared" si="262"/>
        <v>0</v>
      </c>
      <c r="BN460" s="2675">
        <f t="shared" si="263"/>
        <v>0</v>
      </c>
      <c r="BO460" s="2675">
        <f t="shared" si="264"/>
        <v>0</v>
      </c>
      <c r="BP460" s="2675">
        <f t="shared" si="265"/>
        <v>0</v>
      </c>
      <c r="BQ460" s="2675">
        <f t="shared" si="266"/>
        <v>0</v>
      </c>
      <c r="BR460" s="2675">
        <f t="shared" si="267"/>
        <v>0</v>
      </c>
      <c r="BS460" s="2675">
        <f t="shared" si="268"/>
        <v>0</v>
      </c>
      <c r="BT460" s="2722">
        <f t="shared" si="269"/>
        <v>0</v>
      </c>
    </row>
    <row r="461" spans="1:72">
      <c r="A461" s="2673"/>
      <c r="B461" s="2674"/>
      <c r="C461" s="2674"/>
      <c r="D461" s="2277"/>
      <c r="E461" s="2675">
        <f t="shared" si="241"/>
        <v>0</v>
      </c>
      <c r="F461" s="2676"/>
      <c r="G461" s="2677">
        <f t="shared" si="242"/>
        <v>0</v>
      </c>
      <c r="H461" s="2678">
        <f t="shared" si="243"/>
        <v>0</v>
      </c>
      <c r="I461" s="2685"/>
      <c r="J461" s="2685"/>
      <c r="K461" s="2685"/>
      <c r="L461" s="2685"/>
      <c r="M461" s="2685"/>
      <c r="N461" s="2685"/>
      <c r="O461" s="2685"/>
      <c r="P461" s="2685"/>
      <c r="Q461" s="2685"/>
      <c r="R461" s="2685"/>
      <c r="S461" s="2685"/>
      <c r="T461" s="2685"/>
      <c r="U461" s="2685"/>
      <c r="V461" s="2685"/>
      <c r="W461" s="2685"/>
      <c r="X461" s="2685"/>
      <c r="Y461" s="2685"/>
      <c r="Z461" s="2685"/>
      <c r="AA461" s="2685"/>
      <c r="AB461" s="2685"/>
      <c r="AC461" s="2675">
        <f t="shared" si="244"/>
        <v>0</v>
      </c>
      <c r="AD461" s="2695"/>
      <c r="AE461" s="2695"/>
      <c r="AF461" s="2695"/>
      <c r="AG461" s="2695"/>
      <c r="AH461" s="2695"/>
      <c r="AI461" s="2695"/>
      <c r="AJ461" s="2695"/>
      <c r="AK461" s="2695"/>
      <c r="AL461" s="2695"/>
      <c r="AM461" s="2695"/>
      <c r="AN461" s="2695"/>
      <c r="AO461" s="2695"/>
      <c r="AP461" s="2695"/>
      <c r="AQ461" s="2695"/>
      <c r="AR461" s="2695"/>
      <c r="AS461" s="2695"/>
      <c r="AT461" s="2703"/>
      <c r="AU461" s="2704"/>
      <c r="AV461" s="1074">
        <f t="shared" si="245"/>
        <v>0</v>
      </c>
      <c r="AW461" s="1074">
        <f t="shared" si="246"/>
        <v>0</v>
      </c>
      <c r="AX461" s="1074">
        <f t="shared" si="247"/>
        <v>0</v>
      </c>
      <c r="AY461" s="2279">
        <f t="shared" si="248"/>
        <v>0</v>
      </c>
      <c r="AZ461" s="2675">
        <f t="shared" si="249"/>
        <v>0</v>
      </c>
      <c r="BA461" s="2675">
        <f t="shared" si="250"/>
        <v>0</v>
      </c>
      <c r="BB461" s="2675">
        <f t="shared" si="251"/>
        <v>0</v>
      </c>
      <c r="BC461" s="2675">
        <f t="shared" si="252"/>
        <v>0</v>
      </c>
      <c r="BD461" s="2675">
        <f t="shared" si="253"/>
        <v>0</v>
      </c>
      <c r="BE461" s="2675">
        <f t="shared" si="254"/>
        <v>0</v>
      </c>
      <c r="BF461" s="2675">
        <f t="shared" si="255"/>
        <v>0</v>
      </c>
      <c r="BG461" s="2675">
        <f t="shared" si="256"/>
        <v>0</v>
      </c>
      <c r="BH461" s="2675">
        <f t="shared" si="257"/>
        <v>0</v>
      </c>
      <c r="BI461" s="2675">
        <f t="shared" si="258"/>
        <v>0</v>
      </c>
      <c r="BJ461" s="2675">
        <f t="shared" si="259"/>
        <v>0</v>
      </c>
      <c r="BK461" s="2675">
        <f t="shared" si="260"/>
        <v>0</v>
      </c>
      <c r="BL461" s="2675">
        <f t="shared" si="261"/>
        <v>0</v>
      </c>
      <c r="BM461" s="2675">
        <f t="shared" si="262"/>
        <v>0</v>
      </c>
      <c r="BN461" s="2675">
        <f t="shared" si="263"/>
        <v>0</v>
      </c>
      <c r="BO461" s="2675">
        <f t="shared" si="264"/>
        <v>0</v>
      </c>
      <c r="BP461" s="2675">
        <f t="shared" si="265"/>
        <v>0</v>
      </c>
      <c r="BQ461" s="2675">
        <f t="shared" si="266"/>
        <v>0</v>
      </c>
      <c r="BR461" s="2675">
        <f t="shared" si="267"/>
        <v>0</v>
      </c>
      <c r="BS461" s="2675">
        <f t="shared" si="268"/>
        <v>0</v>
      </c>
      <c r="BT461" s="2722">
        <f t="shared" si="269"/>
        <v>0</v>
      </c>
    </row>
    <row r="462" spans="1:72">
      <c r="A462" s="2673"/>
      <c r="B462" s="2674"/>
      <c r="C462" s="2674"/>
      <c r="D462" s="2277"/>
      <c r="E462" s="2675">
        <f t="shared" si="241"/>
        <v>0</v>
      </c>
      <c r="F462" s="2676"/>
      <c r="G462" s="2677">
        <f t="shared" si="242"/>
        <v>0</v>
      </c>
      <c r="H462" s="2678">
        <f t="shared" si="243"/>
        <v>0</v>
      </c>
      <c r="I462" s="2685"/>
      <c r="J462" s="2685"/>
      <c r="K462" s="2685"/>
      <c r="L462" s="2685"/>
      <c r="M462" s="2685"/>
      <c r="N462" s="2685"/>
      <c r="O462" s="2685"/>
      <c r="P462" s="2685"/>
      <c r="Q462" s="2685"/>
      <c r="R462" s="2685"/>
      <c r="S462" s="2685"/>
      <c r="T462" s="2685"/>
      <c r="U462" s="2685"/>
      <c r="V462" s="2685"/>
      <c r="W462" s="2685"/>
      <c r="X462" s="2685"/>
      <c r="Y462" s="2685"/>
      <c r="Z462" s="2685"/>
      <c r="AA462" s="2685"/>
      <c r="AB462" s="2685"/>
      <c r="AC462" s="2675">
        <f t="shared" si="244"/>
        <v>0</v>
      </c>
      <c r="AD462" s="2695"/>
      <c r="AE462" s="2695"/>
      <c r="AF462" s="2695"/>
      <c r="AG462" s="2695"/>
      <c r="AH462" s="2695"/>
      <c r="AI462" s="2695"/>
      <c r="AJ462" s="2695"/>
      <c r="AK462" s="2695"/>
      <c r="AL462" s="2695"/>
      <c r="AM462" s="2695"/>
      <c r="AN462" s="2695"/>
      <c r="AO462" s="2695"/>
      <c r="AP462" s="2695"/>
      <c r="AQ462" s="2695"/>
      <c r="AR462" s="2695"/>
      <c r="AS462" s="2695"/>
      <c r="AT462" s="2703"/>
      <c r="AU462" s="2704"/>
      <c r="AV462" s="1074">
        <f t="shared" si="245"/>
        <v>0</v>
      </c>
      <c r="AW462" s="1074">
        <f t="shared" si="246"/>
        <v>0</v>
      </c>
      <c r="AX462" s="1074">
        <f t="shared" si="247"/>
        <v>0</v>
      </c>
      <c r="AY462" s="2279">
        <f t="shared" si="248"/>
        <v>0</v>
      </c>
      <c r="AZ462" s="2675">
        <f t="shared" si="249"/>
        <v>0</v>
      </c>
      <c r="BA462" s="2675">
        <f t="shared" si="250"/>
        <v>0</v>
      </c>
      <c r="BB462" s="2675">
        <f t="shared" si="251"/>
        <v>0</v>
      </c>
      <c r="BC462" s="2675">
        <f t="shared" si="252"/>
        <v>0</v>
      </c>
      <c r="BD462" s="2675">
        <f t="shared" si="253"/>
        <v>0</v>
      </c>
      <c r="BE462" s="2675">
        <f t="shared" si="254"/>
        <v>0</v>
      </c>
      <c r="BF462" s="2675">
        <f t="shared" si="255"/>
        <v>0</v>
      </c>
      <c r="BG462" s="2675">
        <f t="shared" si="256"/>
        <v>0</v>
      </c>
      <c r="BH462" s="2675">
        <f t="shared" si="257"/>
        <v>0</v>
      </c>
      <c r="BI462" s="2675">
        <f t="shared" si="258"/>
        <v>0</v>
      </c>
      <c r="BJ462" s="2675">
        <f t="shared" si="259"/>
        <v>0</v>
      </c>
      <c r="BK462" s="2675">
        <f t="shared" si="260"/>
        <v>0</v>
      </c>
      <c r="BL462" s="2675">
        <f t="shared" si="261"/>
        <v>0</v>
      </c>
      <c r="BM462" s="2675">
        <f t="shared" si="262"/>
        <v>0</v>
      </c>
      <c r="BN462" s="2675">
        <f t="shared" si="263"/>
        <v>0</v>
      </c>
      <c r="BO462" s="2675">
        <f t="shared" si="264"/>
        <v>0</v>
      </c>
      <c r="BP462" s="2675">
        <f t="shared" si="265"/>
        <v>0</v>
      </c>
      <c r="BQ462" s="2675">
        <f t="shared" si="266"/>
        <v>0</v>
      </c>
      <c r="BR462" s="2675">
        <f t="shared" si="267"/>
        <v>0</v>
      </c>
      <c r="BS462" s="2675">
        <f t="shared" si="268"/>
        <v>0</v>
      </c>
      <c r="BT462" s="2722">
        <f t="shared" si="269"/>
        <v>0</v>
      </c>
    </row>
    <row r="463" spans="1:72">
      <c r="A463" s="2673"/>
      <c r="B463" s="2674"/>
      <c r="C463" s="2674"/>
      <c r="D463" s="2277"/>
      <c r="E463" s="2675">
        <f t="shared" si="241"/>
        <v>0</v>
      </c>
      <c r="F463" s="2676"/>
      <c r="G463" s="2677">
        <f t="shared" si="242"/>
        <v>0</v>
      </c>
      <c r="H463" s="2678">
        <f t="shared" si="243"/>
        <v>0</v>
      </c>
      <c r="I463" s="2685"/>
      <c r="J463" s="2685"/>
      <c r="K463" s="2685"/>
      <c r="L463" s="2685"/>
      <c r="M463" s="2685"/>
      <c r="N463" s="2685"/>
      <c r="O463" s="2685"/>
      <c r="P463" s="2685"/>
      <c r="Q463" s="2685"/>
      <c r="R463" s="2685"/>
      <c r="S463" s="2685"/>
      <c r="T463" s="2685"/>
      <c r="U463" s="2685"/>
      <c r="V463" s="2685"/>
      <c r="W463" s="2685"/>
      <c r="X463" s="2685"/>
      <c r="Y463" s="2685"/>
      <c r="Z463" s="2685"/>
      <c r="AA463" s="2685"/>
      <c r="AB463" s="2685"/>
      <c r="AC463" s="2675">
        <f t="shared" si="244"/>
        <v>0</v>
      </c>
      <c r="AD463" s="2695"/>
      <c r="AE463" s="2695"/>
      <c r="AF463" s="2695"/>
      <c r="AG463" s="2695"/>
      <c r="AH463" s="2695"/>
      <c r="AI463" s="2695"/>
      <c r="AJ463" s="2695"/>
      <c r="AK463" s="2695"/>
      <c r="AL463" s="2695"/>
      <c r="AM463" s="2695"/>
      <c r="AN463" s="2695"/>
      <c r="AO463" s="2695"/>
      <c r="AP463" s="2695"/>
      <c r="AQ463" s="2695"/>
      <c r="AR463" s="2695"/>
      <c r="AS463" s="2695"/>
      <c r="AT463" s="2703"/>
      <c r="AU463" s="2704"/>
      <c r="AV463" s="1074">
        <f t="shared" si="245"/>
        <v>0</v>
      </c>
      <c r="AW463" s="1074">
        <f t="shared" si="246"/>
        <v>0</v>
      </c>
      <c r="AX463" s="1074">
        <f t="shared" si="247"/>
        <v>0</v>
      </c>
      <c r="AY463" s="2279">
        <f t="shared" si="248"/>
        <v>0</v>
      </c>
      <c r="AZ463" s="2675">
        <f t="shared" si="249"/>
        <v>0</v>
      </c>
      <c r="BA463" s="2675">
        <f t="shared" si="250"/>
        <v>0</v>
      </c>
      <c r="BB463" s="2675">
        <f t="shared" si="251"/>
        <v>0</v>
      </c>
      <c r="BC463" s="2675">
        <f t="shared" si="252"/>
        <v>0</v>
      </c>
      <c r="BD463" s="2675">
        <f t="shared" si="253"/>
        <v>0</v>
      </c>
      <c r="BE463" s="2675">
        <f t="shared" si="254"/>
        <v>0</v>
      </c>
      <c r="BF463" s="2675">
        <f t="shared" si="255"/>
        <v>0</v>
      </c>
      <c r="BG463" s="2675">
        <f t="shared" si="256"/>
        <v>0</v>
      </c>
      <c r="BH463" s="2675">
        <f t="shared" si="257"/>
        <v>0</v>
      </c>
      <c r="BI463" s="2675">
        <f t="shared" si="258"/>
        <v>0</v>
      </c>
      <c r="BJ463" s="2675">
        <f t="shared" si="259"/>
        <v>0</v>
      </c>
      <c r="BK463" s="2675">
        <f t="shared" si="260"/>
        <v>0</v>
      </c>
      <c r="BL463" s="2675">
        <f t="shared" si="261"/>
        <v>0</v>
      </c>
      <c r="BM463" s="2675">
        <f t="shared" si="262"/>
        <v>0</v>
      </c>
      <c r="BN463" s="2675">
        <f t="shared" si="263"/>
        <v>0</v>
      </c>
      <c r="BO463" s="2675">
        <f t="shared" si="264"/>
        <v>0</v>
      </c>
      <c r="BP463" s="2675">
        <f t="shared" si="265"/>
        <v>0</v>
      </c>
      <c r="BQ463" s="2675">
        <f t="shared" si="266"/>
        <v>0</v>
      </c>
      <c r="BR463" s="2675">
        <f t="shared" si="267"/>
        <v>0</v>
      </c>
      <c r="BS463" s="2675">
        <f t="shared" si="268"/>
        <v>0</v>
      </c>
      <c r="BT463" s="2722">
        <f t="shared" si="269"/>
        <v>0</v>
      </c>
    </row>
    <row r="464" spans="1:72">
      <c r="A464" s="2673"/>
      <c r="B464" s="2674"/>
      <c r="C464" s="2674"/>
      <c r="D464" s="2277"/>
      <c r="E464" s="2675">
        <f t="shared" si="241"/>
        <v>0</v>
      </c>
      <c r="F464" s="2676"/>
      <c r="G464" s="2677">
        <f t="shared" si="242"/>
        <v>0</v>
      </c>
      <c r="H464" s="2678">
        <f t="shared" si="243"/>
        <v>0</v>
      </c>
      <c r="I464" s="2685"/>
      <c r="J464" s="2685"/>
      <c r="K464" s="2685"/>
      <c r="L464" s="2685"/>
      <c r="M464" s="2685"/>
      <c r="N464" s="2685"/>
      <c r="O464" s="2685"/>
      <c r="P464" s="2685"/>
      <c r="Q464" s="2685"/>
      <c r="R464" s="2685"/>
      <c r="S464" s="2685"/>
      <c r="T464" s="2685"/>
      <c r="U464" s="2685"/>
      <c r="V464" s="2685"/>
      <c r="W464" s="2685"/>
      <c r="X464" s="2685"/>
      <c r="Y464" s="2685"/>
      <c r="Z464" s="2685"/>
      <c r="AA464" s="2685"/>
      <c r="AB464" s="2685"/>
      <c r="AC464" s="2675">
        <f t="shared" si="244"/>
        <v>0</v>
      </c>
      <c r="AD464" s="2695"/>
      <c r="AE464" s="2695"/>
      <c r="AF464" s="2695"/>
      <c r="AG464" s="2695"/>
      <c r="AH464" s="2695"/>
      <c r="AI464" s="2695"/>
      <c r="AJ464" s="2695"/>
      <c r="AK464" s="2695"/>
      <c r="AL464" s="2695"/>
      <c r="AM464" s="2695"/>
      <c r="AN464" s="2695"/>
      <c r="AO464" s="2695"/>
      <c r="AP464" s="2695"/>
      <c r="AQ464" s="2695"/>
      <c r="AR464" s="2695"/>
      <c r="AS464" s="2695"/>
      <c r="AT464" s="2703"/>
      <c r="AU464" s="2704"/>
      <c r="AV464" s="1074">
        <f t="shared" si="245"/>
        <v>0</v>
      </c>
      <c r="AW464" s="1074">
        <f t="shared" si="246"/>
        <v>0</v>
      </c>
      <c r="AX464" s="1074">
        <f t="shared" si="247"/>
        <v>0</v>
      </c>
      <c r="AY464" s="2279">
        <f t="shared" si="248"/>
        <v>0</v>
      </c>
      <c r="AZ464" s="2675">
        <f t="shared" si="249"/>
        <v>0</v>
      </c>
      <c r="BA464" s="2675">
        <f t="shared" si="250"/>
        <v>0</v>
      </c>
      <c r="BB464" s="2675">
        <f t="shared" si="251"/>
        <v>0</v>
      </c>
      <c r="BC464" s="2675">
        <f t="shared" si="252"/>
        <v>0</v>
      </c>
      <c r="BD464" s="2675">
        <f t="shared" si="253"/>
        <v>0</v>
      </c>
      <c r="BE464" s="2675">
        <f t="shared" si="254"/>
        <v>0</v>
      </c>
      <c r="BF464" s="2675">
        <f t="shared" si="255"/>
        <v>0</v>
      </c>
      <c r="BG464" s="2675">
        <f t="shared" si="256"/>
        <v>0</v>
      </c>
      <c r="BH464" s="2675">
        <f t="shared" si="257"/>
        <v>0</v>
      </c>
      <c r="BI464" s="2675">
        <f t="shared" si="258"/>
        <v>0</v>
      </c>
      <c r="BJ464" s="2675">
        <f t="shared" si="259"/>
        <v>0</v>
      </c>
      <c r="BK464" s="2675">
        <f t="shared" si="260"/>
        <v>0</v>
      </c>
      <c r="BL464" s="2675">
        <f t="shared" si="261"/>
        <v>0</v>
      </c>
      <c r="BM464" s="2675">
        <f t="shared" si="262"/>
        <v>0</v>
      </c>
      <c r="BN464" s="2675">
        <f t="shared" si="263"/>
        <v>0</v>
      </c>
      <c r="BO464" s="2675">
        <f t="shared" si="264"/>
        <v>0</v>
      </c>
      <c r="BP464" s="2675">
        <f t="shared" si="265"/>
        <v>0</v>
      </c>
      <c r="BQ464" s="2675">
        <f t="shared" si="266"/>
        <v>0</v>
      </c>
      <c r="BR464" s="2675">
        <f t="shared" si="267"/>
        <v>0</v>
      </c>
      <c r="BS464" s="2675">
        <f t="shared" si="268"/>
        <v>0</v>
      </c>
      <c r="BT464" s="2722">
        <f t="shared" si="269"/>
        <v>0</v>
      </c>
    </row>
    <row r="465" spans="1:72">
      <c r="A465" s="2673"/>
      <c r="B465" s="2674"/>
      <c r="C465" s="2674"/>
      <c r="D465" s="2277"/>
      <c r="E465" s="2675">
        <f t="shared" si="241"/>
        <v>0</v>
      </c>
      <c r="F465" s="2676"/>
      <c r="G465" s="2677">
        <f t="shared" si="242"/>
        <v>0</v>
      </c>
      <c r="H465" s="2678">
        <f t="shared" si="243"/>
        <v>0</v>
      </c>
      <c r="I465" s="2685"/>
      <c r="J465" s="2685"/>
      <c r="K465" s="2685"/>
      <c r="L465" s="2685"/>
      <c r="M465" s="2685"/>
      <c r="N465" s="2685"/>
      <c r="O465" s="2685"/>
      <c r="P465" s="2685"/>
      <c r="Q465" s="2685"/>
      <c r="R465" s="2685"/>
      <c r="S465" s="2685"/>
      <c r="T465" s="2685"/>
      <c r="U465" s="2685"/>
      <c r="V465" s="2685"/>
      <c r="W465" s="2685"/>
      <c r="X465" s="2685"/>
      <c r="Y465" s="2685"/>
      <c r="Z465" s="2685"/>
      <c r="AA465" s="2685"/>
      <c r="AB465" s="2685"/>
      <c r="AC465" s="2675">
        <f t="shared" si="244"/>
        <v>0</v>
      </c>
      <c r="AD465" s="2695"/>
      <c r="AE465" s="2695"/>
      <c r="AF465" s="2695"/>
      <c r="AG465" s="2695"/>
      <c r="AH465" s="2695"/>
      <c r="AI465" s="2695"/>
      <c r="AJ465" s="2695"/>
      <c r="AK465" s="2695"/>
      <c r="AL465" s="2695"/>
      <c r="AM465" s="2695"/>
      <c r="AN465" s="2695"/>
      <c r="AO465" s="2695"/>
      <c r="AP465" s="2695"/>
      <c r="AQ465" s="2695"/>
      <c r="AR465" s="2695"/>
      <c r="AS465" s="2695"/>
      <c r="AT465" s="2703"/>
      <c r="AU465" s="2704"/>
      <c r="AV465" s="1074">
        <f t="shared" si="245"/>
        <v>0</v>
      </c>
      <c r="AW465" s="1074">
        <f t="shared" si="246"/>
        <v>0</v>
      </c>
      <c r="AX465" s="1074">
        <f t="shared" si="247"/>
        <v>0</v>
      </c>
      <c r="AY465" s="2279">
        <f t="shared" si="248"/>
        <v>0</v>
      </c>
      <c r="AZ465" s="2675">
        <f t="shared" si="249"/>
        <v>0</v>
      </c>
      <c r="BA465" s="2675">
        <f t="shared" si="250"/>
        <v>0</v>
      </c>
      <c r="BB465" s="2675">
        <f t="shared" si="251"/>
        <v>0</v>
      </c>
      <c r="BC465" s="2675">
        <f t="shared" si="252"/>
        <v>0</v>
      </c>
      <c r="BD465" s="2675">
        <f t="shared" si="253"/>
        <v>0</v>
      </c>
      <c r="BE465" s="2675">
        <f t="shared" si="254"/>
        <v>0</v>
      </c>
      <c r="BF465" s="2675">
        <f t="shared" si="255"/>
        <v>0</v>
      </c>
      <c r="BG465" s="2675">
        <f t="shared" si="256"/>
        <v>0</v>
      </c>
      <c r="BH465" s="2675">
        <f t="shared" si="257"/>
        <v>0</v>
      </c>
      <c r="BI465" s="2675">
        <f t="shared" si="258"/>
        <v>0</v>
      </c>
      <c r="BJ465" s="2675">
        <f t="shared" si="259"/>
        <v>0</v>
      </c>
      <c r="BK465" s="2675">
        <f t="shared" si="260"/>
        <v>0</v>
      </c>
      <c r="BL465" s="2675">
        <f t="shared" si="261"/>
        <v>0</v>
      </c>
      <c r="BM465" s="2675">
        <f t="shared" si="262"/>
        <v>0</v>
      </c>
      <c r="BN465" s="2675">
        <f t="shared" si="263"/>
        <v>0</v>
      </c>
      <c r="BO465" s="2675">
        <f t="shared" si="264"/>
        <v>0</v>
      </c>
      <c r="BP465" s="2675">
        <f t="shared" si="265"/>
        <v>0</v>
      </c>
      <c r="BQ465" s="2675">
        <f t="shared" si="266"/>
        <v>0</v>
      </c>
      <c r="BR465" s="2675">
        <f t="shared" si="267"/>
        <v>0</v>
      </c>
      <c r="BS465" s="2675">
        <f t="shared" si="268"/>
        <v>0</v>
      </c>
      <c r="BT465" s="2722">
        <f t="shared" si="269"/>
        <v>0</v>
      </c>
    </row>
    <row r="466" spans="1:72">
      <c r="A466" s="2673"/>
      <c r="B466" s="2674"/>
      <c r="C466" s="2674"/>
      <c r="D466" s="2277"/>
      <c r="E466" s="2675">
        <f t="shared" si="241"/>
        <v>0</v>
      </c>
      <c r="F466" s="2676"/>
      <c r="G466" s="2677">
        <f t="shared" si="242"/>
        <v>0</v>
      </c>
      <c r="H466" s="2678">
        <f t="shared" si="243"/>
        <v>0</v>
      </c>
      <c r="I466" s="2685"/>
      <c r="J466" s="2685"/>
      <c r="K466" s="2685"/>
      <c r="L466" s="2685"/>
      <c r="M466" s="2685"/>
      <c r="N466" s="2685"/>
      <c r="O466" s="2685"/>
      <c r="P466" s="2685"/>
      <c r="Q466" s="2685"/>
      <c r="R466" s="2685"/>
      <c r="S466" s="2685"/>
      <c r="T466" s="2685"/>
      <c r="U466" s="2685"/>
      <c r="V466" s="2685"/>
      <c r="W466" s="2685"/>
      <c r="X466" s="2685"/>
      <c r="Y466" s="2685"/>
      <c r="Z466" s="2685"/>
      <c r="AA466" s="2685"/>
      <c r="AB466" s="2685"/>
      <c r="AC466" s="2675">
        <f t="shared" si="244"/>
        <v>0</v>
      </c>
      <c r="AD466" s="2695"/>
      <c r="AE466" s="2695"/>
      <c r="AF466" s="2695"/>
      <c r="AG466" s="2695"/>
      <c r="AH466" s="2695"/>
      <c r="AI466" s="2695"/>
      <c r="AJ466" s="2695"/>
      <c r="AK466" s="2695"/>
      <c r="AL466" s="2695"/>
      <c r="AM466" s="2695"/>
      <c r="AN466" s="2695"/>
      <c r="AO466" s="2695"/>
      <c r="AP466" s="2695"/>
      <c r="AQ466" s="2695"/>
      <c r="AR466" s="2695"/>
      <c r="AS466" s="2695"/>
      <c r="AT466" s="2703"/>
      <c r="AU466" s="2704"/>
      <c r="AV466" s="1074">
        <f t="shared" si="245"/>
        <v>0</v>
      </c>
      <c r="AW466" s="1074">
        <f t="shared" si="246"/>
        <v>0</v>
      </c>
      <c r="AX466" s="1074">
        <f t="shared" si="247"/>
        <v>0</v>
      </c>
      <c r="AY466" s="2279">
        <f t="shared" si="248"/>
        <v>0</v>
      </c>
      <c r="AZ466" s="2675">
        <f t="shared" si="249"/>
        <v>0</v>
      </c>
      <c r="BA466" s="2675">
        <f t="shared" si="250"/>
        <v>0</v>
      </c>
      <c r="BB466" s="2675">
        <f t="shared" si="251"/>
        <v>0</v>
      </c>
      <c r="BC466" s="2675">
        <f t="shared" si="252"/>
        <v>0</v>
      </c>
      <c r="BD466" s="2675">
        <f t="shared" si="253"/>
        <v>0</v>
      </c>
      <c r="BE466" s="2675">
        <f t="shared" si="254"/>
        <v>0</v>
      </c>
      <c r="BF466" s="2675">
        <f t="shared" si="255"/>
        <v>0</v>
      </c>
      <c r="BG466" s="2675">
        <f t="shared" si="256"/>
        <v>0</v>
      </c>
      <c r="BH466" s="2675">
        <f t="shared" si="257"/>
        <v>0</v>
      </c>
      <c r="BI466" s="2675">
        <f t="shared" si="258"/>
        <v>0</v>
      </c>
      <c r="BJ466" s="2675">
        <f t="shared" si="259"/>
        <v>0</v>
      </c>
      <c r="BK466" s="2675">
        <f t="shared" si="260"/>
        <v>0</v>
      </c>
      <c r="BL466" s="2675">
        <f t="shared" si="261"/>
        <v>0</v>
      </c>
      <c r="BM466" s="2675">
        <f t="shared" si="262"/>
        <v>0</v>
      </c>
      <c r="BN466" s="2675">
        <f t="shared" si="263"/>
        <v>0</v>
      </c>
      <c r="BO466" s="2675">
        <f t="shared" si="264"/>
        <v>0</v>
      </c>
      <c r="BP466" s="2675">
        <f t="shared" si="265"/>
        <v>0</v>
      </c>
      <c r="BQ466" s="2675">
        <f t="shared" si="266"/>
        <v>0</v>
      </c>
      <c r="BR466" s="2675">
        <f t="shared" si="267"/>
        <v>0</v>
      </c>
      <c r="BS466" s="2675">
        <f t="shared" si="268"/>
        <v>0</v>
      </c>
      <c r="BT466" s="2722">
        <f t="shared" si="269"/>
        <v>0</v>
      </c>
    </row>
    <row r="467" spans="1:72">
      <c r="A467" s="2673"/>
      <c r="B467" s="2674"/>
      <c r="C467" s="2674"/>
      <c r="D467" s="2277"/>
      <c r="E467" s="2675">
        <f t="shared" si="241"/>
        <v>0</v>
      </c>
      <c r="F467" s="2676"/>
      <c r="G467" s="2677">
        <f t="shared" si="242"/>
        <v>0</v>
      </c>
      <c r="H467" s="2678">
        <f t="shared" si="243"/>
        <v>0</v>
      </c>
      <c r="I467" s="2685"/>
      <c r="J467" s="2685"/>
      <c r="K467" s="2685"/>
      <c r="L467" s="2685"/>
      <c r="M467" s="2685"/>
      <c r="N467" s="2685"/>
      <c r="O467" s="2685"/>
      <c r="P467" s="2685"/>
      <c r="Q467" s="2685"/>
      <c r="R467" s="2685"/>
      <c r="S467" s="2685"/>
      <c r="T467" s="2685"/>
      <c r="U467" s="2685"/>
      <c r="V467" s="2685"/>
      <c r="W467" s="2685"/>
      <c r="X467" s="2685"/>
      <c r="Y467" s="2685"/>
      <c r="Z467" s="2685"/>
      <c r="AA467" s="2685"/>
      <c r="AB467" s="2685"/>
      <c r="AC467" s="2675">
        <f t="shared" si="244"/>
        <v>0</v>
      </c>
      <c r="AD467" s="2695"/>
      <c r="AE467" s="2695"/>
      <c r="AF467" s="2695"/>
      <c r="AG467" s="2695"/>
      <c r="AH467" s="2695"/>
      <c r="AI467" s="2695"/>
      <c r="AJ467" s="2695"/>
      <c r="AK467" s="2695"/>
      <c r="AL467" s="2695"/>
      <c r="AM467" s="2695"/>
      <c r="AN467" s="2695"/>
      <c r="AO467" s="2695"/>
      <c r="AP467" s="2695"/>
      <c r="AQ467" s="2695"/>
      <c r="AR467" s="2695"/>
      <c r="AS467" s="2695"/>
      <c r="AT467" s="2703"/>
      <c r="AU467" s="2704"/>
      <c r="AV467" s="1074">
        <f t="shared" si="245"/>
        <v>0</v>
      </c>
      <c r="AW467" s="1074">
        <f t="shared" si="246"/>
        <v>0</v>
      </c>
      <c r="AX467" s="1074">
        <f t="shared" si="247"/>
        <v>0</v>
      </c>
      <c r="AY467" s="2279">
        <f t="shared" si="248"/>
        <v>0</v>
      </c>
      <c r="AZ467" s="2675">
        <f t="shared" si="249"/>
        <v>0</v>
      </c>
      <c r="BA467" s="2675">
        <f t="shared" si="250"/>
        <v>0</v>
      </c>
      <c r="BB467" s="2675">
        <f t="shared" si="251"/>
        <v>0</v>
      </c>
      <c r="BC467" s="2675">
        <f t="shared" si="252"/>
        <v>0</v>
      </c>
      <c r="BD467" s="2675">
        <f t="shared" si="253"/>
        <v>0</v>
      </c>
      <c r="BE467" s="2675">
        <f t="shared" si="254"/>
        <v>0</v>
      </c>
      <c r="BF467" s="2675">
        <f t="shared" si="255"/>
        <v>0</v>
      </c>
      <c r="BG467" s="2675">
        <f t="shared" si="256"/>
        <v>0</v>
      </c>
      <c r="BH467" s="2675">
        <f t="shared" si="257"/>
        <v>0</v>
      </c>
      <c r="BI467" s="2675">
        <f t="shared" si="258"/>
        <v>0</v>
      </c>
      <c r="BJ467" s="2675">
        <f t="shared" si="259"/>
        <v>0</v>
      </c>
      <c r="BK467" s="2675">
        <f t="shared" si="260"/>
        <v>0</v>
      </c>
      <c r="BL467" s="2675">
        <f t="shared" si="261"/>
        <v>0</v>
      </c>
      <c r="BM467" s="2675">
        <f t="shared" si="262"/>
        <v>0</v>
      </c>
      <c r="BN467" s="2675">
        <f t="shared" si="263"/>
        <v>0</v>
      </c>
      <c r="BO467" s="2675">
        <f t="shared" si="264"/>
        <v>0</v>
      </c>
      <c r="BP467" s="2675">
        <f t="shared" si="265"/>
        <v>0</v>
      </c>
      <c r="BQ467" s="2675">
        <f t="shared" si="266"/>
        <v>0</v>
      </c>
      <c r="BR467" s="2675">
        <f t="shared" si="267"/>
        <v>0</v>
      </c>
      <c r="BS467" s="2675">
        <f t="shared" si="268"/>
        <v>0</v>
      </c>
      <c r="BT467" s="2722">
        <f t="shared" si="269"/>
        <v>0</v>
      </c>
    </row>
    <row r="468" spans="1:72">
      <c r="A468" s="2673"/>
      <c r="B468" s="2674"/>
      <c r="C468" s="2674"/>
      <c r="D468" s="2277"/>
      <c r="E468" s="2675">
        <f t="shared" si="241"/>
        <v>0</v>
      </c>
      <c r="F468" s="2676"/>
      <c r="G468" s="2677">
        <f t="shared" si="242"/>
        <v>0</v>
      </c>
      <c r="H468" s="2678">
        <f t="shared" si="243"/>
        <v>0</v>
      </c>
      <c r="I468" s="2685"/>
      <c r="J468" s="2685"/>
      <c r="K468" s="2685"/>
      <c r="L468" s="2685"/>
      <c r="M468" s="2685"/>
      <c r="N468" s="2685"/>
      <c r="O468" s="2685"/>
      <c r="P468" s="2685"/>
      <c r="Q468" s="2685"/>
      <c r="R468" s="2685"/>
      <c r="S468" s="2685"/>
      <c r="T468" s="2685"/>
      <c r="U468" s="2685"/>
      <c r="V468" s="2685"/>
      <c r="W468" s="2685"/>
      <c r="X468" s="2685"/>
      <c r="Y468" s="2685"/>
      <c r="Z468" s="2685"/>
      <c r="AA468" s="2685"/>
      <c r="AB468" s="2685"/>
      <c r="AC468" s="2675">
        <f t="shared" si="244"/>
        <v>0</v>
      </c>
      <c r="AD468" s="2695"/>
      <c r="AE468" s="2695"/>
      <c r="AF468" s="2695"/>
      <c r="AG468" s="2695"/>
      <c r="AH468" s="2695"/>
      <c r="AI468" s="2695"/>
      <c r="AJ468" s="2695"/>
      <c r="AK468" s="2695"/>
      <c r="AL468" s="2695"/>
      <c r="AM468" s="2695"/>
      <c r="AN468" s="2695"/>
      <c r="AO468" s="2695"/>
      <c r="AP468" s="2695"/>
      <c r="AQ468" s="2695"/>
      <c r="AR468" s="2695"/>
      <c r="AS468" s="2695"/>
      <c r="AT468" s="2703"/>
      <c r="AU468" s="2704"/>
      <c r="AV468" s="1074">
        <f t="shared" si="245"/>
        <v>0</v>
      </c>
      <c r="AW468" s="1074">
        <f t="shared" si="246"/>
        <v>0</v>
      </c>
      <c r="AX468" s="1074">
        <f t="shared" si="247"/>
        <v>0</v>
      </c>
      <c r="AY468" s="2279">
        <f t="shared" si="248"/>
        <v>0</v>
      </c>
      <c r="AZ468" s="2675">
        <f t="shared" si="249"/>
        <v>0</v>
      </c>
      <c r="BA468" s="2675">
        <f t="shared" si="250"/>
        <v>0</v>
      </c>
      <c r="BB468" s="2675">
        <f t="shared" si="251"/>
        <v>0</v>
      </c>
      <c r="BC468" s="2675">
        <f t="shared" si="252"/>
        <v>0</v>
      </c>
      <c r="BD468" s="2675">
        <f t="shared" si="253"/>
        <v>0</v>
      </c>
      <c r="BE468" s="2675">
        <f t="shared" si="254"/>
        <v>0</v>
      </c>
      <c r="BF468" s="2675">
        <f t="shared" si="255"/>
        <v>0</v>
      </c>
      <c r="BG468" s="2675">
        <f t="shared" si="256"/>
        <v>0</v>
      </c>
      <c r="BH468" s="2675">
        <f t="shared" si="257"/>
        <v>0</v>
      </c>
      <c r="BI468" s="2675">
        <f t="shared" si="258"/>
        <v>0</v>
      </c>
      <c r="BJ468" s="2675">
        <f t="shared" si="259"/>
        <v>0</v>
      </c>
      <c r="BK468" s="2675">
        <f t="shared" si="260"/>
        <v>0</v>
      </c>
      <c r="BL468" s="2675">
        <f t="shared" si="261"/>
        <v>0</v>
      </c>
      <c r="BM468" s="2675">
        <f t="shared" si="262"/>
        <v>0</v>
      </c>
      <c r="BN468" s="2675">
        <f t="shared" si="263"/>
        <v>0</v>
      </c>
      <c r="BO468" s="2675">
        <f t="shared" si="264"/>
        <v>0</v>
      </c>
      <c r="BP468" s="2675">
        <f t="shared" si="265"/>
        <v>0</v>
      </c>
      <c r="BQ468" s="2675">
        <f t="shared" si="266"/>
        <v>0</v>
      </c>
      <c r="BR468" s="2675">
        <f t="shared" si="267"/>
        <v>0</v>
      </c>
      <c r="BS468" s="2675">
        <f t="shared" si="268"/>
        <v>0</v>
      </c>
      <c r="BT468" s="2722">
        <f t="shared" si="269"/>
        <v>0</v>
      </c>
    </row>
    <row r="469" spans="1:72">
      <c r="A469" s="2673"/>
      <c r="B469" s="2674"/>
      <c r="C469" s="2674"/>
      <c r="D469" s="2277"/>
      <c r="E469" s="2675">
        <f t="shared" si="241"/>
        <v>0</v>
      </c>
      <c r="F469" s="2676"/>
      <c r="G469" s="2677">
        <f t="shared" si="242"/>
        <v>0</v>
      </c>
      <c r="H469" s="2678">
        <f t="shared" si="243"/>
        <v>0</v>
      </c>
      <c r="I469" s="2685"/>
      <c r="J469" s="2685"/>
      <c r="K469" s="2685"/>
      <c r="L469" s="2685"/>
      <c r="M469" s="2685"/>
      <c r="N469" s="2685"/>
      <c r="O469" s="2685"/>
      <c r="P469" s="2685"/>
      <c r="Q469" s="2685"/>
      <c r="R469" s="2685"/>
      <c r="S469" s="2685"/>
      <c r="T469" s="2685"/>
      <c r="U469" s="2685"/>
      <c r="V469" s="2685"/>
      <c r="W469" s="2685"/>
      <c r="X469" s="2685"/>
      <c r="Y469" s="2685"/>
      <c r="Z469" s="2685"/>
      <c r="AA469" s="2685"/>
      <c r="AB469" s="2685"/>
      <c r="AC469" s="2675">
        <f t="shared" si="244"/>
        <v>0</v>
      </c>
      <c r="AD469" s="2695"/>
      <c r="AE469" s="2695"/>
      <c r="AF469" s="2695"/>
      <c r="AG469" s="2695"/>
      <c r="AH469" s="2695"/>
      <c r="AI469" s="2695"/>
      <c r="AJ469" s="2695"/>
      <c r="AK469" s="2695"/>
      <c r="AL469" s="2695"/>
      <c r="AM469" s="2695"/>
      <c r="AN469" s="2695"/>
      <c r="AO469" s="2695"/>
      <c r="AP469" s="2695"/>
      <c r="AQ469" s="2695"/>
      <c r="AR469" s="2695"/>
      <c r="AS469" s="2695"/>
      <c r="AT469" s="2703"/>
      <c r="AU469" s="2704"/>
      <c r="AV469" s="1074">
        <f t="shared" si="245"/>
        <v>0</v>
      </c>
      <c r="AW469" s="1074">
        <f t="shared" si="246"/>
        <v>0</v>
      </c>
      <c r="AX469" s="1074">
        <f t="shared" si="247"/>
        <v>0</v>
      </c>
      <c r="AY469" s="2279">
        <f t="shared" si="248"/>
        <v>0</v>
      </c>
      <c r="AZ469" s="2675">
        <f t="shared" si="249"/>
        <v>0</v>
      </c>
      <c r="BA469" s="2675">
        <f t="shared" si="250"/>
        <v>0</v>
      </c>
      <c r="BB469" s="2675">
        <f t="shared" si="251"/>
        <v>0</v>
      </c>
      <c r="BC469" s="2675">
        <f t="shared" si="252"/>
        <v>0</v>
      </c>
      <c r="BD469" s="2675">
        <f t="shared" si="253"/>
        <v>0</v>
      </c>
      <c r="BE469" s="2675">
        <f t="shared" si="254"/>
        <v>0</v>
      </c>
      <c r="BF469" s="2675">
        <f t="shared" si="255"/>
        <v>0</v>
      </c>
      <c r="BG469" s="2675">
        <f t="shared" si="256"/>
        <v>0</v>
      </c>
      <c r="BH469" s="2675">
        <f t="shared" si="257"/>
        <v>0</v>
      </c>
      <c r="BI469" s="2675">
        <f t="shared" si="258"/>
        <v>0</v>
      </c>
      <c r="BJ469" s="2675">
        <f t="shared" si="259"/>
        <v>0</v>
      </c>
      <c r="BK469" s="2675">
        <f t="shared" si="260"/>
        <v>0</v>
      </c>
      <c r="BL469" s="2675">
        <f t="shared" si="261"/>
        <v>0</v>
      </c>
      <c r="BM469" s="2675">
        <f t="shared" si="262"/>
        <v>0</v>
      </c>
      <c r="BN469" s="2675">
        <f t="shared" si="263"/>
        <v>0</v>
      </c>
      <c r="BO469" s="2675">
        <f t="shared" si="264"/>
        <v>0</v>
      </c>
      <c r="BP469" s="2675">
        <f t="shared" si="265"/>
        <v>0</v>
      </c>
      <c r="BQ469" s="2675">
        <f t="shared" si="266"/>
        <v>0</v>
      </c>
      <c r="BR469" s="2675">
        <f t="shared" si="267"/>
        <v>0</v>
      </c>
      <c r="BS469" s="2675">
        <f t="shared" si="268"/>
        <v>0</v>
      </c>
      <c r="BT469" s="2722">
        <f t="shared" si="269"/>
        <v>0</v>
      </c>
    </row>
    <row r="470" spans="1:72">
      <c r="A470" s="2673"/>
      <c r="B470" s="2674"/>
      <c r="C470" s="2674"/>
      <c r="D470" s="2277"/>
      <c r="E470" s="2675">
        <f t="shared" si="241"/>
        <v>0</v>
      </c>
      <c r="F470" s="2676"/>
      <c r="G470" s="2677">
        <f t="shared" si="242"/>
        <v>0</v>
      </c>
      <c r="H470" s="2678">
        <f t="shared" si="243"/>
        <v>0</v>
      </c>
      <c r="I470" s="2685"/>
      <c r="J470" s="2685"/>
      <c r="K470" s="2685"/>
      <c r="L470" s="2685"/>
      <c r="M470" s="2685"/>
      <c r="N470" s="2685"/>
      <c r="O470" s="2685"/>
      <c r="P470" s="2685"/>
      <c r="Q470" s="2685"/>
      <c r="R470" s="2685"/>
      <c r="S470" s="2685"/>
      <c r="T470" s="2685"/>
      <c r="U470" s="2685"/>
      <c r="V470" s="2685"/>
      <c r="W470" s="2685"/>
      <c r="X470" s="2685"/>
      <c r="Y470" s="2685"/>
      <c r="Z470" s="2685"/>
      <c r="AA470" s="2685"/>
      <c r="AB470" s="2685"/>
      <c r="AC470" s="2675">
        <f t="shared" si="244"/>
        <v>0</v>
      </c>
      <c r="AD470" s="2695"/>
      <c r="AE470" s="2695"/>
      <c r="AF470" s="2695"/>
      <c r="AG470" s="2695"/>
      <c r="AH470" s="2695"/>
      <c r="AI470" s="2695"/>
      <c r="AJ470" s="2695"/>
      <c r="AK470" s="2695"/>
      <c r="AL470" s="2695"/>
      <c r="AM470" s="2695"/>
      <c r="AN470" s="2695"/>
      <c r="AO470" s="2695"/>
      <c r="AP470" s="2695"/>
      <c r="AQ470" s="2695"/>
      <c r="AR470" s="2695"/>
      <c r="AS470" s="2695"/>
      <c r="AT470" s="2703"/>
      <c r="AU470" s="2704"/>
      <c r="AV470" s="1074">
        <f t="shared" si="245"/>
        <v>0</v>
      </c>
      <c r="AW470" s="1074">
        <f t="shared" si="246"/>
        <v>0</v>
      </c>
      <c r="AX470" s="1074">
        <f t="shared" si="247"/>
        <v>0</v>
      </c>
      <c r="AY470" s="2279">
        <f t="shared" si="248"/>
        <v>0</v>
      </c>
      <c r="AZ470" s="2675">
        <f t="shared" si="249"/>
        <v>0</v>
      </c>
      <c r="BA470" s="2675">
        <f t="shared" si="250"/>
        <v>0</v>
      </c>
      <c r="BB470" s="2675">
        <f t="shared" si="251"/>
        <v>0</v>
      </c>
      <c r="BC470" s="2675">
        <f t="shared" si="252"/>
        <v>0</v>
      </c>
      <c r="BD470" s="2675">
        <f t="shared" si="253"/>
        <v>0</v>
      </c>
      <c r="BE470" s="2675">
        <f t="shared" si="254"/>
        <v>0</v>
      </c>
      <c r="BF470" s="2675">
        <f t="shared" si="255"/>
        <v>0</v>
      </c>
      <c r="BG470" s="2675">
        <f t="shared" si="256"/>
        <v>0</v>
      </c>
      <c r="BH470" s="2675">
        <f t="shared" si="257"/>
        <v>0</v>
      </c>
      <c r="BI470" s="2675">
        <f t="shared" si="258"/>
        <v>0</v>
      </c>
      <c r="BJ470" s="2675">
        <f t="shared" si="259"/>
        <v>0</v>
      </c>
      <c r="BK470" s="2675">
        <f t="shared" si="260"/>
        <v>0</v>
      </c>
      <c r="BL470" s="2675">
        <f t="shared" si="261"/>
        <v>0</v>
      </c>
      <c r="BM470" s="2675">
        <f t="shared" si="262"/>
        <v>0</v>
      </c>
      <c r="BN470" s="2675">
        <f t="shared" si="263"/>
        <v>0</v>
      </c>
      <c r="BO470" s="2675">
        <f t="shared" si="264"/>
        <v>0</v>
      </c>
      <c r="BP470" s="2675">
        <f t="shared" si="265"/>
        <v>0</v>
      </c>
      <c r="BQ470" s="2675">
        <f t="shared" si="266"/>
        <v>0</v>
      </c>
      <c r="BR470" s="2675">
        <f t="shared" si="267"/>
        <v>0</v>
      </c>
      <c r="BS470" s="2675">
        <f t="shared" si="268"/>
        <v>0</v>
      </c>
      <c r="BT470" s="2722">
        <f t="shared" si="269"/>
        <v>0</v>
      </c>
    </row>
    <row r="471" spans="1:72">
      <c r="A471" s="2673"/>
      <c r="B471" s="2674"/>
      <c r="C471" s="2674"/>
      <c r="D471" s="2277"/>
      <c r="E471" s="2675">
        <f t="shared" si="241"/>
        <v>0</v>
      </c>
      <c r="F471" s="2676"/>
      <c r="G471" s="2677">
        <f t="shared" si="242"/>
        <v>0</v>
      </c>
      <c r="H471" s="2678">
        <f t="shared" si="243"/>
        <v>0</v>
      </c>
      <c r="I471" s="2685"/>
      <c r="J471" s="2685"/>
      <c r="K471" s="2685"/>
      <c r="L471" s="2685"/>
      <c r="M471" s="2685"/>
      <c r="N471" s="2685"/>
      <c r="O471" s="2685"/>
      <c r="P471" s="2685"/>
      <c r="Q471" s="2685"/>
      <c r="R471" s="2685"/>
      <c r="S471" s="2685"/>
      <c r="T471" s="2685"/>
      <c r="U471" s="2685"/>
      <c r="V471" s="2685"/>
      <c r="W471" s="2685"/>
      <c r="X471" s="2685"/>
      <c r="Y471" s="2685"/>
      <c r="Z471" s="2685"/>
      <c r="AA471" s="2685"/>
      <c r="AB471" s="2685"/>
      <c r="AC471" s="2675">
        <f t="shared" si="244"/>
        <v>0</v>
      </c>
      <c r="AD471" s="2695"/>
      <c r="AE471" s="2695"/>
      <c r="AF471" s="2695"/>
      <c r="AG471" s="2695"/>
      <c r="AH471" s="2695"/>
      <c r="AI471" s="2695"/>
      <c r="AJ471" s="2695"/>
      <c r="AK471" s="2695"/>
      <c r="AL471" s="2695"/>
      <c r="AM471" s="2695"/>
      <c r="AN471" s="2695"/>
      <c r="AO471" s="2695"/>
      <c r="AP471" s="2695"/>
      <c r="AQ471" s="2695"/>
      <c r="AR471" s="2695"/>
      <c r="AS471" s="2695"/>
      <c r="AT471" s="2703"/>
      <c r="AU471" s="2704"/>
      <c r="AV471" s="1074">
        <f t="shared" si="245"/>
        <v>0</v>
      </c>
      <c r="AW471" s="1074">
        <f t="shared" si="246"/>
        <v>0</v>
      </c>
      <c r="AX471" s="1074">
        <f t="shared" si="247"/>
        <v>0</v>
      </c>
      <c r="AY471" s="2279">
        <f t="shared" si="248"/>
        <v>0</v>
      </c>
      <c r="AZ471" s="2675">
        <f t="shared" si="249"/>
        <v>0</v>
      </c>
      <c r="BA471" s="2675">
        <f t="shared" si="250"/>
        <v>0</v>
      </c>
      <c r="BB471" s="2675">
        <f t="shared" si="251"/>
        <v>0</v>
      </c>
      <c r="BC471" s="2675">
        <f t="shared" si="252"/>
        <v>0</v>
      </c>
      <c r="BD471" s="2675">
        <f t="shared" si="253"/>
        <v>0</v>
      </c>
      <c r="BE471" s="2675">
        <f t="shared" si="254"/>
        <v>0</v>
      </c>
      <c r="BF471" s="2675">
        <f t="shared" si="255"/>
        <v>0</v>
      </c>
      <c r="BG471" s="2675">
        <f t="shared" si="256"/>
        <v>0</v>
      </c>
      <c r="BH471" s="2675">
        <f t="shared" si="257"/>
        <v>0</v>
      </c>
      <c r="BI471" s="2675">
        <f t="shared" si="258"/>
        <v>0</v>
      </c>
      <c r="BJ471" s="2675">
        <f t="shared" si="259"/>
        <v>0</v>
      </c>
      <c r="BK471" s="2675">
        <f t="shared" si="260"/>
        <v>0</v>
      </c>
      <c r="BL471" s="2675">
        <f t="shared" si="261"/>
        <v>0</v>
      </c>
      <c r="BM471" s="2675">
        <f t="shared" si="262"/>
        <v>0</v>
      </c>
      <c r="BN471" s="2675">
        <f t="shared" si="263"/>
        <v>0</v>
      </c>
      <c r="BO471" s="2675">
        <f t="shared" si="264"/>
        <v>0</v>
      </c>
      <c r="BP471" s="2675">
        <f t="shared" si="265"/>
        <v>0</v>
      </c>
      <c r="BQ471" s="2675">
        <f t="shared" si="266"/>
        <v>0</v>
      </c>
      <c r="BR471" s="2675">
        <f t="shared" si="267"/>
        <v>0</v>
      </c>
      <c r="BS471" s="2675">
        <f t="shared" si="268"/>
        <v>0</v>
      </c>
      <c r="BT471" s="2722">
        <f t="shared" si="269"/>
        <v>0</v>
      </c>
    </row>
    <row r="472" spans="1:72">
      <c r="A472" s="2673"/>
      <c r="B472" s="2674"/>
      <c r="C472" s="2674"/>
      <c r="D472" s="2277"/>
      <c r="E472" s="2675">
        <f t="shared" si="241"/>
        <v>0</v>
      </c>
      <c r="F472" s="2676"/>
      <c r="G472" s="2677">
        <f t="shared" si="242"/>
        <v>0</v>
      </c>
      <c r="H472" s="2678">
        <f t="shared" si="243"/>
        <v>0</v>
      </c>
      <c r="I472" s="2685"/>
      <c r="J472" s="2685"/>
      <c r="K472" s="2685"/>
      <c r="L472" s="2685"/>
      <c r="M472" s="2685"/>
      <c r="N472" s="2685"/>
      <c r="O472" s="2685"/>
      <c r="P472" s="2685"/>
      <c r="Q472" s="2685"/>
      <c r="R472" s="2685"/>
      <c r="S472" s="2685"/>
      <c r="T472" s="2685"/>
      <c r="U472" s="2685"/>
      <c r="V472" s="2685"/>
      <c r="W472" s="2685"/>
      <c r="X472" s="2685"/>
      <c r="Y472" s="2685"/>
      <c r="Z472" s="2685"/>
      <c r="AA472" s="2685"/>
      <c r="AB472" s="2685"/>
      <c r="AC472" s="2675">
        <f t="shared" si="244"/>
        <v>0</v>
      </c>
      <c r="AD472" s="2695"/>
      <c r="AE472" s="2695"/>
      <c r="AF472" s="2695"/>
      <c r="AG472" s="2695"/>
      <c r="AH472" s="2695"/>
      <c r="AI472" s="2695"/>
      <c r="AJ472" s="2695"/>
      <c r="AK472" s="2695"/>
      <c r="AL472" s="2695"/>
      <c r="AM472" s="2695"/>
      <c r="AN472" s="2695"/>
      <c r="AO472" s="2695"/>
      <c r="AP472" s="2695"/>
      <c r="AQ472" s="2695"/>
      <c r="AR472" s="2695"/>
      <c r="AS472" s="2695"/>
      <c r="AT472" s="2703"/>
      <c r="AU472" s="2704"/>
      <c r="AV472" s="1074">
        <f t="shared" si="245"/>
        <v>0</v>
      </c>
      <c r="AW472" s="1074">
        <f t="shared" si="246"/>
        <v>0</v>
      </c>
      <c r="AX472" s="1074">
        <f t="shared" si="247"/>
        <v>0</v>
      </c>
      <c r="AY472" s="2279">
        <f t="shared" si="248"/>
        <v>0</v>
      </c>
      <c r="AZ472" s="2675">
        <f t="shared" si="249"/>
        <v>0</v>
      </c>
      <c r="BA472" s="2675">
        <f t="shared" si="250"/>
        <v>0</v>
      </c>
      <c r="BB472" s="2675">
        <f t="shared" si="251"/>
        <v>0</v>
      </c>
      <c r="BC472" s="2675">
        <f t="shared" si="252"/>
        <v>0</v>
      </c>
      <c r="BD472" s="2675">
        <f t="shared" si="253"/>
        <v>0</v>
      </c>
      <c r="BE472" s="2675">
        <f t="shared" si="254"/>
        <v>0</v>
      </c>
      <c r="BF472" s="2675">
        <f t="shared" si="255"/>
        <v>0</v>
      </c>
      <c r="BG472" s="2675">
        <f t="shared" si="256"/>
        <v>0</v>
      </c>
      <c r="BH472" s="2675">
        <f t="shared" si="257"/>
        <v>0</v>
      </c>
      <c r="BI472" s="2675">
        <f t="shared" si="258"/>
        <v>0</v>
      </c>
      <c r="BJ472" s="2675">
        <f t="shared" si="259"/>
        <v>0</v>
      </c>
      <c r="BK472" s="2675">
        <f t="shared" si="260"/>
        <v>0</v>
      </c>
      <c r="BL472" s="2675">
        <f t="shared" si="261"/>
        <v>0</v>
      </c>
      <c r="BM472" s="2675">
        <f t="shared" si="262"/>
        <v>0</v>
      </c>
      <c r="BN472" s="2675">
        <f t="shared" si="263"/>
        <v>0</v>
      </c>
      <c r="BO472" s="2675">
        <f t="shared" si="264"/>
        <v>0</v>
      </c>
      <c r="BP472" s="2675">
        <f t="shared" si="265"/>
        <v>0</v>
      </c>
      <c r="BQ472" s="2675">
        <f t="shared" si="266"/>
        <v>0</v>
      </c>
      <c r="BR472" s="2675">
        <f t="shared" si="267"/>
        <v>0</v>
      </c>
      <c r="BS472" s="2675">
        <f t="shared" si="268"/>
        <v>0</v>
      </c>
      <c r="BT472" s="2722">
        <f t="shared" si="269"/>
        <v>0</v>
      </c>
    </row>
    <row r="473" spans="1:72">
      <c r="A473" s="2673"/>
      <c r="B473" s="2674"/>
      <c r="C473" s="2674"/>
      <c r="D473" s="2277"/>
      <c r="E473" s="2675">
        <f t="shared" si="241"/>
        <v>0</v>
      </c>
      <c r="F473" s="2676"/>
      <c r="G473" s="2677">
        <f t="shared" si="242"/>
        <v>0</v>
      </c>
      <c r="H473" s="2678">
        <f t="shared" si="243"/>
        <v>0</v>
      </c>
      <c r="I473" s="2685"/>
      <c r="J473" s="2685"/>
      <c r="K473" s="2685"/>
      <c r="L473" s="2685"/>
      <c r="M473" s="2685"/>
      <c r="N473" s="2685"/>
      <c r="O473" s="2685"/>
      <c r="P473" s="2685"/>
      <c r="Q473" s="2685"/>
      <c r="R473" s="2685"/>
      <c r="S473" s="2685"/>
      <c r="T473" s="2685"/>
      <c r="U473" s="2685"/>
      <c r="V473" s="2685"/>
      <c r="W473" s="2685"/>
      <c r="X473" s="2685"/>
      <c r="Y473" s="2685"/>
      <c r="Z473" s="2685"/>
      <c r="AA473" s="2685"/>
      <c r="AB473" s="2685"/>
      <c r="AC473" s="2675">
        <f t="shared" si="244"/>
        <v>0</v>
      </c>
      <c r="AD473" s="2695"/>
      <c r="AE473" s="2695"/>
      <c r="AF473" s="2695"/>
      <c r="AG473" s="2695"/>
      <c r="AH473" s="2695"/>
      <c r="AI473" s="2695"/>
      <c r="AJ473" s="2695"/>
      <c r="AK473" s="2695"/>
      <c r="AL473" s="2695"/>
      <c r="AM473" s="2695"/>
      <c r="AN473" s="2695"/>
      <c r="AO473" s="2695"/>
      <c r="AP473" s="2695"/>
      <c r="AQ473" s="2695"/>
      <c r="AR473" s="2695"/>
      <c r="AS473" s="2695"/>
      <c r="AT473" s="2703"/>
      <c r="AU473" s="2704"/>
      <c r="AV473" s="1074">
        <f t="shared" si="245"/>
        <v>0</v>
      </c>
      <c r="AW473" s="1074">
        <f t="shared" si="246"/>
        <v>0</v>
      </c>
      <c r="AX473" s="1074">
        <f t="shared" si="247"/>
        <v>0</v>
      </c>
      <c r="AY473" s="2279">
        <f t="shared" si="248"/>
        <v>0</v>
      </c>
      <c r="AZ473" s="2675">
        <f t="shared" si="249"/>
        <v>0</v>
      </c>
      <c r="BA473" s="2675">
        <f t="shared" si="250"/>
        <v>0</v>
      </c>
      <c r="BB473" s="2675">
        <f t="shared" si="251"/>
        <v>0</v>
      </c>
      <c r="BC473" s="2675">
        <f t="shared" si="252"/>
        <v>0</v>
      </c>
      <c r="BD473" s="2675">
        <f t="shared" si="253"/>
        <v>0</v>
      </c>
      <c r="BE473" s="2675">
        <f t="shared" si="254"/>
        <v>0</v>
      </c>
      <c r="BF473" s="2675">
        <f t="shared" si="255"/>
        <v>0</v>
      </c>
      <c r="BG473" s="2675">
        <f t="shared" si="256"/>
        <v>0</v>
      </c>
      <c r="BH473" s="2675">
        <f t="shared" si="257"/>
        <v>0</v>
      </c>
      <c r="BI473" s="2675">
        <f t="shared" si="258"/>
        <v>0</v>
      </c>
      <c r="BJ473" s="2675">
        <f t="shared" si="259"/>
        <v>0</v>
      </c>
      <c r="BK473" s="2675">
        <f t="shared" si="260"/>
        <v>0</v>
      </c>
      <c r="BL473" s="2675">
        <f t="shared" si="261"/>
        <v>0</v>
      </c>
      <c r="BM473" s="2675">
        <f t="shared" si="262"/>
        <v>0</v>
      </c>
      <c r="BN473" s="2675">
        <f t="shared" si="263"/>
        <v>0</v>
      </c>
      <c r="BO473" s="2675">
        <f t="shared" si="264"/>
        <v>0</v>
      </c>
      <c r="BP473" s="2675">
        <f t="shared" si="265"/>
        <v>0</v>
      </c>
      <c r="BQ473" s="2675">
        <f t="shared" si="266"/>
        <v>0</v>
      </c>
      <c r="BR473" s="2675">
        <f t="shared" si="267"/>
        <v>0</v>
      </c>
      <c r="BS473" s="2675">
        <f t="shared" si="268"/>
        <v>0</v>
      </c>
      <c r="BT473" s="2722">
        <f t="shared" si="269"/>
        <v>0</v>
      </c>
    </row>
    <row r="474" spans="1:72">
      <c r="A474" s="2673"/>
      <c r="B474" s="2674"/>
      <c r="C474" s="2674"/>
      <c r="D474" s="2277"/>
      <c r="E474" s="2675">
        <f t="shared" si="241"/>
        <v>0</v>
      </c>
      <c r="F474" s="2676"/>
      <c r="G474" s="2677">
        <f t="shared" si="242"/>
        <v>0</v>
      </c>
      <c r="H474" s="2678">
        <f t="shared" si="243"/>
        <v>0</v>
      </c>
      <c r="I474" s="2685"/>
      <c r="J474" s="2685"/>
      <c r="K474" s="2685"/>
      <c r="L474" s="2685"/>
      <c r="M474" s="2685"/>
      <c r="N474" s="2685"/>
      <c r="O474" s="2685"/>
      <c r="P474" s="2685"/>
      <c r="Q474" s="2685"/>
      <c r="R474" s="2685"/>
      <c r="S474" s="2685"/>
      <c r="T474" s="2685"/>
      <c r="U474" s="2685"/>
      <c r="V474" s="2685"/>
      <c r="W474" s="2685"/>
      <c r="X474" s="2685"/>
      <c r="Y474" s="2685"/>
      <c r="Z474" s="2685"/>
      <c r="AA474" s="2685"/>
      <c r="AB474" s="2685"/>
      <c r="AC474" s="2675">
        <f t="shared" si="244"/>
        <v>0</v>
      </c>
      <c r="AD474" s="2695"/>
      <c r="AE474" s="2695"/>
      <c r="AF474" s="2695"/>
      <c r="AG474" s="2695"/>
      <c r="AH474" s="2695"/>
      <c r="AI474" s="2695"/>
      <c r="AJ474" s="2695"/>
      <c r="AK474" s="2695"/>
      <c r="AL474" s="2695"/>
      <c r="AM474" s="2695"/>
      <c r="AN474" s="2695"/>
      <c r="AO474" s="2695"/>
      <c r="AP474" s="2695"/>
      <c r="AQ474" s="2695"/>
      <c r="AR474" s="2695"/>
      <c r="AS474" s="2695"/>
      <c r="AT474" s="2703"/>
      <c r="AU474" s="2704"/>
      <c r="AV474" s="1074">
        <f t="shared" si="245"/>
        <v>0</v>
      </c>
      <c r="AW474" s="1074">
        <f t="shared" si="246"/>
        <v>0</v>
      </c>
      <c r="AX474" s="1074">
        <f t="shared" si="247"/>
        <v>0</v>
      </c>
      <c r="AY474" s="2279">
        <f t="shared" si="248"/>
        <v>0</v>
      </c>
      <c r="AZ474" s="2675">
        <f t="shared" si="249"/>
        <v>0</v>
      </c>
      <c r="BA474" s="2675">
        <f t="shared" si="250"/>
        <v>0</v>
      </c>
      <c r="BB474" s="2675">
        <f t="shared" si="251"/>
        <v>0</v>
      </c>
      <c r="BC474" s="2675">
        <f t="shared" si="252"/>
        <v>0</v>
      </c>
      <c r="BD474" s="2675">
        <f t="shared" si="253"/>
        <v>0</v>
      </c>
      <c r="BE474" s="2675">
        <f t="shared" si="254"/>
        <v>0</v>
      </c>
      <c r="BF474" s="2675">
        <f t="shared" si="255"/>
        <v>0</v>
      </c>
      <c r="BG474" s="2675">
        <f t="shared" si="256"/>
        <v>0</v>
      </c>
      <c r="BH474" s="2675">
        <f t="shared" si="257"/>
        <v>0</v>
      </c>
      <c r="BI474" s="2675">
        <f t="shared" si="258"/>
        <v>0</v>
      </c>
      <c r="BJ474" s="2675">
        <f t="shared" si="259"/>
        <v>0</v>
      </c>
      <c r="BK474" s="2675">
        <f t="shared" si="260"/>
        <v>0</v>
      </c>
      <c r="BL474" s="2675">
        <f t="shared" si="261"/>
        <v>0</v>
      </c>
      <c r="BM474" s="2675">
        <f t="shared" si="262"/>
        <v>0</v>
      </c>
      <c r="BN474" s="2675">
        <f t="shared" si="263"/>
        <v>0</v>
      </c>
      <c r="BO474" s="2675">
        <f t="shared" si="264"/>
        <v>0</v>
      </c>
      <c r="BP474" s="2675">
        <f t="shared" si="265"/>
        <v>0</v>
      </c>
      <c r="BQ474" s="2675">
        <f t="shared" si="266"/>
        <v>0</v>
      </c>
      <c r="BR474" s="2675">
        <f t="shared" si="267"/>
        <v>0</v>
      </c>
      <c r="BS474" s="2675">
        <f t="shared" si="268"/>
        <v>0</v>
      </c>
      <c r="BT474" s="2722">
        <f t="shared" si="269"/>
        <v>0</v>
      </c>
    </row>
    <row r="475" spans="1:72">
      <c r="A475" s="2673"/>
      <c r="B475" s="2674"/>
      <c r="C475" s="2674"/>
      <c r="D475" s="2277"/>
      <c r="E475" s="2675">
        <f t="shared" si="241"/>
        <v>0</v>
      </c>
      <c r="F475" s="2676"/>
      <c r="G475" s="2677">
        <f t="shared" si="242"/>
        <v>0</v>
      </c>
      <c r="H475" s="2678">
        <f t="shared" si="243"/>
        <v>0</v>
      </c>
      <c r="I475" s="2685"/>
      <c r="J475" s="2685"/>
      <c r="K475" s="2685"/>
      <c r="L475" s="2685"/>
      <c r="M475" s="2685"/>
      <c r="N475" s="2685"/>
      <c r="O475" s="2685"/>
      <c r="P475" s="2685"/>
      <c r="Q475" s="2685"/>
      <c r="R475" s="2685"/>
      <c r="S475" s="2685"/>
      <c r="T475" s="2685"/>
      <c r="U475" s="2685"/>
      <c r="V475" s="2685"/>
      <c r="W475" s="2685"/>
      <c r="X475" s="2685"/>
      <c r="Y475" s="2685"/>
      <c r="Z475" s="2685"/>
      <c r="AA475" s="2685"/>
      <c r="AB475" s="2685"/>
      <c r="AC475" s="2675">
        <f t="shared" si="244"/>
        <v>0</v>
      </c>
      <c r="AD475" s="2695"/>
      <c r="AE475" s="2695"/>
      <c r="AF475" s="2695"/>
      <c r="AG475" s="2695"/>
      <c r="AH475" s="2695"/>
      <c r="AI475" s="2695"/>
      <c r="AJ475" s="2695"/>
      <c r="AK475" s="2695"/>
      <c r="AL475" s="2695"/>
      <c r="AM475" s="2695"/>
      <c r="AN475" s="2695"/>
      <c r="AO475" s="2695"/>
      <c r="AP475" s="2695"/>
      <c r="AQ475" s="2695"/>
      <c r="AR475" s="2695"/>
      <c r="AS475" s="2695"/>
      <c r="AT475" s="2703"/>
      <c r="AU475" s="2704"/>
      <c r="AV475" s="1074">
        <f t="shared" si="245"/>
        <v>0</v>
      </c>
      <c r="AW475" s="1074">
        <f t="shared" si="246"/>
        <v>0</v>
      </c>
      <c r="AX475" s="1074">
        <f t="shared" si="247"/>
        <v>0</v>
      </c>
      <c r="AY475" s="2279">
        <f t="shared" si="248"/>
        <v>0</v>
      </c>
      <c r="AZ475" s="2675">
        <f t="shared" si="249"/>
        <v>0</v>
      </c>
      <c r="BA475" s="2675">
        <f t="shared" si="250"/>
        <v>0</v>
      </c>
      <c r="BB475" s="2675">
        <f t="shared" si="251"/>
        <v>0</v>
      </c>
      <c r="BC475" s="2675">
        <f t="shared" si="252"/>
        <v>0</v>
      </c>
      <c r="BD475" s="2675">
        <f t="shared" si="253"/>
        <v>0</v>
      </c>
      <c r="BE475" s="2675">
        <f t="shared" si="254"/>
        <v>0</v>
      </c>
      <c r="BF475" s="2675">
        <f t="shared" si="255"/>
        <v>0</v>
      </c>
      <c r="BG475" s="2675">
        <f t="shared" si="256"/>
        <v>0</v>
      </c>
      <c r="BH475" s="2675">
        <f t="shared" si="257"/>
        <v>0</v>
      </c>
      <c r="BI475" s="2675">
        <f t="shared" si="258"/>
        <v>0</v>
      </c>
      <c r="BJ475" s="2675">
        <f t="shared" si="259"/>
        <v>0</v>
      </c>
      <c r="BK475" s="2675">
        <f t="shared" si="260"/>
        <v>0</v>
      </c>
      <c r="BL475" s="2675">
        <f t="shared" si="261"/>
        <v>0</v>
      </c>
      <c r="BM475" s="2675">
        <f t="shared" si="262"/>
        <v>0</v>
      </c>
      <c r="BN475" s="2675">
        <f t="shared" si="263"/>
        <v>0</v>
      </c>
      <c r="BO475" s="2675">
        <f t="shared" si="264"/>
        <v>0</v>
      </c>
      <c r="BP475" s="2675">
        <f t="shared" si="265"/>
        <v>0</v>
      </c>
      <c r="BQ475" s="2675">
        <f t="shared" si="266"/>
        <v>0</v>
      </c>
      <c r="BR475" s="2675">
        <f t="shared" si="267"/>
        <v>0</v>
      </c>
      <c r="BS475" s="2675">
        <f t="shared" si="268"/>
        <v>0</v>
      </c>
      <c r="BT475" s="2722">
        <f t="shared" si="269"/>
        <v>0</v>
      </c>
    </row>
    <row r="476" spans="1:72">
      <c r="A476" s="2673"/>
      <c r="B476" s="2674"/>
      <c r="C476" s="2674"/>
      <c r="D476" s="2277"/>
      <c r="E476" s="2675">
        <f t="shared" si="241"/>
        <v>0</v>
      </c>
      <c r="F476" s="2676"/>
      <c r="G476" s="2677">
        <f t="shared" si="242"/>
        <v>0</v>
      </c>
      <c r="H476" s="2678">
        <f t="shared" si="243"/>
        <v>0</v>
      </c>
      <c r="I476" s="2685"/>
      <c r="J476" s="2685"/>
      <c r="K476" s="2685"/>
      <c r="L476" s="2685"/>
      <c r="M476" s="2685"/>
      <c r="N476" s="2685"/>
      <c r="O476" s="2685"/>
      <c r="P476" s="2685"/>
      <c r="Q476" s="2685"/>
      <c r="R476" s="2685"/>
      <c r="S476" s="2685"/>
      <c r="T476" s="2685"/>
      <c r="U476" s="2685"/>
      <c r="V476" s="2685"/>
      <c r="W476" s="2685"/>
      <c r="X476" s="2685"/>
      <c r="Y476" s="2685"/>
      <c r="Z476" s="2685"/>
      <c r="AA476" s="2685"/>
      <c r="AB476" s="2685"/>
      <c r="AC476" s="2675">
        <f t="shared" si="244"/>
        <v>0</v>
      </c>
      <c r="AD476" s="2695"/>
      <c r="AE476" s="2695"/>
      <c r="AF476" s="2695"/>
      <c r="AG476" s="2695"/>
      <c r="AH476" s="2695"/>
      <c r="AI476" s="2695"/>
      <c r="AJ476" s="2695"/>
      <c r="AK476" s="2695"/>
      <c r="AL476" s="2695"/>
      <c r="AM476" s="2695"/>
      <c r="AN476" s="2695"/>
      <c r="AO476" s="2695"/>
      <c r="AP476" s="2695"/>
      <c r="AQ476" s="2695"/>
      <c r="AR476" s="2695"/>
      <c r="AS476" s="2695"/>
      <c r="AT476" s="2703"/>
      <c r="AU476" s="2704"/>
      <c r="AV476" s="1074">
        <f t="shared" si="245"/>
        <v>0</v>
      </c>
      <c r="AW476" s="1074">
        <f t="shared" si="246"/>
        <v>0</v>
      </c>
      <c r="AX476" s="1074">
        <f t="shared" si="247"/>
        <v>0</v>
      </c>
      <c r="AY476" s="2279">
        <f t="shared" si="248"/>
        <v>0</v>
      </c>
      <c r="AZ476" s="2675">
        <f t="shared" si="249"/>
        <v>0</v>
      </c>
      <c r="BA476" s="2675">
        <f t="shared" si="250"/>
        <v>0</v>
      </c>
      <c r="BB476" s="2675">
        <f t="shared" si="251"/>
        <v>0</v>
      </c>
      <c r="BC476" s="2675">
        <f t="shared" si="252"/>
        <v>0</v>
      </c>
      <c r="BD476" s="2675">
        <f t="shared" si="253"/>
        <v>0</v>
      </c>
      <c r="BE476" s="2675">
        <f t="shared" si="254"/>
        <v>0</v>
      </c>
      <c r="BF476" s="2675">
        <f t="shared" si="255"/>
        <v>0</v>
      </c>
      <c r="BG476" s="2675">
        <f t="shared" si="256"/>
        <v>0</v>
      </c>
      <c r="BH476" s="2675">
        <f t="shared" si="257"/>
        <v>0</v>
      </c>
      <c r="BI476" s="2675">
        <f t="shared" si="258"/>
        <v>0</v>
      </c>
      <c r="BJ476" s="2675">
        <f t="shared" si="259"/>
        <v>0</v>
      </c>
      <c r="BK476" s="2675">
        <f t="shared" si="260"/>
        <v>0</v>
      </c>
      <c r="BL476" s="2675">
        <f t="shared" si="261"/>
        <v>0</v>
      </c>
      <c r="BM476" s="2675">
        <f t="shared" si="262"/>
        <v>0</v>
      </c>
      <c r="BN476" s="2675">
        <f t="shared" si="263"/>
        <v>0</v>
      </c>
      <c r="BO476" s="2675">
        <f t="shared" si="264"/>
        <v>0</v>
      </c>
      <c r="BP476" s="2675">
        <f t="shared" si="265"/>
        <v>0</v>
      </c>
      <c r="BQ476" s="2675">
        <f t="shared" si="266"/>
        <v>0</v>
      </c>
      <c r="BR476" s="2675">
        <f t="shared" si="267"/>
        <v>0</v>
      </c>
      <c r="BS476" s="2675">
        <f t="shared" si="268"/>
        <v>0</v>
      </c>
      <c r="BT476" s="2722">
        <f t="shared" si="269"/>
        <v>0</v>
      </c>
    </row>
    <row r="477" spans="1:72">
      <c r="A477" s="2673"/>
      <c r="B477" s="2674"/>
      <c r="C477" s="2674"/>
      <c r="D477" s="2277"/>
      <c r="E477" s="2675">
        <f t="shared" si="241"/>
        <v>0</v>
      </c>
      <c r="F477" s="2676"/>
      <c r="G477" s="2677">
        <f t="shared" si="242"/>
        <v>0</v>
      </c>
      <c r="H477" s="2678">
        <f t="shared" si="243"/>
        <v>0</v>
      </c>
      <c r="I477" s="2685"/>
      <c r="J477" s="2685"/>
      <c r="K477" s="2685"/>
      <c r="L477" s="2685"/>
      <c r="M477" s="2685"/>
      <c r="N477" s="2685"/>
      <c r="O477" s="2685"/>
      <c r="P477" s="2685"/>
      <c r="Q477" s="2685"/>
      <c r="R477" s="2685"/>
      <c r="S477" s="2685"/>
      <c r="T477" s="2685"/>
      <c r="U477" s="2685"/>
      <c r="V477" s="2685"/>
      <c r="W477" s="2685"/>
      <c r="X477" s="2685"/>
      <c r="Y477" s="2685"/>
      <c r="Z477" s="2685"/>
      <c r="AA477" s="2685"/>
      <c r="AB477" s="2685"/>
      <c r="AC477" s="2675">
        <f t="shared" si="244"/>
        <v>0</v>
      </c>
      <c r="AD477" s="2695"/>
      <c r="AE477" s="2695"/>
      <c r="AF477" s="2695"/>
      <c r="AG477" s="2695"/>
      <c r="AH477" s="2695"/>
      <c r="AI477" s="2695"/>
      <c r="AJ477" s="2695"/>
      <c r="AK477" s="2695"/>
      <c r="AL477" s="2695"/>
      <c r="AM477" s="2695"/>
      <c r="AN477" s="2695"/>
      <c r="AO477" s="2695"/>
      <c r="AP477" s="2695"/>
      <c r="AQ477" s="2695"/>
      <c r="AR477" s="2695"/>
      <c r="AS477" s="2695"/>
      <c r="AT477" s="2703"/>
      <c r="AU477" s="2704"/>
      <c r="AV477" s="1074">
        <f t="shared" si="245"/>
        <v>0</v>
      </c>
      <c r="AW477" s="1074">
        <f t="shared" si="246"/>
        <v>0</v>
      </c>
      <c r="AX477" s="1074">
        <f t="shared" si="247"/>
        <v>0</v>
      </c>
      <c r="AY477" s="2279">
        <f t="shared" si="248"/>
        <v>0</v>
      </c>
      <c r="AZ477" s="2675">
        <f t="shared" si="249"/>
        <v>0</v>
      </c>
      <c r="BA477" s="2675">
        <f t="shared" si="250"/>
        <v>0</v>
      </c>
      <c r="BB477" s="2675">
        <f t="shared" si="251"/>
        <v>0</v>
      </c>
      <c r="BC477" s="2675">
        <f t="shared" si="252"/>
        <v>0</v>
      </c>
      <c r="BD477" s="2675">
        <f t="shared" si="253"/>
        <v>0</v>
      </c>
      <c r="BE477" s="2675">
        <f t="shared" si="254"/>
        <v>0</v>
      </c>
      <c r="BF477" s="2675">
        <f t="shared" si="255"/>
        <v>0</v>
      </c>
      <c r="BG477" s="2675">
        <f t="shared" si="256"/>
        <v>0</v>
      </c>
      <c r="BH477" s="2675">
        <f t="shared" si="257"/>
        <v>0</v>
      </c>
      <c r="BI477" s="2675">
        <f t="shared" si="258"/>
        <v>0</v>
      </c>
      <c r="BJ477" s="2675">
        <f t="shared" si="259"/>
        <v>0</v>
      </c>
      <c r="BK477" s="2675">
        <f t="shared" si="260"/>
        <v>0</v>
      </c>
      <c r="BL477" s="2675">
        <f t="shared" si="261"/>
        <v>0</v>
      </c>
      <c r="BM477" s="2675">
        <f t="shared" si="262"/>
        <v>0</v>
      </c>
      <c r="BN477" s="2675">
        <f t="shared" si="263"/>
        <v>0</v>
      </c>
      <c r="BO477" s="2675">
        <f t="shared" si="264"/>
        <v>0</v>
      </c>
      <c r="BP477" s="2675">
        <f t="shared" si="265"/>
        <v>0</v>
      </c>
      <c r="BQ477" s="2675">
        <f t="shared" si="266"/>
        <v>0</v>
      </c>
      <c r="BR477" s="2675">
        <f t="shared" si="267"/>
        <v>0</v>
      </c>
      <c r="BS477" s="2675">
        <f t="shared" si="268"/>
        <v>0</v>
      </c>
      <c r="BT477" s="2722">
        <f t="shared" si="269"/>
        <v>0</v>
      </c>
    </row>
    <row r="478" spans="1:72">
      <c r="A478" s="2673"/>
      <c r="B478" s="2674"/>
      <c r="C478" s="2674"/>
      <c r="D478" s="2277"/>
      <c r="E478" s="2675">
        <f t="shared" si="241"/>
        <v>0</v>
      </c>
      <c r="F478" s="2676"/>
      <c r="G478" s="2677">
        <f t="shared" si="242"/>
        <v>0</v>
      </c>
      <c r="H478" s="2678">
        <f t="shared" si="243"/>
        <v>0</v>
      </c>
      <c r="I478" s="2685"/>
      <c r="J478" s="2685"/>
      <c r="K478" s="2685"/>
      <c r="L478" s="2685"/>
      <c r="M478" s="2685"/>
      <c r="N478" s="2685"/>
      <c r="O478" s="2685"/>
      <c r="P478" s="2685"/>
      <c r="Q478" s="2685"/>
      <c r="R478" s="2685"/>
      <c r="S478" s="2685"/>
      <c r="T478" s="2685"/>
      <c r="U478" s="2685"/>
      <c r="V478" s="2685"/>
      <c r="W478" s="2685"/>
      <c r="X478" s="2685"/>
      <c r="Y478" s="2685"/>
      <c r="Z478" s="2685"/>
      <c r="AA478" s="2685"/>
      <c r="AB478" s="2685"/>
      <c r="AC478" s="2675">
        <f t="shared" si="244"/>
        <v>0</v>
      </c>
      <c r="AD478" s="2695"/>
      <c r="AE478" s="2695"/>
      <c r="AF478" s="2695"/>
      <c r="AG478" s="2695"/>
      <c r="AH478" s="2695"/>
      <c r="AI478" s="2695"/>
      <c r="AJ478" s="2695"/>
      <c r="AK478" s="2695"/>
      <c r="AL478" s="2695"/>
      <c r="AM478" s="2695"/>
      <c r="AN478" s="2695"/>
      <c r="AO478" s="2695"/>
      <c r="AP478" s="2695"/>
      <c r="AQ478" s="2695"/>
      <c r="AR478" s="2695"/>
      <c r="AS478" s="2695"/>
      <c r="AT478" s="2703"/>
      <c r="AU478" s="2704"/>
      <c r="AV478" s="1074">
        <f t="shared" si="245"/>
        <v>0</v>
      </c>
      <c r="AW478" s="1074">
        <f t="shared" si="246"/>
        <v>0</v>
      </c>
      <c r="AX478" s="1074">
        <f t="shared" si="247"/>
        <v>0</v>
      </c>
      <c r="AY478" s="2279">
        <f t="shared" si="248"/>
        <v>0</v>
      </c>
      <c r="AZ478" s="2675">
        <f t="shared" si="249"/>
        <v>0</v>
      </c>
      <c r="BA478" s="2675">
        <f t="shared" si="250"/>
        <v>0</v>
      </c>
      <c r="BB478" s="2675">
        <f t="shared" si="251"/>
        <v>0</v>
      </c>
      <c r="BC478" s="2675">
        <f t="shared" si="252"/>
        <v>0</v>
      </c>
      <c r="BD478" s="2675">
        <f t="shared" si="253"/>
        <v>0</v>
      </c>
      <c r="BE478" s="2675">
        <f t="shared" si="254"/>
        <v>0</v>
      </c>
      <c r="BF478" s="2675">
        <f t="shared" si="255"/>
        <v>0</v>
      </c>
      <c r="BG478" s="2675">
        <f t="shared" si="256"/>
        <v>0</v>
      </c>
      <c r="BH478" s="2675">
        <f t="shared" si="257"/>
        <v>0</v>
      </c>
      <c r="BI478" s="2675">
        <f t="shared" si="258"/>
        <v>0</v>
      </c>
      <c r="BJ478" s="2675">
        <f t="shared" si="259"/>
        <v>0</v>
      </c>
      <c r="BK478" s="2675">
        <f t="shared" si="260"/>
        <v>0</v>
      </c>
      <c r="BL478" s="2675">
        <f t="shared" si="261"/>
        <v>0</v>
      </c>
      <c r="BM478" s="2675">
        <f t="shared" si="262"/>
        <v>0</v>
      </c>
      <c r="BN478" s="2675">
        <f t="shared" si="263"/>
        <v>0</v>
      </c>
      <c r="BO478" s="2675">
        <f t="shared" si="264"/>
        <v>0</v>
      </c>
      <c r="BP478" s="2675">
        <f t="shared" si="265"/>
        <v>0</v>
      </c>
      <c r="BQ478" s="2675">
        <f t="shared" si="266"/>
        <v>0</v>
      </c>
      <c r="BR478" s="2675">
        <f t="shared" si="267"/>
        <v>0</v>
      </c>
      <c r="BS478" s="2675">
        <f t="shared" si="268"/>
        <v>0</v>
      </c>
      <c r="BT478" s="2722">
        <f t="shared" si="269"/>
        <v>0</v>
      </c>
    </row>
    <row r="479" spans="1:72">
      <c r="A479" s="2673"/>
      <c r="B479" s="2674"/>
      <c r="C479" s="2674"/>
      <c r="D479" s="2277"/>
      <c r="E479" s="2675">
        <f t="shared" si="241"/>
        <v>0</v>
      </c>
      <c r="F479" s="2676"/>
      <c r="G479" s="2677">
        <f t="shared" si="242"/>
        <v>0</v>
      </c>
      <c r="H479" s="2678">
        <f t="shared" si="243"/>
        <v>0</v>
      </c>
      <c r="I479" s="2685"/>
      <c r="J479" s="2685"/>
      <c r="K479" s="2685"/>
      <c r="L479" s="2685"/>
      <c r="M479" s="2685"/>
      <c r="N479" s="2685"/>
      <c r="O479" s="2685"/>
      <c r="P479" s="2685"/>
      <c r="Q479" s="2685"/>
      <c r="R479" s="2685"/>
      <c r="S479" s="2685"/>
      <c r="T479" s="2685"/>
      <c r="U479" s="2685"/>
      <c r="V479" s="2685"/>
      <c r="W479" s="2685"/>
      <c r="X479" s="2685"/>
      <c r="Y479" s="2685"/>
      <c r="Z479" s="2685"/>
      <c r="AA479" s="2685"/>
      <c r="AB479" s="2685"/>
      <c r="AC479" s="2675">
        <f t="shared" si="244"/>
        <v>0</v>
      </c>
      <c r="AD479" s="2695"/>
      <c r="AE479" s="2695"/>
      <c r="AF479" s="2695"/>
      <c r="AG479" s="2695"/>
      <c r="AH479" s="2695"/>
      <c r="AI479" s="2695"/>
      <c r="AJ479" s="2695"/>
      <c r="AK479" s="2695"/>
      <c r="AL479" s="2695"/>
      <c r="AM479" s="2695"/>
      <c r="AN479" s="2695"/>
      <c r="AO479" s="2695"/>
      <c r="AP479" s="2695"/>
      <c r="AQ479" s="2695"/>
      <c r="AR479" s="2695"/>
      <c r="AS479" s="2695"/>
      <c r="AT479" s="2703"/>
      <c r="AU479" s="2704"/>
      <c r="AV479" s="1074">
        <f t="shared" si="245"/>
        <v>0</v>
      </c>
      <c r="AW479" s="1074">
        <f t="shared" si="246"/>
        <v>0</v>
      </c>
      <c r="AX479" s="1074">
        <f t="shared" si="247"/>
        <v>0</v>
      </c>
      <c r="AY479" s="2279">
        <f t="shared" si="248"/>
        <v>0</v>
      </c>
      <c r="AZ479" s="2675">
        <f t="shared" si="249"/>
        <v>0</v>
      </c>
      <c r="BA479" s="2675">
        <f t="shared" si="250"/>
        <v>0</v>
      </c>
      <c r="BB479" s="2675">
        <f t="shared" si="251"/>
        <v>0</v>
      </c>
      <c r="BC479" s="2675">
        <f t="shared" si="252"/>
        <v>0</v>
      </c>
      <c r="BD479" s="2675">
        <f t="shared" si="253"/>
        <v>0</v>
      </c>
      <c r="BE479" s="2675">
        <f t="shared" si="254"/>
        <v>0</v>
      </c>
      <c r="BF479" s="2675">
        <f t="shared" si="255"/>
        <v>0</v>
      </c>
      <c r="BG479" s="2675">
        <f t="shared" si="256"/>
        <v>0</v>
      </c>
      <c r="BH479" s="2675">
        <f t="shared" si="257"/>
        <v>0</v>
      </c>
      <c r="BI479" s="2675">
        <f t="shared" si="258"/>
        <v>0</v>
      </c>
      <c r="BJ479" s="2675">
        <f t="shared" si="259"/>
        <v>0</v>
      </c>
      <c r="BK479" s="2675">
        <f t="shared" si="260"/>
        <v>0</v>
      </c>
      <c r="BL479" s="2675">
        <f t="shared" si="261"/>
        <v>0</v>
      </c>
      <c r="BM479" s="2675">
        <f t="shared" si="262"/>
        <v>0</v>
      </c>
      <c r="BN479" s="2675">
        <f t="shared" si="263"/>
        <v>0</v>
      </c>
      <c r="BO479" s="2675">
        <f t="shared" si="264"/>
        <v>0</v>
      </c>
      <c r="BP479" s="2675">
        <f t="shared" si="265"/>
        <v>0</v>
      </c>
      <c r="BQ479" s="2675">
        <f t="shared" si="266"/>
        <v>0</v>
      </c>
      <c r="BR479" s="2675">
        <f t="shared" si="267"/>
        <v>0</v>
      </c>
      <c r="BS479" s="2675">
        <f t="shared" si="268"/>
        <v>0</v>
      </c>
      <c r="BT479" s="2722">
        <f t="shared" si="269"/>
        <v>0</v>
      </c>
    </row>
    <row r="480" spans="1:72">
      <c r="A480" s="2673"/>
      <c r="B480" s="2674"/>
      <c r="C480" s="2674"/>
      <c r="D480" s="2277"/>
      <c r="E480" s="2675">
        <f t="shared" si="241"/>
        <v>0</v>
      </c>
      <c r="F480" s="2676"/>
      <c r="G480" s="2677">
        <f t="shared" si="242"/>
        <v>0</v>
      </c>
      <c r="H480" s="2678">
        <f t="shared" si="243"/>
        <v>0</v>
      </c>
      <c r="I480" s="2685"/>
      <c r="J480" s="2685"/>
      <c r="K480" s="2685"/>
      <c r="L480" s="2685"/>
      <c r="M480" s="2685"/>
      <c r="N480" s="2685"/>
      <c r="O480" s="2685"/>
      <c r="P480" s="2685"/>
      <c r="Q480" s="2685"/>
      <c r="R480" s="2685"/>
      <c r="S480" s="2685"/>
      <c r="T480" s="2685"/>
      <c r="U480" s="2685"/>
      <c r="V480" s="2685"/>
      <c r="W480" s="2685"/>
      <c r="X480" s="2685"/>
      <c r="Y480" s="2685"/>
      <c r="Z480" s="2685"/>
      <c r="AA480" s="2685"/>
      <c r="AB480" s="2685"/>
      <c r="AC480" s="2675">
        <f t="shared" si="244"/>
        <v>0</v>
      </c>
      <c r="AD480" s="2695"/>
      <c r="AE480" s="2695"/>
      <c r="AF480" s="2695"/>
      <c r="AG480" s="2695"/>
      <c r="AH480" s="2695"/>
      <c r="AI480" s="2695"/>
      <c r="AJ480" s="2695"/>
      <c r="AK480" s="2695"/>
      <c r="AL480" s="2695"/>
      <c r="AM480" s="2695"/>
      <c r="AN480" s="2695"/>
      <c r="AO480" s="2695"/>
      <c r="AP480" s="2695"/>
      <c r="AQ480" s="2695"/>
      <c r="AR480" s="2695"/>
      <c r="AS480" s="2695"/>
      <c r="AT480" s="2703"/>
      <c r="AU480" s="2704"/>
      <c r="AV480" s="1074">
        <f t="shared" si="245"/>
        <v>0</v>
      </c>
      <c r="AW480" s="1074">
        <f t="shared" si="246"/>
        <v>0</v>
      </c>
      <c r="AX480" s="1074">
        <f t="shared" si="247"/>
        <v>0</v>
      </c>
      <c r="AY480" s="2279">
        <f t="shared" si="248"/>
        <v>0</v>
      </c>
      <c r="AZ480" s="2675">
        <f t="shared" si="249"/>
        <v>0</v>
      </c>
      <c r="BA480" s="2675">
        <f t="shared" si="250"/>
        <v>0</v>
      </c>
      <c r="BB480" s="2675">
        <f t="shared" si="251"/>
        <v>0</v>
      </c>
      <c r="BC480" s="2675">
        <f t="shared" si="252"/>
        <v>0</v>
      </c>
      <c r="BD480" s="2675">
        <f t="shared" si="253"/>
        <v>0</v>
      </c>
      <c r="BE480" s="2675">
        <f t="shared" si="254"/>
        <v>0</v>
      </c>
      <c r="BF480" s="2675">
        <f t="shared" si="255"/>
        <v>0</v>
      </c>
      <c r="BG480" s="2675">
        <f t="shared" si="256"/>
        <v>0</v>
      </c>
      <c r="BH480" s="2675">
        <f t="shared" si="257"/>
        <v>0</v>
      </c>
      <c r="BI480" s="2675">
        <f t="shared" si="258"/>
        <v>0</v>
      </c>
      <c r="BJ480" s="2675">
        <f t="shared" si="259"/>
        <v>0</v>
      </c>
      <c r="BK480" s="2675">
        <f t="shared" si="260"/>
        <v>0</v>
      </c>
      <c r="BL480" s="2675">
        <f t="shared" si="261"/>
        <v>0</v>
      </c>
      <c r="BM480" s="2675">
        <f t="shared" si="262"/>
        <v>0</v>
      </c>
      <c r="BN480" s="2675">
        <f t="shared" si="263"/>
        <v>0</v>
      </c>
      <c r="BO480" s="2675">
        <f t="shared" si="264"/>
        <v>0</v>
      </c>
      <c r="BP480" s="2675">
        <f t="shared" si="265"/>
        <v>0</v>
      </c>
      <c r="BQ480" s="2675">
        <f t="shared" si="266"/>
        <v>0</v>
      </c>
      <c r="BR480" s="2675">
        <f t="shared" si="267"/>
        <v>0</v>
      </c>
      <c r="BS480" s="2675">
        <f t="shared" si="268"/>
        <v>0</v>
      </c>
      <c r="BT480" s="2722">
        <f t="shared" si="269"/>
        <v>0</v>
      </c>
    </row>
    <row r="481" spans="1:72">
      <c r="A481" s="2673"/>
      <c r="B481" s="2674"/>
      <c r="C481" s="2674"/>
      <c r="D481" s="2277"/>
      <c r="E481" s="2675">
        <f t="shared" si="241"/>
        <v>0</v>
      </c>
      <c r="F481" s="2676"/>
      <c r="G481" s="2677">
        <f t="shared" si="242"/>
        <v>0</v>
      </c>
      <c r="H481" s="2678">
        <f t="shared" si="243"/>
        <v>0</v>
      </c>
      <c r="I481" s="2685"/>
      <c r="J481" s="2685"/>
      <c r="K481" s="2685"/>
      <c r="L481" s="2685"/>
      <c r="M481" s="2685"/>
      <c r="N481" s="2685"/>
      <c r="O481" s="2685"/>
      <c r="P481" s="2685"/>
      <c r="Q481" s="2685"/>
      <c r="R481" s="2685"/>
      <c r="S481" s="2685"/>
      <c r="T481" s="2685"/>
      <c r="U481" s="2685"/>
      <c r="V481" s="2685"/>
      <c r="W481" s="2685"/>
      <c r="X481" s="2685"/>
      <c r="Y481" s="2685"/>
      <c r="Z481" s="2685"/>
      <c r="AA481" s="2685"/>
      <c r="AB481" s="2685"/>
      <c r="AC481" s="2675">
        <f t="shared" si="244"/>
        <v>0</v>
      </c>
      <c r="AD481" s="2695"/>
      <c r="AE481" s="2695"/>
      <c r="AF481" s="2695"/>
      <c r="AG481" s="2695"/>
      <c r="AH481" s="2695"/>
      <c r="AI481" s="2695"/>
      <c r="AJ481" s="2695"/>
      <c r="AK481" s="2695"/>
      <c r="AL481" s="2695"/>
      <c r="AM481" s="2695"/>
      <c r="AN481" s="2695"/>
      <c r="AO481" s="2695"/>
      <c r="AP481" s="2695"/>
      <c r="AQ481" s="2695"/>
      <c r="AR481" s="2695"/>
      <c r="AS481" s="2695"/>
      <c r="AT481" s="2703"/>
      <c r="AU481" s="2704"/>
      <c r="AV481" s="1074">
        <f t="shared" si="245"/>
        <v>0</v>
      </c>
      <c r="AW481" s="1074">
        <f t="shared" si="246"/>
        <v>0</v>
      </c>
      <c r="AX481" s="1074">
        <f t="shared" si="247"/>
        <v>0</v>
      </c>
      <c r="AY481" s="2279">
        <f t="shared" si="248"/>
        <v>0</v>
      </c>
      <c r="AZ481" s="2675">
        <f t="shared" si="249"/>
        <v>0</v>
      </c>
      <c r="BA481" s="2675">
        <f t="shared" si="250"/>
        <v>0</v>
      </c>
      <c r="BB481" s="2675">
        <f t="shared" si="251"/>
        <v>0</v>
      </c>
      <c r="BC481" s="2675">
        <f t="shared" si="252"/>
        <v>0</v>
      </c>
      <c r="BD481" s="2675">
        <f t="shared" si="253"/>
        <v>0</v>
      </c>
      <c r="BE481" s="2675">
        <f t="shared" si="254"/>
        <v>0</v>
      </c>
      <c r="BF481" s="2675">
        <f t="shared" si="255"/>
        <v>0</v>
      </c>
      <c r="BG481" s="2675">
        <f t="shared" si="256"/>
        <v>0</v>
      </c>
      <c r="BH481" s="2675">
        <f t="shared" si="257"/>
        <v>0</v>
      </c>
      <c r="BI481" s="2675">
        <f t="shared" si="258"/>
        <v>0</v>
      </c>
      <c r="BJ481" s="2675">
        <f t="shared" si="259"/>
        <v>0</v>
      </c>
      <c r="BK481" s="2675">
        <f t="shared" si="260"/>
        <v>0</v>
      </c>
      <c r="BL481" s="2675">
        <f t="shared" si="261"/>
        <v>0</v>
      </c>
      <c r="BM481" s="2675">
        <f t="shared" si="262"/>
        <v>0</v>
      </c>
      <c r="BN481" s="2675">
        <f t="shared" si="263"/>
        <v>0</v>
      </c>
      <c r="BO481" s="2675">
        <f t="shared" si="264"/>
        <v>0</v>
      </c>
      <c r="BP481" s="2675">
        <f t="shared" si="265"/>
        <v>0</v>
      </c>
      <c r="BQ481" s="2675">
        <f t="shared" si="266"/>
        <v>0</v>
      </c>
      <c r="BR481" s="2675">
        <f t="shared" si="267"/>
        <v>0</v>
      </c>
      <c r="BS481" s="2675">
        <f t="shared" si="268"/>
        <v>0</v>
      </c>
      <c r="BT481" s="2722">
        <f t="shared" si="269"/>
        <v>0</v>
      </c>
    </row>
    <row r="482" spans="1:72">
      <c r="A482" s="2673"/>
      <c r="B482" s="2674"/>
      <c r="C482" s="2674"/>
      <c r="D482" s="2277"/>
      <c r="E482" s="2675">
        <f t="shared" si="241"/>
        <v>0</v>
      </c>
      <c r="F482" s="2676"/>
      <c r="G482" s="2677">
        <f t="shared" si="242"/>
        <v>0</v>
      </c>
      <c r="H482" s="2678">
        <f t="shared" si="243"/>
        <v>0</v>
      </c>
      <c r="I482" s="2685"/>
      <c r="J482" s="2685"/>
      <c r="K482" s="2685"/>
      <c r="L482" s="2685"/>
      <c r="M482" s="2685"/>
      <c r="N482" s="2685"/>
      <c r="O482" s="2685"/>
      <c r="P482" s="2685"/>
      <c r="Q482" s="2685"/>
      <c r="R482" s="2685"/>
      <c r="S482" s="2685"/>
      <c r="T482" s="2685"/>
      <c r="U482" s="2685"/>
      <c r="V482" s="2685"/>
      <c r="W482" s="2685"/>
      <c r="X482" s="2685"/>
      <c r="Y482" s="2685"/>
      <c r="Z482" s="2685"/>
      <c r="AA482" s="2685"/>
      <c r="AB482" s="2685"/>
      <c r="AC482" s="2675">
        <f t="shared" si="244"/>
        <v>0</v>
      </c>
      <c r="AD482" s="2695"/>
      <c r="AE482" s="2695"/>
      <c r="AF482" s="2695"/>
      <c r="AG482" s="2695"/>
      <c r="AH482" s="2695"/>
      <c r="AI482" s="2695"/>
      <c r="AJ482" s="2695"/>
      <c r="AK482" s="2695"/>
      <c r="AL482" s="2695"/>
      <c r="AM482" s="2695"/>
      <c r="AN482" s="2695"/>
      <c r="AO482" s="2695"/>
      <c r="AP482" s="2695"/>
      <c r="AQ482" s="2695"/>
      <c r="AR482" s="2695"/>
      <c r="AS482" s="2695"/>
      <c r="AT482" s="2703"/>
      <c r="AU482" s="2704"/>
      <c r="AV482" s="1074">
        <f t="shared" si="245"/>
        <v>0</v>
      </c>
      <c r="AW482" s="1074">
        <f t="shared" si="246"/>
        <v>0</v>
      </c>
      <c r="AX482" s="1074">
        <f t="shared" si="247"/>
        <v>0</v>
      </c>
      <c r="AY482" s="2279">
        <f t="shared" si="248"/>
        <v>0</v>
      </c>
      <c r="AZ482" s="2675">
        <f t="shared" si="249"/>
        <v>0</v>
      </c>
      <c r="BA482" s="2675">
        <f t="shared" si="250"/>
        <v>0</v>
      </c>
      <c r="BB482" s="2675">
        <f t="shared" si="251"/>
        <v>0</v>
      </c>
      <c r="BC482" s="2675">
        <f t="shared" si="252"/>
        <v>0</v>
      </c>
      <c r="BD482" s="2675">
        <f t="shared" si="253"/>
        <v>0</v>
      </c>
      <c r="BE482" s="2675">
        <f t="shared" si="254"/>
        <v>0</v>
      </c>
      <c r="BF482" s="2675">
        <f t="shared" si="255"/>
        <v>0</v>
      </c>
      <c r="BG482" s="2675">
        <f t="shared" si="256"/>
        <v>0</v>
      </c>
      <c r="BH482" s="2675">
        <f t="shared" si="257"/>
        <v>0</v>
      </c>
      <c r="BI482" s="2675">
        <f t="shared" si="258"/>
        <v>0</v>
      </c>
      <c r="BJ482" s="2675">
        <f t="shared" si="259"/>
        <v>0</v>
      </c>
      <c r="BK482" s="2675">
        <f t="shared" si="260"/>
        <v>0</v>
      </c>
      <c r="BL482" s="2675">
        <f t="shared" si="261"/>
        <v>0</v>
      </c>
      <c r="BM482" s="2675">
        <f t="shared" si="262"/>
        <v>0</v>
      </c>
      <c r="BN482" s="2675">
        <f t="shared" si="263"/>
        <v>0</v>
      </c>
      <c r="BO482" s="2675">
        <f t="shared" si="264"/>
        <v>0</v>
      </c>
      <c r="BP482" s="2675">
        <f t="shared" si="265"/>
        <v>0</v>
      </c>
      <c r="BQ482" s="2675">
        <f t="shared" si="266"/>
        <v>0</v>
      </c>
      <c r="BR482" s="2675">
        <f t="shared" si="267"/>
        <v>0</v>
      </c>
      <c r="BS482" s="2675">
        <f t="shared" si="268"/>
        <v>0</v>
      </c>
      <c r="BT482" s="2722">
        <f t="shared" si="269"/>
        <v>0</v>
      </c>
    </row>
    <row r="483" spans="1:72">
      <c r="A483" s="2673"/>
      <c r="B483" s="2674"/>
      <c r="C483" s="2674"/>
      <c r="D483" s="2277"/>
      <c r="E483" s="2675">
        <f t="shared" si="241"/>
        <v>0</v>
      </c>
      <c r="F483" s="2676"/>
      <c r="G483" s="2677">
        <f t="shared" si="242"/>
        <v>0</v>
      </c>
      <c r="H483" s="2678">
        <f t="shared" si="243"/>
        <v>0</v>
      </c>
      <c r="I483" s="2685"/>
      <c r="J483" s="2685"/>
      <c r="K483" s="2685"/>
      <c r="L483" s="2685"/>
      <c r="M483" s="2685"/>
      <c r="N483" s="2685"/>
      <c r="O483" s="2685"/>
      <c r="P483" s="2685"/>
      <c r="Q483" s="2685"/>
      <c r="R483" s="2685"/>
      <c r="S483" s="2685"/>
      <c r="T483" s="2685"/>
      <c r="U483" s="2685"/>
      <c r="V483" s="2685"/>
      <c r="W483" s="2685"/>
      <c r="X483" s="2685"/>
      <c r="Y483" s="2685"/>
      <c r="Z483" s="2685"/>
      <c r="AA483" s="2685"/>
      <c r="AB483" s="2685"/>
      <c r="AC483" s="2675">
        <f t="shared" si="244"/>
        <v>0</v>
      </c>
      <c r="AD483" s="2695"/>
      <c r="AE483" s="2695"/>
      <c r="AF483" s="2695"/>
      <c r="AG483" s="2695"/>
      <c r="AH483" s="2695"/>
      <c r="AI483" s="2695"/>
      <c r="AJ483" s="2695"/>
      <c r="AK483" s="2695"/>
      <c r="AL483" s="2695"/>
      <c r="AM483" s="2695"/>
      <c r="AN483" s="2695"/>
      <c r="AO483" s="2695"/>
      <c r="AP483" s="2695"/>
      <c r="AQ483" s="2695"/>
      <c r="AR483" s="2695"/>
      <c r="AS483" s="2695"/>
      <c r="AT483" s="2703"/>
      <c r="AU483" s="2704"/>
      <c r="AV483" s="1074">
        <f t="shared" si="245"/>
        <v>0</v>
      </c>
      <c r="AW483" s="1074">
        <f t="shared" si="246"/>
        <v>0</v>
      </c>
      <c r="AX483" s="1074">
        <f t="shared" si="247"/>
        <v>0</v>
      </c>
      <c r="AY483" s="2279">
        <f t="shared" si="248"/>
        <v>0</v>
      </c>
      <c r="AZ483" s="2675">
        <f t="shared" si="249"/>
        <v>0</v>
      </c>
      <c r="BA483" s="2675">
        <f t="shared" si="250"/>
        <v>0</v>
      </c>
      <c r="BB483" s="2675">
        <f t="shared" si="251"/>
        <v>0</v>
      </c>
      <c r="BC483" s="2675">
        <f t="shared" si="252"/>
        <v>0</v>
      </c>
      <c r="BD483" s="2675">
        <f t="shared" si="253"/>
        <v>0</v>
      </c>
      <c r="BE483" s="2675">
        <f t="shared" si="254"/>
        <v>0</v>
      </c>
      <c r="BF483" s="2675">
        <f t="shared" si="255"/>
        <v>0</v>
      </c>
      <c r="BG483" s="2675">
        <f t="shared" si="256"/>
        <v>0</v>
      </c>
      <c r="BH483" s="2675">
        <f t="shared" si="257"/>
        <v>0</v>
      </c>
      <c r="BI483" s="2675">
        <f t="shared" si="258"/>
        <v>0</v>
      </c>
      <c r="BJ483" s="2675">
        <f t="shared" si="259"/>
        <v>0</v>
      </c>
      <c r="BK483" s="2675">
        <f t="shared" si="260"/>
        <v>0</v>
      </c>
      <c r="BL483" s="2675">
        <f t="shared" si="261"/>
        <v>0</v>
      </c>
      <c r="BM483" s="2675">
        <f t="shared" si="262"/>
        <v>0</v>
      </c>
      <c r="BN483" s="2675">
        <f t="shared" si="263"/>
        <v>0</v>
      </c>
      <c r="BO483" s="2675">
        <f t="shared" si="264"/>
        <v>0</v>
      </c>
      <c r="BP483" s="2675">
        <f t="shared" si="265"/>
        <v>0</v>
      </c>
      <c r="BQ483" s="2675">
        <f t="shared" si="266"/>
        <v>0</v>
      </c>
      <c r="BR483" s="2675">
        <f t="shared" si="267"/>
        <v>0</v>
      </c>
      <c r="BS483" s="2675">
        <f t="shared" si="268"/>
        <v>0</v>
      </c>
      <c r="BT483" s="2722">
        <f t="shared" si="269"/>
        <v>0</v>
      </c>
    </row>
    <row r="484" spans="1:72">
      <c r="A484" s="2673"/>
      <c r="B484" s="2674"/>
      <c r="C484" s="2674"/>
      <c r="D484" s="2277"/>
      <c r="E484" s="2675">
        <f t="shared" si="241"/>
        <v>0</v>
      </c>
      <c r="F484" s="2676"/>
      <c r="G484" s="2677">
        <f t="shared" si="242"/>
        <v>0</v>
      </c>
      <c r="H484" s="2678">
        <f t="shared" si="243"/>
        <v>0</v>
      </c>
      <c r="I484" s="2685"/>
      <c r="J484" s="2685"/>
      <c r="K484" s="2685"/>
      <c r="L484" s="2685"/>
      <c r="M484" s="2685"/>
      <c r="N484" s="2685"/>
      <c r="O484" s="2685"/>
      <c r="P484" s="2685"/>
      <c r="Q484" s="2685"/>
      <c r="R484" s="2685"/>
      <c r="S484" s="2685"/>
      <c r="T484" s="2685"/>
      <c r="U484" s="2685"/>
      <c r="V484" s="2685"/>
      <c r="W484" s="2685"/>
      <c r="X484" s="2685"/>
      <c r="Y484" s="2685"/>
      <c r="Z484" s="2685"/>
      <c r="AA484" s="2685"/>
      <c r="AB484" s="2685"/>
      <c r="AC484" s="2675">
        <f t="shared" si="244"/>
        <v>0</v>
      </c>
      <c r="AD484" s="2695"/>
      <c r="AE484" s="2695"/>
      <c r="AF484" s="2695"/>
      <c r="AG484" s="2695"/>
      <c r="AH484" s="2695"/>
      <c r="AI484" s="2695"/>
      <c r="AJ484" s="2695"/>
      <c r="AK484" s="2695"/>
      <c r="AL484" s="2695"/>
      <c r="AM484" s="2695"/>
      <c r="AN484" s="2695"/>
      <c r="AO484" s="2695"/>
      <c r="AP484" s="2695"/>
      <c r="AQ484" s="2695"/>
      <c r="AR484" s="2695"/>
      <c r="AS484" s="2695"/>
      <c r="AT484" s="2703"/>
      <c r="AU484" s="2704"/>
      <c r="AV484" s="1074">
        <f t="shared" si="245"/>
        <v>0</v>
      </c>
      <c r="AW484" s="1074">
        <f t="shared" si="246"/>
        <v>0</v>
      </c>
      <c r="AX484" s="1074">
        <f t="shared" si="247"/>
        <v>0</v>
      </c>
      <c r="AY484" s="2279">
        <f t="shared" si="248"/>
        <v>0</v>
      </c>
      <c r="AZ484" s="2675">
        <f t="shared" si="249"/>
        <v>0</v>
      </c>
      <c r="BA484" s="2675">
        <f t="shared" si="250"/>
        <v>0</v>
      </c>
      <c r="BB484" s="2675">
        <f t="shared" si="251"/>
        <v>0</v>
      </c>
      <c r="BC484" s="2675">
        <f t="shared" si="252"/>
        <v>0</v>
      </c>
      <c r="BD484" s="2675">
        <f t="shared" si="253"/>
        <v>0</v>
      </c>
      <c r="BE484" s="2675">
        <f t="shared" si="254"/>
        <v>0</v>
      </c>
      <c r="BF484" s="2675">
        <f t="shared" si="255"/>
        <v>0</v>
      </c>
      <c r="BG484" s="2675">
        <f t="shared" si="256"/>
        <v>0</v>
      </c>
      <c r="BH484" s="2675">
        <f t="shared" si="257"/>
        <v>0</v>
      </c>
      <c r="BI484" s="2675">
        <f t="shared" si="258"/>
        <v>0</v>
      </c>
      <c r="BJ484" s="2675">
        <f t="shared" si="259"/>
        <v>0</v>
      </c>
      <c r="BK484" s="2675">
        <f t="shared" si="260"/>
        <v>0</v>
      </c>
      <c r="BL484" s="2675">
        <f t="shared" si="261"/>
        <v>0</v>
      </c>
      <c r="BM484" s="2675">
        <f t="shared" si="262"/>
        <v>0</v>
      </c>
      <c r="BN484" s="2675">
        <f t="shared" si="263"/>
        <v>0</v>
      </c>
      <c r="BO484" s="2675">
        <f t="shared" si="264"/>
        <v>0</v>
      </c>
      <c r="BP484" s="2675">
        <f t="shared" si="265"/>
        <v>0</v>
      </c>
      <c r="BQ484" s="2675">
        <f t="shared" si="266"/>
        <v>0</v>
      </c>
      <c r="BR484" s="2675">
        <f t="shared" si="267"/>
        <v>0</v>
      </c>
      <c r="BS484" s="2675">
        <f t="shared" si="268"/>
        <v>0</v>
      </c>
      <c r="BT484" s="2722">
        <f t="shared" si="269"/>
        <v>0</v>
      </c>
    </row>
    <row r="485" spans="1:72">
      <c r="A485" s="2673"/>
      <c r="B485" s="2674"/>
      <c r="C485" s="2674"/>
      <c r="D485" s="2277"/>
      <c r="E485" s="2675">
        <f t="shared" si="241"/>
        <v>0</v>
      </c>
      <c r="F485" s="2676"/>
      <c r="G485" s="2677">
        <f t="shared" si="242"/>
        <v>0</v>
      </c>
      <c r="H485" s="2678">
        <f t="shared" si="243"/>
        <v>0</v>
      </c>
      <c r="I485" s="2685"/>
      <c r="J485" s="2685"/>
      <c r="K485" s="2685"/>
      <c r="L485" s="2685"/>
      <c r="M485" s="2685"/>
      <c r="N485" s="2685"/>
      <c r="O485" s="2685"/>
      <c r="P485" s="2685"/>
      <c r="Q485" s="2685"/>
      <c r="R485" s="2685"/>
      <c r="S485" s="2685"/>
      <c r="T485" s="2685"/>
      <c r="U485" s="2685"/>
      <c r="V485" s="2685"/>
      <c r="W485" s="2685"/>
      <c r="X485" s="2685"/>
      <c r="Y485" s="2685"/>
      <c r="Z485" s="2685"/>
      <c r="AA485" s="2685"/>
      <c r="AB485" s="2685"/>
      <c r="AC485" s="2675">
        <f t="shared" si="244"/>
        <v>0</v>
      </c>
      <c r="AD485" s="2695"/>
      <c r="AE485" s="2695"/>
      <c r="AF485" s="2695"/>
      <c r="AG485" s="2695"/>
      <c r="AH485" s="2695"/>
      <c r="AI485" s="2695"/>
      <c r="AJ485" s="2695"/>
      <c r="AK485" s="2695"/>
      <c r="AL485" s="2695"/>
      <c r="AM485" s="2695"/>
      <c r="AN485" s="2695"/>
      <c r="AO485" s="2695"/>
      <c r="AP485" s="2695"/>
      <c r="AQ485" s="2695"/>
      <c r="AR485" s="2695"/>
      <c r="AS485" s="2695"/>
      <c r="AT485" s="2703"/>
      <c r="AU485" s="2704"/>
      <c r="AV485" s="1074">
        <f t="shared" si="245"/>
        <v>0</v>
      </c>
      <c r="AW485" s="1074">
        <f t="shared" si="246"/>
        <v>0</v>
      </c>
      <c r="AX485" s="1074">
        <f t="shared" si="247"/>
        <v>0</v>
      </c>
      <c r="AY485" s="2279">
        <f t="shared" si="248"/>
        <v>0</v>
      </c>
      <c r="AZ485" s="2675">
        <f t="shared" si="249"/>
        <v>0</v>
      </c>
      <c r="BA485" s="2675">
        <f t="shared" si="250"/>
        <v>0</v>
      </c>
      <c r="BB485" s="2675">
        <f t="shared" si="251"/>
        <v>0</v>
      </c>
      <c r="BC485" s="2675">
        <f t="shared" si="252"/>
        <v>0</v>
      </c>
      <c r="BD485" s="2675">
        <f t="shared" si="253"/>
        <v>0</v>
      </c>
      <c r="BE485" s="2675">
        <f t="shared" si="254"/>
        <v>0</v>
      </c>
      <c r="BF485" s="2675">
        <f t="shared" si="255"/>
        <v>0</v>
      </c>
      <c r="BG485" s="2675">
        <f t="shared" si="256"/>
        <v>0</v>
      </c>
      <c r="BH485" s="2675">
        <f t="shared" si="257"/>
        <v>0</v>
      </c>
      <c r="BI485" s="2675">
        <f t="shared" si="258"/>
        <v>0</v>
      </c>
      <c r="BJ485" s="2675">
        <f t="shared" si="259"/>
        <v>0</v>
      </c>
      <c r="BK485" s="2675">
        <f t="shared" si="260"/>
        <v>0</v>
      </c>
      <c r="BL485" s="2675">
        <f t="shared" si="261"/>
        <v>0</v>
      </c>
      <c r="BM485" s="2675">
        <f t="shared" si="262"/>
        <v>0</v>
      </c>
      <c r="BN485" s="2675">
        <f t="shared" si="263"/>
        <v>0</v>
      </c>
      <c r="BO485" s="2675">
        <f t="shared" si="264"/>
        <v>0</v>
      </c>
      <c r="BP485" s="2675">
        <f t="shared" si="265"/>
        <v>0</v>
      </c>
      <c r="BQ485" s="2675">
        <f t="shared" si="266"/>
        <v>0</v>
      </c>
      <c r="BR485" s="2675">
        <f t="shared" si="267"/>
        <v>0</v>
      </c>
      <c r="BS485" s="2675">
        <f t="shared" si="268"/>
        <v>0</v>
      </c>
      <c r="BT485" s="2722">
        <f t="shared" si="269"/>
        <v>0</v>
      </c>
    </row>
    <row r="486" spans="1:72">
      <c r="A486" s="2673"/>
      <c r="B486" s="2674"/>
      <c r="C486" s="2674"/>
      <c r="D486" s="2277"/>
      <c r="E486" s="2675">
        <f t="shared" si="241"/>
        <v>0</v>
      </c>
      <c r="F486" s="2676"/>
      <c r="G486" s="2677">
        <f t="shared" si="242"/>
        <v>0</v>
      </c>
      <c r="H486" s="2678">
        <f t="shared" si="243"/>
        <v>0</v>
      </c>
      <c r="I486" s="2685"/>
      <c r="J486" s="2685"/>
      <c r="K486" s="2685"/>
      <c r="L486" s="2685"/>
      <c r="M486" s="2685"/>
      <c r="N486" s="2685"/>
      <c r="O486" s="2685"/>
      <c r="P486" s="2685"/>
      <c r="Q486" s="2685"/>
      <c r="R486" s="2685"/>
      <c r="S486" s="2685"/>
      <c r="T486" s="2685"/>
      <c r="U486" s="2685"/>
      <c r="V486" s="2685"/>
      <c r="W486" s="2685"/>
      <c r="X486" s="2685"/>
      <c r="Y486" s="2685"/>
      <c r="Z486" s="2685"/>
      <c r="AA486" s="2685"/>
      <c r="AB486" s="2685"/>
      <c r="AC486" s="2675">
        <f t="shared" si="244"/>
        <v>0</v>
      </c>
      <c r="AD486" s="2695"/>
      <c r="AE486" s="2695"/>
      <c r="AF486" s="2695"/>
      <c r="AG486" s="2695"/>
      <c r="AH486" s="2695"/>
      <c r="AI486" s="2695"/>
      <c r="AJ486" s="2695"/>
      <c r="AK486" s="2695"/>
      <c r="AL486" s="2695"/>
      <c r="AM486" s="2695"/>
      <c r="AN486" s="2695"/>
      <c r="AO486" s="2695"/>
      <c r="AP486" s="2695"/>
      <c r="AQ486" s="2695"/>
      <c r="AR486" s="2695"/>
      <c r="AS486" s="2695"/>
      <c r="AT486" s="2703"/>
      <c r="AU486" s="2704"/>
      <c r="AV486" s="1074">
        <f t="shared" si="245"/>
        <v>0</v>
      </c>
      <c r="AW486" s="1074">
        <f t="shared" si="246"/>
        <v>0</v>
      </c>
      <c r="AX486" s="1074">
        <f t="shared" si="247"/>
        <v>0</v>
      </c>
      <c r="AY486" s="2279">
        <f t="shared" si="248"/>
        <v>0</v>
      </c>
      <c r="AZ486" s="2675">
        <f t="shared" si="249"/>
        <v>0</v>
      </c>
      <c r="BA486" s="2675">
        <f t="shared" si="250"/>
        <v>0</v>
      </c>
      <c r="BB486" s="2675">
        <f t="shared" si="251"/>
        <v>0</v>
      </c>
      <c r="BC486" s="2675">
        <f t="shared" si="252"/>
        <v>0</v>
      </c>
      <c r="BD486" s="2675">
        <f t="shared" si="253"/>
        <v>0</v>
      </c>
      <c r="BE486" s="2675">
        <f t="shared" si="254"/>
        <v>0</v>
      </c>
      <c r="BF486" s="2675">
        <f t="shared" si="255"/>
        <v>0</v>
      </c>
      <c r="BG486" s="2675">
        <f t="shared" si="256"/>
        <v>0</v>
      </c>
      <c r="BH486" s="2675">
        <f t="shared" si="257"/>
        <v>0</v>
      </c>
      <c r="BI486" s="2675">
        <f t="shared" si="258"/>
        <v>0</v>
      </c>
      <c r="BJ486" s="2675">
        <f t="shared" si="259"/>
        <v>0</v>
      </c>
      <c r="BK486" s="2675">
        <f t="shared" si="260"/>
        <v>0</v>
      </c>
      <c r="BL486" s="2675">
        <f t="shared" si="261"/>
        <v>0</v>
      </c>
      <c r="BM486" s="2675">
        <f t="shared" si="262"/>
        <v>0</v>
      </c>
      <c r="BN486" s="2675">
        <f t="shared" si="263"/>
        <v>0</v>
      </c>
      <c r="BO486" s="2675">
        <f t="shared" si="264"/>
        <v>0</v>
      </c>
      <c r="BP486" s="2675">
        <f t="shared" si="265"/>
        <v>0</v>
      </c>
      <c r="BQ486" s="2675">
        <f t="shared" si="266"/>
        <v>0</v>
      </c>
      <c r="BR486" s="2675">
        <f t="shared" si="267"/>
        <v>0</v>
      </c>
      <c r="BS486" s="2675">
        <f t="shared" si="268"/>
        <v>0</v>
      </c>
      <c r="BT486" s="2722">
        <f t="shared" si="269"/>
        <v>0</v>
      </c>
    </row>
    <row r="487" spans="1:72">
      <c r="A487" s="2673"/>
      <c r="B487" s="2674"/>
      <c r="C487" s="2674"/>
      <c r="D487" s="2277"/>
      <c r="E487" s="2675">
        <f t="shared" si="241"/>
        <v>0</v>
      </c>
      <c r="F487" s="2676"/>
      <c r="G487" s="2677">
        <f t="shared" si="242"/>
        <v>0</v>
      </c>
      <c r="H487" s="2678">
        <f t="shared" si="243"/>
        <v>0</v>
      </c>
      <c r="I487" s="2685"/>
      <c r="J487" s="2685"/>
      <c r="K487" s="2685"/>
      <c r="L487" s="2685"/>
      <c r="M487" s="2685"/>
      <c r="N487" s="2685"/>
      <c r="O487" s="2685"/>
      <c r="P487" s="2685"/>
      <c r="Q487" s="2685"/>
      <c r="R487" s="2685"/>
      <c r="S487" s="2685"/>
      <c r="T487" s="2685"/>
      <c r="U487" s="2685"/>
      <c r="V487" s="2685"/>
      <c r="W487" s="2685"/>
      <c r="X487" s="2685"/>
      <c r="Y487" s="2685"/>
      <c r="Z487" s="2685"/>
      <c r="AA487" s="2685"/>
      <c r="AB487" s="2685"/>
      <c r="AC487" s="2675">
        <f t="shared" si="244"/>
        <v>0</v>
      </c>
      <c r="AD487" s="2695"/>
      <c r="AE487" s="2695"/>
      <c r="AF487" s="2695"/>
      <c r="AG487" s="2695"/>
      <c r="AH487" s="2695"/>
      <c r="AI487" s="2695"/>
      <c r="AJ487" s="2695"/>
      <c r="AK487" s="2695"/>
      <c r="AL487" s="2695"/>
      <c r="AM487" s="2695"/>
      <c r="AN487" s="2695"/>
      <c r="AO487" s="2695"/>
      <c r="AP487" s="2695"/>
      <c r="AQ487" s="2695"/>
      <c r="AR487" s="2695"/>
      <c r="AS487" s="2695"/>
      <c r="AT487" s="2703"/>
      <c r="AU487" s="2704"/>
      <c r="AV487" s="1074">
        <f t="shared" si="245"/>
        <v>0</v>
      </c>
      <c r="AW487" s="1074">
        <f t="shared" si="246"/>
        <v>0</v>
      </c>
      <c r="AX487" s="1074">
        <f t="shared" si="247"/>
        <v>0</v>
      </c>
      <c r="AY487" s="2279">
        <f t="shared" si="248"/>
        <v>0</v>
      </c>
      <c r="AZ487" s="2675">
        <f t="shared" si="249"/>
        <v>0</v>
      </c>
      <c r="BA487" s="2675">
        <f t="shared" si="250"/>
        <v>0</v>
      </c>
      <c r="BB487" s="2675">
        <f t="shared" si="251"/>
        <v>0</v>
      </c>
      <c r="BC487" s="2675">
        <f t="shared" si="252"/>
        <v>0</v>
      </c>
      <c r="BD487" s="2675">
        <f t="shared" si="253"/>
        <v>0</v>
      </c>
      <c r="BE487" s="2675">
        <f t="shared" si="254"/>
        <v>0</v>
      </c>
      <c r="BF487" s="2675">
        <f t="shared" si="255"/>
        <v>0</v>
      </c>
      <c r="BG487" s="2675">
        <f t="shared" si="256"/>
        <v>0</v>
      </c>
      <c r="BH487" s="2675">
        <f t="shared" si="257"/>
        <v>0</v>
      </c>
      <c r="BI487" s="2675">
        <f t="shared" si="258"/>
        <v>0</v>
      </c>
      <c r="BJ487" s="2675">
        <f t="shared" si="259"/>
        <v>0</v>
      </c>
      <c r="BK487" s="2675">
        <f t="shared" si="260"/>
        <v>0</v>
      </c>
      <c r="BL487" s="2675">
        <f t="shared" si="261"/>
        <v>0</v>
      </c>
      <c r="BM487" s="2675">
        <f t="shared" si="262"/>
        <v>0</v>
      </c>
      <c r="BN487" s="2675">
        <f t="shared" si="263"/>
        <v>0</v>
      </c>
      <c r="BO487" s="2675">
        <f t="shared" si="264"/>
        <v>0</v>
      </c>
      <c r="BP487" s="2675">
        <f t="shared" si="265"/>
        <v>0</v>
      </c>
      <c r="BQ487" s="2675">
        <f t="shared" si="266"/>
        <v>0</v>
      </c>
      <c r="BR487" s="2675">
        <f t="shared" si="267"/>
        <v>0</v>
      </c>
      <c r="BS487" s="2675">
        <f t="shared" si="268"/>
        <v>0</v>
      </c>
      <c r="BT487" s="2722">
        <f t="shared" si="269"/>
        <v>0</v>
      </c>
    </row>
    <row r="488" spans="1:72">
      <c r="A488" s="2673"/>
      <c r="B488" s="2674"/>
      <c r="C488" s="2674"/>
      <c r="D488" s="2277"/>
      <c r="E488" s="2675">
        <f t="shared" si="241"/>
        <v>0</v>
      </c>
      <c r="F488" s="2676"/>
      <c r="G488" s="2677">
        <f t="shared" si="242"/>
        <v>0</v>
      </c>
      <c r="H488" s="2678">
        <f t="shared" si="243"/>
        <v>0</v>
      </c>
      <c r="I488" s="2685"/>
      <c r="J488" s="2685"/>
      <c r="K488" s="2685"/>
      <c r="L488" s="2685"/>
      <c r="M488" s="2685"/>
      <c r="N488" s="2685"/>
      <c r="O488" s="2685"/>
      <c r="P488" s="2685"/>
      <c r="Q488" s="2685"/>
      <c r="R488" s="2685"/>
      <c r="S488" s="2685"/>
      <c r="T488" s="2685"/>
      <c r="U488" s="2685"/>
      <c r="V488" s="2685"/>
      <c r="W488" s="2685"/>
      <c r="X488" s="2685"/>
      <c r="Y488" s="2685"/>
      <c r="Z488" s="2685"/>
      <c r="AA488" s="2685"/>
      <c r="AB488" s="2685"/>
      <c r="AC488" s="2675">
        <f t="shared" si="244"/>
        <v>0</v>
      </c>
      <c r="AD488" s="2695"/>
      <c r="AE488" s="2695"/>
      <c r="AF488" s="2695"/>
      <c r="AG488" s="2695"/>
      <c r="AH488" s="2695"/>
      <c r="AI488" s="2695"/>
      <c r="AJ488" s="2695"/>
      <c r="AK488" s="2695"/>
      <c r="AL488" s="2695"/>
      <c r="AM488" s="2695"/>
      <c r="AN488" s="2695"/>
      <c r="AO488" s="2695"/>
      <c r="AP488" s="2695"/>
      <c r="AQ488" s="2695"/>
      <c r="AR488" s="2695"/>
      <c r="AS488" s="2695"/>
      <c r="AT488" s="2703"/>
      <c r="AU488" s="2704"/>
      <c r="AV488" s="1074">
        <f t="shared" si="245"/>
        <v>0</v>
      </c>
      <c r="AW488" s="1074">
        <f t="shared" si="246"/>
        <v>0</v>
      </c>
      <c r="AX488" s="1074">
        <f t="shared" si="247"/>
        <v>0</v>
      </c>
      <c r="AY488" s="2279">
        <f t="shared" si="248"/>
        <v>0</v>
      </c>
      <c r="AZ488" s="2675">
        <f t="shared" si="249"/>
        <v>0</v>
      </c>
      <c r="BA488" s="2675">
        <f t="shared" si="250"/>
        <v>0</v>
      </c>
      <c r="BB488" s="2675">
        <f t="shared" si="251"/>
        <v>0</v>
      </c>
      <c r="BC488" s="2675">
        <f t="shared" si="252"/>
        <v>0</v>
      </c>
      <c r="BD488" s="2675">
        <f t="shared" si="253"/>
        <v>0</v>
      </c>
      <c r="BE488" s="2675">
        <f t="shared" si="254"/>
        <v>0</v>
      </c>
      <c r="BF488" s="2675">
        <f t="shared" si="255"/>
        <v>0</v>
      </c>
      <c r="BG488" s="2675">
        <f t="shared" si="256"/>
        <v>0</v>
      </c>
      <c r="BH488" s="2675">
        <f t="shared" si="257"/>
        <v>0</v>
      </c>
      <c r="BI488" s="2675">
        <f t="shared" si="258"/>
        <v>0</v>
      </c>
      <c r="BJ488" s="2675">
        <f t="shared" si="259"/>
        <v>0</v>
      </c>
      <c r="BK488" s="2675">
        <f t="shared" si="260"/>
        <v>0</v>
      </c>
      <c r="BL488" s="2675">
        <f t="shared" si="261"/>
        <v>0</v>
      </c>
      <c r="BM488" s="2675">
        <f t="shared" si="262"/>
        <v>0</v>
      </c>
      <c r="BN488" s="2675">
        <f t="shared" si="263"/>
        <v>0</v>
      </c>
      <c r="BO488" s="2675">
        <f t="shared" si="264"/>
        <v>0</v>
      </c>
      <c r="BP488" s="2675">
        <f t="shared" si="265"/>
        <v>0</v>
      </c>
      <c r="BQ488" s="2675">
        <f t="shared" si="266"/>
        <v>0</v>
      </c>
      <c r="BR488" s="2675">
        <f t="shared" si="267"/>
        <v>0</v>
      </c>
      <c r="BS488" s="2675">
        <f t="shared" si="268"/>
        <v>0</v>
      </c>
      <c r="BT488" s="2722">
        <f t="shared" si="269"/>
        <v>0</v>
      </c>
    </row>
    <row r="489" spans="1:72">
      <c r="A489" s="2673"/>
      <c r="B489" s="2674"/>
      <c r="C489" s="2674"/>
      <c r="D489" s="2277"/>
      <c r="E489" s="2675">
        <f t="shared" si="241"/>
        <v>0</v>
      </c>
      <c r="F489" s="2676"/>
      <c r="G489" s="2677">
        <f t="shared" si="242"/>
        <v>0</v>
      </c>
      <c r="H489" s="2678">
        <f t="shared" si="243"/>
        <v>0</v>
      </c>
      <c r="I489" s="2685"/>
      <c r="J489" s="2685"/>
      <c r="K489" s="2685"/>
      <c r="L489" s="2685"/>
      <c r="M489" s="2685"/>
      <c r="N489" s="2685"/>
      <c r="O489" s="2685"/>
      <c r="P489" s="2685"/>
      <c r="Q489" s="2685"/>
      <c r="R489" s="2685"/>
      <c r="S489" s="2685"/>
      <c r="T489" s="2685"/>
      <c r="U489" s="2685"/>
      <c r="V489" s="2685"/>
      <c r="W489" s="2685"/>
      <c r="X489" s="2685"/>
      <c r="Y489" s="2685"/>
      <c r="Z489" s="2685"/>
      <c r="AA489" s="2685"/>
      <c r="AB489" s="2685"/>
      <c r="AC489" s="2675">
        <f t="shared" si="244"/>
        <v>0</v>
      </c>
      <c r="AD489" s="2695"/>
      <c r="AE489" s="2695"/>
      <c r="AF489" s="2695"/>
      <c r="AG489" s="2695"/>
      <c r="AH489" s="2695"/>
      <c r="AI489" s="2695"/>
      <c r="AJ489" s="2695"/>
      <c r="AK489" s="2695"/>
      <c r="AL489" s="2695"/>
      <c r="AM489" s="2695"/>
      <c r="AN489" s="2695"/>
      <c r="AO489" s="2695"/>
      <c r="AP489" s="2695"/>
      <c r="AQ489" s="2695"/>
      <c r="AR489" s="2695"/>
      <c r="AS489" s="2695"/>
      <c r="AT489" s="2703"/>
      <c r="AU489" s="2704"/>
      <c r="AV489" s="1074">
        <f t="shared" si="245"/>
        <v>0</v>
      </c>
      <c r="AW489" s="1074">
        <f t="shared" si="246"/>
        <v>0</v>
      </c>
      <c r="AX489" s="1074">
        <f t="shared" si="247"/>
        <v>0</v>
      </c>
      <c r="AY489" s="2279">
        <f t="shared" si="248"/>
        <v>0</v>
      </c>
      <c r="AZ489" s="2675">
        <f t="shared" si="249"/>
        <v>0</v>
      </c>
      <c r="BA489" s="2675">
        <f t="shared" si="250"/>
        <v>0</v>
      </c>
      <c r="BB489" s="2675">
        <f t="shared" si="251"/>
        <v>0</v>
      </c>
      <c r="BC489" s="2675">
        <f t="shared" si="252"/>
        <v>0</v>
      </c>
      <c r="BD489" s="2675">
        <f t="shared" si="253"/>
        <v>0</v>
      </c>
      <c r="BE489" s="2675">
        <f t="shared" si="254"/>
        <v>0</v>
      </c>
      <c r="BF489" s="2675">
        <f t="shared" si="255"/>
        <v>0</v>
      </c>
      <c r="BG489" s="2675">
        <f t="shared" si="256"/>
        <v>0</v>
      </c>
      <c r="BH489" s="2675">
        <f t="shared" si="257"/>
        <v>0</v>
      </c>
      <c r="BI489" s="2675">
        <f t="shared" si="258"/>
        <v>0</v>
      </c>
      <c r="BJ489" s="2675">
        <f t="shared" si="259"/>
        <v>0</v>
      </c>
      <c r="BK489" s="2675">
        <f t="shared" si="260"/>
        <v>0</v>
      </c>
      <c r="BL489" s="2675">
        <f t="shared" si="261"/>
        <v>0</v>
      </c>
      <c r="BM489" s="2675">
        <f t="shared" si="262"/>
        <v>0</v>
      </c>
      <c r="BN489" s="2675">
        <f t="shared" si="263"/>
        <v>0</v>
      </c>
      <c r="BO489" s="2675">
        <f t="shared" si="264"/>
        <v>0</v>
      </c>
      <c r="BP489" s="2675">
        <f t="shared" si="265"/>
        <v>0</v>
      </c>
      <c r="BQ489" s="2675">
        <f t="shared" si="266"/>
        <v>0</v>
      </c>
      <c r="BR489" s="2675">
        <f t="shared" si="267"/>
        <v>0</v>
      </c>
      <c r="BS489" s="2675">
        <f t="shared" si="268"/>
        <v>0</v>
      </c>
      <c r="BT489" s="2722">
        <f t="shared" si="269"/>
        <v>0</v>
      </c>
    </row>
    <row r="490" spans="1:72">
      <c r="A490" s="2673"/>
      <c r="B490" s="2673"/>
      <c r="C490" s="2673"/>
      <c r="D490" s="2277"/>
      <c r="E490" s="2675">
        <f t="shared" si="241"/>
        <v>0</v>
      </c>
      <c r="F490" s="2723"/>
      <c r="G490" s="2677">
        <f t="shared" ref="G490:G521" si="270">H490+AC490+AT490</f>
        <v>0</v>
      </c>
      <c r="H490" s="2678">
        <f t="shared" ref="H490:H521" si="271">SUMIF(I$12:AB$12,"总值",I490:AB490)</f>
        <v>0</v>
      </c>
      <c r="I490" s="2724"/>
      <c r="J490" s="2724"/>
      <c r="K490" s="2685"/>
      <c r="L490" s="2685"/>
      <c r="M490" s="2685"/>
      <c r="N490" s="2685"/>
      <c r="O490" s="2685"/>
      <c r="P490" s="2685"/>
      <c r="Q490" s="2685"/>
      <c r="R490" s="2685"/>
      <c r="S490" s="2685"/>
      <c r="T490" s="2685"/>
      <c r="U490" s="2685"/>
      <c r="V490" s="2685"/>
      <c r="W490" s="2685"/>
      <c r="X490" s="2685"/>
      <c r="Y490" s="2685"/>
      <c r="Z490" s="2685"/>
      <c r="AA490" s="2685"/>
      <c r="AB490" s="2685"/>
      <c r="AC490" s="2675">
        <f t="shared" ref="AC490:AC521" si="272">SUMIF(AD$12:AS$12,"总值",AD490:AS490)</f>
        <v>0</v>
      </c>
      <c r="AD490" s="2695"/>
      <c r="AE490" s="2695"/>
      <c r="AF490" s="2695"/>
      <c r="AG490" s="2695"/>
      <c r="AH490" s="2695"/>
      <c r="AI490" s="2695"/>
      <c r="AJ490" s="2695"/>
      <c r="AK490" s="2695"/>
      <c r="AL490" s="2695"/>
      <c r="AM490" s="2695"/>
      <c r="AN490" s="2695"/>
      <c r="AO490" s="2695"/>
      <c r="AP490" s="2695"/>
      <c r="AQ490" s="2695"/>
      <c r="AR490" s="2695"/>
      <c r="AS490" s="2695"/>
      <c r="AT490" s="2695"/>
      <c r="AU490" s="2725"/>
      <c r="AV490" s="1074">
        <f t="shared" si="245"/>
        <v>0</v>
      </c>
      <c r="AW490" s="1074">
        <f t="shared" si="246"/>
        <v>0</v>
      </c>
      <c r="AX490" s="1074">
        <f t="shared" si="247"/>
        <v>0</v>
      </c>
      <c r="AY490" s="2279">
        <f t="shared" ref="AY490:AY521" si="273">ROUND($AY$6*AZ490/$AZ$5,2)</f>
        <v>0</v>
      </c>
      <c r="AZ490" s="2675">
        <f t="shared" ref="AZ490:AZ521" si="274">BA490+BL490</f>
        <v>0</v>
      </c>
      <c r="BA490" s="2675">
        <f t="shared" ref="BA490:BA521" si="275">SUM(BB490:BK490)</f>
        <v>0</v>
      </c>
      <c r="BB490" s="2675">
        <f t="shared" ref="BB490:BB521" si="276">IF($D490="是",I490-J490,0)</f>
        <v>0</v>
      </c>
      <c r="BC490" s="2675">
        <f t="shared" ref="BC490:BC521" si="277">IF($D490="是",K490-L490,0)</f>
        <v>0</v>
      </c>
      <c r="BD490" s="2675">
        <f t="shared" ref="BD490:BD521" si="278">IF($D490="是",M490-N490,0)</f>
        <v>0</v>
      </c>
      <c r="BE490" s="2675">
        <f t="shared" ref="BE490:BE521" si="279">IF($D490="是",O490-P490,0)</f>
        <v>0</v>
      </c>
      <c r="BF490" s="2675">
        <f t="shared" ref="BF490:BF521" si="280">IF($D490="是",Q490-R490,0)</f>
        <v>0</v>
      </c>
      <c r="BG490" s="2675">
        <f t="shared" ref="BG490:BG521" si="281">IF($D490="是",S490-T490,0)</f>
        <v>0</v>
      </c>
      <c r="BH490" s="2675">
        <f t="shared" ref="BH490:BH521" si="282">IF($D490="是",U490-V490,0)</f>
        <v>0</v>
      </c>
      <c r="BI490" s="2675">
        <f t="shared" ref="BI490:BI521" si="283">IF($D490="是",W490-X490,0)</f>
        <v>0</v>
      </c>
      <c r="BJ490" s="2675">
        <f t="shared" ref="BJ490:BJ521" si="284">IF($D490="是",Y490-Z490,0)</f>
        <v>0</v>
      </c>
      <c r="BK490" s="2675">
        <f t="shared" ref="BK490:BK521" si="285">IF($D490="是",AA490-AB490,0)</f>
        <v>0</v>
      </c>
      <c r="BL490" s="2675">
        <f t="shared" ref="BL490:BL521" si="286">SUM(BM490:BT490)</f>
        <v>0</v>
      </c>
      <c r="BM490" s="2675">
        <f t="shared" ref="BM490:BM521" si="287">IF($D490="是",AD490-AE490,0)</f>
        <v>0</v>
      </c>
      <c r="BN490" s="2675">
        <f t="shared" ref="BN490:BN521" si="288">IF($D490="是",AF490-AG490,0)</f>
        <v>0</v>
      </c>
      <c r="BO490" s="2675">
        <f t="shared" ref="BO490:BO521" si="289">IF($D490="是",AH490-AI490,0)</f>
        <v>0</v>
      </c>
      <c r="BP490" s="2675">
        <f t="shared" ref="BP490:BP521" si="290">IF($D490="是",AJ490-AK490,0)</f>
        <v>0</v>
      </c>
      <c r="BQ490" s="2675">
        <f t="shared" ref="BQ490:BQ521" si="291">IF($D490="是",AL490-AM490,0)</f>
        <v>0</v>
      </c>
      <c r="BR490" s="2675">
        <f t="shared" ref="BR490:BR521" si="292">IF($D490="是",AN490-AO490,0)</f>
        <v>0</v>
      </c>
      <c r="BS490" s="2675">
        <f t="shared" ref="BS490:BS521" si="293">IF($D490="是",AP490-AQ490,0)</f>
        <v>0</v>
      </c>
      <c r="BT490" s="2722">
        <f t="shared" ref="BT490:BT521" si="294">IF($D490="是",AR490-AS490,0)</f>
        <v>0</v>
      </c>
    </row>
    <row r="491" spans="1:72">
      <c r="A491" s="2673"/>
      <c r="B491" s="2673"/>
      <c r="C491" s="2673"/>
      <c r="D491" s="2277"/>
      <c r="E491" s="2675">
        <f t="shared" si="241"/>
        <v>0</v>
      </c>
      <c r="F491" s="2723"/>
      <c r="G491" s="2677">
        <f t="shared" si="270"/>
        <v>0</v>
      </c>
      <c r="H491" s="2678">
        <f t="shared" si="271"/>
        <v>0</v>
      </c>
      <c r="I491" s="2685"/>
      <c r="J491" s="2685"/>
      <c r="K491" s="2685"/>
      <c r="L491" s="2685"/>
      <c r="M491" s="2685"/>
      <c r="N491" s="2685"/>
      <c r="O491" s="2685"/>
      <c r="P491" s="2685"/>
      <c r="Q491" s="2685"/>
      <c r="R491" s="2685"/>
      <c r="S491" s="2685"/>
      <c r="T491" s="2685"/>
      <c r="U491" s="2685"/>
      <c r="V491" s="2685"/>
      <c r="W491" s="2685"/>
      <c r="X491" s="2685"/>
      <c r="Y491" s="2685"/>
      <c r="Z491" s="2685"/>
      <c r="AA491" s="2685"/>
      <c r="AB491" s="2685"/>
      <c r="AC491" s="2675">
        <f t="shared" si="272"/>
        <v>0</v>
      </c>
      <c r="AD491" s="2695"/>
      <c r="AE491" s="2695"/>
      <c r="AF491" s="2695"/>
      <c r="AG491" s="2695"/>
      <c r="AH491" s="2695"/>
      <c r="AI491" s="2695"/>
      <c r="AJ491" s="2695"/>
      <c r="AK491" s="2695"/>
      <c r="AL491" s="2695"/>
      <c r="AM491" s="2695"/>
      <c r="AN491" s="2695"/>
      <c r="AO491" s="2695"/>
      <c r="AP491" s="2695"/>
      <c r="AQ491" s="2695"/>
      <c r="AR491" s="2695"/>
      <c r="AS491" s="2695"/>
      <c r="AT491" s="2695"/>
      <c r="AU491" s="2725"/>
      <c r="AV491" s="1074">
        <f t="shared" si="245"/>
        <v>0</v>
      </c>
      <c r="AW491" s="1074">
        <f t="shared" si="246"/>
        <v>0</v>
      </c>
      <c r="AX491" s="1074">
        <f t="shared" si="247"/>
        <v>0</v>
      </c>
      <c r="AY491" s="2279">
        <f t="shared" si="273"/>
        <v>0</v>
      </c>
      <c r="AZ491" s="2675">
        <f t="shared" si="274"/>
        <v>0</v>
      </c>
      <c r="BA491" s="2675">
        <f t="shared" si="275"/>
        <v>0</v>
      </c>
      <c r="BB491" s="2675">
        <f t="shared" si="276"/>
        <v>0</v>
      </c>
      <c r="BC491" s="2675">
        <f t="shared" si="277"/>
        <v>0</v>
      </c>
      <c r="BD491" s="2675">
        <f t="shared" si="278"/>
        <v>0</v>
      </c>
      <c r="BE491" s="2675">
        <f t="shared" si="279"/>
        <v>0</v>
      </c>
      <c r="BF491" s="2675">
        <f t="shared" si="280"/>
        <v>0</v>
      </c>
      <c r="BG491" s="2675">
        <f t="shared" si="281"/>
        <v>0</v>
      </c>
      <c r="BH491" s="2675">
        <f t="shared" si="282"/>
        <v>0</v>
      </c>
      <c r="BI491" s="2675">
        <f t="shared" si="283"/>
        <v>0</v>
      </c>
      <c r="BJ491" s="2675">
        <f t="shared" si="284"/>
        <v>0</v>
      </c>
      <c r="BK491" s="2675">
        <f t="shared" si="285"/>
        <v>0</v>
      </c>
      <c r="BL491" s="2675">
        <f t="shared" si="286"/>
        <v>0</v>
      </c>
      <c r="BM491" s="2675">
        <f t="shared" si="287"/>
        <v>0</v>
      </c>
      <c r="BN491" s="2675">
        <f t="shared" si="288"/>
        <v>0</v>
      </c>
      <c r="BO491" s="2675">
        <f t="shared" si="289"/>
        <v>0</v>
      </c>
      <c r="BP491" s="2675">
        <f t="shared" si="290"/>
        <v>0</v>
      </c>
      <c r="BQ491" s="2675">
        <f t="shared" si="291"/>
        <v>0</v>
      </c>
      <c r="BR491" s="2675">
        <f t="shared" si="292"/>
        <v>0</v>
      </c>
      <c r="BS491" s="2675">
        <f t="shared" si="293"/>
        <v>0</v>
      </c>
      <c r="BT491" s="2722">
        <f t="shared" si="294"/>
        <v>0</v>
      </c>
    </row>
    <row r="492" spans="1:72">
      <c r="A492" s="2673"/>
      <c r="B492" s="2673"/>
      <c r="C492" s="2673"/>
      <c r="D492" s="2277"/>
      <c r="E492" s="2675">
        <f t="shared" si="241"/>
        <v>0</v>
      </c>
      <c r="F492" s="2723"/>
      <c r="G492" s="2677">
        <f t="shared" si="270"/>
        <v>0</v>
      </c>
      <c r="H492" s="2678">
        <f t="shared" si="271"/>
        <v>0</v>
      </c>
      <c r="I492" s="2685"/>
      <c r="J492" s="2685"/>
      <c r="K492" s="2685"/>
      <c r="L492" s="2685"/>
      <c r="M492" s="2685"/>
      <c r="N492" s="2685"/>
      <c r="O492" s="2685"/>
      <c r="P492" s="2685"/>
      <c r="Q492" s="2685"/>
      <c r="R492" s="2685"/>
      <c r="S492" s="2685"/>
      <c r="T492" s="2685"/>
      <c r="U492" s="2685"/>
      <c r="V492" s="2685"/>
      <c r="W492" s="2685"/>
      <c r="X492" s="2685"/>
      <c r="Y492" s="2685"/>
      <c r="Z492" s="2685"/>
      <c r="AA492" s="2685"/>
      <c r="AB492" s="2685"/>
      <c r="AC492" s="2675">
        <f t="shared" si="272"/>
        <v>0</v>
      </c>
      <c r="AD492" s="2695"/>
      <c r="AE492" s="2695"/>
      <c r="AF492" s="2695"/>
      <c r="AG492" s="2695"/>
      <c r="AH492" s="2695"/>
      <c r="AI492" s="2695"/>
      <c r="AJ492" s="2695"/>
      <c r="AK492" s="2695"/>
      <c r="AL492" s="2695"/>
      <c r="AM492" s="2695"/>
      <c r="AN492" s="2695"/>
      <c r="AO492" s="2695"/>
      <c r="AP492" s="2695"/>
      <c r="AQ492" s="2695"/>
      <c r="AR492" s="2695"/>
      <c r="AS492" s="2695"/>
      <c r="AT492" s="2695"/>
      <c r="AU492" s="2725"/>
      <c r="AV492" s="1074">
        <f t="shared" si="245"/>
        <v>0</v>
      </c>
      <c r="AW492" s="1074">
        <f t="shared" si="246"/>
        <v>0</v>
      </c>
      <c r="AX492" s="1074">
        <f t="shared" si="247"/>
        <v>0</v>
      </c>
      <c r="AY492" s="2279">
        <f t="shared" si="273"/>
        <v>0</v>
      </c>
      <c r="AZ492" s="2675">
        <f t="shared" si="274"/>
        <v>0</v>
      </c>
      <c r="BA492" s="2675">
        <f t="shared" si="275"/>
        <v>0</v>
      </c>
      <c r="BB492" s="2675">
        <f t="shared" si="276"/>
        <v>0</v>
      </c>
      <c r="BC492" s="2675">
        <f t="shared" si="277"/>
        <v>0</v>
      </c>
      <c r="BD492" s="2675">
        <f t="shared" si="278"/>
        <v>0</v>
      </c>
      <c r="BE492" s="2675">
        <f t="shared" si="279"/>
        <v>0</v>
      </c>
      <c r="BF492" s="2675">
        <f t="shared" si="280"/>
        <v>0</v>
      </c>
      <c r="BG492" s="2675">
        <f t="shared" si="281"/>
        <v>0</v>
      </c>
      <c r="BH492" s="2675">
        <f t="shared" si="282"/>
        <v>0</v>
      </c>
      <c r="BI492" s="2675">
        <f t="shared" si="283"/>
        <v>0</v>
      </c>
      <c r="BJ492" s="2675">
        <f t="shared" si="284"/>
        <v>0</v>
      </c>
      <c r="BK492" s="2675">
        <f t="shared" si="285"/>
        <v>0</v>
      </c>
      <c r="BL492" s="2675">
        <f t="shared" si="286"/>
        <v>0</v>
      </c>
      <c r="BM492" s="2675">
        <f t="shared" si="287"/>
        <v>0</v>
      </c>
      <c r="BN492" s="2675">
        <f t="shared" si="288"/>
        <v>0</v>
      </c>
      <c r="BO492" s="2675">
        <f t="shared" si="289"/>
        <v>0</v>
      </c>
      <c r="BP492" s="2675">
        <f t="shared" si="290"/>
        <v>0</v>
      </c>
      <c r="BQ492" s="2675">
        <f t="shared" si="291"/>
        <v>0</v>
      </c>
      <c r="BR492" s="2675">
        <f t="shared" si="292"/>
        <v>0</v>
      </c>
      <c r="BS492" s="2675">
        <f t="shared" si="293"/>
        <v>0</v>
      </c>
      <c r="BT492" s="2722">
        <f t="shared" si="294"/>
        <v>0</v>
      </c>
    </row>
    <row r="493" spans="1:72">
      <c r="A493" s="2673"/>
      <c r="B493" s="2674"/>
      <c r="C493" s="2674"/>
      <c r="D493" s="2277"/>
      <c r="E493" s="2675">
        <f t="shared" ref="E493:E519" si="295">IF($C$3="是",ROUND($A$3*G493/$B$3,2),ROUND($A$3*(G493-AT493)/$B$3,2))</f>
        <v>0</v>
      </c>
      <c r="F493" s="2676"/>
      <c r="G493" s="2677">
        <f t="shared" si="270"/>
        <v>0</v>
      </c>
      <c r="H493" s="2678">
        <f t="shared" si="271"/>
        <v>0</v>
      </c>
      <c r="I493" s="2685"/>
      <c r="J493" s="2685"/>
      <c r="K493" s="2685"/>
      <c r="L493" s="2685"/>
      <c r="M493" s="2685"/>
      <c r="N493" s="2685"/>
      <c r="O493" s="2685"/>
      <c r="P493" s="2685"/>
      <c r="Q493" s="2685"/>
      <c r="R493" s="2685"/>
      <c r="S493" s="2685"/>
      <c r="T493" s="2685"/>
      <c r="U493" s="2685"/>
      <c r="V493" s="2685"/>
      <c r="W493" s="2685"/>
      <c r="X493" s="2685"/>
      <c r="Y493" s="2685"/>
      <c r="Z493" s="2685"/>
      <c r="AA493" s="2685"/>
      <c r="AB493" s="2685"/>
      <c r="AC493" s="2675">
        <f t="shared" si="272"/>
        <v>0</v>
      </c>
      <c r="AD493" s="2695"/>
      <c r="AE493" s="2695"/>
      <c r="AF493" s="2695"/>
      <c r="AG493" s="2695"/>
      <c r="AH493" s="2695"/>
      <c r="AI493" s="2695"/>
      <c r="AJ493" s="2695"/>
      <c r="AK493" s="2695"/>
      <c r="AL493" s="2695"/>
      <c r="AM493" s="2695"/>
      <c r="AN493" s="2695"/>
      <c r="AO493" s="2695"/>
      <c r="AP493" s="2695"/>
      <c r="AQ493" s="2695"/>
      <c r="AR493" s="2695"/>
      <c r="AS493" s="2695"/>
      <c r="AT493" s="2703"/>
      <c r="AU493" s="2704"/>
      <c r="AV493" s="1074">
        <f t="shared" ref="AV493:AV520" si="296">A493</f>
        <v>0</v>
      </c>
      <c r="AW493" s="1074">
        <f t="shared" ref="AW493:AW520" si="297">B493</f>
        <v>0</v>
      </c>
      <c r="AX493" s="1074">
        <f t="shared" ref="AX493:AX520" si="298">C493</f>
        <v>0</v>
      </c>
      <c r="AY493" s="2279">
        <f t="shared" si="273"/>
        <v>0</v>
      </c>
      <c r="AZ493" s="2675">
        <f t="shared" si="274"/>
        <v>0</v>
      </c>
      <c r="BA493" s="2675">
        <f t="shared" si="275"/>
        <v>0</v>
      </c>
      <c r="BB493" s="2675">
        <f t="shared" si="276"/>
        <v>0</v>
      </c>
      <c r="BC493" s="2675">
        <f t="shared" si="277"/>
        <v>0</v>
      </c>
      <c r="BD493" s="2675">
        <f t="shared" si="278"/>
        <v>0</v>
      </c>
      <c r="BE493" s="2675">
        <f t="shared" si="279"/>
        <v>0</v>
      </c>
      <c r="BF493" s="2675">
        <f t="shared" si="280"/>
        <v>0</v>
      </c>
      <c r="BG493" s="2675">
        <f t="shared" si="281"/>
        <v>0</v>
      </c>
      <c r="BH493" s="2675">
        <f t="shared" si="282"/>
        <v>0</v>
      </c>
      <c r="BI493" s="2675">
        <f t="shared" si="283"/>
        <v>0</v>
      </c>
      <c r="BJ493" s="2675">
        <f t="shared" si="284"/>
        <v>0</v>
      </c>
      <c r="BK493" s="2675">
        <f t="shared" si="285"/>
        <v>0</v>
      </c>
      <c r="BL493" s="2675">
        <f t="shared" si="286"/>
        <v>0</v>
      </c>
      <c r="BM493" s="2675">
        <f t="shared" si="287"/>
        <v>0</v>
      </c>
      <c r="BN493" s="2675">
        <f t="shared" si="288"/>
        <v>0</v>
      </c>
      <c r="BO493" s="2675">
        <f t="shared" si="289"/>
        <v>0</v>
      </c>
      <c r="BP493" s="2675">
        <f t="shared" si="290"/>
        <v>0</v>
      </c>
      <c r="BQ493" s="2675">
        <f t="shared" si="291"/>
        <v>0</v>
      </c>
      <c r="BR493" s="2675">
        <f t="shared" si="292"/>
        <v>0</v>
      </c>
      <c r="BS493" s="2675">
        <f t="shared" si="293"/>
        <v>0</v>
      </c>
      <c r="BT493" s="2722">
        <f t="shared" si="294"/>
        <v>0</v>
      </c>
    </row>
    <row r="494" spans="1:72">
      <c r="A494" s="2673"/>
      <c r="B494" s="2674"/>
      <c r="C494" s="2674"/>
      <c r="D494" s="2277"/>
      <c r="E494" s="2675">
        <f t="shared" si="295"/>
        <v>0</v>
      </c>
      <c r="F494" s="2676"/>
      <c r="G494" s="2677">
        <f t="shared" si="270"/>
        <v>0</v>
      </c>
      <c r="H494" s="2678">
        <f t="shared" si="271"/>
        <v>0</v>
      </c>
      <c r="I494" s="2685"/>
      <c r="J494" s="2685"/>
      <c r="K494" s="2685"/>
      <c r="L494" s="2685"/>
      <c r="M494" s="2685"/>
      <c r="N494" s="2685"/>
      <c r="O494" s="2685"/>
      <c r="P494" s="2685"/>
      <c r="Q494" s="2685"/>
      <c r="R494" s="2685"/>
      <c r="S494" s="2685"/>
      <c r="T494" s="2685"/>
      <c r="U494" s="2685"/>
      <c r="V494" s="2685"/>
      <c r="W494" s="2685"/>
      <c r="X494" s="2685"/>
      <c r="Y494" s="2685"/>
      <c r="Z494" s="2685"/>
      <c r="AA494" s="2685"/>
      <c r="AB494" s="2685"/>
      <c r="AC494" s="2675">
        <f t="shared" si="272"/>
        <v>0</v>
      </c>
      <c r="AD494" s="2695"/>
      <c r="AE494" s="2695"/>
      <c r="AF494" s="2695"/>
      <c r="AG494" s="2695"/>
      <c r="AH494" s="2695"/>
      <c r="AI494" s="2695"/>
      <c r="AJ494" s="2695"/>
      <c r="AK494" s="2695"/>
      <c r="AL494" s="2695"/>
      <c r="AM494" s="2695"/>
      <c r="AN494" s="2695"/>
      <c r="AO494" s="2695"/>
      <c r="AP494" s="2695"/>
      <c r="AQ494" s="2695"/>
      <c r="AR494" s="2695"/>
      <c r="AS494" s="2695"/>
      <c r="AT494" s="2703"/>
      <c r="AU494" s="2704"/>
      <c r="AV494" s="1074">
        <f t="shared" si="296"/>
        <v>0</v>
      </c>
      <c r="AW494" s="1074">
        <f t="shared" si="297"/>
        <v>0</v>
      </c>
      <c r="AX494" s="1074">
        <f t="shared" si="298"/>
        <v>0</v>
      </c>
      <c r="AY494" s="2279">
        <f t="shared" si="273"/>
        <v>0</v>
      </c>
      <c r="AZ494" s="2675">
        <f t="shared" si="274"/>
        <v>0</v>
      </c>
      <c r="BA494" s="2675">
        <f t="shared" si="275"/>
        <v>0</v>
      </c>
      <c r="BB494" s="2675">
        <f t="shared" si="276"/>
        <v>0</v>
      </c>
      <c r="BC494" s="2675">
        <f t="shared" si="277"/>
        <v>0</v>
      </c>
      <c r="BD494" s="2675">
        <f t="shared" si="278"/>
        <v>0</v>
      </c>
      <c r="BE494" s="2675">
        <f t="shared" si="279"/>
        <v>0</v>
      </c>
      <c r="BF494" s="2675">
        <f t="shared" si="280"/>
        <v>0</v>
      </c>
      <c r="BG494" s="2675">
        <f t="shared" si="281"/>
        <v>0</v>
      </c>
      <c r="BH494" s="2675">
        <f t="shared" si="282"/>
        <v>0</v>
      </c>
      <c r="BI494" s="2675">
        <f t="shared" si="283"/>
        <v>0</v>
      </c>
      <c r="BJ494" s="2675">
        <f t="shared" si="284"/>
        <v>0</v>
      </c>
      <c r="BK494" s="2675">
        <f t="shared" si="285"/>
        <v>0</v>
      </c>
      <c r="BL494" s="2675">
        <f t="shared" si="286"/>
        <v>0</v>
      </c>
      <c r="BM494" s="2675">
        <f t="shared" si="287"/>
        <v>0</v>
      </c>
      <c r="BN494" s="2675">
        <f t="shared" si="288"/>
        <v>0</v>
      </c>
      <c r="BO494" s="2675">
        <f t="shared" si="289"/>
        <v>0</v>
      </c>
      <c r="BP494" s="2675">
        <f t="shared" si="290"/>
        <v>0</v>
      </c>
      <c r="BQ494" s="2675">
        <f t="shared" si="291"/>
        <v>0</v>
      </c>
      <c r="BR494" s="2675">
        <f t="shared" si="292"/>
        <v>0</v>
      </c>
      <c r="BS494" s="2675">
        <f t="shared" si="293"/>
        <v>0</v>
      </c>
      <c r="BT494" s="2722">
        <f t="shared" si="294"/>
        <v>0</v>
      </c>
    </row>
    <row r="495" spans="1:72">
      <c r="A495" s="2673"/>
      <c r="B495" s="2674"/>
      <c r="C495" s="2674"/>
      <c r="D495" s="2277"/>
      <c r="E495" s="2675">
        <f t="shared" si="295"/>
        <v>0</v>
      </c>
      <c r="F495" s="2676"/>
      <c r="G495" s="2677">
        <f t="shared" si="270"/>
        <v>0</v>
      </c>
      <c r="H495" s="2678">
        <f t="shared" si="271"/>
        <v>0</v>
      </c>
      <c r="I495" s="2685"/>
      <c r="J495" s="2685"/>
      <c r="K495" s="2685"/>
      <c r="L495" s="2685"/>
      <c r="M495" s="2685"/>
      <c r="N495" s="2685"/>
      <c r="O495" s="2685"/>
      <c r="P495" s="2685"/>
      <c r="Q495" s="2685"/>
      <c r="R495" s="2685"/>
      <c r="S495" s="2685"/>
      <c r="T495" s="2685"/>
      <c r="U495" s="2685"/>
      <c r="V495" s="2685"/>
      <c r="W495" s="2685"/>
      <c r="X495" s="2685"/>
      <c r="Y495" s="2685"/>
      <c r="Z495" s="2685"/>
      <c r="AA495" s="2685"/>
      <c r="AB495" s="2685"/>
      <c r="AC495" s="2675">
        <f t="shared" si="272"/>
        <v>0</v>
      </c>
      <c r="AD495" s="2695"/>
      <c r="AE495" s="2695"/>
      <c r="AF495" s="2695"/>
      <c r="AG495" s="2695"/>
      <c r="AH495" s="2695"/>
      <c r="AI495" s="2695"/>
      <c r="AJ495" s="2695"/>
      <c r="AK495" s="2695"/>
      <c r="AL495" s="2695"/>
      <c r="AM495" s="2695"/>
      <c r="AN495" s="2695"/>
      <c r="AO495" s="2695"/>
      <c r="AP495" s="2695"/>
      <c r="AQ495" s="2695"/>
      <c r="AR495" s="2695"/>
      <c r="AS495" s="2695"/>
      <c r="AT495" s="2703"/>
      <c r="AU495" s="2704"/>
      <c r="AV495" s="1074">
        <f t="shared" si="296"/>
        <v>0</v>
      </c>
      <c r="AW495" s="1074">
        <f t="shared" si="297"/>
        <v>0</v>
      </c>
      <c r="AX495" s="1074">
        <f t="shared" si="298"/>
        <v>0</v>
      </c>
      <c r="AY495" s="2279">
        <f t="shared" si="273"/>
        <v>0</v>
      </c>
      <c r="AZ495" s="2675">
        <f t="shared" si="274"/>
        <v>0</v>
      </c>
      <c r="BA495" s="2675">
        <f t="shared" si="275"/>
        <v>0</v>
      </c>
      <c r="BB495" s="2675">
        <f t="shared" si="276"/>
        <v>0</v>
      </c>
      <c r="BC495" s="2675">
        <f t="shared" si="277"/>
        <v>0</v>
      </c>
      <c r="BD495" s="2675">
        <f t="shared" si="278"/>
        <v>0</v>
      </c>
      <c r="BE495" s="2675">
        <f t="shared" si="279"/>
        <v>0</v>
      </c>
      <c r="BF495" s="2675">
        <f t="shared" si="280"/>
        <v>0</v>
      </c>
      <c r="BG495" s="2675">
        <f t="shared" si="281"/>
        <v>0</v>
      </c>
      <c r="BH495" s="2675">
        <f t="shared" si="282"/>
        <v>0</v>
      </c>
      <c r="BI495" s="2675">
        <f t="shared" si="283"/>
        <v>0</v>
      </c>
      <c r="BJ495" s="2675">
        <f t="shared" si="284"/>
        <v>0</v>
      </c>
      <c r="BK495" s="2675">
        <f t="shared" si="285"/>
        <v>0</v>
      </c>
      <c r="BL495" s="2675">
        <f t="shared" si="286"/>
        <v>0</v>
      </c>
      <c r="BM495" s="2675">
        <f t="shared" si="287"/>
        <v>0</v>
      </c>
      <c r="BN495" s="2675">
        <f t="shared" si="288"/>
        <v>0</v>
      </c>
      <c r="BO495" s="2675">
        <f t="shared" si="289"/>
        <v>0</v>
      </c>
      <c r="BP495" s="2675">
        <f t="shared" si="290"/>
        <v>0</v>
      </c>
      <c r="BQ495" s="2675">
        <f t="shared" si="291"/>
        <v>0</v>
      </c>
      <c r="BR495" s="2675">
        <f t="shared" si="292"/>
        <v>0</v>
      </c>
      <c r="BS495" s="2675">
        <f t="shared" si="293"/>
        <v>0</v>
      </c>
      <c r="BT495" s="2722">
        <f t="shared" si="294"/>
        <v>0</v>
      </c>
    </row>
    <row r="496" spans="1:72">
      <c r="A496" s="2673"/>
      <c r="B496" s="2674"/>
      <c r="C496" s="2674"/>
      <c r="D496" s="2277"/>
      <c r="E496" s="2675">
        <f t="shared" si="295"/>
        <v>0</v>
      </c>
      <c r="F496" s="2676"/>
      <c r="G496" s="2677">
        <f t="shared" si="270"/>
        <v>0</v>
      </c>
      <c r="H496" s="2678">
        <f t="shared" si="271"/>
        <v>0</v>
      </c>
      <c r="I496" s="2685"/>
      <c r="J496" s="2685"/>
      <c r="K496" s="2685"/>
      <c r="L496" s="2685"/>
      <c r="M496" s="2685"/>
      <c r="N496" s="2685"/>
      <c r="O496" s="2685"/>
      <c r="P496" s="2685"/>
      <c r="Q496" s="2685"/>
      <c r="R496" s="2685"/>
      <c r="S496" s="2685"/>
      <c r="T496" s="2685"/>
      <c r="U496" s="2685"/>
      <c r="V496" s="2685"/>
      <c r="W496" s="2685"/>
      <c r="X496" s="2685"/>
      <c r="Y496" s="2685"/>
      <c r="Z496" s="2685"/>
      <c r="AA496" s="2685"/>
      <c r="AB496" s="2685"/>
      <c r="AC496" s="2675">
        <f t="shared" si="272"/>
        <v>0</v>
      </c>
      <c r="AD496" s="2695"/>
      <c r="AE496" s="2695"/>
      <c r="AF496" s="2695"/>
      <c r="AG496" s="2695"/>
      <c r="AH496" s="2695"/>
      <c r="AI496" s="2695"/>
      <c r="AJ496" s="2695"/>
      <c r="AK496" s="2695"/>
      <c r="AL496" s="2695"/>
      <c r="AM496" s="2695"/>
      <c r="AN496" s="2695"/>
      <c r="AO496" s="2695"/>
      <c r="AP496" s="2695"/>
      <c r="AQ496" s="2695"/>
      <c r="AR496" s="2695"/>
      <c r="AS496" s="2695"/>
      <c r="AT496" s="2703"/>
      <c r="AU496" s="2704"/>
      <c r="AV496" s="1074">
        <f t="shared" si="296"/>
        <v>0</v>
      </c>
      <c r="AW496" s="1074">
        <f t="shared" si="297"/>
        <v>0</v>
      </c>
      <c r="AX496" s="1074">
        <f t="shared" si="298"/>
        <v>0</v>
      </c>
      <c r="AY496" s="2279">
        <f t="shared" si="273"/>
        <v>0</v>
      </c>
      <c r="AZ496" s="2675">
        <f t="shared" si="274"/>
        <v>0</v>
      </c>
      <c r="BA496" s="2675">
        <f t="shared" si="275"/>
        <v>0</v>
      </c>
      <c r="BB496" s="2675">
        <f t="shared" si="276"/>
        <v>0</v>
      </c>
      <c r="BC496" s="2675">
        <f t="shared" si="277"/>
        <v>0</v>
      </c>
      <c r="BD496" s="2675">
        <f t="shared" si="278"/>
        <v>0</v>
      </c>
      <c r="BE496" s="2675">
        <f t="shared" si="279"/>
        <v>0</v>
      </c>
      <c r="BF496" s="2675">
        <f t="shared" si="280"/>
        <v>0</v>
      </c>
      <c r="BG496" s="2675">
        <f t="shared" si="281"/>
        <v>0</v>
      </c>
      <c r="BH496" s="2675">
        <f t="shared" si="282"/>
        <v>0</v>
      </c>
      <c r="BI496" s="2675">
        <f t="shared" si="283"/>
        <v>0</v>
      </c>
      <c r="BJ496" s="2675">
        <f t="shared" si="284"/>
        <v>0</v>
      </c>
      <c r="BK496" s="2675">
        <f t="shared" si="285"/>
        <v>0</v>
      </c>
      <c r="BL496" s="2675">
        <f t="shared" si="286"/>
        <v>0</v>
      </c>
      <c r="BM496" s="2675">
        <f t="shared" si="287"/>
        <v>0</v>
      </c>
      <c r="BN496" s="2675">
        <f t="shared" si="288"/>
        <v>0</v>
      </c>
      <c r="BO496" s="2675">
        <f t="shared" si="289"/>
        <v>0</v>
      </c>
      <c r="BP496" s="2675">
        <f t="shared" si="290"/>
        <v>0</v>
      </c>
      <c r="BQ496" s="2675">
        <f t="shared" si="291"/>
        <v>0</v>
      </c>
      <c r="BR496" s="2675">
        <f t="shared" si="292"/>
        <v>0</v>
      </c>
      <c r="BS496" s="2675">
        <f t="shared" si="293"/>
        <v>0</v>
      </c>
      <c r="BT496" s="2722">
        <f t="shared" si="294"/>
        <v>0</v>
      </c>
    </row>
    <row r="497" spans="1:72">
      <c r="A497" s="2673"/>
      <c r="B497" s="2674"/>
      <c r="C497" s="2674"/>
      <c r="D497" s="2277"/>
      <c r="E497" s="2675">
        <f t="shared" si="295"/>
        <v>0</v>
      </c>
      <c r="F497" s="2676"/>
      <c r="G497" s="2677">
        <f t="shared" si="270"/>
        <v>0</v>
      </c>
      <c r="H497" s="2678">
        <f t="shared" si="271"/>
        <v>0</v>
      </c>
      <c r="I497" s="2685"/>
      <c r="J497" s="2685"/>
      <c r="K497" s="2685"/>
      <c r="L497" s="2685"/>
      <c r="M497" s="2685"/>
      <c r="N497" s="2685"/>
      <c r="O497" s="2685"/>
      <c r="P497" s="2685"/>
      <c r="Q497" s="2685"/>
      <c r="R497" s="2685"/>
      <c r="S497" s="2685"/>
      <c r="T497" s="2685"/>
      <c r="U497" s="2685"/>
      <c r="V497" s="2685"/>
      <c r="W497" s="2685"/>
      <c r="X497" s="2685"/>
      <c r="Y497" s="2685"/>
      <c r="Z497" s="2685"/>
      <c r="AA497" s="2685"/>
      <c r="AB497" s="2685"/>
      <c r="AC497" s="2675">
        <f t="shared" si="272"/>
        <v>0</v>
      </c>
      <c r="AD497" s="2695"/>
      <c r="AE497" s="2695"/>
      <c r="AF497" s="2695"/>
      <c r="AG497" s="2695"/>
      <c r="AH497" s="2695"/>
      <c r="AI497" s="2695"/>
      <c r="AJ497" s="2695"/>
      <c r="AK497" s="2695"/>
      <c r="AL497" s="2695"/>
      <c r="AM497" s="2695"/>
      <c r="AN497" s="2695"/>
      <c r="AO497" s="2695"/>
      <c r="AP497" s="2695"/>
      <c r="AQ497" s="2695"/>
      <c r="AR497" s="2695"/>
      <c r="AS497" s="2695"/>
      <c r="AT497" s="2703"/>
      <c r="AU497" s="2704"/>
      <c r="AV497" s="1074">
        <f t="shared" si="296"/>
        <v>0</v>
      </c>
      <c r="AW497" s="1074">
        <f t="shared" si="297"/>
        <v>0</v>
      </c>
      <c r="AX497" s="1074">
        <f t="shared" si="298"/>
        <v>0</v>
      </c>
      <c r="AY497" s="2279">
        <f t="shared" si="273"/>
        <v>0</v>
      </c>
      <c r="AZ497" s="2675">
        <f t="shared" si="274"/>
        <v>0</v>
      </c>
      <c r="BA497" s="2675">
        <f t="shared" si="275"/>
        <v>0</v>
      </c>
      <c r="BB497" s="2675">
        <f t="shared" si="276"/>
        <v>0</v>
      </c>
      <c r="BC497" s="2675">
        <f t="shared" si="277"/>
        <v>0</v>
      </c>
      <c r="BD497" s="2675">
        <f t="shared" si="278"/>
        <v>0</v>
      </c>
      <c r="BE497" s="2675">
        <f t="shared" si="279"/>
        <v>0</v>
      </c>
      <c r="BF497" s="2675">
        <f t="shared" si="280"/>
        <v>0</v>
      </c>
      <c r="BG497" s="2675">
        <f t="shared" si="281"/>
        <v>0</v>
      </c>
      <c r="BH497" s="2675">
        <f t="shared" si="282"/>
        <v>0</v>
      </c>
      <c r="BI497" s="2675">
        <f t="shared" si="283"/>
        <v>0</v>
      </c>
      <c r="BJ497" s="2675">
        <f t="shared" si="284"/>
        <v>0</v>
      </c>
      <c r="BK497" s="2675">
        <f t="shared" si="285"/>
        <v>0</v>
      </c>
      <c r="BL497" s="2675">
        <f t="shared" si="286"/>
        <v>0</v>
      </c>
      <c r="BM497" s="2675">
        <f t="shared" si="287"/>
        <v>0</v>
      </c>
      <c r="BN497" s="2675">
        <f t="shared" si="288"/>
        <v>0</v>
      </c>
      <c r="BO497" s="2675">
        <f t="shared" si="289"/>
        <v>0</v>
      </c>
      <c r="BP497" s="2675">
        <f t="shared" si="290"/>
        <v>0</v>
      </c>
      <c r="BQ497" s="2675">
        <f t="shared" si="291"/>
        <v>0</v>
      </c>
      <c r="BR497" s="2675">
        <f t="shared" si="292"/>
        <v>0</v>
      </c>
      <c r="BS497" s="2675">
        <f t="shared" si="293"/>
        <v>0</v>
      </c>
      <c r="BT497" s="2722">
        <f t="shared" si="294"/>
        <v>0</v>
      </c>
    </row>
    <row r="498" spans="1:72">
      <c r="A498" s="2673"/>
      <c r="B498" s="2674"/>
      <c r="C498" s="2674"/>
      <c r="D498" s="2277"/>
      <c r="E498" s="2675">
        <f t="shared" si="295"/>
        <v>0</v>
      </c>
      <c r="F498" s="2676"/>
      <c r="G498" s="2677">
        <f t="shared" si="270"/>
        <v>0</v>
      </c>
      <c r="H498" s="2678">
        <f t="shared" si="271"/>
        <v>0</v>
      </c>
      <c r="I498" s="2685"/>
      <c r="J498" s="2685"/>
      <c r="K498" s="2685"/>
      <c r="L498" s="2685"/>
      <c r="M498" s="2685"/>
      <c r="N498" s="2685"/>
      <c r="O498" s="2685"/>
      <c r="P498" s="2685"/>
      <c r="Q498" s="2685"/>
      <c r="R498" s="2685"/>
      <c r="S498" s="2685"/>
      <c r="T498" s="2685"/>
      <c r="U498" s="2685"/>
      <c r="V498" s="2685"/>
      <c r="W498" s="2685"/>
      <c r="X498" s="2685"/>
      <c r="Y498" s="2685"/>
      <c r="Z498" s="2685"/>
      <c r="AA498" s="2685"/>
      <c r="AB498" s="2685"/>
      <c r="AC498" s="2675">
        <f t="shared" si="272"/>
        <v>0</v>
      </c>
      <c r="AD498" s="2695"/>
      <c r="AE498" s="2695"/>
      <c r="AF498" s="2695"/>
      <c r="AG498" s="2695"/>
      <c r="AH498" s="2695"/>
      <c r="AI498" s="2695"/>
      <c r="AJ498" s="2695"/>
      <c r="AK498" s="2695"/>
      <c r="AL498" s="2695"/>
      <c r="AM498" s="2695"/>
      <c r="AN498" s="2695"/>
      <c r="AO498" s="2695"/>
      <c r="AP498" s="2695"/>
      <c r="AQ498" s="2695"/>
      <c r="AR498" s="2695"/>
      <c r="AS498" s="2695"/>
      <c r="AT498" s="2703"/>
      <c r="AU498" s="2704"/>
      <c r="AV498" s="1074">
        <f t="shared" si="296"/>
        <v>0</v>
      </c>
      <c r="AW498" s="1074">
        <f t="shared" si="297"/>
        <v>0</v>
      </c>
      <c r="AX498" s="1074">
        <f t="shared" si="298"/>
        <v>0</v>
      </c>
      <c r="AY498" s="2279">
        <f t="shared" si="273"/>
        <v>0</v>
      </c>
      <c r="AZ498" s="2675">
        <f t="shared" si="274"/>
        <v>0</v>
      </c>
      <c r="BA498" s="2675">
        <f t="shared" si="275"/>
        <v>0</v>
      </c>
      <c r="BB498" s="2675">
        <f t="shared" si="276"/>
        <v>0</v>
      </c>
      <c r="BC498" s="2675">
        <f t="shared" si="277"/>
        <v>0</v>
      </c>
      <c r="BD498" s="2675">
        <f t="shared" si="278"/>
        <v>0</v>
      </c>
      <c r="BE498" s="2675">
        <f t="shared" si="279"/>
        <v>0</v>
      </c>
      <c r="BF498" s="2675">
        <f t="shared" si="280"/>
        <v>0</v>
      </c>
      <c r="BG498" s="2675">
        <f t="shared" si="281"/>
        <v>0</v>
      </c>
      <c r="BH498" s="2675">
        <f t="shared" si="282"/>
        <v>0</v>
      </c>
      <c r="BI498" s="2675">
        <f t="shared" si="283"/>
        <v>0</v>
      </c>
      <c r="BJ498" s="2675">
        <f t="shared" si="284"/>
        <v>0</v>
      </c>
      <c r="BK498" s="2675">
        <f t="shared" si="285"/>
        <v>0</v>
      </c>
      <c r="BL498" s="2675">
        <f t="shared" si="286"/>
        <v>0</v>
      </c>
      <c r="BM498" s="2675">
        <f t="shared" si="287"/>
        <v>0</v>
      </c>
      <c r="BN498" s="2675">
        <f t="shared" si="288"/>
        <v>0</v>
      </c>
      <c r="BO498" s="2675">
        <f t="shared" si="289"/>
        <v>0</v>
      </c>
      <c r="BP498" s="2675">
        <f t="shared" si="290"/>
        <v>0</v>
      </c>
      <c r="BQ498" s="2675">
        <f t="shared" si="291"/>
        <v>0</v>
      </c>
      <c r="BR498" s="2675">
        <f t="shared" si="292"/>
        <v>0</v>
      </c>
      <c r="BS498" s="2675">
        <f t="shared" si="293"/>
        <v>0</v>
      </c>
      <c r="BT498" s="2722">
        <f t="shared" si="294"/>
        <v>0</v>
      </c>
    </row>
    <row r="499" spans="1:72">
      <c r="A499" s="2673"/>
      <c r="B499" s="2674"/>
      <c r="C499" s="2674"/>
      <c r="D499" s="2277"/>
      <c r="E499" s="2675">
        <f t="shared" si="295"/>
        <v>0</v>
      </c>
      <c r="F499" s="2676"/>
      <c r="G499" s="2677">
        <f t="shared" si="270"/>
        <v>0</v>
      </c>
      <c r="H499" s="2678">
        <f t="shared" si="271"/>
        <v>0</v>
      </c>
      <c r="I499" s="2685"/>
      <c r="J499" s="2685"/>
      <c r="K499" s="2685"/>
      <c r="L499" s="2685"/>
      <c r="M499" s="2685"/>
      <c r="N499" s="2685"/>
      <c r="O499" s="2685"/>
      <c r="P499" s="2685"/>
      <c r="Q499" s="2685"/>
      <c r="R499" s="2685"/>
      <c r="S499" s="2685"/>
      <c r="T499" s="2685"/>
      <c r="U499" s="2685"/>
      <c r="V499" s="2685"/>
      <c r="W499" s="2685"/>
      <c r="X499" s="2685"/>
      <c r="Y499" s="2685"/>
      <c r="Z499" s="2685"/>
      <c r="AA499" s="2685"/>
      <c r="AB499" s="2685"/>
      <c r="AC499" s="2675">
        <f t="shared" si="272"/>
        <v>0</v>
      </c>
      <c r="AD499" s="2695"/>
      <c r="AE499" s="2695"/>
      <c r="AF499" s="2695"/>
      <c r="AG499" s="2695"/>
      <c r="AH499" s="2695"/>
      <c r="AI499" s="2695"/>
      <c r="AJ499" s="2695"/>
      <c r="AK499" s="2695"/>
      <c r="AL499" s="2695"/>
      <c r="AM499" s="2695"/>
      <c r="AN499" s="2695"/>
      <c r="AO499" s="2695"/>
      <c r="AP499" s="2695"/>
      <c r="AQ499" s="2695"/>
      <c r="AR499" s="2695"/>
      <c r="AS499" s="2695"/>
      <c r="AT499" s="2703"/>
      <c r="AU499" s="2704"/>
      <c r="AV499" s="1074">
        <f t="shared" si="296"/>
        <v>0</v>
      </c>
      <c r="AW499" s="1074">
        <f t="shared" si="297"/>
        <v>0</v>
      </c>
      <c r="AX499" s="1074">
        <f t="shared" si="298"/>
        <v>0</v>
      </c>
      <c r="AY499" s="2279">
        <f t="shared" si="273"/>
        <v>0</v>
      </c>
      <c r="AZ499" s="2675">
        <f t="shared" si="274"/>
        <v>0</v>
      </c>
      <c r="BA499" s="2675">
        <f t="shared" si="275"/>
        <v>0</v>
      </c>
      <c r="BB499" s="2675">
        <f t="shared" si="276"/>
        <v>0</v>
      </c>
      <c r="BC499" s="2675">
        <f t="shared" si="277"/>
        <v>0</v>
      </c>
      <c r="BD499" s="2675">
        <f t="shared" si="278"/>
        <v>0</v>
      </c>
      <c r="BE499" s="2675">
        <f t="shared" si="279"/>
        <v>0</v>
      </c>
      <c r="BF499" s="2675">
        <f t="shared" si="280"/>
        <v>0</v>
      </c>
      <c r="BG499" s="2675">
        <f t="shared" si="281"/>
        <v>0</v>
      </c>
      <c r="BH499" s="2675">
        <f t="shared" si="282"/>
        <v>0</v>
      </c>
      <c r="BI499" s="2675">
        <f t="shared" si="283"/>
        <v>0</v>
      </c>
      <c r="BJ499" s="2675">
        <f t="shared" si="284"/>
        <v>0</v>
      </c>
      <c r="BK499" s="2675">
        <f t="shared" si="285"/>
        <v>0</v>
      </c>
      <c r="BL499" s="2675">
        <f t="shared" si="286"/>
        <v>0</v>
      </c>
      <c r="BM499" s="2675">
        <f t="shared" si="287"/>
        <v>0</v>
      </c>
      <c r="BN499" s="2675">
        <f t="shared" si="288"/>
        <v>0</v>
      </c>
      <c r="BO499" s="2675">
        <f t="shared" si="289"/>
        <v>0</v>
      </c>
      <c r="BP499" s="2675">
        <f t="shared" si="290"/>
        <v>0</v>
      </c>
      <c r="BQ499" s="2675">
        <f t="shared" si="291"/>
        <v>0</v>
      </c>
      <c r="BR499" s="2675">
        <f t="shared" si="292"/>
        <v>0</v>
      </c>
      <c r="BS499" s="2675">
        <f t="shared" si="293"/>
        <v>0</v>
      </c>
      <c r="BT499" s="2722">
        <f t="shared" si="294"/>
        <v>0</v>
      </c>
    </row>
    <row r="500" spans="1:72">
      <c r="A500" s="2673"/>
      <c r="B500" s="2674"/>
      <c r="C500" s="2674"/>
      <c r="D500" s="2277"/>
      <c r="E500" s="2675">
        <f t="shared" si="295"/>
        <v>0</v>
      </c>
      <c r="F500" s="2676"/>
      <c r="G500" s="2677">
        <f t="shared" si="270"/>
        <v>0</v>
      </c>
      <c r="H500" s="2678">
        <f t="shared" si="271"/>
        <v>0</v>
      </c>
      <c r="I500" s="2685"/>
      <c r="J500" s="2685"/>
      <c r="K500" s="2685"/>
      <c r="L500" s="2685"/>
      <c r="M500" s="2685"/>
      <c r="N500" s="2685"/>
      <c r="O500" s="2685"/>
      <c r="P500" s="2685"/>
      <c r="Q500" s="2685"/>
      <c r="R500" s="2685"/>
      <c r="S500" s="2685"/>
      <c r="T500" s="2685"/>
      <c r="U500" s="2685"/>
      <c r="V500" s="2685"/>
      <c r="W500" s="2685"/>
      <c r="X500" s="2685"/>
      <c r="Y500" s="2685"/>
      <c r="Z500" s="2685"/>
      <c r="AA500" s="2685"/>
      <c r="AB500" s="2685"/>
      <c r="AC500" s="2675">
        <f t="shared" si="272"/>
        <v>0</v>
      </c>
      <c r="AD500" s="2695"/>
      <c r="AE500" s="2695"/>
      <c r="AF500" s="2695"/>
      <c r="AG500" s="2695"/>
      <c r="AH500" s="2695"/>
      <c r="AI500" s="2695"/>
      <c r="AJ500" s="2695"/>
      <c r="AK500" s="2695"/>
      <c r="AL500" s="2695"/>
      <c r="AM500" s="2695"/>
      <c r="AN500" s="2695"/>
      <c r="AO500" s="2695"/>
      <c r="AP500" s="2695"/>
      <c r="AQ500" s="2695"/>
      <c r="AR500" s="2695"/>
      <c r="AS500" s="2695"/>
      <c r="AT500" s="2703"/>
      <c r="AU500" s="2704"/>
      <c r="AV500" s="1074">
        <f t="shared" si="296"/>
        <v>0</v>
      </c>
      <c r="AW500" s="1074">
        <f t="shared" si="297"/>
        <v>0</v>
      </c>
      <c r="AX500" s="1074">
        <f t="shared" si="298"/>
        <v>0</v>
      </c>
      <c r="AY500" s="2279">
        <f t="shared" si="273"/>
        <v>0</v>
      </c>
      <c r="AZ500" s="2675">
        <f t="shared" si="274"/>
        <v>0</v>
      </c>
      <c r="BA500" s="2675">
        <f t="shared" si="275"/>
        <v>0</v>
      </c>
      <c r="BB500" s="2675">
        <f t="shared" si="276"/>
        <v>0</v>
      </c>
      <c r="BC500" s="2675">
        <f t="shared" si="277"/>
        <v>0</v>
      </c>
      <c r="BD500" s="2675">
        <f t="shared" si="278"/>
        <v>0</v>
      </c>
      <c r="BE500" s="2675">
        <f t="shared" si="279"/>
        <v>0</v>
      </c>
      <c r="BF500" s="2675">
        <f t="shared" si="280"/>
        <v>0</v>
      </c>
      <c r="BG500" s="2675">
        <f t="shared" si="281"/>
        <v>0</v>
      </c>
      <c r="BH500" s="2675">
        <f t="shared" si="282"/>
        <v>0</v>
      </c>
      <c r="BI500" s="2675">
        <f t="shared" si="283"/>
        <v>0</v>
      </c>
      <c r="BJ500" s="2675">
        <f t="shared" si="284"/>
        <v>0</v>
      </c>
      <c r="BK500" s="2675">
        <f t="shared" si="285"/>
        <v>0</v>
      </c>
      <c r="BL500" s="2675">
        <f t="shared" si="286"/>
        <v>0</v>
      </c>
      <c r="BM500" s="2675">
        <f t="shared" si="287"/>
        <v>0</v>
      </c>
      <c r="BN500" s="2675">
        <f t="shared" si="288"/>
        <v>0</v>
      </c>
      <c r="BO500" s="2675">
        <f t="shared" si="289"/>
        <v>0</v>
      </c>
      <c r="BP500" s="2675">
        <f t="shared" si="290"/>
        <v>0</v>
      </c>
      <c r="BQ500" s="2675">
        <f t="shared" si="291"/>
        <v>0</v>
      </c>
      <c r="BR500" s="2675">
        <f t="shared" si="292"/>
        <v>0</v>
      </c>
      <c r="BS500" s="2675">
        <f t="shared" si="293"/>
        <v>0</v>
      </c>
      <c r="BT500" s="2722">
        <f t="shared" si="294"/>
        <v>0</v>
      </c>
    </row>
    <row r="501" spans="1:72">
      <c r="A501" s="2673"/>
      <c r="B501" s="2674"/>
      <c r="C501" s="2674"/>
      <c r="D501" s="2277"/>
      <c r="E501" s="2675">
        <f t="shared" si="295"/>
        <v>0</v>
      </c>
      <c r="F501" s="2676"/>
      <c r="G501" s="2677">
        <f t="shared" si="270"/>
        <v>0</v>
      </c>
      <c r="H501" s="2678">
        <f t="shared" si="271"/>
        <v>0</v>
      </c>
      <c r="I501" s="2685"/>
      <c r="J501" s="2685"/>
      <c r="K501" s="2685"/>
      <c r="L501" s="2685"/>
      <c r="M501" s="2685"/>
      <c r="N501" s="2685"/>
      <c r="O501" s="2685"/>
      <c r="P501" s="2685"/>
      <c r="Q501" s="2685"/>
      <c r="R501" s="2685"/>
      <c r="S501" s="2685"/>
      <c r="T501" s="2685"/>
      <c r="U501" s="2685"/>
      <c r="V501" s="2685"/>
      <c r="W501" s="2685"/>
      <c r="X501" s="2685"/>
      <c r="Y501" s="2685"/>
      <c r="Z501" s="2685"/>
      <c r="AA501" s="2685"/>
      <c r="AB501" s="2685"/>
      <c r="AC501" s="2675">
        <f t="shared" si="272"/>
        <v>0</v>
      </c>
      <c r="AD501" s="2695"/>
      <c r="AE501" s="2695"/>
      <c r="AF501" s="2695"/>
      <c r="AG501" s="2695"/>
      <c r="AH501" s="2695"/>
      <c r="AI501" s="2695"/>
      <c r="AJ501" s="2695"/>
      <c r="AK501" s="2695"/>
      <c r="AL501" s="2695"/>
      <c r="AM501" s="2695"/>
      <c r="AN501" s="2695"/>
      <c r="AO501" s="2695"/>
      <c r="AP501" s="2695"/>
      <c r="AQ501" s="2695"/>
      <c r="AR501" s="2695"/>
      <c r="AS501" s="2695"/>
      <c r="AT501" s="2703"/>
      <c r="AU501" s="2704"/>
      <c r="AV501" s="1074">
        <f t="shared" si="296"/>
        <v>0</v>
      </c>
      <c r="AW501" s="1074">
        <f t="shared" si="297"/>
        <v>0</v>
      </c>
      <c r="AX501" s="1074">
        <f t="shared" si="298"/>
        <v>0</v>
      </c>
      <c r="AY501" s="2279">
        <f t="shared" si="273"/>
        <v>0</v>
      </c>
      <c r="AZ501" s="2675">
        <f t="shared" si="274"/>
        <v>0</v>
      </c>
      <c r="BA501" s="2675">
        <f t="shared" si="275"/>
        <v>0</v>
      </c>
      <c r="BB501" s="2675">
        <f t="shared" si="276"/>
        <v>0</v>
      </c>
      <c r="BC501" s="2675">
        <f t="shared" si="277"/>
        <v>0</v>
      </c>
      <c r="BD501" s="2675">
        <f t="shared" si="278"/>
        <v>0</v>
      </c>
      <c r="BE501" s="2675">
        <f t="shared" si="279"/>
        <v>0</v>
      </c>
      <c r="BF501" s="2675">
        <f t="shared" si="280"/>
        <v>0</v>
      </c>
      <c r="BG501" s="2675">
        <f t="shared" si="281"/>
        <v>0</v>
      </c>
      <c r="BH501" s="2675">
        <f t="shared" si="282"/>
        <v>0</v>
      </c>
      <c r="BI501" s="2675">
        <f t="shared" si="283"/>
        <v>0</v>
      </c>
      <c r="BJ501" s="2675">
        <f t="shared" si="284"/>
        <v>0</v>
      </c>
      <c r="BK501" s="2675">
        <f t="shared" si="285"/>
        <v>0</v>
      </c>
      <c r="BL501" s="2675">
        <f t="shared" si="286"/>
        <v>0</v>
      </c>
      <c r="BM501" s="2675">
        <f t="shared" si="287"/>
        <v>0</v>
      </c>
      <c r="BN501" s="2675">
        <f t="shared" si="288"/>
        <v>0</v>
      </c>
      <c r="BO501" s="2675">
        <f t="shared" si="289"/>
        <v>0</v>
      </c>
      <c r="BP501" s="2675">
        <f t="shared" si="290"/>
        <v>0</v>
      </c>
      <c r="BQ501" s="2675">
        <f t="shared" si="291"/>
        <v>0</v>
      </c>
      <c r="BR501" s="2675">
        <f t="shared" si="292"/>
        <v>0</v>
      </c>
      <c r="BS501" s="2675">
        <f t="shared" si="293"/>
        <v>0</v>
      </c>
      <c r="BT501" s="2722">
        <f t="shared" si="294"/>
        <v>0</v>
      </c>
    </row>
    <row r="502" spans="1:72">
      <c r="A502" s="2673"/>
      <c r="B502" s="2674"/>
      <c r="C502" s="2674"/>
      <c r="D502" s="2277"/>
      <c r="E502" s="2675">
        <f t="shared" si="295"/>
        <v>0</v>
      </c>
      <c r="F502" s="2676"/>
      <c r="G502" s="2677">
        <f t="shared" si="270"/>
        <v>0</v>
      </c>
      <c r="H502" s="2678">
        <f t="shared" si="271"/>
        <v>0</v>
      </c>
      <c r="I502" s="2685"/>
      <c r="J502" s="2685"/>
      <c r="K502" s="2685"/>
      <c r="L502" s="2685"/>
      <c r="M502" s="2685"/>
      <c r="N502" s="2685"/>
      <c r="O502" s="2685"/>
      <c r="P502" s="2685"/>
      <c r="Q502" s="2685"/>
      <c r="R502" s="2685"/>
      <c r="S502" s="2685"/>
      <c r="T502" s="2685"/>
      <c r="U502" s="2685"/>
      <c r="V502" s="2685"/>
      <c r="W502" s="2685"/>
      <c r="X502" s="2685"/>
      <c r="Y502" s="2685"/>
      <c r="Z502" s="2685"/>
      <c r="AA502" s="2685"/>
      <c r="AB502" s="2685"/>
      <c r="AC502" s="2675">
        <f t="shared" si="272"/>
        <v>0</v>
      </c>
      <c r="AD502" s="2695"/>
      <c r="AE502" s="2695"/>
      <c r="AF502" s="2695"/>
      <c r="AG502" s="2695"/>
      <c r="AH502" s="2695"/>
      <c r="AI502" s="2695"/>
      <c r="AJ502" s="2695"/>
      <c r="AK502" s="2695"/>
      <c r="AL502" s="2695"/>
      <c r="AM502" s="2695"/>
      <c r="AN502" s="2695"/>
      <c r="AO502" s="2695"/>
      <c r="AP502" s="2695"/>
      <c r="AQ502" s="2695"/>
      <c r="AR502" s="2695"/>
      <c r="AS502" s="2695"/>
      <c r="AT502" s="2703"/>
      <c r="AU502" s="2704"/>
      <c r="AV502" s="1074">
        <f t="shared" si="296"/>
        <v>0</v>
      </c>
      <c r="AW502" s="1074">
        <f t="shared" si="297"/>
        <v>0</v>
      </c>
      <c r="AX502" s="1074">
        <f t="shared" si="298"/>
        <v>0</v>
      </c>
      <c r="AY502" s="2279">
        <f t="shared" si="273"/>
        <v>0</v>
      </c>
      <c r="AZ502" s="2675">
        <f t="shared" si="274"/>
        <v>0</v>
      </c>
      <c r="BA502" s="2675">
        <f t="shared" si="275"/>
        <v>0</v>
      </c>
      <c r="BB502" s="2675">
        <f t="shared" si="276"/>
        <v>0</v>
      </c>
      <c r="BC502" s="2675">
        <f t="shared" si="277"/>
        <v>0</v>
      </c>
      <c r="BD502" s="2675">
        <f t="shared" si="278"/>
        <v>0</v>
      </c>
      <c r="BE502" s="2675">
        <f t="shared" si="279"/>
        <v>0</v>
      </c>
      <c r="BF502" s="2675">
        <f t="shared" si="280"/>
        <v>0</v>
      </c>
      <c r="BG502" s="2675">
        <f t="shared" si="281"/>
        <v>0</v>
      </c>
      <c r="BH502" s="2675">
        <f t="shared" si="282"/>
        <v>0</v>
      </c>
      <c r="BI502" s="2675">
        <f t="shared" si="283"/>
        <v>0</v>
      </c>
      <c r="BJ502" s="2675">
        <f t="shared" si="284"/>
        <v>0</v>
      </c>
      <c r="BK502" s="2675">
        <f t="shared" si="285"/>
        <v>0</v>
      </c>
      <c r="BL502" s="2675">
        <f t="shared" si="286"/>
        <v>0</v>
      </c>
      <c r="BM502" s="2675">
        <f t="shared" si="287"/>
        <v>0</v>
      </c>
      <c r="BN502" s="2675">
        <f t="shared" si="288"/>
        <v>0</v>
      </c>
      <c r="BO502" s="2675">
        <f t="shared" si="289"/>
        <v>0</v>
      </c>
      <c r="BP502" s="2675">
        <f t="shared" si="290"/>
        <v>0</v>
      </c>
      <c r="BQ502" s="2675">
        <f t="shared" si="291"/>
        <v>0</v>
      </c>
      <c r="BR502" s="2675">
        <f t="shared" si="292"/>
        <v>0</v>
      </c>
      <c r="BS502" s="2675">
        <f t="shared" si="293"/>
        <v>0</v>
      </c>
      <c r="BT502" s="2722">
        <f t="shared" si="294"/>
        <v>0</v>
      </c>
    </row>
    <row r="503" spans="1:72">
      <c r="A503" s="2673"/>
      <c r="B503" s="2674"/>
      <c r="C503" s="2674"/>
      <c r="D503" s="2277"/>
      <c r="E503" s="2675">
        <f t="shared" si="295"/>
        <v>0</v>
      </c>
      <c r="F503" s="2676"/>
      <c r="G503" s="2677">
        <f t="shared" si="270"/>
        <v>0</v>
      </c>
      <c r="H503" s="2678">
        <f t="shared" si="271"/>
        <v>0</v>
      </c>
      <c r="I503" s="2685"/>
      <c r="J503" s="2685"/>
      <c r="K503" s="2685"/>
      <c r="L503" s="2685"/>
      <c r="M503" s="2685"/>
      <c r="N503" s="2685"/>
      <c r="O503" s="2685"/>
      <c r="P503" s="2685"/>
      <c r="Q503" s="2685"/>
      <c r="R503" s="2685"/>
      <c r="S503" s="2685"/>
      <c r="T503" s="2685"/>
      <c r="U503" s="2685"/>
      <c r="V503" s="2685"/>
      <c r="W503" s="2685"/>
      <c r="X503" s="2685"/>
      <c r="Y503" s="2685"/>
      <c r="Z503" s="2685"/>
      <c r="AA503" s="2685"/>
      <c r="AB503" s="2685"/>
      <c r="AC503" s="2675">
        <f t="shared" si="272"/>
        <v>0</v>
      </c>
      <c r="AD503" s="2695"/>
      <c r="AE503" s="2695"/>
      <c r="AF503" s="2695"/>
      <c r="AG503" s="2695"/>
      <c r="AH503" s="2695"/>
      <c r="AI503" s="2695"/>
      <c r="AJ503" s="2695"/>
      <c r="AK503" s="2695"/>
      <c r="AL503" s="2695"/>
      <c r="AM503" s="2695"/>
      <c r="AN503" s="2695"/>
      <c r="AO503" s="2695"/>
      <c r="AP503" s="2695"/>
      <c r="AQ503" s="2695"/>
      <c r="AR503" s="2695"/>
      <c r="AS503" s="2695"/>
      <c r="AT503" s="2703"/>
      <c r="AU503" s="2704"/>
      <c r="AV503" s="1074">
        <f t="shared" si="296"/>
        <v>0</v>
      </c>
      <c r="AW503" s="1074">
        <f t="shared" si="297"/>
        <v>0</v>
      </c>
      <c r="AX503" s="1074">
        <f t="shared" si="298"/>
        <v>0</v>
      </c>
      <c r="AY503" s="2279">
        <f t="shared" si="273"/>
        <v>0</v>
      </c>
      <c r="AZ503" s="2675">
        <f t="shared" si="274"/>
        <v>0</v>
      </c>
      <c r="BA503" s="2675">
        <f t="shared" si="275"/>
        <v>0</v>
      </c>
      <c r="BB503" s="2675">
        <f t="shared" si="276"/>
        <v>0</v>
      </c>
      <c r="BC503" s="2675">
        <f t="shared" si="277"/>
        <v>0</v>
      </c>
      <c r="BD503" s="2675">
        <f t="shared" si="278"/>
        <v>0</v>
      </c>
      <c r="BE503" s="2675">
        <f t="shared" si="279"/>
        <v>0</v>
      </c>
      <c r="BF503" s="2675">
        <f t="shared" si="280"/>
        <v>0</v>
      </c>
      <c r="BG503" s="2675">
        <f t="shared" si="281"/>
        <v>0</v>
      </c>
      <c r="BH503" s="2675">
        <f t="shared" si="282"/>
        <v>0</v>
      </c>
      <c r="BI503" s="2675">
        <f t="shared" si="283"/>
        <v>0</v>
      </c>
      <c r="BJ503" s="2675">
        <f t="shared" si="284"/>
        <v>0</v>
      </c>
      <c r="BK503" s="2675">
        <f t="shared" si="285"/>
        <v>0</v>
      </c>
      <c r="BL503" s="2675">
        <f t="shared" si="286"/>
        <v>0</v>
      </c>
      <c r="BM503" s="2675">
        <f t="shared" si="287"/>
        <v>0</v>
      </c>
      <c r="BN503" s="2675">
        <f t="shared" si="288"/>
        <v>0</v>
      </c>
      <c r="BO503" s="2675">
        <f t="shared" si="289"/>
        <v>0</v>
      </c>
      <c r="BP503" s="2675">
        <f t="shared" si="290"/>
        <v>0</v>
      </c>
      <c r="BQ503" s="2675">
        <f t="shared" si="291"/>
        <v>0</v>
      </c>
      <c r="BR503" s="2675">
        <f t="shared" si="292"/>
        <v>0</v>
      </c>
      <c r="BS503" s="2675">
        <f t="shared" si="293"/>
        <v>0</v>
      </c>
      <c r="BT503" s="2722">
        <f t="shared" si="294"/>
        <v>0</v>
      </c>
    </row>
    <row r="504" spans="1:72">
      <c r="A504" s="2673"/>
      <c r="B504" s="2674"/>
      <c r="C504" s="2674"/>
      <c r="D504" s="2277"/>
      <c r="E504" s="2675">
        <f t="shared" si="295"/>
        <v>0</v>
      </c>
      <c r="F504" s="2676"/>
      <c r="G504" s="2677">
        <f t="shared" si="270"/>
        <v>0</v>
      </c>
      <c r="H504" s="2678">
        <f t="shared" si="271"/>
        <v>0</v>
      </c>
      <c r="I504" s="2685"/>
      <c r="J504" s="2685"/>
      <c r="K504" s="2685"/>
      <c r="L504" s="2685"/>
      <c r="M504" s="2685"/>
      <c r="N504" s="2685"/>
      <c r="O504" s="2685"/>
      <c r="P504" s="2685"/>
      <c r="Q504" s="2685"/>
      <c r="R504" s="2685"/>
      <c r="S504" s="2685"/>
      <c r="T504" s="2685"/>
      <c r="U504" s="2685"/>
      <c r="V504" s="2685"/>
      <c r="W504" s="2685"/>
      <c r="X504" s="2685"/>
      <c r="Y504" s="2685"/>
      <c r="Z504" s="2685"/>
      <c r="AA504" s="2685"/>
      <c r="AB504" s="2685"/>
      <c r="AC504" s="2675">
        <f t="shared" si="272"/>
        <v>0</v>
      </c>
      <c r="AD504" s="2695"/>
      <c r="AE504" s="2695"/>
      <c r="AF504" s="2695"/>
      <c r="AG504" s="2695"/>
      <c r="AH504" s="2695"/>
      <c r="AI504" s="2695"/>
      <c r="AJ504" s="2695"/>
      <c r="AK504" s="2695"/>
      <c r="AL504" s="2695"/>
      <c r="AM504" s="2695"/>
      <c r="AN504" s="2695"/>
      <c r="AO504" s="2695"/>
      <c r="AP504" s="2695"/>
      <c r="AQ504" s="2695"/>
      <c r="AR504" s="2695"/>
      <c r="AS504" s="2695"/>
      <c r="AT504" s="2703"/>
      <c r="AU504" s="2704"/>
      <c r="AV504" s="1074">
        <f t="shared" si="296"/>
        <v>0</v>
      </c>
      <c r="AW504" s="1074">
        <f t="shared" si="297"/>
        <v>0</v>
      </c>
      <c r="AX504" s="1074">
        <f t="shared" si="298"/>
        <v>0</v>
      </c>
      <c r="AY504" s="2279">
        <f t="shared" si="273"/>
        <v>0</v>
      </c>
      <c r="AZ504" s="2675">
        <f t="shared" si="274"/>
        <v>0</v>
      </c>
      <c r="BA504" s="2675">
        <f t="shared" si="275"/>
        <v>0</v>
      </c>
      <c r="BB504" s="2675">
        <f t="shared" si="276"/>
        <v>0</v>
      </c>
      <c r="BC504" s="2675">
        <f t="shared" si="277"/>
        <v>0</v>
      </c>
      <c r="BD504" s="2675">
        <f t="shared" si="278"/>
        <v>0</v>
      </c>
      <c r="BE504" s="2675">
        <f t="shared" si="279"/>
        <v>0</v>
      </c>
      <c r="BF504" s="2675">
        <f t="shared" si="280"/>
        <v>0</v>
      </c>
      <c r="BG504" s="2675">
        <f t="shared" si="281"/>
        <v>0</v>
      </c>
      <c r="BH504" s="2675">
        <f t="shared" si="282"/>
        <v>0</v>
      </c>
      <c r="BI504" s="2675">
        <f t="shared" si="283"/>
        <v>0</v>
      </c>
      <c r="BJ504" s="2675">
        <f t="shared" si="284"/>
        <v>0</v>
      </c>
      <c r="BK504" s="2675">
        <f t="shared" si="285"/>
        <v>0</v>
      </c>
      <c r="BL504" s="2675">
        <f t="shared" si="286"/>
        <v>0</v>
      </c>
      <c r="BM504" s="2675">
        <f t="shared" si="287"/>
        <v>0</v>
      </c>
      <c r="BN504" s="2675">
        <f t="shared" si="288"/>
        <v>0</v>
      </c>
      <c r="BO504" s="2675">
        <f t="shared" si="289"/>
        <v>0</v>
      </c>
      <c r="BP504" s="2675">
        <f t="shared" si="290"/>
        <v>0</v>
      </c>
      <c r="BQ504" s="2675">
        <f t="shared" si="291"/>
        <v>0</v>
      </c>
      <c r="BR504" s="2675">
        <f t="shared" si="292"/>
        <v>0</v>
      </c>
      <c r="BS504" s="2675">
        <f t="shared" si="293"/>
        <v>0</v>
      </c>
      <c r="BT504" s="2722">
        <f t="shared" si="294"/>
        <v>0</v>
      </c>
    </row>
    <row r="505" spans="1:72">
      <c r="A505" s="2673"/>
      <c r="B505" s="2674"/>
      <c r="C505" s="2674"/>
      <c r="D505" s="2277"/>
      <c r="E505" s="2675">
        <f t="shared" si="295"/>
        <v>0</v>
      </c>
      <c r="F505" s="2676"/>
      <c r="G505" s="2677">
        <f t="shared" si="270"/>
        <v>0</v>
      </c>
      <c r="H505" s="2678">
        <f t="shared" si="271"/>
        <v>0</v>
      </c>
      <c r="I505" s="2685"/>
      <c r="J505" s="2685"/>
      <c r="K505" s="2685"/>
      <c r="L505" s="2685"/>
      <c r="M505" s="2685"/>
      <c r="N505" s="2685"/>
      <c r="O505" s="2685"/>
      <c r="P505" s="2685"/>
      <c r="Q505" s="2685"/>
      <c r="R505" s="2685"/>
      <c r="S505" s="2685"/>
      <c r="T505" s="2685"/>
      <c r="U505" s="2685"/>
      <c r="V505" s="2685"/>
      <c r="W505" s="2685"/>
      <c r="X505" s="2685"/>
      <c r="Y505" s="2685"/>
      <c r="Z505" s="2685"/>
      <c r="AA505" s="2685"/>
      <c r="AB505" s="2685"/>
      <c r="AC505" s="2675">
        <f t="shared" si="272"/>
        <v>0</v>
      </c>
      <c r="AD505" s="2695"/>
      <c r="AE505" s="2695"/>
      <c r="AF505" s="2695"/>
      <c r="AG505" s="2695"/>
      <c r="AH505" s="2695"/>
      <c r="AI505" s="2695"/>
      <c r="AJ505" s="2695"/>
      <c r="AK505" s="2695"/>
      <c r="AL505" s="2695"/>
      <c r="AM505" s="2695"/>
      <c r="AN505" s="2695"/>
      <c r="AO505" s="2695"/>
      <c r="AP505" s="2695"/>
      <c r="AQ505" s="2695"/>
      <c r="AR505" s="2695"/>
      <c r="AS505" s="2695"/>
      <c r="AT505" s="2703"/>
      <c r="AU505" s="2704"/>
      <c r="AV505" s="1074">
        <f t="shared" si="296"/>
        <v>0</v>
      </c>
      <c r="AW505" s="1074">
        <f t="shared" si="297"/>
        <v>0</v>
      </c>
      <c r="AX505" s="1074">
        <f t="shared" si="298"/>
        <v>0</v>
      </c>
      <c r="AY505" s="2279">
        <f t="shared" si="273"/>
        <v>0</v>
      </c>
      <c r="AZ505" s="2675">
        <f t="shared" si="274"/>
        <v>0</v>
      </c>
      <c r="BA505" s="2675">
        <f t="shared" si="275"/>
        <v>0</v>
      </c>
      <c r="BB505" s="2675">
        <f t="shared" si="276"/>
        <v>0</v>
      </c>
      <c r="BC505" s="2675">
        <f t="shared" si="277"/>
        <v>0</v>
      </c>
      <c r="BD505" s="2675">
        <f t="shared" si="278"/>
        <v>0</v>
      </c>
      <c r="BE505" s="2675">
        <f t="shared" si="279"/>
        <v>0</v>
      </c>
      <c r="BF505" s="2675">
        <f t="shared" si="280"/>
        <v>0</v>
      </c>
      <c r="BG505" s="2675">
        <f t="shared" si="281"/>
        <v>0</v>
      </c>
      <c r="BH505" s="2675">
        <f t="shared" si="282"/>
        <v>0</v>
      </c>
      <c r="BI505" s="2675">
        <f t="shared" si="283"/>
        <v>0</v>
      </c>
      <c r="BJ505" s="2675">
        <f t="shared" si="284"/>
        <v>0</v>
      </c>
      <c r="BK505" s="2675">
        <f t="shared" si="285"/>
        <v>0</v>
      </c>
      <c r="BL505" s="2675">
        <f t="shared" si="286"/>
        <v>0</v>
      </c>
      <c r="BM505" s="2675">
        <f t="shared" si="287"/>
        <v>0</v>
      </c>
      <c r="BN505" s="2675">
        <f t="shared" si="288"/>
        <v>0</v>
      </c>
      <c r="BO505" s="2675">
        <f t="shared" si="289"/>
        <v>0</v>
      </c>
      <c r="BP505" s="2675">
        <f t="shared" si="290"/>
        <v>0</v>
      </c>
      <c r="BQ505" s="2675">
        <f t="shared" si="291"/>
        <v>0</v>
      </c>
      <c r="BR505" s="2675">
        <f t="shared" si="292"/>
        <v>0</v>
      </c>
      <c r="BS505" s="2675">
        <f t="shared" si="293"/>
        <v>0</v>
      </c>
      <c r="BT505" s="2722">
        <f t="shared" si="294"/>
        <v>0</v>
      </c>
    </row>
    <row r="506" spans="1:72">
      <c r="A506" s="2673"/>
      <c r="B506" s="2674"/>
      <c r="C506" s="2674"/>
      <c r="D506" s="2277"/>
      <c r="E506" s="2675">
        <f t="shared" si="295"/>
        <v>0</v>
      </c>
      <c r="F506" s="2676"/>
      <c r="G506" s="2677">
        <f t="shared" si="270"/>
        <v>0</v>
      </c>
      <c r="H506" s="2678">
        <f t="shared" si="271"/>
        <v>0</v>
      </c>
      <c r="I506" s="2685"/>
      <c r="J506" s="2685"/>
      <c r="K506" s="2685"/>
      <c r="L506" s="2685"/>
      <c r="M506" s="2685"/>
      <c r="N506" s="2685"/>
      <c r="O506" s="2685"/>
      <c r="P506" s="2685"/>
      <c r="Q506" s="2685"/>
      <c r="R506" s="2685"/>
      <c r="S506" s="2685"/>
      <c r="T506" s="2685"/>
      <c r="U506" s="2685"/>
      <c r="V506" s="2685"/>
      <c r="W506" s="2685"/>
      <c r="X506" s="2685"/>
      <c r="Y506" s="2685"/>
      <c r="Z506" s="2685"/>
      <c r="AA506" s="2685"/>
      <c r="AB506" s="2685"/>
      <c r="AC506" s="2675">
        <f t="shared" si="272"/>
        <v>0</v>
      </c>
      <c r="AD506" s="2695"/>
      <c r="AE506" s="2695"/>
      <c r="AF506" s="2695"/>
      <c r="AG506" s="2695"/>
      <c r="AH506" s="2695"/>
      <c r="AI506" s="2695"/>
      <c r="AJ506" s="2695"/>
      <c r="AK506" s="2695"/>
      <c r="AL506" s="2695"/>
      <c r="AM506" s="2695"/>
      <c r="AN506" s="2695"/>
      <c r="AO506" s="2695"/>
      <c r="AP506" s="2695"/>
      <c r="AQ506" s="2695"/>
      <c r="AR506" s="2695"/>
      <c r="AS506" s="2695"/>
      <c r="AT506" s="2703"/>
      <c r="AU506" s="2704"/>
      <c r="AV506" s="1074">
        <f t="shared" si="296"/>
        <v>0</v>
      </c>
      <c r="AW506" s="1074">
        <f t="shared" si="297"/>
        <v>0</v>
      </c>
      <c r="AX506" s="1074">
        <f t="shared" si="298"/>
        <v>0</v>
      </c>
      <c r="AY506" s="2279">
        <f t="shared" si="273"/>
        <v>0</v>
      </c>
      <c r="AZ506" s="2675">
        <f t="shared" si="274"/>
        <v>0</v>
      </c>
      <c r="BA506" s="2675">
        <f t="shared" si="275"/>
        <v>0</v>
      </c>
      <c r="BB506" s="2675">
        <f t="shared" si="276"/>
        <v>0</v>
      </c>
      <c r="BC506" s="2675">
        <f t="shared" si="277"/>
        <v>0</v>
      </c>
      <c r="BD506" s="2675">
        <f t="shared" si="278"/>
        <v>0</v>
      </c>
      <c r="BE506" s="2675">
        <f t="shared" si="279"/>
        <v>0</v>
      </c>
      <c r="BF506" s="2675">
        <f t="shared" si="280"/>
        <v>0</v>
      </c>
      <c r="BG506" s="2675">
        <f t="shared" si="281"/>
        <v>0</v>
      </c>
      <c r="BH506" s="2675">
        <f t="shared" si="282"/>
        <v>0</v>
      </c>
      <c r="BI506" s="2675">
        <f t="shared" si="283"/>
        <v>0</v>
      </c>
      <c r="BJ506" s="2675">
        <f t="shared" si="284"/>
        <v>0</v>
      </c>
      <c r="BK506" s="2675">
        <f t="shared" si="285"/>
        <v>0</v>
      </c>
      <c r="BL506" s="2675">
        <f t="shared" si="286"/>
        <v>0</v>
      </c>
      <c r="BM506" s="2675">
        <f t="shared" si="287"/>
        <v>0</v>
      </c>
      <c r="BN506" s="2675">
        <f t="shared" si="288"/>
        <v>0</v>
      </c>
      <c r="BO506" s="2675">
        <f t="shared" si="289"/>
        <v>0</v>
      </c>
      <c r="BP506" s="2675">
        <f t="shared" si="290"/>
        <v>0</v>
      </c>
      <c r="BQ506" s="2675">
        <f t="shared" si="291"/>
        <v>0</v>
      </c>
      <c r="BR506" s="2675">
        <f t="shared" si="292"/>
        <v>0</v>
      </c>
      <c r="BS506" s="2675">
        <f t="shared" si="293"/>
        <v>0</v>
      </c>
      <c r="BT506" s="2722">
        <f t="shared" si="294"/>
        <v>0</v>
      </c>
    </row>
    <row r="507" spans="1:72">
      <c r="A507" s="2673"/>
      <c r="B507" s="2674"/>
      <c r="C507" s="2674"/>
      <c r="D507" s="2277"/>
      <c r="E507" s="2675">
        <f t="shared" si="295"/>
        <v>0</v>
      </c>
      <c r="F507" s="2676"/>
      <c r="G507" s="2677">
        <f t="shared" si="270"/>
        <v>0</v>
      </c>
      <c r="H507" s="2678">
        <f t="shared" si="271"/>
        <v>0</v>
      </c>
      <c r="I507" s="2685"/>
      <c r="J507" s="2685"/>
      <c r="K507" s="2685"/>
      <c r="L507" s="2685"/>
      <c r="M507" s="2685"/>
      <c r="N507" s="2685"/>
      <c r="O507" s="2685"/>
      <c r="P507" s="2685"/>
      <c r="Q507" s="2685"/>
      <c r="R507" s="2685"/>
      <c r="S507" s="2685"/>
      <c r="T507" s="2685"/>
      <c r="U507" s="2685"/>
      <c r="V507" s="2685"/>
      <c r="W507" s="2685"/>
      <c r="X507" s="2685"/>
      <c r="Y507" s="2685"/>
      <c r="Z507" s="2685"/>
      <c r="AA507" s="2685"/>
      <c r="AB507" s="2685"/>
      <c r="AC507" s="2675">
        <f t="shared" si="272"/>
        <v>0</v>
      </c>
      <c r="AD507" s="2695"/>
      <c r="AE507" s="2695"/>
      <c r="AF507" s="2695"/>
      <c r="AG507" s="2695"/>
      <c r="AH507" s="2695"/>
      <c r="AI507" s="2695"/>
      <c r="AJ507" s="2695"/>
      <c r="AK507" s="2695"/>
      <c r="AL507" s="2695"/>
      <c r="AM507" s="2695"/>
      <c r="AN507" s="2695"/>
      <c r="AO507" s="2695"/>
      <c r="AP507" s="2695"/>
      <c r="AQ507" s="2695"/>
      <c r="AR507" s="2695"/>
      <c r="AS507" s="2695"/>
      <c r="AT507" s="2703"/>
      <c r="AU507" s="2704"/>
      <c r="AV507" s="1074">
        <f t="shared" si="296"/>
        <v>0</v>
      </c>
      <c r="AW507" s="1074">
        <f t="shared" si="297"/>
        <v>0</v>
      </c>
      <c r="AX507" s="1074">
        <f t="shared" si="298"/>
        <v>0</v>
      </c>
      <c r="AY507" s="2279">
        <f t="shared" si="273"/>
        <v>0</v>
      </c>
      <c r="AZ507" s="2675">
        <f t="shared" si="274"/>
        <v>0</v>
      </c>
      <c r="BA507" s="2675">
        <f t="shared" si="275"/>
        <v>0</v>
      </c>
      <c r="BB507" s="2675">
        <f t="shared" si="276"/>
        <v>0</v>
      </c>
      <c r="BC507" s="2675">
        <f t="shared" si="277"/>
        <v>0</v>
      </c>
      <c r="BD507" s="2675">
        <f t="shared" si="278"/>
        <v>0</v>
      </c>
      <c r="BE507" s="2675">
        <f t="shared" si="279"/>
        <v>0</v>
      </c>
      <c r="BF507" s="2675">
        <f t="shared" si="280"/>
        <v>0</v>
      </c>
      <c r="BG507" s="2675">
        <f t="shared" si="281"/>
        <v>0</v>
      </c>
      <c r="BH507" s="2675">
        <f t="shared" si="282"/>
        <v>0</v>
      </c>
      <c r="BI507" s="2675">
        <f t="shared" si="283"/>
        <v>0</v>
      </c>
      <c r="BJ507" s="2675">
        <f t="shared" si="284"/>
        <v>0</v>
      </c>
      <c r="BK507" s="2675">
        <f t="shared" si="285"/>
        <v>0</v>
      </c>
      <c r="BL507" s="2675">
        <f t="shared" si="286"/>
        <v>0</v>
      </c>
      <c r="BM507" s="2675">
        <f t="shared" si="287"/>
        <v>0</v>
      </c>
      <c r="BN507" s="2675">
        <f t="shared" si="288"/>
        <v>0</v>
      </c>
      <c r="BO507" s="2675">
        <f t="shared" si="289"/>
        <v>0</v>
      </c>
      <c r="BP507" s="2675">
        <f t="shared" si="290"/>
        <v>0</v>
      </c>
      <c r="BQ507" s="2675">
        <f t="shared" si="291"/>
        <v>0</v>
      </c>
      <c r="BR507" s="2675">
        <f t="shared" si="292"/>
        <v>0</v>
      </c>
      <c r="BS507" s="2675">
        <f t="shared" si="293"/>
        <v>0</v>
      </c>
      <c r="BT507" s="2722">
        <f t="shared" si="294"/>
        <v>0</v>
      </c>
    </row>
    <row r="508" spans="1:72">
      <c r="A508" s="2673"/>
      <c r="B508" s="2674"/>
      <c r="C508" s="2674"/>
      <c r="D508" s="2277"/>
      <c r="E508" s="2675">
        <f t="shared" si="295"/>
        <v>0</v>
      </c>
      <c r="F508" s="2676"/>
      <c r="G508" s="2677">
        <f t="shared" si="270"/>
        <v>0</v>
      </c>
      <c r="H508" s="2678">
        <f t="shared" si="271"/>
        <v>0</v>
      </c>
      <c r="I508" s="2685"/>
      <c r="J508" s="2685"/>
      <c r="K508" s="2685"/>
      <c r="L508" s="2685"/>
      <c r="M508" s="2685"/>
      <c r="N508" s="2685"/>
      <c r="O508" s="2685"/>
      <c r="P508" s="2685"/>
      <c r="Q508" s="2685"/>
      <c r="R508" s="2685"/>
      <c r="S508" s="2685"/>
      <c r="T508" s="2685"/>
      <c r="U508" s="2685"/>
      <c r="V508" s="2685"/>
      <c r="W508" s="2685"/>
      <c r="X508" s="2685"/>
      <c r="Y508" s="2685"/>
      <c r="Z508" s="2685"/>
      <c r="AA508" s="2685"/>
      <c r="AB508" s="2685"/>
      <c r="AC508" s="2675">
        <f t="shared" si="272"/>
        <v>0</v>
      </c>
      <c r="AD508" s="2695"/>
      <c r="AE508" s="2695"/>
      <c r="AF508" s="2695"/>
      <c r="AG508" s="2695"/>
      <c r="AH508" s="2695"/>
      <c r="AI508" s="2695"/>
      <c r="AJ508" s="2695"/>
      <c r="AK508" s="2695"/>
      <c r="AL508" s="2695"/>
      <c r="AM508" s="2695"/>
      <c r="AN508" s="2695"/>
      <c r="AO508" s="2695"/>
      <c r="AP508" s="2695"/>
      <c r="AQ508" s="2695"/>
      <c r="AR508" s="2695"/>
      <c r="AS508" s="2695"/>
      <c r="AT508" s="2703"/>
      <c r="AU508" s="2704"/>
      <c r="AV508" s="1074">
        <f t="shared" si="296"/>
        <v>0</v>
      </c>
      <c r="AW508" s="1074">
        <f t="shared" si="297"/>
        <v>0</v>
      </c>
      <c r="AX508" s="1074">
        <f t="shared" si="298"/>
        <v>0</v>
      </c>
      <c r="AY508" s="2279">
        <f t="shared" si="273"/>
        <v>0</v>
      </c>
      <c r="AZ508" s="2675">
        <f t="shared" si="274"/>
        <v>0</v>
      </c>
      <c r="BA508" s="2675">
        <f t="shared" si="275"/>
        <v>0</v>
      </c>
      <c r="BB508" s="2675">
        <f t="shared" si="276"/>
        <v>0</v>
      </c>
      <c r="BC508" s="2675">
        <f t="shared" si="277"/>
        <v>0</v>
      </c>
      <c r="BD508" s="2675">
        <f t="shared" si="278"/>
        <v>0</v>
      </c>
      <c r="BE508" s="2675">
        <f t="shared" si="279"/>
        <v>0</v>
      </c>
      <c r="BF508" s="2675">
        <f t="shared" si="280"/>
        <v>0</v>
      </c>
      <c r="BG508" s="2675">
        <f t="shared" si="281"/>
        <v>0</v>
      </c>
      <c r="BH508" s="2675">
        <f t="shared" si="282"/>
        <v>0</v>
      </c>
      <c r="BI508" s="2675">
        <f t="shared" si="283"/>
        <v>0</v>
      </c>
      <c r="BJ508" s="2675">
        <f t="shared" si="284"/>
        <v>0</v>
      </c>
      <c r="BK508" s="2675">
        <f t="shared" si="285"/>
        <v>0</v>
      </c>
      <c r="BL508" s="2675">
        <f t="shared" si="286"/>
        <v>0</v>
      </c>
      <c r="BM508" s="2675">
        <f t="shared" si="287"/>
        <v>0</v>
      </c>
      <c r="BN508" s="2675">
        <f t="shared" si="288"/>
        <v>0</v>
      </c>
      <c r="BO508" s="2675">
        <f t="shared" si="289"/>
        <v>0</v>
      </c>
      <c r="BP508" s="2675">
        <f t="shared" si="290"/>
        <v>0</v>
      </c>
      <c r="BQ508" s="2675">
        <f t="shared" si="291"/>
        <v>0</v>
      </c>
      <c r="BR508" s="2675">
        <f t="shared" si="292"/>
        <v>0</v>
      </c>
      <c r="BS508" s="2675">
        <f t="shared" si="293"/>
        <v>0</v>
      </c>
      <c r="BT508" s="2722">
        <f t="shared" si="294"/>
        <v>0</v>
      </c>
    </row>
    <row r="509" spans="1:72">
      <c r="A509" s="2673"/>
      <c r="B509" s="2674"/>
      <c r="C509" s="2674"/>
      <c r="D509" s="2277"/>
      <c r="E509" s="2675">
        <f t="shared" si="295"/>
        <v>0</v>
      </c>
      <c r="F509" s="2676"/>
      <c r="G509" s="2677">
        <f t="shared" si="270"/>
        <v>0</v>
      </c>
      <c r="H509" s="2678">
        <f t="shared" si="271"/>
        <v>0</v>
      </c>
      <c r="I509" s="2685"/>
      <c r="J509" s="2685"/>
      <c r="K509" s="2685"/>
      <c r="L509" s="2685"/>
      <c r="M509" s="2685"/>
      <c r="N509" s="2685"/>
      <c r="O509" s="2685"/>
      <c r="P509" s="2685"/>
      <c r="Q509" s="2685"/>
      <c r="R509" s="2685"/>
      <c r="S509" s="2685"/>
      <c r="T509" s="2685"/>
      <c r="U509" s="2685"/>
      <c r="V509" s="2685"/>
      <c r="W509" s="2685"/>
      <c r="X509" s="2685"/>
      <c r="Y509" s="2685"/>
      <c r="Z509" s="2685"/>
      <c r="AA509" s="2685"/>
      <c r="AB509" s="2685"/>
      <c r="AC509" s="2675">
        <f t="shared" si="272"/>
        <v>0</v>
      </c>
      <c r="AD509" s="2695"/>
      <c r="AE509" s="2695"/>
      <c r="AF509" s="2695"/>
      <c r="AG509" s="2695"/>
      <c r="AH509" s="2695"/>
      <c r="AI509" s="2695"/>
      <c r="AJ509" s="2695"/>
      <c r="AK509" s="2695"/>
      <c r="AL509" s="2695"/>
      <c r="AM509" s="2695"/>
      <c r="AN509" s="2695"/>
      <c r="AO509" s="2695"/>
      <c r="AP509" s="2695"/>
      <c r="AQ509" s="2695"/>
      <c r="AR509" s="2695"/>
      <c r="AS509" s="2695"/>
      <c r="AT509" s="2703"/>
      <c r="AU509" s="2704"/>
      <c r="AV509" s="1074">
        <f t="shared" si="296"/>
        <v>0</v>
      </c>
      <c r="AW509" s="1074">
        <f t="shared" si="297"/>
        <v>0</v>
      </c>
      <c r="AX509" s="1074">
        <f t="shared" si="298"/>
        <v>0</v>
      </c>
      <c r="AY509" s="2279">
        <f t="shared" si="273"/>
        <v>0</v>
      </c>
      <c r="AZ509" s="2675">
        <f t="shared" si="274"/>
        <v>0</v>
      </c>
      <c r="BA509" s="2675">
        <f t="shared" si="275"/>
        <v>0</v>
      </c>
      <c r="BB509" s="2675">
        <f t="shared" si="276"/>
        <v>0</v>
      </c>
      <c r="BC509" s="2675">
        <f t="shared" si="277"/>
        <v>0</v>
      </c>
      <c r="BD509" s="2675">
        <f t="shared" si="278"/>
        <v>0</v>
      </c>
      <c r="BE509" s="2675">
        <f t="shared" si="279"/>
        <v>0</v>
      </c>
      <c r="BF509" s="2675">
        <f t="shared" si="280"/>
        <v>0</v>
      </c>
      <c r="BG509" s="2675">
        <f t="shared" si="281"/>
        <v>0</v>
      </c>
      <c r="BH509" s="2675">
        <f t="shared" si="282"/>
        <v>0</v>
      </c>
      <c r="BI509" s="2675">
        <f t="shared" si="283"/>
        <v>0</v>
      </c>
      <c r="BJ509" s="2675">
        <f t="shared" si="284"/>
        <v>0</v>
      </c>
      <c r="BK509" s="2675">
        <f t="shared" si="285"/>
        <v>0</v>
      </c>
      <c r="BL509" s="2675">
        <f t="shared" si="286"/>
        <v>0</v>
      </c>
      <c r="BM509" s="2675">
        <f t="shared" si="287"/>
        <v>0</v>
      </c>
      <c r="BN509" s="2675">
        <f t="shared" si="288"/>
        <v>0</v>
      </c>
      <c r="BO509" s="2675">
        <f t="shared" si="289"/>
        <v>0</v>
      </c>
      <c r="BP509" s="2675">
        <f t="shared" si="290"/>
        <v>0</v>
      </c>
      <c r="BQ509" s="2675">
        <f t="shared" si="291"/>
        <v>0</v>
      </c>
      <c r="BR509" s="2675">
        <f t="shared" si="292"/>
        <v>0</v>
      </c>
      <c r="BS509" s="2675">
        <f t="shared" si="293"/>
        <v>0</v>
      </c>
      <c r="BT509" s="2722">
        <f t="shared" si="294"/>
        <v>0</v>
      </c>
    </row>
    <row r="510" spans="1:72">
      <c r="A510" s="2673"/>
      <c r="B510" s="2674"/>
      <c r="C510" s="2674"/>
      <c r="D510" s="2277"/>
      <c r="E510" s="2675">
        <f t="shared" si="295"/>
        <v>0</v>
      </c>
      <c r="F510" s="2676"/>
      <c r="G510" s="2677">
        <f t="shared" si="270"/>
        <v>0</v>
      </c>
      <c r="H510" s="2678">
        <f t="shared" si="271"/>
        <v>0</v>
      </c>
      <c r="I510" s="2685"/>
      <c r="J510" s="2685"/>
      <c r="K510" s="2685"/>
      <c r="L510" s="2685"/>
      <c r="M510" s="2685"/>
      <c r="N510" s="2685"/>
      <c r="O510" s="2685"/>
      <c r="P510" s="2685"/>
      <c r="Q510" s="2685"/>
      <c r="R510" s="2685"/>
      <c r="S510" s="2685"/>
      <c r="T510" s="2685"/>
      <c r="U510" s="2685"/>
      <c r="V510" s="2685"/>
      <c r="W510" s="2685"/>
      <c r="X510" s="2685"/>
      <c r="Y510" s="2685"/>
      <c r="Z510" s="2685"/>
      <c r="AA510" s="2685"/>
      <c r="AB510" s="2685"/>
      <c r="AC510" s="2675">
        <f t="shared" si="272"/>
        <v>0</v>
      </c>
      <c r="AD510" s="2695"/>
      <c r="AE510" s="2695"/>
      <c r="AF510" s="2695"/>
      <c r="AG510" s="2695"/>
      <c r="AH510" s="2695"/>
      <c r="AI510" s="2695"/>
      <c r="AJ510" s="2695"/>
      <c r="AK510" s="2695"/>
      <c r="AL510" s="2695"/>
      <c r="AM510" s="2695"/>
      <c r="AN510" s="2695"/>
      <c r="AO510" s="2695"/>
      <c r="AP510" s="2695"/>
      <c r="AQ510" s="2695"/>
      <c r="AR510" s="2695"/>
      <c r="AS510" s="2695"/>
      <c r="AT510" s="2703"/>
      <c r="AU510" s="2704"/>
      <c r="AV510" s="1074">
        <f t="shared" si="296"/>
        <v>0</v>
      </c>
      <c r="AW510" s="1074">
        <f t="shared" si="297"/>
        <v>0</v>
      </c>
      <c r="AX510" s="1074">
        <f t="shared" si="298"/>
        <v>0</v>
      </c>
      <c r="AY510" s="2279">
        <f t="shared" si="273"/>
        <v>0</v>
      </c>
      <c r="AZ510" s="2675">
        <f t="shared" si="274"/>
        <v>0</v>
      </c>
      <c r="BA510" s="2675">
        <f t="shared" si="275"/>
        <v>0</v>
      </c>
      <c r="BB510" s="2675">
        <f t="shared" si="276"/>
        <v>0</v>
      </c>
      <c r="BC510" s="2675">
        <f t="shared" si="277"/>
        <v>0</v>
      </c>
      <c r="BD510" s="2675">
        <f t="shared" si="278"/>
        <v>0</v>
      </c>
      <c r="BE510" s="2675">
        <f t="shared" si="279"/>
        <v>0</v>
      </c>
      <c r="BF510" s="2675">
        <f t="shared" si="280"/>
        <v>0</v>
      </c>
      <c r="BG510" s="2675">
        <f t="shared" si="281"/>
        <v>0</v>
      </c>
      <c r="BH510" s="2675">
        <f t="shared" si="282"/>
        <v>0</v>
      </c>
      <c r="BI510" s="2675">
        <f t="shared" si="283"/>
        <v>0</v>
      </c>
      <c r="BJ510" s="2675">
        <f t="shared" si="284"/>
        <v>0</v>
      </c>
      <c r="BK510" s="2675">
        <f t="shared" si="285"/>
        <v>0</v>
      </c>
      <c r="BL510" s="2675">
        <f t="shared" si="286"/>
        <v>0</v>
      </c>
      <c r="BM510" s="2675">
        <f t="shared" si="287"/>
        <v>0</v>
      </c>
      <c r="BN510" s="2675">
        <f t="shared" si="288"/>
        <v>0</v>
      </c>
      <c r="BO510" s="2675">
        <f t="shared" si="289"/>
        <v>0</v>
      </c>
      <c r="BP510" s="2675">
        <f t="shared" si="290"/>
        <v>0</v>
      </c>
      <c r="BQ510" s="2675">
        <f t="shared" si="291"/>
        <v>0</v>
      </c>
      <c r="BR510" s="2675">
        <f t="shared" si="292"/>
        <v>0</v>
      </c>
      <c r="BS510" s="2675">
        <f t="shared" si="293"/>
        <v>0</v>
      </c>
      <c r="BT510" s="2722">
        <f t="shared" si="294"/>
        <v>0</v>
      </c>
    </row>
    <row r="511" spans="1:72">
      <c r="A511" s="2673"/>
      <c r="B511" s="2674"/>
      <c r="C511" s="2674"/>
      <c r="D511" s="2277"/>
      <c r="E511" s="2675">
        <f t="shared" si="295"/>
        <v>0</v>
      </c>
      <c r="F511" s="2676"/>
      <c r="G511" s="2677">
        <f t="shared" si="270"/>
        <v>0</v>
      </c>
      <c r="H511" s="2678">
        <f t="shared" si="271"/>
        <v>0</v>
      </c>
      <c r="I511" s="2685"/>
      <c r="J511" s="2685"/>
      <c r="K511" s="2685"/>
      <c r="L511" s="2685"/>
      <c r="M511" s="2685"/>
      <c r="N511" s="2685"/>
      <c r="O511" s="2685"/>
      <c r="P511" s="2685"/>
      <c r="Q511" s="2685"/>
      <c r="R511" s="2685"/>
      <c r="S511" s="2685"/>
      <c r="T511" s="2685"/>
      <c r="U511" s="2685"/>
      <c r="V511" s="2685"/>
      <c r="W511" s="2685"/>
      <c r="X511" s="2685"/>
      <c r="Y511" s="2685"/>
      <c r="Z511" s="2685"/>
      <c r="AA511" s="2685"/>
      <c r="AB511" s="2685"/>
      <c r="AC511" s="2675">
        <f t="shared" si="272"/>
        <v>0</v>
      </c>
      <c r="AD511" s="2695"/>
      <c r="AE511" s="2695"/>
      <c r="AF511" s="2695"/>
      <c r="AG511" s="2695"/>
      <c r="AH511" s="2695"/>
      <c r="AI511" s="2695"/>
      <c r="AJ511" s="2695"/>
      <c r="AK511" s="2695"/>
      <c r="AL511" s="2695"/>
      <c r="AM511" s="2695"/>
      <c r="AN511" s="2695"/>
      <c r="AO511" s="2695"/>
      <c r="AP511" s="2695"/>
      <c r="AQ511" s="2695"/>
      <c r="AR511" s="2695"/>
      <c r="AS511" s="2695"/>
      <c r="AT511" s="2703"/>
      <c r="AU511" s="2704"/>
      <c r="AV511" s="1074">
        <f t="shared" si="296"/>
        <v>0</v>
      </c>
      <c r="AW511" s="1074">
        <f t="shared" si="297"/>
        <v>0</v>
      </c>
      <c r="AX511" s="1074">
        <f t="shared" si="298"/>
        <v>0</v>
      </c>
      <c r="AY511" s="2279">
        <f t="shared" si="273"/>
        <v>0</v>
      </c>
      <c r="AZ511" s="2675">
        <f t="shared" si="274"/>
        <v>0</v>
      </c>
      <c r="BA511" s="2675">
        <f t="shared" si="275"/>
        <v>0</v>
      </c>
      <c r="BB511" s="2675">
        <f t="shared" si="276"/>
        <v>0</v>
      </c>
      <c r="BC511" s="2675">
        <f t="shared" si="277"/>
        <v>0</v>
      </c>
      <c r="BD511" s="2675">
        <f t="shared" si="278"/>
        <v>0</v>
      </c>
      <c r="BE511" s="2675">
        <f t="shared" si="279"/>
        <v>0</v>
      </c>
      <c r="BF511" s="2675">
        <f t="shared" si="280"/>
        <v>0</v>
      </c>
      <c r="BG511" s="2675">
        <f t="shared" si="281"/>
        <v>0</v>
      </c>
      <c r="BH511" s="2675">
        <f t="shared" si="282"/>
        <v>0</v>
      </c>
      <c r="BI511" s="2675">
        <f t="shared" si="283"/>
        <v>0</v>
      </c>
      <c r="BJ511" s="2675">
        <f t="shared" si="284"/>
        <v>0</v>
      </c>
      <c r="BK511" s="2675">
        <f t="shared" si="285"/>
        <v>0</v>
      </c>
      <c r="BL511" s="2675">
        <f t="shared" si="286"/>
        <v>0</v>
      </c>
      <c r="BM511" s="2675">
        <f t="shared" si="287"/>
        <v>0</v>
      </c>
      <c r="BN511" s="2675">
        <f t="shared" si="288"/>
        <v>0</v>
      </c>
      <c r="BO511" s="2675">
        <f t="shared" si="289"/>
        <v>0</v>
      </c>
      <c r="BP511" s="2675">
        <f t="shared" si="290"/>
        <v>0</v>
      </c>
      <c r="BQ511" s="2675">
        <f t="shared" si="291"/>
        <v>0</v>
      </c>
      <c r="BR511" s="2675">
        <f t="shared" si="292"/>
        <v>0</v>
      </c>
      <c r="BS511" s="2675">
        <f t="shared" si="293"/>
        <v>0</v>
      </c>
      <c r="BT511" s="2722">
        <f t="shared" si="294"/>
        <v>0</v>
      </c>
    </row>
    <row r="512" spans="1:72">
      <c r="A512" s="2673"/>
      <c r="B512" s="2674"/>
      <c r="C512" s="2674"/>
      <c r="D512" s="2277"/>
      <c r="E512" s="2675">
        <f t="shared" si="295"/>
        <v>0</v>
      </c>
      <c r="F512" s="2676"/>
      <c r="G512" s="2677">
        <f t="shared" si="270"/>
        <v>0</v>
      </c>
      <c r="H512" s="2678">
        <f t="shared" si="271"/>
        <v>0</v>
      </c>
      <c r="I512" s="2685"/>
      <c r="J512" s="2685"/>
      <c r="K512" s="2685"/>
      <c r="L512" s="2685"/>
      <c r="M512" s="2685"/>
      <c r="N512" s="2685"/>
      <c r="O512" s="2685"/>
      <c r="P512" s="2685"/>
      <c r="Q512" s="2685"/>
      <c r="R512" s="2685"/>
      <c r="S512" s="2685"/>
      <c r="T512" s="2685"/>
      <c r="U512" s="2685"/>
      <c r="V512" s="2685"/>
      <c r="W512" s="2685"/>
      <c r="X512" s="2685"/>
      <c r="Y512" s="2685"/>
      <c r="Z512" s="2685"/>
      <c r="AA512" s="2685"/>
      <c r="AB512" s="2685"/>
      <c r="AC512" s="2675">
        <f t="shared" si="272"/>
        <v>0</v>
      </c>
      <c r="AD512" s="2695"/>
      <c r="AE512" s="2695"/>
      <c r="AF512" s="2695"/>
      <c r="AG512" s="2695"/>
      <c r="AH512" s="2695"/>
      <c r="AI512" s="2695"/>
      <c r="AJ512" s="2695"/>
      <c r="AK512" s="2695"/>
      <c r="AL512" s="2695"/>
      <c r="AM512" s="2695"/>
      <c r="AN512" s="2695"/>
      <c r="AO512" s="2695"/>
      <c r="AP512" s="2695"/>
      <c r="AQ512" s="2695"/>
      <c r="AR512" s="2695"/>
      <c r="AS512" s="2695"/>
      <c r="AT512" s="2703"/>
      <c r="AU512" s="2704"/>
      <c r="AV512" s="1074">
        <f t="shared" si="296"/>
        <v>0</v>
      </c>
      <c r="AW512" s="1074">
        <f t="shared" si="297"/>
        <v>0</v>
      </c>
      <c r="AX512" s="1074">
        <f t="shared" si="298"/>
        <v>0</v>
      </c>
      <c r="AY512" s="2279">
        <f t="shared" si="273"/>
        <v>0</v>
      </c>
      <c r="AZ512" s="2675">
        <f t="shared" si="274"/>
        <v>0</v>
      </c>
      <c r="BA512" s="2675">
        <f t="shared" si="275"/>
        <v>0</v>
      </c>
      <c r="BB512" s="2675">
        <f t="shared" si="276"/>
        <v>0</v>
      </c>
      <c r="BC512" s="2675">
        <f t="shared" si="277"/>
        <v>0</v>
      </c>
      <c r="BD512" s="2675">
        <f t="shared" si="278"/>
        <v>0</v>
      </c>
      <c r="BE512" s="2675">
        <f t="shared" si="279"/>
        <v>0</v>
      </c>
      <c r="BF512" s="2675">
        <f t="shared" si="280"/>
        <v>0</v>
      </c>
      <c r="BG512" s="2675">
        <f t="shared" si="281"/>
        <v>0</v>
      </c>
      <c r="BH512" s="2675">
        <f t="shared" si="282"/>
        <v>0</v>
      </c>
      <c r="BI512" s="2675">
        <f t="shared" si="283"/>
        <v>0</v>
      </c>
      <c r="BJ512" s="2675">
        <f t="shared" si="284"/>
        <v>0</v>
      </c>
      <c r="BK512" s="2675">
        <f t="shared" si="285"/>
        <v>0</v>
      </c>
      <c r="BL512" s="2675">
        <f t="shared" si="286"/>
        <v>0</v>
      </c>
      <c r="BM512" s="2675">
        <f t="shared" si="287"/>
        <v>0</v>
      </c>
      <c r="BN512" s="2675">
        <f t="shared" si="288"/>
        <v>0</v>
      </c>
      <c r="BO512" s="2675">
        <f t="shared" si="289"/>
        <v>0</v>
      </c>
      <c r="BP512" s="2675">
        <f t="shared" si="290"/>
        <v>0</v>
      </c>
      <c r="BQ512" s="2675">
        <f t="shared" si="291"/>
        <v>0</v>
      </c>
      <c r="BR512" s="2675">
        <f t="shared" si="292"/>
        <v>0</v>
      </c>
      <c r="BS512" s="2675">
        <f t="shared" si="293"/>
        <v>0</v>
      </c>
      <c r="BT512" s="2722">
        <f t="shared" si="294"/>
        <v>0</v>
      </c>
    </row>
    <row r="513" spans="1:72">
      <c r="A513" s="2673"/>
      <c r="B513" s="2674"/>
      <c r="C513" s="2674"/>
      <c r="D513" s="2277"/>
      <c r="E513" s="2675">
        <f t="shared" si="295"/>
        <v>0</v>
      </c>
      <c r="F513" s="2676"/>
      <c r="G513" s="2677">
        <f t="shared" si="270"/>
        <v>0</v>
      </c>
      <c r="H513" s="2678">
        <f t="shared" si="271"/>
        <v>0</v>
      </c>
      <c r="I513" s="2685"/>
      <c r="J513" s="2685"/>
      <c r="K513" s="2685"/>
      <c r="L513" s="2685"/>
      <c r="M513" s="2685"/>
      <c r="N513" s="2685"/>
      <c r="O513" s="2685"/>
      <c r="P513" s="2685"/>
      <c r="Q513" s="2685"/>
      <c r="R513" s="2685"/>
      <c r="S513" s="2685"/>
      <c r="T513" s="2685"/>
      <c r="U513" s="2685"/>
      <c r="V513" s="2685"/>
      <c r="W513" s="2685"/>
      <c r="X513" s="2685"/>
      <c r="Y513" s="2685"/>
      <c r="Z513" s="2685"/>
      <c r="AA513" s="2685"/>
      <c r="AB513" s="2685"/>
      <c r="AC513" s="2675">
        <f t="shared" si="272"/>
        <v>0</v>
      </c>
      <c r="AD513" s="2695"/>
      <c r="AE513" s="2695"/>
      <c r="AF513" s="2695"/>
      <c r="AG513" s="2695"/>
      <c r="AH513" s="2695"/>
      <c r="AI513" s="2695"/>
      <c r="AJ513" s="2695"/>
      <c r="AK513" s="2695"/>
      <c r="AL513" s="2695"/>
      <c r="AM513" s="2695"/>
      <c r="AN513" s="2695"/>
      <c r="AO513" s="2695"/>
      <c r="AP513" s="2695"/>
      <c r="AQ513" s="2695"/>
      <c r="AR513" s="2695"/>
      <c r="AS513" s="2695"/>
      <c r="AT513" s="2703"/>
      <c r="AU513" s="2704"/>
      <c r="AV513" s="1074">
        <f t="shared" si="296"/>
        <v>0</v>
      </c>
      <c r="AW513" s="1074">
        <f t="shared" si="297"/>
        <v>0</v>
      </c>
      <c r="AX513" s="1074">
        <f t="shared" si="298"/>
        <v>0</v>
      </c>
      <c r="AY513" s="2279">
        <f t="shared" si="273"/>
        <v>0</v>
      </c>
      <c r="AZ513" s="2675">
        <f t="shared" si="274"/>
        <v>0</v>
      </c>
      <c r="BA513" s="2675">
        <f t="shared" si="275"/>
        <v>0</v>
      </c>
      <c r="BB513" s="2675">
        <f t="shared" si="276"/>
        <v>0</v>
      </c>
      <c r="BC513" s="2675">
        <f t="shared" si="277"/>
        <v>0</v>
      </c>
      <c r="BD513" s="2675">
        <f t="shared" si="278"/>
        <v>0</v>
      </c>
      <c r="BE513" s="2675">
        <f t="shared" si="279"/>
        <v>0</v>
      </c>
      <c r="BF513" s="2675">
        <f t="shared" si="280"/>
        <v>0</v>
      </c>
      <c r="BG513" s="2675">
        <f t="shared" si="281"/>
        <v>0</v>
      </c>
      <c r="BH513" s="2675">
        <f t="shared" si="282"/>
        <v>0</v>
      </c>
      <c r="BI513" s="2675">
        <f t="shared" si="283"/>
        <v>0</v>
      </c>
      <c r="BJ513" s="2675">
        <f t="shared" si="284"/>
        <v>0</v>
      </c>
      <c r="BK513" s="2675">
        <f t="shared" si="285"/>
        <v>0</v>
      </c>
      <c r="BL513" s="2675">
        <f t="shared" si="286"/>
        <v>0</v>
      </c>
      <c r="BM513" s="2675">
        <f t="shared" si="287"/>
        <v>0</v>
      </c>
      <c r="BN513" s="2675">
        <f t="shared" si="288"/>
        <v>0</v>
      </c>
      <c r="BO513" s="2675">
        <f t="shared" si="289"/>
        <v>0</v>
      </c>
      <c r="BP513" s="2675">
        <f t="shared" si="290"/>
        <v>0</v>
      </c>
      <c r="BQ513" s="2675">
        <f t="shared" si="291"/>
        <v>0</v>
      </c>
      <c r="BR513" s="2675">
        <f t="shared" si="292"/>
        <v>0</v>
      </c>
      <c r="BS513" s="2675">
        <f t="shared" si="293"/>
        <v>0</v>
      </c>
      <c r="BT513" s="2722">
        <f t="shared" si="294"/>
        <v>0</v>
      </c>
    </row>
    <row r="514" spans="1:72">
      <c r="A514" s="2673"/>
      <c r="B514" s="2674"/>
      <c r="C514" s="2674"/>
      <c r="D514" s="2277"/>
      <c r="E514" s="2675">
        <f t="shared" si="295"/>
        <v>0</v>
      </c>
      <c r="F514" s="2676"/>
      <c r="G514" s="2677">
        <f t="shared" si="270"/>
        <v>0</v>
      </c>
      <c r="H514" s="2678">
        <f t="shared" si="271"/>
        <v>0</v>
      </c>
      <c r="I514" s="2685"/>
      <c r="J514" s="2685"/>
      <c r="K514" s="2685"/>
      <c r="L514" s="2685"/>
      <c r="M514" s="2685"/>
      <c r="N514" s="2685"/>
      <c r="O514" s="2685"/>
      <c r="P514" s="2685"/>
      <c r="Q514" s="2685"/>
      <c r="R514" s="2685"/>
      <c r="S514" s="2685"/>
      <c r="T514" s="2685"/>
      <c r="U514" s="2685"/>
      <c r="V514" s="2685"/>
      <c r="W514" s="2685"/>
      <c r="X514" s="2685"/>
      <c r="Y514" s="2685"/>
      <c r="Z514" s="2685"/>
      <c r="AA514" s="2685"/>
      <c r="AB514" s="2685"/>
      <c r="AC514" s="2675">
        <f t="shared" si="272"/>
        <v>0</v>
      </c>
      <c r="AD514" s="2695"/>
      <c r="AE514" s="2695"/>
      <c r="AF514" s="2695"/>
      <c r="AG514" s="2695"/>
      <c r="AH514" s="2695"/>
      <c r="AI514" s="2695"/>
      <c r="AJ514" s="2695"/>
      <c r="AK514" s="2695"/>
      <c r="AL514" s="2695"/>
      <c r="AM514" s="2695"/>
      <c r="AN514" s="2695"/>
      <c r="AO514" s="2695"/>
      <c r="AP514" s="2695"/>
      <c r="AQ514" s="2695"/>
      <c r="AR514" s="2695"/>
      <c r="AS514" s="2695"/>
      <c r="AT514" s="2703"/>
      <c r="AU514" s="2704"/>
      <c r="AV514" s="1074">
        <f t="shared" si="296"/>
        <v>0</v>
      </c>
      <c r="AW514" s="1074">
        <f t="shared" si="297"/>
        <v>0</v>
      </c>
      <c r="AX514" s="1074">
        <f t="shared" si="298"/>
        <v>0</v>
      </c>
      <c r="AY514" s="2279">
        <f t="shared" si="273"/>
        <v>0</v>
      </c>
      <c r="AZ514" s="2675">
        <f t="shared" si="274"/>
        <v>0</v>
      </c>
      <c r="BA514" s="2675">
        <f t="shared" si="275"/>
        <v>0</v>
      </c>
      <c r="BB514" s="2675">
        <f t="shared" si="276"/>
        <v>0</v>
      </c>
      <c r="BC514" s="2675">
        <f t="shared" si="277"/>
        <v>0</v>
      </c>
      <c r="BD514" s="2675">
        <f t="shared" si="278"/>
        <v>0</v>
      </c>
      <c r="BE514" s="2675">
        <f t="shared" si="279"/>
        <v>0</v>
      </c>
      <c r="BF514" s="2675">
        <f t="shared" si="280"/>
        <v>0</v>
      </c>
      <c r="BG514" s="2675">
        <f t="shared" si="281"/>
        <v>0</v>
      </c>
      <c r="BH514" s="2675">
        <f t="shared" si="282"/>
        <v>0</v>
      </c>
      <c r="BI514" s="2675">
        <f t="shared" si="283"/>
        <v>0</v>
      </c>
      <c r="BJ514" s="2675">
        <f t="shared" si="284"/>
        <v>0</v>
      </c>
      <c r="BK514" s="2675">
        <f t="shared" si="285"/>
        <v>0</v>
      </c>
      <c r="BL514" s="2675">
        <f t="shared" si="286"/>
        <v>0</v>
      </c>
      <c r="BM514" s="2675">
        <f t="shared" si="287"/>
        <v>0</v>
      </c>
      <c r="BN514" s="2675">
        <f t="shared" si="288"/>
        <v>0</v>
      </c>
      <c r="BO514" s="2675">
        <f t="shared" si="289"/>
        <v>0</v>
      </c>
      <c r="BP514" s="2675">
        <f t="shared" si="290"/>
        <v>0</v>
      </c>
      <c r="BQ514" s="2675">
        <f t="shared" si="291"/>
        <v>0</v>
      </c>
      <c r="BR514" s="2675">
        <f t="shared" si="292"/>
        <v>0</v>
      </c>
      <c r="BS514" s="2675">
        <f t="shared" si="293"/>
        <v>0</v>
      </c>
      <c r="BT514" s="2722">
        <f t="shared" si="294"/>
        <v>0</v>
      </c>
    </row>
    <row r="515" spans="1:72">
      <c r="A515" s="2673"/>
      <c r="B515" s="2674"/>
      <c r="C515" s="2674"/>
      <c r="D515" s="2277"/>
      <c r="E515" s="2675">
        <f t="shared" si="295"/>
        <v>0</v>
      </c>
      <c r="F515" s="2676"/>
      <c r="G515" s="2677">
        <f t="shared" si="270"/>
        <v>0</v>
      </c>
      <c r="H515" s="2678">
        <f t="shared" si="271"/>
        <v>0</v>
      </c>
      <c r="I515" s="2685"/>
      <c r="J515" s="2685"/>
      <c r="K515" s="2685"/>
      <c r="L515" s="2685"/>
      <c r="M515" s="2685"/>
      <c r="N515" s="2685"/>
      <c r="O515" s="2685"/>
      <c r="P515" s="2685"/>
      <c r="Q515" s="2685"/>
      <c r="R515" s="2685"/>
      <c r="S515" s="2685"/>
      <c r="T515" s="2685"/>
      <c r="U515" s="2685"/>
      <c r="V515" s="2685"/>
      <c r="W515" s="2685"/>
      <c r="X515" s="2685"/>
      <c r="Y515" s="2685"/>
      <c r="Z515" s="2685"/>
      <c r="AA515" s="2685"/>
      <c r="AB515" s="2685"/>
      <c r="AC515" s="2675">
        <f t="shared" si="272"/>
        <v>0</v>
      </c>
      <c r="AD515" s="2695"/>
      <c r="AE515" s="2695"/>
      <c r="AF515" s="2695"/>
      <c r="AG515" s="2695"/>
      <c r="AH515" s="2695"/>
      <c r="AI515" s="2695"/>
      <c r="AJ515" s="2695"/>
      <c r="AK515" s="2695"/>
      <c r="AL515" s="2695"/>
      <c r="AM515" s="2695"/>
      <c r="AN515" s="2695"/>
      <c r="AO515" s="2695"/>
      <c r="AP515" s="2695"/>
      <c r="AQ515" s="2695"/>
      <c r="AR515" s="2695"/>
      <c r="AS515" s="2695"/>
      <c r="AT515" s="2703"/>
      <c r="AU515" s="2704"/>
      <c r="AV515" s="1074">
        <f t="shared" si="296"/>
        <v>0</v>
      </c>
      <c r="AW515" s="1074">
        <f t="shared" si="297"/>
        <v>0</v>
      </c>
      <c r="AX515" s="1074">
        <f t="shared" si="298"/>
        <v>0</v>
      </c>
      <c r="AY515" s="2279">
        <f t="shared" si="273"/>
        <v>0</v>
      </c>
      <c r="AZ515" s="2675">
        <f t="shared" si="274"/>
        <v>0</v>
      </c>
      <c r="BA515" s="2675">
        <f t="shared" si="275"/>
        <v>0</v>
      </c>
      <c r="BB515" s="2675">
        <f t="shared" si="276"/>
        <v>0</v>
      </c>
      <c r="BC515" s="2675">
        <f t="shared" si="277"/>
        <v>0</v>
      </c>
      <c r="BD515" s="2675">
        <f t="shared" si="278"/>
        <v>0</v>
      </c>
      <c r="BE515" s="2675">
        <f t="shared" si="279"/>
        <v>0</v>
      </c>
      <c r="BF515" s="2675">
        <f t="shared" si="280"/>
        <v>0</v>
      </c>
      <c r="BG515" s="2675">
        <f t="shared" si="281"/>
        <v>0</v>
      </c>
      <c r="BH515" s="2675">
        <f t="shared" si="282"/>
        <v>0</v>
      </c>
      <c r="BI515" s="2675">
        <f t="shared" si="283"/>
        <v>0</v>
      </c>
      <c r="BJ515" s="2675">
        <f t="shared" si="284"/>
        <v>0</v>
      </c>
      <c r="BK515" s="2675">
        <f t="shared" si="285"/>
        <v>0</v>
      </c>
      <c r="BL515" s="2675">
        <f t="shared" si="286"/>
        <v>0</v>
      </c>
      <c r="BM515" s="2675">
        <f t="shared" si="287"/>
        <v>0</v>
      </c>
      <c r="BN515" s="2675">
        <f t="shared" si="288"/>
        <v>0</v>
      </c>
      <c r="BO515" s="2675">
        <f t="shared" si="289"/>
        <v>0</v>
      </c>
      <c r="BP515" s="2675">
        <f t="shared" si="290"/>
        <v>0</v>
      </c>
      <c r="BQ515" s="2675">
        <f t="shared" si="291"/>
        <v>0</v>
      </c>
      <c r="BR515" s="2675">
        <f t="shared" si="292"/>
        <v>0</v>
      </c>
      <c r="BS515" s="2675">
        <f t="shared" si="293"/>
        <v>0</v>
      </c>
      <c r="BT515" s="2722">
        <f t="shared" si="294"/>
        <v>0</v>
      </c>
    </row>
    <row r="516" spans="1:72">
      <c r="A516" s="2673"/>
      <c r="B516" s="2674"/>
      <c r="C516" s="2674"/>
      <c r="D516" s="2277"/>
      <c r="E516" s="2675">
        <f t="shared" si="295"/>
        <v>0</v>
      </c>
      <c r="F516" s="2676"/>
      <c r="G516" s="2677">
        <f t="shared" si="270"/>
        <v>0</v>
      </c>
      <c r="H516" s="2678">
        <f t="shared" si="271"/>
        <v>0</v>
      </c>
      <c r="I516" s="2685"/>
      <c r="J516" s="2685"/>
      <c r="K516" s="2685"/>
      <c r="L516" s="2685"/>
      <c r="M516" s="2685"/>
      <c r="N516" s="2685"/>
      <c r="O516" s="2685"/>
      <c r="P516" s="2685"/>
      <c r="Q516" s="2685"/>
      <c r="R516" s="2685"/>
      <c r="S516" s="2685"/>
      <c r="T516" s="2685"/>
      <c r="U516" s="2685"/>
      <c r="V516" s="2685"/>
      <c r="W516" s="2685"/>
      <c r="X516" s="2685"/>
      <c r="Y516" s="2685"/>
      <c r="Z516" s="2685"/>
      <c r="AA516" s="2685"/>
      <c r="AB516" s="2685"/>
      <c r="AC516" s="2675">
        <f t="shared" si="272"/>
        <v>0</v>
      </c>
      <c r="AD516" s="2695"/>
      <c r="AE516" s="2695"/>
      <c r="AF516" s="2695"/>
      <c r="AG516" s="2695"/>
      <c r="AH516" s="2695"/>
      <c r="AI516" s="2695"/>
      <c r="AJ516" s="2695"/>
      <c r="AK516" s="2695"/>
      <c r="AL516" s="2695"/>
      <c r="AM516" s="2695"/>
      <c r="AN516" s="2695"/>
      <c r="AO516" s="2695"/>
      <c r="AP516" s="2695"/>
      <c r="AQ516" s="2695"/>
      <c r="AR516" s="2695"/>
      <c r="AS516" s="2695"/>
      <c r="AT516" s="2703"/>
      <c r="AU516" s="2704"/>
      <c r="AV516" s="1074">
        <f t="shared" si="296"/>
        <v>0</v>
      </c>
      <c r="AW516" s="1074">
        <f t="shared" si="297"/>
        <v>0</v>
      </c>
      <c r="AX516" s="1074">
        <f t="shared" si="298"/>
        <v>0</v>
      </c>
      <c r="AY516" s="2279">
        <f t="shared" si="273"/>
        <v>0</v>
      </c>
      <c r="AZ516" s="2675">
        <f t="shared" si="274"/>
        <v>0</v>
      </c>
      <c r="BA516" s="2675">
        <f t="shared" si="275"/>
        <v>0</v>
      </c>
      <c r="BB516" s="2675">
        <f t="shared" si="276"/>
        <v>0</v>
      </c>
      <c r="BC516" s="2675">
        <f t="shared" si="277"/>
        <v>0</v>
      </c>
      <c r="BD516" s="2675">
        <f t="shared" si="278"/>
        <v>0</v>
      </c>
      <c r="BE516" s="2675">
        <f t="shared" si="279"/>
        <v>0</v>
      </c>
      <c r="BF516" s="2675">
        <f t="shared" si="280"/>
        <v>0</v>
      </c>
      <c r="BG516" s="2675">
        <f t="shared" si="281"/>
        <v>0</v>
      </c>
      <c r="BH516" s="2675">
        <f t="shared" si="282"/>
        <v>0</v>
      </c>
      <c r="BI516" s="2675">
        <f t="shared" si="283"/>
        <v>0</v>
      </c>
      <c r="BJ516" s="2675">
        <f t="shared" si="284"/>
        <v>0</v>
      </c>
      <c r="BK516" s="2675">
        <f t="shared" si="285"/>
        <v>0</v>
      </c>
      <c r="BL516" s="2675">
        <f t="shared" si="286"/>
        <v>0</v>
      </c>
      <c r="BM516" s="2675">
        <f t="shared" si="287"/>
        <v>0</v>
      </c>
      <c r="BN516" s="2675">
        <f t="shared" si="288"/>
        <v>0</v>
      </c>
      <c r="BO516" s="2675">
        <f t="shared" si="289"/>
        <v>0</v>
      </c>
      <c r="BP516" s="2675">
        <f t="shared" si="290"/>
        <v>0</v>
      </c>
      <c r="BQ516" s="2675">
        <f t="shared" si="291"/>
        <v>0</v>
      </c>
      <c r="BR516" s="2675">
        <f t="shared" si="292"/>
        <v>0</v>
      </c>
      <c r="BS516" s="2675">
        <f t="shared" si="293"/>
        <v>0</v>
      </c>
      <c r="BT516" s="2722">
        <f t="shared" si="294"/>
        <v>0</v>
      </c>
    </row>
    <row r="517" spans="1:72">
      <c r="A517" s="2673"/>
      <c r="B517" s="2674"/>
      <c r="C517" s="2674"/>
      <c r="D517" s="2277"/>
      <c r="E517" s="2675">
        <f t="shared" si="295"/>
        <v>0</v>
      </c>
      <c r="F517" s="2676"/>
      <c r="G517" s="2677">
        <f t="shared" si="270"/>
        <v>0</v>
      </c>
      <c r="H517" s="2678">
        <f t="shared" si="271"/>
        <v>0</v>
      </c>
      <c r="I517" s="2685"/>
      <c r="J517" s="2685"/>
      <c r="K517" s="2685"/>
      <c r="L517" s="2685"/>
      <c r="M517" s="2685"/>
      <c r="N517" s="2685"/>
      <c r="O517" s="2685"/>
      <c r="P517" s="2685"/>
      <c r="Q517" s="2685"/>
      <c r="R517" s="2685"/>
      <c r="S517" s="2685"/>
      <c r="T517" s="2685"/>
      <c r="U517" s="2685"/>
      <c r="V517" s="2685"/>
      <c r="W517" s="2685"/>
      <c r="X517" s="2685"/>
      <c r="Y517" s="2685"/>
      <c r="Z517" s="2685"/>
      <c r="AA517" s="2685"/>
      <c r="AB517" s="2685"/>
      <c r="AC517" s="2675">
        <f t="shared" si="272"/>
        <v>0</v>
      </c>
      <c r="AD517" s="2695"/>
      <c r="AE517" s="2695"/>
      <c r="AF517" s="2695"/>
      <c r="AG517" s="2695"/>
      <c r="AH517" s="2695"/>
      <c r="AI517" s="2695"/>
      <c r="AJ517" s="2695"/>
      <c r="AK517" s="2695"/>
      <c r="AL517" s="2695"/>
      <c r="AM517" s="2695"/>
      <c r="AN517" s="2695"/>
      <c r="AO517" s="2695"/>
      <c r="AP517" s="2695"/>
      <c r="AQ517" s="2695"/>
      <c r="AR517" s="2695"/>
      <c r="AS517" s="2695"/>
      <c r="AT517" s="2703"/>
      <c r="AU517" s="2704"/>
      <c r="AV517" s="1074">
        <f t="shared" si="296"/>
        <v>0</v>
      </c>
      <c r="AW517" s="1074">
        <f t="shared" si="297"/>
        <v>0</v>
      </c>
      <c r="AX517" s="1074">
        <f t="shared" si="298"/>
        <v>0</v>
      </c>
      <c r="AY517" s="2279">
        <f t="shared" si="273"/>
        <v>0</v>
      </c>
      <c r="AZ517" s="2675">
        <f t="shared" si="274"/>
        <v>0</v>
      </c>
      <c r="BA517" s="2675">
        <f t="shared" si="275"/>
        <v>0</v>
      </c>
      <c r="BB517" s="2675">
        <f t="shared" si="276"/>
        <v>0</v>
      </c>
      <c r="BC517" s="2675">
        <f t="shared" si="277"/>
        <v>0</v>
      </c>
      <c r="BD517" s="2675">
        <f t="shared" si="278"/>
        <v>0</v>
      </c>
      <c r="BE517" s="2675">
        <f t="shared" si="279"/>
        <v>0</v>
      </c>
      <c r="BF517" s="2675">
        <f t="shared" si="280"/>
        <v>0</v>
      </c>
      <c r="BG517" s="2675">
        <f t="shared" si="281"/>
        <v>0</v>
      </c>
      <c r="BH517" s="2675">
        <f t="shared" si="282"/>
        <v>0</v>
      </c>
      <c r="BI517" s="2675">
        <f t="shared" si="283"/>
        <v>0</v>
      </c>
      <c r="BJ517" s="2675">
        <f t="shared" si="284"/>
        <v>0</v>
      </c>
      <c r="BK517" s="2675">
        <f t="shared" si="285"/>
        <v>0</v>
      </c>
      <c r="BL517" s="2675">
        <f t="shared" si="286"/>
        <v>0</v>
      </c>
      <c r="BM517" s="2675">
        <f t="shared" si="287"/>
        <v>0</v>
      </c>
      <c r="BN517" s="2675">
        <f t="shared" si="288"/>
        <v>0</v>
      </c>
      <c r="BO517" s="2675">
        <f t="shared" si="289"/>
        <v>0</v>
      </c>
      <c r="BP517" s="2675">
        <f t="shared" si="290"/>
        <v>0</v>
      </c>
      <c r="BQ517" s="2675">
        <f t="shared" si="291"/>
        <v>0</v>
      </c>
      <c r="BR517" s="2675">
        <f t="shared" si="292"/>
        <v>0</v>
      </c>
      <c r="BS517" s="2675">
        <f t="shared" si="293"/>
        <v>0</v>
      </c>
      <c r="BT517" s="2722">
        <f t="shared" si="294"/>
        <v>0</v>
      </c>
    </row>
    <row r="518" spans="1:72">
      <c r="A518" s="2673"/>
      <c r="B518" s="2674"/>
      <c r="C518" s="2674"/>
      <c r="D518" s="2277"/>
      <c r="E518" s="2675">
        <f t="shared" si="295"/>
        <v>0</v>
      </c>
      <c r="F518" s="2676"/>
      <c r="G518" s="2677">
        <f t="shared" si="270"/>
        <v>0</v>
      </c>
      <c r="H518" s="2678">
        <f t="shared" si="271"/>
        <v>0</v>
      </c>
      <c r="I518" s="2685"/>
      <c r="J518" s="2685"/>
      <c r="K518" s="2685"/>
      <c r="L518" s="2685"/>
      <c r="M518" s="2685"/>
      <c r="N518" s="2685"/>
      <c r="O518" s="2685"/>
      <c r="P518" s="2685"/>
      <c r="Q518" s="2685"/>
      <c r="R518" s="2685"/>
      <c r="S518" s="2685"/>
      <c r="T518" s="2685"/>
      <c r="U518" s="2685"/>
      <c r="V518" s="2685"/>
      <c r="W518" s="2685"/>
      <c r="X518" s="2685"/>
      <c r="Y518" s="2685"/>
      <c r="Z518" s="2685"/>
      <c r="AA518" s="2685"/>
      <c r="AB518" s="2685"/>
      <c r="AC518" s="2675">
        <f t="shared" si="272"/>
        <v>0</v>
      </c>
      <c r="AD518" s="2695"/>
      <c r="AE518" s="2695"/>
      <c r="AF518" s="2695"/>
      <c r="AG518" s="2695"/>
      <c r="AH518" s="2695"/>
      <c r="AI518" s="2695"/>
      <c r="AJ518" s="2695"/>
      <c r="AK518" s="2695"/>
      <c r="AL518" s="2695"/>
      <c r="AM518" s="2695"/>
      <c r="AN518" s="2695"/>
      <c r="AO518" s="2695"/>
      <c r="AP518" s="2695"/>
      <c r="AQ518" s="2695"/>
      <c r="AR518" s="2695"/>
      <c r="AS518" s="2695"/>
      <c r="AT518" s="2703"/>
      <c r="AU518" s="2704"/>
      <c r="AV518" s="1074">
        <f t="shared" si="296"/>
        <v>0</v>
      </c>
      <c r="AW518" s="1074">
        <f t="shared" si="297"/>
        <v>0</v>
      </c>
      <c r="AX518" s="1074">
        <f t="shared" si="298"/>
        <v>0</v>
      </c>
      <c r="AY518" s="2279">
        <f t="shared" si="273"/>
        <v>0</v>
      </c>
      <c r="AZ518" s="2675">
        <f t="shared" si="274"/>
        <v>0</v>
      </c>
      <c r="BA518" s="2675">
        <f t="shared" si="275"/>
        <v>0</v>
      </c>
      <c r="BB518" s="2675">
        <f t="shared" si="276"/>
        <v>0</v>
      </c>
      <c r="BC518" s="2675">
        <f t="shared" si="277"/>
        <v>0</v>
      </c>
      <c r="BD518" s="2675">
        <f t="shared" si="278"/>
        <v>0</v>
      </c>
      <c r="BE518" s="2675">
        <f t="shared" si="279"/>
        <v>0</v>
      </c>
      <c r="BF518" s="2675">
        <f t="shared" si="280"/>
        <v>0</v>
      </c>
      <c r="BG518" s="2675">
        <f t="shared" si="281"/>
        <v>0</v>
      </c>
      <c r="BH518" s="2675">
        <f t="shared" si="282"/>
        <v>0</v>
      </c>
      <c r="BI518" s="2675">
        <f t="shared" si="283"/>
        <v>0</v>
      </c>
      <c r="BJ518" s="2675">
        <f t="shared" si="284"/>
        <v>0</v>
      </c>
      <c r="BK518" s="2675">
        <f t="shared" si="285"/>
        <v>0</v>
      </c>
      <c r="BL518" s="2675">
        <f t="shared" si="286"/>
        <v>0</v>
      </c>
      <c r="BM518" s="2675">
        <f t="shared" si="287"/>
        <v>0</v>
      </c>
      <c r="BN518" s="2675">
        <f t="shared" si="288"/>
        <v>0</v>
      </c>
      <c r="BO518" s="2675">
        <f t="shared" si="289"/>
        <v>0</v>
      </c>
      <c r="BP518" s="2675">
        <f t="shared" si="290"/>
        <v>0</v>
      </c>
      <c r="BQ518" s="2675">
        <f t="shared" si="291"/>
        <v>0</v>
      </c>
      <c r="BR518" s="2675">
        <f t="shared" si="292"/>
        <v>0</v>
      </c>
      <c r="BS518" s="2675">
        <f t="shared" si="293"/>
        <v>0</v>
      </c>
      <c r="BT518" s="2722">
        <f t="shared" si="294"/>
        <v>0</v>
      </c>
    </row>
    <row r="519" spans="1:72">
      <c r="A519" s="2673"/>
      <c r="B519" s="2674"/>
      <c r="C519" s="2674"/>
      <c r="D519" s="2277"/>
      <c r="E519" s="2675">
        <f t="shared" si="295"/>
        <v>0</v>
      </c>
      <c r="F519" s="2676"/>
      <c r="G519" s="2677">
        <f t="shared" si="270"/>
        <v>0</v>
      </c>
      <c r="H519" s="2678">
        <f t="shared" si="271"/>
        <v>0</v>
      </c>
      <c r="I519" s="2685"/>
      <c r="J519" s="2685"/>
      <c r="K519" s="2685"/>
      <c r="L519" s="2685"/>
      <c r="M519" s="2685"/>
      <c r="N519" s="2685"/>
      <c r="O519" s="2685"/>
      <c r="P519" s="2685"/>
      <c r="Q519" s="2685"/>
      <c r="R519" s="2685"/>
      <c r="S519" s="2685"/>
      <c r="T519" s="2685"/>
      <c r="U519" s="2685"/>
      <c r="V519" s="2685"/>
      <c r="W519" s="2685"/>
      <c r="X519" s="2685"/>
      <c r="Y519" s="2685"/>
      <c r="Z519" s="2685"/>
      <c r="AA519" s="2685"/>
      <c r="AB519" s="2685"/>
      <c r="AC519" s="2675">
        <f t="shared" si="272"/>
        <v>0</v>
      </c>
      <c r="AD519" s="2695"/>
      <c r="AE519" s="2695"/>
      <c r="AF519" s="2695"/>
      <c r="AG519" s="2695"/>
      <c r="AH519" s="2695"/>
      <c r="AI519" s="2695"/>
      <c r="AJ519" s="2695"/>
      <c r="AK519" s="2695"/>
      <c r="AL519" s="2695"/>
      <c r="AM519" s="2695"/>
      <c r="AN519" s="2695"/>
      <c r="AO519" s="2695"/>
      <c r="AP519" s="2695"/>
      <c r="AQ519" s="2695"/>
      <c r="AR519" s="2695"/>
      <c r="AS519" s="2695"/>
      <c r="AT519" s="2703"/>
      <c r="AU519" s="2704"/>
      <c r="AV519" s="1074">
        <f t="shared" si="296"/>
        <v>0</v>
      </c>
      <c r="AW519" s="1074">
        <f t="shared" si="297"/>
        <v>0</v>
      </c>
      <c r="AX519" s="1074">
        <f t="shared" si="298"/>
        <v>0</v>
      </c>
      <c r="AY519" s="2279">
        <f t="shared" si="273"/>
        <v>0</v>
      </c>
      <c r="AZ519" s="2675">
        <f t="shared" si="274"/>
        <v>0</v>
      </c>
      <c r="BA519" s="2675">
        <f t="shared" si="275"/>
        <v>0</v>
      </c>
      <c r="BB519" s="2675">
        <f t="shared" si="276"/>
        <v>0</v>
      </c>
      <c r="BC519" s="2675">
        <f t="shared" si="277"/>
        <v>0</v>
      </c>
      <c r="BD519" s="2675">
        <f t="shared" si="278"/>
        <v>0</v>
      </c>
      <c r="BE519" s="2675">
        <f t="shared" si="279"/>
        <v>0</v>
      </c>
      <c r="BF519" s="2675">
        <f t="shared" si="280"/>
        <v>0</v>
      </c>
      <c r="BG519" s="2675">
        <f t="shared" si="281"/>
        <v>0</v>
      </c>
      <c r="BH519" s="2675">
        <f t="shared" si="282"/>
        <v>0</v>
      </c>
      <c r="BI519" s="2675">
        <f t="shared" si="283"/>
        <v>0</v>
      </c>
      <c r="BJ519" s="2675">
        <f t="shared" si="284"/>
        <v>0</v>
      </c>
      <c r="BK519" s="2675">
        <f t="shared" si="285"/>
        <v>0</v>
      </c>
      <c r="BL519" s="2675">
        <f t="shared" si="286"/>
        <v>0</v>
      </c>
      <c r="BM519" s="2675">
        <f t="shared" si="287"/>
        <v>0</v>
      </c>
      <c r="BN519" s="2675">
        <f t="shared" si="288"/>
        <v>0</v>
      </c>
      <c r="BO519" s="2675">
        <f t="shared" si="289"/>
        <v>0</v>
      </c>
      <c r="BP519" s="2675">
        <f t="shared" si="290"/>
        <v>0</v>
      </c>
      <c r="BQ519" s="2675">
        <f t="shared" si="291"/>
        <v>0</v>
      </c>
      <c r="BR519" s="2675">
        <f t="shared" si="292"/>
        <v>0</v>
      </c>
      <c r="BS519" s="2675">
        <f t="shared" si="293"/>
        <v>0</v>
      </c>
      <c r="BT519" s="2722">
        <f t="shared" si="294"/>
        <v>0</v>
      </c>
    </row>
    <row r="520" spans="1:72">
      <c r="A520" s="2673"/>
      <c r="B520" s="2674"/>
      <c r="C520" s="2674"/>
      <c r="D520" s="2277"/>
      <c r="E520" s="2675">
        <f t="shared" ref="E520:E551" si="299">IF($C$3="是",ROUND($A$3*G520/$B$3,2),ROUND($A$3*(G520-AT520)/$B$3,2))</f>
        <v>0</v>
      </c>
      <c r="F520" s="2676"/>
      <c r="G520" s="2677">
        <f t="shared" si="270"/>
        <v>0</v>
      </c>
      <c r="H520" s="2678">
        <f t="shared" si="271"/>
        <v>0</v>
      </c>
      <c r="I520" s="2685"/>
      <c r="J520" s="2685"/>
      <c r="K520" s="2685"/>
      <c r="L520" s="2685"/>
      <c r="M520" s="2685"/>
      <c r="N520" s="2685"/>
      <c r="O520" s="2685"/>
      <c r="P520" s="2685"/>
      <c r="Q520" s="2685"/>
      <c r="R520" s="2685"/>
      <c r="S520" s="2685"/>
      <c r="T520" s="2685"/>
      <c r="U520" s="2685"/>
      <c r="V520" s="2685"/>
      <c r="W520" s="2685"/>
      <c r="X520" s="2685"/>
      <c r="Y520" s="2685"/>
      <c r="Z520" s="2685"/>
      <c r="AA520" s="2685"/>
      <c r="AB520" s="2685"/>
      <c r="AC520" s="2675">
        <f t="shared" si="272"/>
        <v>0</v>
      </c>
      <c r="AD520" s="2695"/>
      <c r="AE520" s="2695"/>
      <c r="AF520" s="2695"/>
      <c r="AG520" s="2695"/>
      <c r="AH520" s="2695"/>
      <c r="AI520" s="2695"/>
      <c r="AJ520" s="2695"/>
      <c r="AK520" s="2695"/>
      <c r="AL520" s="2695"/>
      <c r="AM520" s="2695"/>
      <c r="AN520" s="2695"/>
      <c r="AO520" s="2695"/>
      <c r="AP520" s="2695"/>
      <c r="AQ520" s="2695"/>
      <c r="AR520" s="2695"/>
      <c r="AS520" s="2695"/>
      <c r="AT520" s="2703"/>
      <c r="AU520" s="2704"/>
      <c r="AV520" s="1074">
        <f t="shared" si="296"/>
        <v>0</v>
      </c>
      <c r="AW520" s="1074">
        <f t="shared" si="297"/>
        <v>0</v>
      </c>
      <c r="AX520" s="1074">
        <f t="shared" si="298"/>
        <v>0</v>
      </c>
      <c r="AY520" s="2279">
        <f t="shared" si="273"/>
        <v>0</v>
      </c>
      <c r="AZ520" s="2675">
        <f t="shared" si="274"/>
        <v>0</v>
      </c>
      <c r="BA520" s="2675">
        <f t="shared" si="275"/>
        <v>0</v>
      </c>
      <c r="BB520" s="2675">
        <f t="shared" si="276"/>
        <v>0</v>
      </c>
      <c r="BC520" s="2675">
        <f t="shared" si="277"/>
        <v>0</v>
      </c>
      <c r="BD520" s="2675">
        <f t="shared" si="278"/>
        <v>0</v>
      </c>
      <c r="BE520" s="2675">
        <f t="shared" si="279"/>
        <v>0</v>
      </c>
      <c r="BF520" s="2675">
        <f t="shared" si="280"/>
        <v>0</v>
      </c>
      <c r="BG520" s="2675">
        <f t="shared" si="281"/>
        <v>0</v>
      </c>
      <c r="BH520" s="2675">
        <f t="shared" si="282"/>
        <v>0</v>
      </c>
      <c r="BI520" s="2675">
        <f t="shared" si="283"/>
        <v>0</v>
      </c>
      <c r="BJ520" s="2675">
        <f t="shared" si="284"/>
        <v>0</v>
      </c>
      <c r="BK520" s="2675">
        <f t="shared" si="285"/>
        <v>0</v>
      </c>
      <c r="BL520" s="2675">
        <f t="shared" si="286"/>
        <v>0</v>
      </c>
      <c r="BM520" s="2675">
        <f t="shared" si="287"/>
        <v>0</v>
      </c>
      <c r="BN520" s="2675">
        <f t="shared" si="288"/>
        <v>0</v>
      </c>
      <c r="BO520" s="2675">
        <f t="shared" si="289"/>
        <v>0</v>
      </c>
      <c r="BP520" s="2675">
        <f t="shared" si="290"/>
        <v>0</v>
      </c>
      <c r="BQ520" s="2675">
        <f t="shared" si="291"/>
        <v>0</v>
      </c>
      <c r="BR520" s="2675">
        <f t="shared" si="292"/>
        <v>0</v>
      </c>
      <c r="BS520" s="2675">
        <f t="shared" si="293"/>
        <v>0</v>
      </c>
      <c r="BT520" s="2722">
        <f t="shared" si="294"/>
        <v>0</v>
      </c>
    </row>
    <row r="521" spans="1:72">
      <c r="A521" s="2673"/>
      <c r="B521" s="2674"/>
      <c r="C521" s="2674"/>
      <c r="D521" s="2277"/>
      <c r="E521" s="2675">
        <f t="shared" si="299"/>
        <v>0</v>
      </c>
      <c r="F521" s="2676"/>
      <c r="G521" s="2677">
        <f t="shared" si="270"/>
        <v>0</v>
      </c>
      <c r="H521" s="2678">
        <f t="shared" si="271"/>
        <v>0</v>
      </c>
      <c r="I521" s="2685"/>
      <c r="J521" s="2685"/>
      <c r="K521" s="2685"/>
      <c r="L521" s="2685"/>
      <c r="M521" s="2685"/>
      <c r="N521" s="2685"/>
      <c r="O521" s="2685"/>
      <c r="P521" s="2685"/>
      <c r="Q521" s="2685"/>
      <c r="R521" s="2685"/>
      <c r="S521" s="2685"/>
      <c r="T521" s="2685"/>
      <c r="U521" s="2685"/>
      <c r="V521" s="2685"/>
      <c r="W521" s="2685"/>
      <c r="X521" s="2685"/>
      <c r="Y521" s="2685"/>
      <c r="Z521" s="2685"/>
      <c r="AA521" s="2685"/>
      <c r="AB521" s="2685"/>
      <c r="AC521" s="2675">
        <f t="shared" si="272"/>
        <v>0</v>
      </c>
      <c r="AD521" s="2695"/>
      <c r="AE521" s="2695"/>
      <c r="AF521" s="2695"/>
      <c r="AG521" s="2695"/>
      <c r="AH521" s="2695"/>
      <c r="AI521" s="2695"/>
      <c r="AJ521" s="2695"/>
      <c r="AK521" s="2695"/>
      <c r="AL521" s="2695"/>
      <c r="AM521" s="2695"/>
      <c r="AN521" s="2695"/>
      <c r="AO521" s="2695"/>
      <c r="AP521" s="2695"/>
      <c r="AQ521" s="2695"/>
      <c r="AR521" s="2695"/>
      <c r="AS521" s="2695"/>
      <c r="AT521" s="2703"/>
      <c r="AU521" s="2704"/>
      <c r="AV521" s="1074">
        <f t="shared" ref="AV521:AV552" si="300">A521</f>
        <v>0</v>
      </c>
      <c r="AW521" s="1074">
        <f t="shared" ref="AW521:AW552" si="301">B521</f>
        <v>0</v>
      </c>
      <c r="AX521" s="1074">
        <f t="shared" ref="AX521:AX552" si="302">C521</f>
        <v>0</v>
      </c>
      <c r="AY521" s="2279">
        <f t="shared" si="273"/>
        <v>0</v>
      </c>
      <c r="AZ521" s="2675">
        <f t="shared" si="274"/>
        <v>0</v>
      </c>
      <c r="BA521" s="2675">
        <f t="shared" si="275"/>
        <v>0</v>
      </c>
      <c r="BB521" s="2675">
        <f t="shared" si="276"/>
        <v>0</v>
      </c>
      <c r="BC521" s="2675">
        <f t="shared" si="277"/>
        <v>0</v>
      </c>
      <c r="BD521" s="2675">
        <f t="shared" si="278"/>
        <v>0</v>
      </c>
      <c r="BE521" s="2675">
        <f t="shared" si="279"/>
        <v>0</v>
      </c>
      <c r="BF521" s="2675">
        <f t="shared" si="280"/>
        <v>0</v>
      </c>
      <c r="BG521" s="2675">
        <f t="shared" si="281"/>
        <v>0</v>
      </c>
      <c r="BH521" s="2675">
        <f t="shared" si="282"/>
        <v>0</v>
      </c>
      <c r="BI521" s="2675">
        <f t="shared" si="283"/>
        <v>0</v>
      </c>
      <c r="BJ521" s="2675">
        <f t="shared" si="284"/>
        <v>0</v>
      </c>
      <c r="BK521" s="2675">
        <f t="shared" si="285"/>
        <v>0</v>
      </c>
      <c r="BL521" s="2675">
        <f t="shared" si="286"/>
        <v>0</v>
      </c>
      <c r="BM521" s="2675">
        <f t="shared" si="287"/>
        <v>0</v>
      </c>
      <c r="BN521" s="2675">
        <f t="shared" si="288"/>
        <v>0</v>
      </c>
      <c r="BO521" s="2675">
        <f t="shared" si="289"/>
        <v>0</v>
      </c>
      <c r="BP521" s="2675">
        <f t="shared" si="290"/>
        <v>0</v>
      </c>
      <c r="BQ521" s="2675">
        <f t="shared" si="291"/>
        <v>0</v>
      </c>
      <c r="BR521" s="2675">
        <f t="shared" si="292"/>
        <v>0</v>
      </c>
      <c r="BS521" s="2675">
        <f t="shared" si="293"/>
        <v>0</v>
      </c>
      <c r="BT521" s="2722">
        <f t="shared" si="294"/>
        <v>0</v>
      </c>
    </row>
    <row r="522" spans="1:72">
      <c r="A522" s="2673"/>
      <c r="B522" s="2674"/>
      <c r="C522" s="2674"/>
      <c r="D522" s="2277"/>
      <c r="E522" s="2675">
        <f t="shared" si="299"/>
        <v>0</v>
      </c>
      <c r="F522" s="2676"/>
      <c r="G522" s="2677">
        <f t="shared" ref="G522:G552" si="303">H522+AC522+AT522</f>
        <v>0</v>
      </c>
      <c r="H522" s="2678">
        <f t="shared" ref="H522:H552" si="304">SUMIF(I$12:AB$12,"总值",I522:AB522)</f>
        <v>0</v>
      </c>
      <c r="I522" s="2685"/>
      <c r="J522" s="2685"/>
      <c r="K522" s="2685"/>
      <c r="L522" s="2685"/>
      <c r="M522" s="2685"/>
      <c r="N522" s="2685"/>
      <c r="O522" s="2685"/>
      <c r="P522" s="2685"/>
      <c r="Q522" s="2685"/>
      <c r="R522" s="2685"/>
      <c r="S522" s="2685"/>
      <c r="T522" s="2685"/>
      <c r="U522" s="2685"/>
      <c r="V522" s="2685"/>
      <c r="W522" s="2685"/>
      <c r="X522" s="2685"/>
      <c r="Y522" s="2685"/>
      <c r="Z522" s="2685"/>
      <c r="AA522" s="2685"/>
      <c r="AB522" s="2685"/>
      <c r="AC522" s="2675">
        <f t="shared" ref="AC522:AC552" si="305">SUMIF(AD$12:AS$12,"总值",AD522:AS522)</f>
        <v>0</v>
      </c>
      <c r="AD522" s="2695"/>
      <c r="AE522" s="2695"/>
      <c r="AF522" s="2695"/>
      <c r="AG522" s="2695"/>
      <c r="AH522" s="2695"/>
      <c r="AI522" s="2695"/>
      <c r="AJ522" s="2695"/>
      <c r="AK522" s="2695"/>
      <c r="AL522" s="2695"/>
      <c r="AM522" s="2695"/>
      <c r="AN522" s="2695"/>
      <c r="AO522" s="2695"/>
      <c r="AP522" s="2695"/>
      <c r="AQ522" s="2695"/>
      <c r="AR522" s="2695"/>
      <c r="AS522" s="2695"/>
      <c r="AT522" s="2703"/>
      <c r="AU522" s="2704"/>
      <c r="AV522" s="1074">
        <f t="shared" si="300"/>
        <v>0</v>
      </c>
      <c r="AW522" s="1074">
        <f t="shared" si="301"/>
        <v>0</v>
      </c>
      <c r="AX522" s="1074">
        <f t="shared" si="302"/>
        <v>0</v>
      </c>
      <c r="AY522" s="2279">
        <f t="shared" ref="AY522:AY552" si="306">ROUND($AY$6*AZ522/$AZ$5,2)</f>
        <v>0</v>
      </c>
      <c r="AZ522" s="2675">
        <f t="shared" ref="AZ522:AZ552" si="307">BA522+BL522</f>
        <v>0</v>
      </c>
      <c r="BA522" s="2675">
        <f t="shared" ref="BA522:BA552" si="308">SUM(BB522:BK522)</f>
        <v>0</v>
      </c>
      <c r="BB522" s="2675">
        <f t="shared" ref="BB522:BB552" si="309">IF($D522="是",I522-J522,0)</f>
        <v>0</v>
      </c>
      <c r="BC522" s="2675">
        <f t="shared" ref="BC522:BC552" si="310">IF($D522="是",K522-L522,0)</f>
        <v>0</v>
      </c>
      <c r="BD522" s="2675">
        <f t="shared" ref="BD522:BD552" si="311">IF($D522="是",M522-N522,0)</f>
        <v>0</v>
      </c>
      <c r="BE522" s="2675">
        <f t="shared" ref="BE522:BE552" si="312">IF($D522="是",O522-P522,0)</f>
        <v>0</v>
      </c>
      <c r="BF522" s="2675">
        <f t="shared" ref="BF522:BF552" si="313">IF($D522="是",Q522-R522,0)</f>
        <v>0</v>
      </c>
      <c r="BG522" s="2675">
        <f t="shared" ref="BG522:BG552" si="314">IF($D522="是",S522-T522,0)</f>
        <v>0</v>
      </c>
      <c r="BH522" s="2675">
        <f t="shared" ref="BH522:BH552" si="315">IF($D522="是",U522-V522,0)</f>
        <v>0</v>
      </c>
      <c r="BI522" s="2675">
        <f t="shared" ref="BI522:BI552" si="316">IF($D522="是",W522-X522,0)</f>
        <v>0</v>
      </c>
      <c r="BJ522" s="2675">
        <f t="shared" ref="BJ522:BJ552" si="317">IF($D522="是",Y522-Z522,0)</f>
        <v>0</v>
      </c>
      <c r="BK522" s="2675">
        <f t="shared" ref="BK522:BK552" si="318">IF($D522="是",AA522-AB522,0)</f>
        <v>0</v>
      </c>
      <c r="BL522" s="2675">
        <f t="shared" ref="BL522:BL552" si="319">SUM(BM522:BT522)</f>
        <v>0</v>
      </c>
      <c r="BM522" s="2675">
        <f t="shared" ref="BM522:BM552" si="320">IF($D522="是",AD522-AE522,0)</f>
        <v>0</v>
      </c>
      <c r="BN522" s="2675">
        <f t="shared" ref="BN522:BN552" si="321">IF($D522="是",AF522-AG522,0)</f>
        <v>0</v>
      </c>
      <c r="BO522" s="2675">
        <f t="shared" ref="BO522:BO552" si="322">IF($D522="是",AH522-AI522,0)</f>
        <v>0</v>
      </c>
      <c r="BP522" s="2675">
        <f t="shared" ref="BP522:BP552" si="323">IF($D522="是",AJ522-AK522,0)</f>
        <v>0</v>
      </c>
      <c r="BQ522" s="2675">
        <f t="shared" ref="BQ522:BQ552" si="324">IF($D522="是",AL522-AM522,0)</f>
        <v>0</v>
      </c>
      <c r="BR522" s="2675">
        <f t="shared" ref="BR522:BR552" si="325">IF($D522="是",AN522-AO522,0)</f>
        <v>0</v>
      </c>
      <c r="BS522" s="2675">
        <f t="shared" ref="BS522:BS552" si="326">IF($D522="是",AP522-AQ522,0)</f>
        <v>0</v>
      </c>
      <c r="BT522" s="2722">
        <f t="shared" ref="BT522:BT552" si="327">IF($D522="是",AR522-AS522,0)</f>
        <v>0</v>
      </c>
    </row>
    <row r="523" spans="1:72">
      <c r="A523" s="2673"/>
      <c r="B523" s="2674"/>
      <c r="C523" s="2674"/>
      <c r="D523" s="2277"/>
      <c r="E523" s="2675">
        <f t="shared" si="299"/>
        <v>0</v>
      </c>
      <c r="F523" s="2676"/>
      <c r="G523" s="2677">
        <f t="shared" si="303"/>
        <v>0</v>
      </c>
      <c r="H523" s="2678">
        <f t="shared" si="304"/>
        <v>0</v>
      </c>
      <c r="I523" s="2685"/>
      <c r="J523" s="2685"/>
      <c r="K523" s="2685"/>
      <c r="L523" s="2685"/>
      <c r="M523" s="2685"/>
      <c r="N523" s="2685"/>
      <c r="O523" s="2685"/>
      <c r="P523" s="2685"/>
      <c r="Q523" s="2685"/>
      <c r="R523" s="2685"/>
      <c r="S523" s="2685"/>
      <c r="T523" s="2685"/>
      <c r="U523" s="2685"/>
      <c r="V523" s="2685"/>
      <c r="W523" s="2685"/>
      <c r="X523" s="2685"/>
      <c r="Y523" s="2685"/>
      <c r="Z523" s="2685"/>
      <c r="AA523" s="2685"/>
      <c r="AB523" s="2685"/>
      <c r="AC523" s="2675">
        <f t="shared" si="305"/>
        <v>0</v>
      </c>
      <c r="AD523" s="2695"/>
      <c r="AE523" s="2695"/>
      <c r="AF523" s="2695"/>
      <c r="AG523" s="2695"/>
      <c r="AH523" s="2695"/>
      <c r="AI523" s="2695"/>
      <c r="AJ523" s="2695"/>
      <c r="AK523" s="2695"/>
      <c r="AL523" s="2695"/>
      <c r="AM523" s="2695"/>
      <c r="AN523" s="2695"/>
      <c r="AO523" s="2695"/>
      <c r="AP523" s="2695"/>
      <c r="AQ523" s="2695"/>
      <c r="AR523" s="2695"/>
      <c r="AS523" s="2695"/>
      <c r="AT523" s="2703"/>
      <c r="AU523" s="2704"/>
      <c r="AV523" s="1074">
        <f t="shared" si="300"/>
        <v>0</v>
      </c>
      <c r="AW523" s="1074">
        <f t="shared" si="301"/>
        <v>0</v>
      </c>
      <c r="AX523" s="1074">
        <f t="shared" si="302"/>
        <v>0</v>
      </c>
      <c r="AY523" s="2279">
        <f t="shared" si="306"/>
        <v>0</v>
      </c>
      <c r="AZ523" s="2675">
        <f t="shared" si="307"/>
        <v>0</v>
      </c>
      <c r="BA523" s="2675">
        <f t="shared" si="308"/>
        <v>0</v>
      </c>
      <c r="BB523" s="2675">
        <f t="shared" si="309"/>
        <v>0</v>
      </c>
      <c r="BC523" s="2675">
        <f t="shared" si="310"/>
        <v>0</v>
      </c>
      <c r="BD523" s="2675">
        <f t="shared" si="311"/>
        <v>0</v>
      </c>
      <c r="BE523" s="2675">
        <f t="shared" si="312"/>
        <v>0</v>
      </c>
      <c r="BF523" s="2675">
        <f t="shared" si="313"/>
        <v>0</v>
      </c>
      <c r="BG523" s="2675">
        <f t="shared" si="314"/>
        <v>0</v>
      </c>
      <c r="BH523" s="2675">
        <f t="shared" si="315"/>
        <v>0</v>
      </c>
      <c r="BI523" s="2675">
        <f t="shared" si="316"/>
        <v>0</v>
      </c>
      <c r="BJ523" s="2675">
        <f t="shared" si="317"/>
        <v>0</v>
      </c>
      <c r="BK523" s="2675">
        <f t="shared" si="318"/>
        <v>0</v>
      </c>
      <c r="BL523" s="2675">
        <f t="shared" si="319"/>
        <v>0</v>
      </c>
      <c r="BM523" s="2675">
        <f t="shared" si="320"/>
        <v>0</v>
      </c>
      <c r="BN523" s="2675">
        <f t="shared" si="321"/>
        <v>0</v>
      </c>
      <c r="BO523" s="2675">
        <f t="shared" si="322"/>
        <v>0</v>
      </c>
      <c r="BP523" s="2675">
        <f t="shared" si="323"/>
        <v>0</v>
      </c>
      <c r="BQ523" s="2675">
        <f t="shared" si="324"/>
        <v>0</v>
      </c>
      <c r="BR523" s="2675">
        <f t="shared" si="325"/>
        <v>0</v>
      </c>
      <c r="BS523" s="2675">
        <f t="shared" si="326"/>
        <v>0</v>
      </c>
      <c r="BT523" s="2722">
        <f t="shared" si="327"/>
        <v>0</v>
      </c>
    </row>
    <row r="524" spans="1:72">
      <c r="A524" s="2673"/>
      <c r="B524" s="2674"/>
      <c r="C524" s="2674"/>
      <c r="D524" s="2277"/>
      <c r="E524" s="2675">
        <f t="shared" si="299"/>
        <v>0</v>
      </c>
      <c r="F524" s="2676"/>
      <c r="G524" s="2677">
        <f t="shared" si="303"/>
        <v>0</v>
      </c>
      <c r="H524" s="2678">
        <f t="shared" si="304"/>
        <v>0</v>
      </c>
      <c r="I524" s="2685"/>
      <c r="J524" s="2685"/>
      <c r="K524" s="2685"/>
      <c r="L524" s="2685"/>
      <c r="M524" s="2685"/>
      <c r="N524" s="2685"/>
      <c r="O524" s="2685"/>
      <c r="P524" s="2685"/>
      <c r="Q524" s="2685"/>
      <c r="R524" s="2685"/>
      <c r="S524" s="2685"/>
      <c r="T524" s="2685"/>
      <c r="U524" s="2685"/>
      <c r="V524" s="2685"/>
      <c r="W524" s="2685"/>
      <c r="X524" s="2685"/>
      <c r="Y524" s="2685"/>
      <c r="Z524" s="2685"/>
      <c r="AA524" s="2685"/>
      <c r="AB524" s="2685"/>
      <c r="AC524" s="2675">
        <f t="shared" si="305"/>
        <v>0</v>
      </c>
      <c r="AD524" s="2695"/>
      <c r="AE524" s="2695"/>
      <c r="AF524" s="2695"/>
      <c r="AG524" s="2695"/>
      <c r="AH524" s="2695"/>
      <c r="AI524" s="2695"/>
      <c r="AJ524" s="2695"/>
      <c r="AK524" s="2695"/>
      <c r="AL524" s="2695"/>
      <c r="AM524" s="2695"/>
      <c r="AN524" s="2695"/>
      <c r="AO524" s="2695"/>
      <c r="AP524" s="2695"/>
      <c r="AQ524" s="2695"/>
      <c r="AR524" s="2695"/>
      <c r="AS524" s="2695"/>
      <c r="AT524" s="2703"/>
      <c r="AU524" s="2704"/>
      <c r="AV524" s="1074">
        <f t="shared" si="300"/>
        <v>0</v>
      </c>
      <c r="AW524" s="1074">
        <f t="shared" si="301"/>
        <v>0</v>
      </c>
      <c r="AX524" s="1074">
        <f t="shared" si="302"/>
        <v>0</v>
      </c>
      <c r="AY524" s="2279">
        <f t="shared" si="306"/>
        <v>0</v>
      </c>
      <c r="AZ524" s="2675">
        <f t="shared" si="307"/>
        <v>0</v>
      </c>
      <c r="BA524" s="2675">
        <f t="shared" si="308"/>
        <v>0</v>
      </c>
      <c r="BB524" s="2675">
        <f t="shared" si="309"/>
        <v>0</v>
      </c>
      <c r="BC524" s="2675">
        <f t="shared" si="310"/>
        <v>0</v>
      </c>
      <c r="BD524" s="2675">
        <f t="shared" si="311"/>
        <v>0</v>
      </c>
      <c r="BE524" s="2675">
        <f t="shared" si="312"/>
        <v>0</v>
      </c>
      <c r="BF524" s="2675">
        <f t="shared" si="313"/>
        <v>0</v>
      </c>
      <c r="BG524" s="2675">
        <f t="shared" si="314"/>
        <v>0</v>
      </c>
      <c r="BH524" s="2675">
        <f t="shared" si="315"/>
        <v>0</v>
      </c>
      <c r="BI524" s="2675">
        <f t="shared" si="316"/>
        <v>0</v>
      </c>
      <c r="BJ524" s="2675">
        <f t="shared" si="317"/>
        <v>0</v>
      </c>
      <c r="BK524" s="2675">
        <f t="shared" si="318"/>
        <v>0</v>
      </c>
      <c r="BL524" s="2675">
        <f t="shared" si="319"/>
        <v>0</v>
      </c>
      <c r="BM524" s="2675">
        <f t="shared" si="320"/>
        <v>0</v>
      </c>
      <c r="BN524" s="2675">
        <f t="shared" si="321"/>
        <v>0</v>
      </c>
      <c r="BO524" s="2675">
        <f t="shared" si="322"/>
        <v>0</v>
      </c>
      <c r="BP524" s="2675">
        <f t="shared" si="323"/>
        <v>0</v>
      </c>
      <c r="BQ524" s="2675">
        <f t="shared" si="324"/>
        <v>0</v>
      </c>
      <c r="BR524" s="2675">
        <f t="shared" si="325"/>
        <v>0</v>
      </c>
      <c r="BS524" s="2675">
        <f t="shared" si="326"/>
        <v>0</v>
      </c>
      <c r="BT524" s="2722">
        <f t="shared" si="327"/>
        <v>0</v>
      </c>
    </row>
    <row r="525" spans="1:72">
      <c r="A525" s="2673"/>
      <c r="B525" s="2674"/>
      <c r="C525" s="2674"/>
      <c r="D525" s="2277"/>
      <c r="E525" s="2675">
        <f t="shared" si="299"/>
        <v>0</v>
      </c>
      <c r="F525" s="2676"/>
      <c r="G525" s="2677">
        <f t="shared" si="303"/>
        <v>0</v>
      </c>
      <c r="H525" s="2678">
        <f t="shared" si="304"/>
        <v>0</v>
      </c>
      <c r="I525" s="2685"/>
      <c r="J525" s="2685"/>
      <c r="K525" s="2685"/>
      <c r="L525" s="2685"/>
      <c r="M525" s="2685"/>
      <c r="N525" s="2685"/>
      <c r="O525" s="2685"/>
      <c r="P525" s="2685"/>
      <c r="Q525" s="2685"/>
      <c r="R525" s="2685"/>
      <c r="S525" s="2685"/>
      <c r="T525" s="2685"/>
      <c r="U525" s="2685"/>
      <c r="V525" s="2685"/>
      <c r="W525" s="2685"/>
      <c r="X525" s="2685"/>
      <c r="Y525" s="2685"/>
      <c r="Z525" s="2685"/>
      <c r="AA525" s="2685"/>
      <c r="AB525" s="2685"/>
      <c r="AC525" s="2675">
        <f t="shared" si="305"/>
        <v>0</v>
      </c>
      <c r="AD525" s="2695"/>
      <c r="AE525" s="2695"/>
      <c r="AF525" s="2695"/>
      <c r="AG525" s="2695"/>
      <c r="AH525" s="2695"/>
      <c r="AI525" s="2695"/>
      <c r="AJ525" s="2695"/>
      <c r="AK525" s="2695"/>
      <c r="AL525" s="2695"/>
      <c r="AM525" s="2695"/>
      <c r="AN525" s="2695"/>
      <c r="AO525" s="2695"/>
      <c r="AP525" s="2695"/>
      <c r="AQ525" s="2695"/>
      <c r="AR525" s="2695"/>
      <c r="AS525" s="2695"/>
      <c r="AT525" s="2703"/>
      <c r="AU525" s="2704"/>
      <c r="AV525" s="1074">
        <f t="shared" si="300"/>
        <v>0</v>
      </c>
      <c r="AW525" s="1074">
        <f t="shared" si="301"/>
        <v>0</v>
      </c>
      <c r="AX525" s="1074">
        <f t="shared" si="302"/>
        <v>0</v>
      </c>
      <c r="AY525" s="2279">
        <f t="shared" si="306"/>
        <v>0</v>
      </c>
      <c r="AZ525" s="2675">
        <f t="shared" si="307"/>
        <v>0</v>
      </c>
      <c r="BA525" s="2675">
        <f t="shared" si="308"/>
        <v>0</v>
      </c>
      <c r="BB525" s="2675">
        <f t="shared" si="309"/>
        <v>0</v>
      </c>
      <c r="BC525" s="2675">
        <f t="shared" si="310"/>
        <v>0</v>
      </c>
      <c r="BD525" s="2675">
        <f t="shared" si="311"/>
        <v>0</v>
      </c>
      <c r="BE525" s="2675">
        <f t="shared" si="312"/>
        <v>0</v>
      </c>
      <c r="BF525" s="2675">
        <f t="shared" si="313"/>
        <v>0</v>
      </c>
      <c r="BG525" s="2675">
        <f t="shared" si="314"/>
        <v>0</v>
      </c>
      <c r="BH525" s="2675">
        <f t="shared" si="315"/>
        <v>0</v>
      </c>
      <c r="BI525" s="2675">
        <f t="shared" si="316"/>
        <v>0</v>
      </c>
      <c r="BJ525" s="2675">
        <f t="shared" si="317"/>
        <v>0</v>
      </c>
      <c r="BK525" s="2675">
        <f t="shared" si="318"/>
        <v>0</v>
      </c>
      <c r="BL525" s="2675">
        <f t="shared" si="319"/>
        <v>0</v>
      </c>
      <c r="BM525" s="2675">
        <f t="shared" si="320"/>
        <v>0</v>
      </c>
      <c r="BN525" s="2675">
        <f t="shared" si="321"/>
        <v>0</v>
      </c>
      <c r="BO525" s="2675">
        <f t="shared" si="322"/>
        <v>0</v>
      </c>
      <c r="BP525" s="2675">
        <f t="shared" si="323"/>
        <v>0</v>
      </c>
      <c r="BQ525" s="2675">
        <f t="shared" si="324"/>
        <v>0</v>
      </c>
      <c r="BR525" s="2675">
        <f t="shared" si="325"/>
        <v>0</v>
      </c>
      <c r="BS525" s="2675">
        <f t="shared" si="326"/>
        <v>0</v>
      </c>
      <c r="BT525" s="2722">
        <f t="shared" si="327"/>
        <v>0</v>
      </c>
    </row>
    <row r="526" spans="1:72">
      <c r="A526" s="2673"/>
      <c r="B526" s="2674"/>
      <c r="C526" s="2674"/>
      <c r="D526" s="2277"/>
      <c r="E526" s="2675">
        <f t="shared" si="299"/>
        <v>0</v>
      </c>
      <c r="F526" s="2676"/>
      <c r="G526" s="2677">
        <f t="shared" si="303"/>
        <v>0</v>
      </c>
      <c r="H526" s="2678">
        <f t="shared" si="304"/>
        <v>0</v>
      </c>
      <c r="I526" s="2685"/>
      <c r="J526" s="2685"/>
      <c r="K526" s="2685"/>
      <c r="L526" s="2685"/>
      <c r="M526" s="2685"/>
      <c r="N526" s="2685"/>
      <c r="O526" s="2685"/>
      <c r="P526" s="2685"/>
      <c r="Q526" s="2685"/>
      <c r="R526" s="2685"/>
      <c r="S526" s="2685"/>
      <c r="T526" s="2685"/>
      <c r="U526" s="2685"/>
      <c r="V526" s="2685"/>
      <c r="W526" s="2685"/>
      <c r="X526" s="2685"/>
      <c r="Y526" s="2685"/>
      <c r="Z526" s="2685"/>
      <c r="AA526" s="2685"/>
      <c r="AB526" s="2685"/>
      <c r="AC526" s="2675">
        <f t="shared" si="305"/>
        <v>0</v>
      </c>
      <c r="AD526" s="2695"/>
      <c r="AE526" s="2695"/>
      <c r="AF526" s="2695"/>
      <c r="AG526" s="2695"/>
      <c r="AH526" s="2695"/>
      <c r="AI526" s="2695"/>
      <c r="AJ526" s="2695"/>
      <c r="AK526" s="2695"/>
      <c r="AL526" s="2695"/>
      <c r="AM526" s="2695"/>
      <c r="AN526" s="2695"/>
      <c r="AO526" s="2695"/>
      <c r="AP526" s="2695"/>
      <c r="AQ526" s="2695"/>
      <c r="AR526" s="2695"/>
      <c r="AS526" s="2695"/>
      <c r="AT526" s="2703"/>
      <c r="AU526" s="2704"/>
      <c r="AV526" s="1074">
        <f t="shared" si="300"/>
        <v>0</v>
      </c>
      <c r="AW526" s="1074">
        <f t="shared" si="301"/>
        <v>0</v>
      </c>
      <c r="AX526" s="1074">
        <f t="shared" si="302"/>
        <v>0</v>
      </c>
      <c r="AY526" s="2279">
        <f t="shared" si="306"/>
        <v>0</v>
      </c>
      <c r="AZ526" s="2675">
        <f t="shared" si="307"/>
        <v>0</v>
      </c>
      <c r="BA526" s="2675">
        <f t="shared" si="308"/>
        <v>0</v>
      </c>
      <c r="BB526" s="2675">
        <f t="shared" si="309"/>
        <v>0</v>
      </c>
      <c r="BC526" s="2675">
        <f t="shared" si="310"/>
        <v>0</v>
      </c>
      <c r="BD526" s="2675">
        <f t="shared" si="311"/>
        <v>0</v>
      </c>
      <c r="BE526" s="2675">
        <f t="shared" si="312"/>
        <v>0</v>
      </c>
      <c r="BF526" s="2675">
        <f t="shared" si="313"/>
        <v>0</v>
      </c>
      <c r="BG526" s="2675">
        <f t="shared" si="314"/>
        <v>0</v>
      </c>
      <c r="BH526" s="2675">
        <f t="shared" si="315"/>
        <v>0</v>
      </c>
      <c r="BI526" s="2675">
        <f t="shared" si="316"/>
        <v>0</v>
      </c>
      <c r="BJ526" s="2675">
        <f t="shared" si="317"/>
        <v>0</v>
      </c>
      <c r="BK526" s="2675">
        <f t="shared" si="318"/>
        <v>0</v>
      </c>
      <c r="BL526" s="2675">
        <f t="shared" si="319"/>
        <v>0</v>
      </c>
      <c r="BM526" s="2675">
        <f t="shared" si="320"/>
        <v>0</v>
      </c>
      <c r="BN526" s="2675">
        <f t="shared" si="321"/>
        <v>0</v>
      </c>
      <c r="BO526" s="2675">
        <f t="shared" si="322"/>
        <v>0</v>
      </c>
      <c r="BP526" s="2675">
        <f t="shared" si="323"/>
        <v>0</v>
      </c>
      <c r="BQ526" s="2675">
        <f t="shared" si="324"/>
        <v>0</v>
      </c>
      <c r="BR526" s="2675">
        <f t="shared" si="325"/>
        <v>0</v>
      </c>
      <c r="BS526" s="2675">
        <f t="shared" si="326"/>
        <v>0</v>
      </c>
      <c r="BT526" s="2722">
        <f t="shared" si="327"/>
        <v>0</v>
      </c>
    </row>
    <row r="527" spans="1:72">
      <c r="A527" s="2673"/>
      <c r="B527" s="2674"/>
      <c r="C527" s="2674"/>
      <c r="D527" s="2277"/>
      <c r="E527" s="2675">
        <f t="shared" si="299"/>
        <v>0</v>
      </c>
      <c r="F527" s="2676"/>
      <c r="G527" s="2677">
        <f t="shared" si="303"/>
        <v>0</v>
      </c>
      <c r="H527" s="2678">
        <f t="shared" si="304"/>
        <v>0</v>
      </c>
      <c r="I527" s="2685"/>
      <c r="J527" s="2685"/>
      <c r="K527" s="2685"/>
      <c r="L527" s="2685"/>
      <c r="M527" s="2685"/>
      <c r="N527" s="2685"/>
      <c r="O527" s="2685"/>
      <c r="P527" s="2685"/>
      <c r="Q527" s="2685"/>
      <c r="R527" s="2685"/>
      <c r="S527" s="2685"/>
      <c r="T527" s="2685"/>
      <c r="U527" s="2685"/>
      <c r="V527" s="2685"/>
      <c r="W527" s="2685"/>
      <c r="X527" s="2685"/>
      <c r="Y527" s="2685"/>
      <c r="Z527" s="2685"/>
      <c r="AA527" s="2685"/>
      <c r="AB527" s="2685"/>
      <c r="AC527" s="2675">
        <f t="shared" si="305"/>
        <v>0</v>
      </c>
      <c r="AD527" s="2695"/>
      <c r="AE527" s="2695"/>
      <c r="AF527" s="2695"/>
      <c r="AG527" s="2695"/>
      <c r="AH527" s="2695"/>
      <c r="AI527" s="2695"/>
      <c r="AJ527" s="2695"/>
      <c r="AK527" s="2695"/>
      <c r="AL527" s="2695"/>
      <c r="AM527" s="2695"/>
      <c r="AN527" s="2695"/>
      <c r="AO527" s="2695"/>
      <c r="AP527" s="2695"/>
      <c r="AQ527" s="2695"/>
      <c r="AR527" s="2695"/>
      <c r="AS527" s="2695"/>
      <c r="AT527" s="2703"/>
      <c r="AU527" s="2704"/>
      <c r="AV527" s="1074">
        <f t="shared" si="300"/>
        <v>0</v>
      </c>
      <c r="AW527" s="1074">
        <f t="shared" si="301"/>
        <v>0</v>
      </c>
      <c r="AX527" s="1074">
        <f t="shared" si="302"/>
        <v>0</v>
      </c>
      <c r="AY527" s="2279">
        <f t="shared" si="306"/>
        <v>0</v>
      </c>
      <c r="AZ527" s="2675">
        <f t="shared" si="307"/>
        <v>0</v>
      </c>
      <c r="BA527" s="2675">
        <f t="shared" si="308"/>
        <v>0</v>
      </c>
      <c r="BB527" s="2675">
        <f t="shared" si="309"/>
        <v>0</v>
      </c>
      <c r="BC527" s="2675">
        <f t="shared" si="310"/>
        <v>0</v>
      </c>
      <c r="BD527" s="2675">
        <f t="shared" si="311"/>
        <v>0</v>
      </c>
      <c r="BE527" s="2675">
        <f t="shared" si="312"/>
        <v>0</v>
      </c>
      <c r="BF527" s="2675">
        <f t="shared" si="313"/>
        <v>0</v>
      </c>
      <c r="BG527" s="2675">
        <f t="shared" si="314"/>
        <v>0</v>
      </c>
      <c r="BH527" s="2675">
        <f t="shared" si="315"/>
        <v>0</v>
      </c>
      <c r="BI527" s="2675">
        <f t="shared" si="316"/>
        <v>0</v>
      </c>
      <c r="BJ527" s="2675">
        <f t="shared" si="317"/>
        <v>0</v>
      </c>
      <c r="BK527" s="2675">
        <f t="shared" si="318"/>
        <v>0</v>
      </c>
      <c r="BL527" s="2675">
        <f t="shared" si="319"/>
        <v>0</v>
      </c>
      <c r="BM527" s="2675">
        <f t="shared" si="320"/>
        <v>0</v>
      </c>
      <c r="BN527" s="2675">
        <f t="shared" si="321"/>
        <v>0</v>
      </c>
      <c r="BO527" s="2675">
        <f t="shared" si="322"/>
        <v>0</v>
      </c>
      <c r="BP527" s="2675">
        <f t="shared" si="323"/>
        <v>0</v>
      </c>
      <c r="BQ527" s="2675">
        <f t="shared" si="324"/>
        <v>0</v>
      </c>
      <c r="BR527" s="2675">
        <f t="shared" si="325"/>
        <v>0</v>
      </c>
      <c r="BS527" s="2675">
        <f t="shared" si="326"/>
        <v>0</v>
      </c>
      <c r="BT527" s="2722">
        <f t="shared" si="327"/>
        <v>0</v>
      </c>
    </row>
    <row r="528" spans="1:72">
      <c r="A528" s="2673"/>
      <c r="B528" s="2674"/>
      <c r="C528" s="2674"/>
      <c r="D528" s="2277"/>
      <c r="E528" s="2675">
        <f t="shared" si="299"/>
        <v>0</v>
      </c>
      <c r="F528" s="2676"/>
      <c r="G528" s="2677">
        <f t="shared" si="303"/>
        <v>0</v>
      </c>
      <c r="H528" s="2678">
        <f t="shared" si="304"/>
        <v>0</v>
      </c>
      <c r="I528" s="2685"/>
      <c r="J528" s="2685"/>
      <c r="K528" s="2685"/>
      <c r="L528" s="2685"/>
      <c r="M528" s="2685"/>
      <c r="N528" s="2685"/>
      <c r="O528" s="2685"/>
      <c r="P528" s="2685"/>
      <c r="Q528" s="2685"/>
      <c r="R528" s="2685"/>
      <c r="S528" s="2685"/>
      <c r="T528" s="2685"/>
      <c r="U528" s="2685"/>
      <c r="V528" s="2685"/>
      <c r="W528" s="2685"/>
      <c r="X528" s="2685"/>
      <c r="Y528" s="2685"/>
      <c r="Z528" s="2685"/>
      <c r="AA528" s="2685"/>
      <c r="AB528" s="2685"/>
      <c r="AC528" s="2675">
        <f t="shared" si="305"/>
        <v>0</v>
      </c>
      <c r="AD528" s="2695"/>
      <c r="AE528" s="2695"/>
      <c r="AF528" s="2695"/>
      <c r="AG528" s="2695"/>
      <c r="AH528" s="2695"/>
      <c r="AI528" s="2695"/>
      <c r="AJ528" s="2695"/>
      <c r="AK528" s="2695"/>
      <c r="AL528" s="2695"/>
      <c r="AM528" s="2695"/>
      <c r="AN528" s="2695"/>
      <c r="AO528" s="2695"/>
      <c r="AP528" s="2695"/>
      <c r="AQ528" s="2695"/>
      <c r="AR528" s="2695"/>
      <c r="AS528" s="2695"/>
      <c r="AT528" s="2703"/>
      <c r="AU528" s="2704"/>
      <c r="AV528" s="1074">
        <f t="shared" si="300"/>
        <v>0</v>
      </c>
      <c r="AW528" s="1074">
        <f t="shared" si="301"/>
        <v>0</v>
      </c>
      <c r="AX528" s="1074">
        <f t="shared" si="302"/>
        <v>0</v>
      </c>
      <c r="AY528" s="2279">
        <f t="shared" si="306"/>
        <v>0</v>
      </c>
      <c r="AZ528" s="2675">
        <f t="shared" si="307"/>
        <v>0</v>
      </c>
      <c r="BA528" s="2675">
        <f t="shared" si="308"/>
        <v>0</v>
      </c>
      <c r="BB528" s="2675">
        <f t="shared" si="309"/>
        <v>0</v>
      </c>
      <c r="BC528" s="2675">
        <f t="shared" si="310"/>
        <v>0</v>
      </c>
      <c r="BD528" s="2675">
        <f t="shared" si="311"/>
        <v>0</v>
      </c>
      <c r="BE528" s="2675">
        <f t="shared" si="312"/>
        <v>0</v>
      </c>
      <c r="BF528" s="2675">
        <f t="shared" si="313"/>
        <v>0</v>
      </c>
      <c r="BG528" s="2675">
        <f t="shared" si="314"/>
        <v>0</v>
      </c>
      <c r="BH528" s="2675">
        <f t="shared" si="315"/>
        <v>0</v>
      </c>
      <c r="BI528" s="2675">
        <f t="shared" si="316"/>
        <v>0</v>
      </c>
      <c r="BJ528" s="2675">
        <f t="shared" si="317"/>
        <v>0</v>
      </c>
      <c r="BK528" s="2675">
        <f t="shared" si="318"/>
        <v>0</v>
      </c>
      <c r="BL528" s="2675">
        <f t="shared" si="319"/>
        <v>0</v>
      </c>
      <c r="BM528" s="2675">
        <f t="shared" si="320"/>
        <v>0</v>
      </c>
      <c r="BN528" s="2675">
        <f t="shared" si="321"/>
        <v>0</v>
      </c>
      <c r="BO528" s="2675">
        <f t="shared" si="322"/>
        <v>0</v>
      </c>
      <c r="BP528" s="2675">
        <f t="shared" si="323"/>
        <v>0</v>
      </c>
      <c r="BQ528" s="2675">
        <f t="shared" si="324"/>
        <v>0</v>
      </c>
      <c r="BR528" s="2675">
        <f t="shared" si="325"/>
        <v>0</v>
      </c>
      <c r="BS528" s="2675">
        <f t="shared" si="326"/>
        <v>0</v>
      </c>
      <c r="BT528" s="2722">
        <f t="shared" si="327"/>
        <v>0</v>
      </c>
    </row>
    <row r="529" spans="1:72">
      <c r="A529" s="2673"/>
      <c r="B529" s="2674"/>
      <c r="C529" s="2674"/>
      <c r="D529" s="2277"/>
      <c r="E529" s="2675">
        <f t="shared" si="299"/>
        <v>0</v>
      </c>
      <c r="F529" s="2676"/>
      <c r="G529" s="2677">
        <f t="shared" si="303"/>
        <v>0</v>
      </c>
      <c r="H529" s="2678">
        <f t="shared" si="304"/>
        <v>0</v>
      </c>
      <c r="I529" s="2685"/>
      <c r="J529" s="2685"/>
      <c r="K529" s="2685"/>
      <c r="L529" s="2685"/>
      <c r="M529" s="2685"/>
      <c r="N529" s="2685"/>
      <c r="O529" s="2685"/>
      <c r="P529" s="2685"/>
      <c r="Q529" s="2685"/>
      <c r="R529" s="2685"/>
      <c r="S529" s="2685"/>
      <c r="T529" s="2685"/>
      <c r="U529" s="2685"/>
      <c r="V529" s="2685"/>
      <c r="W529" s="2685"/>
      <c r="X529" s="2685"/>
      <c r="Y529" s="2685"/>
      <c r="Z529" s="2685"/>
      <c r="AA529" s="2685"/>
      <c r="AB529" s="2685"/>
      <c r="AC529" s="2675">
        <f t="shared" si="305"/>
        <v>0</v>
      </c>
      <c r="AD529" s="2695"/>
      <c r="AE529" s="2695"/>
      <c r="AF529" s="2695"/>
      <c r="AG529" s="2695"/>
      <c r="AH529" s="2695"/>
      <c r="AI529" s="2695"/>
      <c r="AJ529" s="2695"/>
      <c r="AK529" s="2695"/>
      <c r="AL529" s="2695"/>
      <c r="AM529" s="2695"/>
      <c r="AN529" s="2695"/>
      <c r="AO529" s="2695"/>
      <c r="AP529" s="2695"/>
      <c r="AQ529" s="2695"/>
      <c r="AR529" s="2695"/>
      <c r="AS529" s="2695"/>
      <c r="AT529" s="2703"/>
      <c r="AU529" s="2704"/>
      <c r="AV529" s="1074">
        <f t="shared" si="300"/>
        <v>0</v>
      </c>
      <c r="AW529" s="1074">
        <f t="shared" si="301"/>
        <v>0</v>
      </c>
      <c r="AX529" s="1074">
        <f t="shared" si="302"/>
        <v>0</v>
      </c>
      <c r="AY529" s="2279">
        <f t="shared" si="306"/>
        <v>0</v>
      </c>
      <c r="AZ529" s="2675">
        <f t="shared" si="307"/>
        <v>0</v>
      </c>
      <c r="BA529" s="2675">
        <f t="shared" si="308"/>
        <v>0</v>
      </c>
      <c r="BB529" s="2675">
        <f t="shared" si="309"/>
        <v>0</v>
      </c>
      <c r="BC529" s="2675">
        <f t="shared" si="310"/>
        <v>0</v>
      </c>
      <c r="BD529" s="2675">
        <f t="shared" si="311"/>
        <v>0</v>
      </c>
      <c r="BE529" s="2675">
        <f t="shared" si="312"/>
        <v>0</v>
      </c>
      <c r="BF529" s="2675">
        <f t="shared" si="313"/>
        <v>0</v>
      </c>
      <c r="BG529" s="2675">
        <f t="shared" si="314"/>
        <v>0</v>
      </c>
      <c r="BH529" s="2675">
        <f t="shared" si="315"/>
        <v>0</v>
      </c>
      <c r="BI529" s="2675">
        <f t="shared" si="316"/>
        <v>0</v>
      </c>
      <c r="BJ529" s="2675">
        <f t="shared" si="317"/>
        <v>0</v>
      </c>
      <c r="BK529" s="2675">
        <f t="shared" si="318"/>
        <v>0</v>
      </c>
      <c r="BL529" s="2675">
        <f t="shared" si="319"/>
        <v>0</v>
      </c>
      <c r="BM529" s="2675">
        <f t="shared" si="320"/>
        <v>0</v>
      </c>
      <c r="BN529" s="2675">
        <f t="shared" si="321"/>
        <v>0</v>
      </c>
      <c r="BO529" s="2675">
        <f t="shared" si="322"/>
        <v>0</v>
      </c>
      <c r="BP529" s="2675">
        <f t="shared" si="323"/>
        <v>0</v>
      </c>
      <c r="BQ529" s="2675">
        <f t="shared" si="324"/>
        <v>0</v>
      </c>
      <c r="BR529" s="2675">
        <f t="shared" si="325"/>
        <v>0</v>
      </c>
      <c r="BS529" s="2675">
        <f t="shared" si="326"/>
        <v>0</v>
      </c>
      <c r="BT529" s="2722">
        <f t="shared" si="327"/>
        <v>0</v>
      </c>
    </row>
    <row r="530" spans="1:72">
      <c r="A530" s="2673"/>
      <c r="B530" s="2674"/>
      <c r="C530" s="2674"/>
      <c r="D530" s="2277"/>
      <c r="E530" s="2675">
        <f t="shared" si="299"/>
        <v>0</v>
      </c>
      <c r="F530" s="2676"/>
      <c r="G530" s="2677">
        <f t="shared" si="303"/>
        <v>0</v>
      </c>
      <c r="H530" s="2678">
        <f t="shared" si="304"/>
        <v>0</v>
      </c>
      <c r="I530" s="2685"/>
      <c r="J530" s="2685"/>
      <c r="K530" s="2685"/>
      <c r="L530" s="2685"/>
      <c r="M530" s="2685"/>
      <c r="N530" s="2685"/>
      <c r="O530" s="2685"/>
      <c r="P530" s="2685"/>
      <c r="Q530" s="2685"/>
      <c r="R530" s="2685"/>
      <c r="S530" s="2685"/>
      <c r="T530" s="2685"/>
      <c r="U530" s="2685"/>
      <c r="V530" s="2685"/>
      <c r="W530" s="2685"/>
      <c r="X530" s="2685"/>
      <c r="Y530" s="2685"/>
      <c r="Z530" s="2685"/>
      <c r="AA530" s="2685"/>
      <c r="AB530" s="2685"/>
      <c r="AC530" s="2675">
        <f t="shared" si="305"/>
        <v>0</v>
      </c>
      <c r="AD530" s="2695"/>
      <c r="AE530" s="2695"/>
      <c r="AF530" s="2695"/>
      <c r="AG530" s="2695"/>
      <c r="AH530" s="2695"/>
      <c r="AI530" s="2695"/>
      <c r="AJ530" s="2695"/>
      <c r="AK530" s="2695"/>
      <c r="AL530" s="2695"/>
      <c r="AM530" s="2695"/>
      <c r="AN530" s="2695"/>
      <c r="AO530" s="2695"/>
      <c r="AP530" s="2695"/>
      <c r="AQ530" s="2695"/>
      <c r="AR530" s="2695"/>
      <c r="AS530" s="2695"/>
      <c r="AT530" s="2703"/>
      <c r="AU530" s="2704"/>
      <c r="AV530" s="1074">
        <f t="shared" si="300"/>
        <v>0</v>
      </c>
      <c r="AW530" s="1074">
        <f t="shared" si="301"/>
        <v>0</v>
      </c>
      <c r="AX530" s="1074">
        <f t="shared" si="302"/>
        <v>0</v>
      </c>
      <c r="AY530" s="2279">
        <f t="shared" si="306"/>
        <v>0</v>
      </c>
      <c r="AZ530" s="2675">
        <f t="shared" si="307"/>
        <v>0</v>
      </c>
      <c r="BA530" s="2675">
        <f t="shared" si="308"/>
        <v>0</v>
      </c>
      <c r="BB530" s="2675">
        <f t="shared" si="309"/>
        <v>0</v>
      </c>
      <c r="BC530" s="2675">
        <f t="shared" si="310"/>
        <v>0</v>
      </c>
      <c r="BD530" s="2675">
        <f t="shared" si="311"/>
        <v>0</v>
      </c>
      <c r="BE530" s="2675">
        <f t="shared" si="312"/>
        <v>0</v>
      </c>
      <c r="BF530" s="2675">
        <f t="shared" si="313"/>
        <v>0</v>
      </c>
      <c r="BG530" s="2675">
        <f t="shared" si="314"/>
        <v>0</v>
      </c>
      <c r="BH530" s="2675">
        <f t="shared" si="315"/>
        <v>0</v>
      </c>
      <c r="BI530" s="2675">
        <f t="shared" si="316"/>
        <v>0</v>
      </c>
      <c r="BJ530" s="2675">
        <f t="shared" si="317"/>
        <v>0</v>
      </c>
      <c r="BK530" s="2675">
        <f t="shared" si="318"/>
        <v>0</v>
      </c>
      <c r="BL530" s="2675">
        <f t="shared" si="319"/>
        <v>0</v>
      </c>
      <c r="BM530" s="2675">
        <f t="shared" si="320"/>
        <v>0</v>
      </c>
      <c r="BN530" s="2675">
        <f t="shared" si="321"/>
        <v>0</v>
      </c>
      <c r="BO530" s="2675">
        <f t="shared" si="322"/>
        <v>0</v>
      </c>
      <c r="BP530" s="2675">
        <f t="shared" si="323"/>
        <v>0</v>
      </c>
      <c r="BQ530" s="2675">
        <f t="shared" si="324"/>
        <v>0</v>
      </c>
      <c r="BR530" s="2675">
        <f t="shared" si="325"/>
        <v>0</v>
      </c>
      <c r="BS530" s="2675">
        <f t="shared" si="326"/>
        <v>0</v>
      </c>
      <c r="BT530" s="2722">
        <f t="shared" si="327"/>
        <v>0</v>
      </c>
    </row>
    <row r="531" spans="1:72">
      <c r="A531" s="2673"/>
      <c r="B531" s="2674"/>
      <c r="C531" s="2674"/>
      <c r="D531" s="2277"/>
      <c r="E531" s="2675">
        <f t="shared" si="299"/>
        <v>0</v>
      </c>
      <c r="F531" s="2676"/>
      <c r="G531" s="2677">
        <f t="shared" si="303"/>
        <v>0</v>
      </c>
      <c r="H531" s="2678">
        <f t="shared" si="304"/>
        <v>0</v>
      </c>
      <c r="I531" s="2685"/>
      <c r="J531" s="2685"/>
      <c r="K531" s="2685"/>
      <c r="L531" s="2685"/>
      <c r="M531" s="2685"/>
      <c r="N531" s="2685"/>
      <c r="O531" s="2685"/>
      <c r="P531" s="2685"/>
      <c r="Q531" s="2685"/>
      <c r="R531" s="2685"/>
      <c r="S531" s="2685"/>
      <c r="T531" s="2685"/>
      <c r="U531" s="2685"/>
      <c r="V531" s="2685"/>
      <c r="W531" s="2685"/>
      <c r="X531" s="2685"/>
      <c r="Y531" s="2685"/>
      <c r="Z531" s="2685"/>
      <c r="AA531" s="2685"/>
      <c r="AB531" s="2685"/>
      <c r="AC531" s="2675">
        <f t="shared" si="305"/>
        <v>0</v>
      </c>
      <c r="AD531" s="2695"/>
      <c r="AE531" s="2695"/>
      <c r="AF531" s="2695"/>
      <c r="AG531" s="2695"/>
      <c r="AH531" s="2695"/>
      <c r="AI531" s="2695"/>
      <c r="AJ531" s="2695"/>
      <c r="AK531" s="2695"/>
      <c r="AL531" s="2695"/>
      <c r="AM531" s="2695"/>
      <c r="AN531" s="2695"/>
      <c r="AO531" s="2695"/>
      <c r="AP531" s="2695"/>
      <c r="AQ531" s="2695"/>
      <c r="AR531" s="2695"/>
      <c r="AS531" s="2695"/>
      <c r="AT531" s="2703"/>
      <c r="AU531" s="2704"/>
      <c r="AV531" s="1074">
        <f t="shared" si="300"/>
        <v>0</v>
      </c>
      <c r="AW531" s="1074">
        <f t="shared" si="301"/>
        <v>0</v>
      </c>
      <c r="AX531" s="1074">
        <f t="shared" si="302"/>
        <v>0</v>
      </c>
      <c r="AY531" s="2279">
        <f t="shared" si="306"/>
        <v>0</v>
      </c>
      <c r="AZ531" s="2675">
        <f t="shared" si="307"/>
        <v>0</v>
      </c>
      <c r="BA531" s="2675">
        <f t="shared" si="308"/>
        <v>0</v>
      </c>
      <c r="BB531" s="2675">
        <f t="shared" si="309"/>
        <v>0</v>
      </c>
      <c r="BC531" s="2675">
        <f t="shared" si="310"/>
        <v>0</v>
      </c>
      <c r="BD531" s="2675">
        <f t="shared" si="311"/>
        <v>0</v>
      </c>
      <c r="BE531" s="2675">
        <f t="shared" si="312"/>
        <v>0</v>
      </c>
      <c r="BF531" s="2675">
        <f t="shared" si="313"/>
        <v>0</v>
      </c>
      <c r="BG531" s="2675">
        <f t="shared" si="314"/>
        <v>0</v>
      </c>
      <c r="BH531" s="2675">
        <f t="shared" si="315"/>
        <v>0</v>
      </c>
      <c r="BI531" s="2675">
        <f t="shared" si="316"/>
        <v>0</v>
      </c>
      <c r="BJ531" s="2675">
        <f t="shared" si="317"/>
        <v>0</v>
      </c>
      <c r="BK531" s="2675">
        <f t="shared" si="318"/>
        <v>0</v>
      </c>
      <c r="BL531" s="2675">
        <f t="shared" si="319"/>
        <v>0</v>
      </c>
      <c r="BM531" s="2675">
        <f t="shared" si="320"/>
        <v>0</v>
      </c>
      <c r="BN531" s="2675">
        <f t="shared" si="321"/>
        <v>0</v>
      </c>
      <c r="BO531" s="2675">
        <f t="shared" si="322"/>
        <v>0</v>
      </c>
      <c r="BP531" s="2675">
        <f t="shared" si="323"/>
        <v>0</v>
      </c>
      <c r="BQ531" s="2675">
        <f t="shared" si="324"/>
        <v>0</v>
      </c>
      <c r="BR531" s="2675">
        <f t="shared" si="325"/>
        <v>0</v>
      </c>
      <c r="BS531" s="2675">
        <f t="shared" si="326"/>
        <v>0</v>
      </c>
      <c r="BT531" s="2722">
        <f t="shared" si="327"/>
        <v>0</v>
      </c>
    </row>
    <row r="532" spans="1:72">
      <c r="A532" s="2673"/>
      <c r="B532" s="2674"/>
      <c r="C532" s="2674"/>
      <c r="D532" s="2277"/>
      <c r="E532" s="2675">
        <f t="shared" si="299"/>
        <v>0</v>
      </c>
      <c r="F532" s="2676"/>
      <c r="G532" s="2677">
        <f t="shared" si="303"/>
        <v>0</v>
      </c>
      <c r="H532" s="2678">
        <f t="shared" si="304"/>
        <v>0</v>
      </c>
      <c r="I532" s="2685"/>
      <c r="J532" s="2685"/>
      <c r="K532" s="2685"/>
      <c r="L532" s="2685"/>
      <c r="M532" s="2685"/>
      <c r="N532" s="2685"/>
      <c r="O532" s="2685"/>
      <c r="P532" s="2685"/>
      <c r="Q532" s="2685"/>
      <c r="R532" s="2685"/>
      <c r="S532" s="2685"/>
      <c r="T532" s="2685"/>
      <c r="U532" s="2685"/>
      <c r="V532" s="2685"/>
      <c r="W532" s="2685"/>
      <c r="X532" s="2685"/>
      <c r="Y532" s="2685"/>
      <c r="Z532" s="2685"/>
      <c r="AA532" s="2685"/>
      <c r="AB532" s="2685"/>
      <c r="AC532" s="2675">
        <f t="shared" si="305"/>
        <v>0</v>
      </c>
      <c r="AD532" s="2695"/>
      <c r="AE532" s="2695"/>
      <c r="AF532" s="2695"/>
      <c r="AG532" s="2695"/>
      <c r="AH532" s="2695"/>
      <c r="AI532" s="2695"/>
      <c r="AJ532" s="2695"/>
      <c r="AK532" s="2695"/>
      <c r="AL532" s="2695"/>
      <c r="AM532" s="2695"/>
      <c r="AN532" s="2695"/>
      <c r="AO532" s="2695"/>
      <c r="AP532" s="2695"/>
      <c r="AQ532" s="2695"/>
      <c r="AR532" s="2695"/>
      <c r="AS532" s="2695"/>
      <c r="AT532" s="2703"/>
      <c r="AU532" s="2704"/>
      <c r="AV532" s="1074">
        <f t="shared" si="300"/>
        <v>0</v>
      </c>
      <c r="AW532" s="1074">
        <f t="shared" si="301"/>
        <v>0</v>
      </c>
      <c r="AX532" s="1074">
        <f t="shared" si="302"/>
        <v>0</v>
      </c>
      <c r="AY532" s="2279">
        <f t="shared" si="306"/>
        <v>0</v>
      </c>
      <c r="AZ532" s="2675">
        <f t="shared" si="307"/>
        <v>0</v>
      </c>
      <c r="BA532" s="2675">
        <f t="shared" si="308"/>
        <v>0</v>
      </c>
      <c r="BB532" s="2675">
        <f t="shared" si="309"/>
        <v>0</v>
      </c>
      <c r="BC532" s="2675">
        <f t="shared" si="310"/>
        <v>0</v>
      </c>
      <c r="BD532" s="2675">
        <f t="shared" si="311"/>
        <v>0</v>
      </c>
      <c r="BE532" s="2675">
        <f t="shared" si="312"/>
        <v>0</v>
      </c>
      <c r="BF532" s="2675">
        <f t="shared" si="313"/>
        <v>0</v>
      </c>
      <c r="BG532" s="2675">
        <f t="shared" si="314"/>
        <v>0</v>
      </c>
      <c r="BH532" s="2675">
        <f t="shared" si="315"/>
        <v>0</v>
      </c>
      <c r="BI532" s="2675">
        <f t="shared" si="316"/>
        <v>0</v>
      </c>
      <c r="BJ532" s="2675">
        <f t="shared" si="317"/>
        <v>0</v>
      </c>
      <c r="BK532" s="2675">
        <f t="shared" si="318"/>
        <v>0</v>
      </c>
      <c r="BL532" s="2675">
        <f t="shared" si="319"/>
        <v>0</v>
      </c>
      <c r="BM532" s="2675">
        <f t="shared" si="320"/>
        <v>0</v>
      </c>
      <c r="BN532" s="2675">
        <f t="shared" si="321"/>
        <v>0</v>
      </c>
      <c r="BO532" s="2675">
        <f t="shared" si="322"/>
        <v>0</v>
      </c>
      <c r="BP532" s="2675">
        <f t="shared" si="323"/>
        <v>0</v>
      </c>
      <c r="BQ532" s="2675">
        <f t="shared" si="324"/>
        <v>0</v>
      </c>
      <c r="BR532" s="2675">
        <f t="shared" si="325"/>
        <v>0</v>
      </c>
      <c r="BS532" s="2675">
        <f t="shared" si="326"/>
        <v>0</v>
      </c>
      <c r="BT532" s="2722">
        <f t="shared" si="327"/>
        <v>0</v>
      </c>
    </row>
    <row r="533" spans="1:72">
      <c r="A533" s="2673"/>
      <c r="B533" s="2674"/>
      <c r="C533" s="2674"/>
      <c r="D533" s="2277"/>
      <c r="E533" s="2675">
        <f t="shared" si="299"/>
        <v>0</v>
      </c>
      <c r="F533" s="2676"/>
      <c r="G533" s="2677">
        <f t="shared" si="303"/>
        <v>0</v>
      </c>
      <c r="H533" s="2678">
        <f t="shared" si="304"/>
        <v>0</v>
      </c>
      <c r="I533" s="2685"/>
      <c r="J533" s="2685"/>
      <c r="K533" s="2685"/>
      <c r="L533" s="2685"/>
      <c r="M533" s="2685"/>
      <c r="N533" s="2685"/>
      <c r="O533" s="2685"/>
      <c r="P533" s="2685"/>
      <c r="Q533" s="2685"/>
      <c r="R533" s="2685"/>
      <c r="S533" s="2685"/>
      <c r="T533" s="2685"/>
      <c r="U533" s="2685"/>
      <c r="V533" s="2685"/>
      <c r="W533" s="2685"/>
      <c r="X533" s="2685"/>
      <c r="Y533" s="2685"/>
      <c r="Z533" s="2685"/>
      <c r="AA533" s="2685"/>
      <c r="AB533" s="2685"/>
      <c r="AC533" s="2675">
        <f t="shared" si="305"/>
        <v>0</v>
      </c>
      <c r="AD533" s="2695"/>
      <c r="AE533" s="2695"/>
      <c r="AF533" s="2695"/>
      <c r="AG533" s="2695"/>
      <c r="AH533" s="2695"/>
      <c r="AI533" s="2695"/>
      <c r="AJ533" s="2695"/>
      <c r="AK533" s="2695"/>
      <c r="AL533" s="2695"/>
      <c r="AM533" s="2695"/>
      <c r="AN533" s="2695"/>
      <c r="AO533" s="2695"/>
      <c r="AP533" s="2695"/>
      <c r="AQ533" s="2695"/>
      <c r="AR533" s="2695"/>
      <c r="AS533" s="2695"/>
      <c r="AT533" s="2703"/>
      <c r="AU533" s="2704"/>
      <c r="AV533" s="1074">
        <f t="shared" si="300"/>
        <v>0</v>
      </c>
      <c r="AW533" s="1074">
        <f t="shared" si="301"/>
        <v>0</v>
      </c>
      <c r="AX533" s="1074">
        <f t="shared" si="302"/>
        <v>0</v>
      </c>
      <c r="AY533" s="2279">
        <f t="shared" si="306"/>
        <v>0</v>
      </c>
      <c r="AZ533" s="2675">
        <f t="shared" si="307"/>
        <v>0</v>
      </c>
      <c r="BA533" s="2675">
        <f t="shared" si="308"/>
        <v>0</v>
      </c>
      <c r="BB533" s="2675">
        <f t="shared" si="309"/>
        <v>0</v>
      </c>
      <c r="BC533" s="2675">
        <f t="shared" si="310"/>
        <v>0</v>
      </c>
      <c r="BD533" s="2675">
        <f t="shared" si="311"/>
        <v>0</v>
      </c>
      <c r="BE533" s="2675">
        <f t="shared" si="312"/>
        <v>0</v>
      </c>
      <c r="BF533" s="2675">
        <f t="shared" si="313"/>
        <v>0</v>
      </c>
      <c r="BG533" s="2675">
        <f t="shared" si="314"/>
        <v>0</v>
      </c>
      <c r="BH533" s="2675">
        <f t="shared" si="315"/>
        <v>0</v>
      </c>
      <c r="BI533" s="2675">
        <f t="shared" si="316"/>
        <v>0</v>
      </c>
      <c r="BJ533" s="2675">
        <f t="shared" si="317"/>
        <v>0</v>
      </c>
      <c r="BK533" s="2675">
        <f t="shared" si="318"/>
        <v>0</v>
      </c>
      <c r="BL533" s="2675">
        <f t="shared" si="319"/>
        <v>0</v>
      </c>
      <c r="BM533" s="2675">
        <f t="shared" si="320"/>
        <v>0</v>
      </c>
      <c r="BN533" s="2675">
        <f t="shared" si="321"/>
        <v>0</v>
      </c>
      <c r="BO533" s="2675">
        <f t="shared" si="322"/>
        <v>0</v>
      </c>
      <c r="BP533" s="2675">
        <f t="shared" si="323"/>
        <v>0</v>
      </c>
      <c r="BQ533" s="2675">
        <f t="shared" si="324"/>
        <v>0</v>
      </c>
      <c r="BR533" s="2675">
        <f t="shared" si="325"/>
        <v>0</v>
      </c>
      <c r="BS533" s="2675">
        <f t="shared" si="326"/>
        <v>0</v>
      </c>
      <c r="BT533" s="2722">
        <f t="shared" si="327"/>
        <v>0</v>
      </c>
    </row>
    <row r="534" spans="1:72">
      <c r="A534" s="2673"/>
      <c r="B534" s="2674"/>
      <c r="C534" s="2674"/>
      <c r="D534" s="2277"/>
      <c r="E534" s="2675">
        <f t="shared" si="299"/>
        <v>0</v>
      </c>
      <c r="F534" s="2676"/>
      <c r="G534" s="2677">
        <f t="shared" si="303"/>
        <v>0</v>
      </c>
      <c r="H534" s="2678">
        <f t="shared" si="304"/>
        <v>0</v>
      </c>
      <c r="I534" s="2685"/>
      <c r="J534" s="2685"/>
      <c r="K534" s="2685"/>
      <c r="L534" s="2685"/>
      <c r="M534" s="2685"/>
      <c r="N534" s="2685"/>
      <c r="O534" s="2685"/>
      <c r="P534" s="2685"/>
      <c r="Q534" s="2685"/>
      <c r="R534" s="2685"/>
      <c r="S534" s="2685"/>
      <c r="T534" s="2685"/>
      <c r="U534" s="2685"/>
      <c r="V534" s="2685"/>
      <c r="W534" s="2685"/>
      <c r="X534" s="2685"/>
      <c r="Y534" s="2685"/>
      <c r="Z534" s="2685"/>
      <c r="AA534" s="2685"/>
      <c r="AB534" s="2685"/>
      <c r="AC534" s="2675">
        <f t="shared" si="305"/>
        <v>0</v>
      </c>
      <c r="AD534" s="2695"/>
      <c r="AE534" s="2695"/>
      <c r="AF534" s="2695"/>
      <c r="AG534" s="2695"/>
      <c r="AH534" s="2695"/>
      <c r="AI534" s="2695"/>
      <c r="AJ534" s="2695"/>
      <c r="AK534" s="2695"/>
      <c r="AL534" s="2695"/>
      <c r="AM534" s="2695"/>
      <c r="AN534" s="2695"/>
      <c r="AO534" s="2695"/>
      <c r="AP534" s="2695"/>
      <c r="AQ534" s="2695"/>
      <c r="AR534" s="2695"/>
      <c r="AS534" s="2695"/>
      <c r="AT534" s="2703"/>
      <c r="AU534" s="2704"/>
      <c r="AV534" s="1074">
        <f t="shared" si="300"/>
        <v>0</v>
      </c>
      <c r="AW534" s="1074">
        <f t="shared" si="301"/>
        <v>0</v>
      </c>
      <c r="AX534" s="1074">
        <f t="shared" si="302"/>
        <v>0</v>
      </c>
      <c r="AY534" s="2279">
        <f t="shared" si="306"/>
        <v>0</v>
      </c>
      <c r="AZ534" s="2675">
        <f t="shared" si="307"/>
        <v>0</v>
      </c>
      <c r="BA534" s="2675">
        <f t="shared" si="308"/>
        <v>0</v>
      </c>
      <c r="BB534" s="2675">
        <f t="shared" si="309"/>
        <v>0</v>
      </c>
      <c r="BC534" s="2675">
        <f t="shared" si="310"/>
        <v>0</v>
      </c>
      <c r="BD534" s="2675">
        <f t="shared" si="311"/>
        <v>0</v>
      </c>
      <c r="BE534" s="2675">
        <f t="shared" si="312"/>
        <v>0</v>
      </c>
      <c r="BF534" s="2675">
        <f t="shared" si="313"/>
        <v>0</v>
      </c>
      <c r="BG534" s="2675">
        <f t="shared" si="314"/>
        <v>0</v>
      </c>
      <c r="BH534" s="2675">
        <f t="shared" si="315"/>
        <v>0</v>
      </c>
      <c r="BI534" s="2675">
        <f t="shared" si="316"/>
        <v>0</v>
      </c>
      <c r="BJ534" s="2675">
        <f t="shared" si="317"/>
        <v>0</v>
      </c>
      <c r="BK534" s="2675">
        <f t="shared" si="318"/>
        <v>0</v>
      </c>
      <c r="BL534" s="2675">
        <f t="shared" si="319"/>
        <v>0</v>
      </c>
      <c r="BM534" s="2675">
        <f t="shared" si="320"/>
        <v>0</v>
      </c>
      <c r="BN534" s="2675">
        <f t="shared" si="321"/>
        <v>0</v>
      </c>
      <c r="BO534" s="2675">
        <f t="shared" si="322"/>
        <v>0</v>
      </c>
      <c r="BP534" s="2675">
        <f t="shared" si="323"/>
        <v>0</v>
      </c>
      <c r="BQ534" s="2675">
        <f t="shared" si="324"/>
        <v>0</v>
      </c>
      <c r="BR534" s="2675">
        <f t="shared" si="325"/>
        <v>0</v>
      </c>
      <c r="BS534" s="2675">
        <f t="shared" si="326"/>
        <v>0</v>
      </c>
      <c r="BT534" s="2722">
        <f t="shared" si="327"/>
        <v>0</v>
      </c>
    </row>
    <row r="535" spans="1:72">
      <c r="A535" s="2673"/>
      <c r="B535" s="2674"/>
      <c r="C535" s="2674"/>
      <c r="D535" s="2277"/>
      <c r="E535" s="2675">
        <f t="shared" si="299"/>
        <v>0</v>
      </c>
      <c r="F535" s="2676"/>
      <c r="G535" s="2677">
        <f t="shared" si="303"/>
        <v>0</v>
      </c>
      <c r="H535" s="2678">
        <f t="shared" si="304"/>
        <v>0</v>
      </c>
      <c r="I535" s="2685"/>
      <c r="J535" s="2685"/>
      <c r="K535" s="2685"/>
      <c r="L535" s="2685"/>
      <c r="M535" s="2685"/>
      <c r="N535" s="2685"/>
      <c r="O535" s="2685"/>
      <c r="P535" s="2685"/>
      <c r="Q535" s="2685"/>
      <c r="R535" s="2685"/>
      <c r="S535" s="2685"/>
      <c r="T535" s="2685"/>
      <c r="U535" s="2685"/>
      <c r="V535" s="2685"/>
      <c r="W535" s="2685"/>
      <c r="X535" s="2685"/>
      <c r="Y535" s="2685"/>
      <c r="Z535" s="2685"/>
      <c r="AA535" s="2685"/>
      <c r="AB535" s="2685"/>
      <c r="AC535" s="2675">
        <f t="shared" si="305"/>
        <v>0</v>
      </c>
      <c r="AD535" s="2695"/>
      <c r="AE535" s="2695"/>
      <c r="AF535" s="2695"/>
      <c r="AG535" s="2695"/>
      <c r="AH535" s="2695"/>
      <c r="AI535" s="2695"/>
      <c r="AJ535" s="2695"/>
      <c r="AK535" s="2695"/>
      <c r="AL535" s="2695"/>
      <c r="AM535" s="2695"/>
      <c r="AN535" s="2695"/>
      <c r="AO535" s="2695"/>
      <c r="AP535" s="2695"/>
      <c r="AQ535" s="2695"/>
      <c r="AR535" s="2695"/>
      <c r="AS535" s="2695"/>
      <c r="AT535" s="2703"/>
      <c r="AU535" s="2704"/>
      <c r="AV535" s="1074">
        <f t="shared" si="300"/>
        <v>0</v>
      </c>
      <c r="AW535" s="1074">
        <f t="shared" si="301"/>
        <v>0</v>
      </c>
      <c r="AX535" s="1074">
        <f t="shared" si="302"/>
        <v>0</v>
      </c>
      <c r="AY535" s="2279">
        <f t="shared" si="306"/>
        <v>0</v>
      </c>
      <c r="AZ535" s="2675">
        <f t="shared" si="307"/>
        <v>0</v>
      </c>
      <c r="BA535" s="2675">
        <f t="shared" si="308"/>
        <v>0</v>
      </c>
      <c r="BB535" s="2675">
        <f t="shared" si="309"/>
        <v>0</v>
      </c>
      <c r="BC535" s="2675">
        <f t="shared" si="310"/>
        <v>0</v>
      </c>
      <c r="BD535" s="2675">
        <f t="shared" si="311"/>
        <v>0</v>
      </c>
      <c r="BE535" s="2675">
        <f t="shared" si="312"/>
        <v>0</v>
      </c>
      <c r="BF535" s="2675">
        <f t="shared" si="313"/>
        <v>0</v>
      </c>
      <c r="BG535" s="2675">
        <f t="shared" si="314"/>
        <v>0</v>
      </c>
      <c r="BH535" s="2675">
        <f t="shared" si="315"/>
        <v>0</v>
      </c>
      <c r="BI535" s="2675">
        <f t="shared" si="316"/>
        <v>0</v>
      </c>
      <c r="BJ535" s="2675">
        <f t="shared" si="317"/>
        <v>0</v>
      </c>
      <c r="BK535" s="2675">
        <f t="shared" si="318"/>
        <v>0</v>
      </c>
      <c r="BL535" s="2675">
        <f t="shared" si="319"/>
        <v>0</v>
      </c>
      <c r="BM535" s="2675">
        <f t="shared" si="320"/>
        <v>0</v>
      </c>
      <c r="BN535" s="2675">
        <f t="shared" si="321"/>
        <v>0</v>
      </c>
      <c r="BO535" s="2675">
        <f t="shared" si="322"/>
        <v>0</v>
      </c>
      <c r="BP535" s="2675">
        <f t="shared" si="323"/>
        <v>0</v>
      </c>
      <c r="BQ535" s="2675">
        <f t="shared" si="324"/>
        <v>0</v>
      </c>
      <c r="BR535" s="2675">
        <f t="shared" si="325"/>
        <v>0</v>
      </c>
      <c r="BS535" s="2675">
        <f t="shared" si="326"/>
        <v>0</v>
      </c>
      <c r="BT535" s="2722">
        <f t="shared" si="327"/>
        <v>0</v>
      </c>
    </row>
    <row r="536" spans="1:72">
      <c r="A536" s="2673"/>
      <c r="B536" s="2674"/>
      <c r="C536" s="2674"/>
      <c r="D536" s="2277"/>
      <c r="E536" s="2675">
        <f t="shared" si="299"/>
        <v>0</v>
      </c>
      <c r="F536" s="2676"/>
      <c r="G536" s="2677">
        <f t="shared" si="303"/>
        <v>0</v>
      </c>
      <c r="H536" s="2678">
        <f t="shared" si="304"/>
        <v>0</v>
      </c>
      <c r="I536" s="2685"/>
      <c r="J536" s="2685"/>
      <c r="K536" s="2685"/>
      <c r="L536" s="2685"/>
      <c r="M536" s="2685"/>
      <c r="N536" s="2685"/>
      <c r="O536" s="2685"/>
      <c r="P536" s="2685"/>
      <c r="Q536" s="2685"/>
      <c r="R536" s="2685"/>
      <c r="S536" s="2685"/>
      <c r="T536" s="2685"/>
      <c r="U536" s="2685"/>
      <c r="V536" s="2685"/>
      <c r="W536" s="2685"/>
      <c r="X536" s="2685"/>
      <c r="Y536" s="2685"/>
      <c r="Z536" s="2685"/>
      <c r="AA536" s="2685"/>
      <c r="AB536" s="2685"/>
      <c r="AC536" s="2675">
        <f t="shared" si="305"/>
        <v>0</v>
      </c>
      <c r="AD536" s="2695"/>
      <c r="AE536" s="2695"/>
      <c r="AF536" s="2695"/>
      <c r="AG536" s="2695"/>
      <c r="AH536" s="2695"/>
      <c r="AI536" s="2695"/>
      <c r="AJ536" s="2695"/>
      <c r="AK536" s="2695"/>
      <c r="AL536" s="2695"/>
      <c r="AM536" s="2695"/>
      <c r="AN536" s="2695"/>
      <c r="AO536" s="2695"/>
      <c r="AP536" s="2695"/>
      <c r="AQ536" s="2695"/>
      <c r="AR536" s="2695"/>
      <c r="AS536" s="2695"/>
      <c r="AT536" s="2703"/>
      <c r="AU536" s="2704"/>
      <c r="AV536" s="1074">
        <f t="shared" si="300"/>
        <v>0</v>
      </c>
      <c r="AW536" s="1074">
        <f t="shared" si="301"/>
        <v>0</v>
      </c>
      <c r="AX536" s="1074">
        <f t="shared" si="302"/>
        <v>0</v>
      </c>
      <c r="AY536" s="2279">
        <f t="shared" si="306"/>
        <v>0</v>
      </c>
      <c r="AZ536" s="2675">
        <f t="shared" si="307"/>
        <v>0</v>
      </c>
      <c r="BA536" s="2675">
        <f t="shared" si="308"/>
        <v>0</v>
      </c>
      <c r="BB536" s="2675">
        <f t="shared" si="309"/>
        <v>0</v>
      </c>
      <c r="BC536" s="2675">
        <f t="shared" si="310"/>
        <v>0</v>
      </c>
      <c r="BD536" s="2675">
        <f t="shared" si="311"/>
        <v>0</v>
      </c>
      <c r="BE536" s="2675">
        <f t="shared" si="312"/>
        <v>0</v>
      </c>
      <c r="BF536" s="2675">
        <f t="shared" si="313"/>
        <v>0</v>
      </c>
      <c r="BG536" s="2675">
        <f t="shared" si="314"/>
        <v>0</v>
      </c>
      <c r="BH536" s="2675">
        <f t="shared" si="315"/>
        <v>0</v>
      </c>
      <c r="BI536" s="2675">
        <f t="shared" si="316"/>
        <v>0</v>
      </c>
      <c r="BJ536" s="2675">
        <f t="shared" si="317"/>
        <v>0</v>
      </c>
      <c r="BK536" s="2675">
        <f t="shared" si="318"/>
        <v>0</v>
      </c>
      <c r="BL536" s="2675">
        <f t="shared" si="319"/>
        <v>0</v>
      </c>
      <c r="BM536" s="2675">
        <f t="shared" si="320"/>
        <v>0</v>
      </c>
      <c r="BN536" s="2675">
        <f t="shared" si="321"/>
        <v>0</v>
      </c>
      <c r="BO536" s="2675">
        <f t="shared" si="322"/>
        <v>0</v>
      </c>
      <c r="BP536" s="2675">
        <f t="shared" si="323"/>
        <v>0</v>
      </c>
      <c r="BQ536" s="2675">
        <f t="shared" si="324"/>
        <v>0</v>
      </c>
      <c r="BR536" s="2675">
        <f t="shared" si="325"/>
        <v>0</v>
      </c>
      <c r="BS536" s="2675">
        <f t="shared" si="326"/>
        <v>0</v>
      </c>
      <c r="BT536" s="2722">
        <f t="shared" si="327"/>
        <v>0</v>
      </c>
    </row>
    <row r="537" spans="1:72">
      <c r="A537" s="2673"/>
      <c r="B537" s="2674"/>
      <c r="C537" s="2674"/>
      <c r="D537" s="2277"/>
      <c r="E537" s="2675">
        <f t="shared" si="299"/>
        <v>0</v>
      </c>
      <c r="F537" s="2676"/>
      <c r="G537" s="2677">
        <f t="shared" si="303"/>
        <v>0</v>
      </c>
      <c r="H537" s="2678">
        <f t="shared" si="304"/>
        <v>0</v>
      </c>
      <c r="I537" s="2685"/>
      <c r="J537" s="2685"/>
      <c r="K537" s="2685"/>
      <c r="L537" s="2685"/>
      <c r="M537" s="2685"/>
      <c r="N537" s="2685"/>
      <c r="O537" s="2685"/>
      <c r="P537" s="2685"/>
      <c r="Q537" s="2685"/>
      <c r="R537" s="2685"/>
      <c r="S537" s="2685"/>
      <c r="T537" s="2685"/>
      <c r="U537" s="2685"/>
      <c r="V537" s="2685"/>
      <c r="W537" s="2685"/>
      <c r="X537" s="2685"/>
      <c r="Y537" s="2685"/>
      <c r="Z537" s="2685"/>
      <c r="AA537" s="2685"/>
      <c r="AB537" s="2685"/>
      <c r="AC537" s="2675">
        <f t="shared" si="305"/>
        <v>0</v>
      </c>
      <c r="AD537" s="2695"/>
      <c r="AE537" s="2695"/>
      <c r="AF537" s="2695"/>
      <c r="AG537" s="2695"/>
      <c r="AH537" s="2695"/>
      <c r="AI537" s="2695"/>
      <c r="AJ537" s="2695"/>
      <c r="AK537" s="2695"/>
      <c r="AL537" s="2695"/>
      <c r="AM537" s="2695"/>
      <c r="AN537" s="2695"/>
      <c r="AO537" s="2695"/>
      <c r="AP537" s="2695"/>
      <c r="AQ537" s="2695"/>
      <c r="AR537" s="2695"/>
      <c r="AS537" s="2695"/>
      <c r="AT537" s="2703"/>
      <c r="AU537" s="2704"/>
      <c r="AV537" s="1074">
        <f t="shared" si="300"/>
        <v>0</v>
      </c>
      <c r="AW537" s="1074">
        <f t="shared" si="301"/>
        <v>0</v>
      </c>
      <c r="AX537" s="1074">
        <f t="shared" si="302"/>
        <v>0</v>
      </c>
      <c r="AY537" s="2279">
        <f t="shared" si="306"/>
        <v>0</v>
      </c>
      <c r="AZ537" s="2675">
        <f t="shared" si="307"/>
        <v>0</v>
      </c>
      <c r="BA537" s="2675">
        <f t="shared" si="308"/>
        <v>0</v>
      </c>
      <c r="BB537" s="2675">
        <f t="shared" si="309"/>
        <v>0</v>
      </c>
      <c r="BC537" s="2675">
        <f t="shared" si="310"/>
        <v>0</v>
      </c>
      <c r="BD537" s="2675">
        <f t="shared" si="311"/>
        <v>0</v>
      </c>
      <c r="BE537" s="2675">
        <f t="shared" si="312"/>
        <v>0</v>
      </c>
      <c r="BF537" s="2675">
        <f t="shared" si="313"/>
        <v>0</v>
      </c>
      <c r="BG537" s="2675">
        <f t="shared" si="314"/>
        <v>0</v>
      </c>
      <c r="BH537" s="2675">
        <f t="shared" si="315"/>
        <v>0</v>
      </c>
      <c r="BI537" s="2675">
        <f t="shared" si="316"/>
        <v>0</v>
      </c>
      <c r="BJ537" s="2675">
        <f t="shared" si="317"/>
        <v>0</v>
      </c>
      <c r="BK537" s="2675">
        <f t="shared" si="318"/>
        <v>0</v>
      </c>
      <c r="BL537" s="2675">
        <f t="shared" si="319"/>
        <v>0</v>
      </c>
      <c r="BM537" s="2675">
        <f t="shared" si="320"/>
        <v>0</v>
      </c>
      <c r="BN537" s="2675">
        <f t="shared" si="321"/>
        <v>0</v>
      </c>
      <c r="BO537" s="2675">
        <f t="shared" si="322"/>
        <v>0</v>
      </c>
      <c r="BP537" s="2675">
        <f t="shared" si="323"/>
        <v>0</v>
      </c>
      <c r="BQ537" s="2675">
        <f t="shared" si="324"/>
        <v>0</v>
      </c>
      <c r="BR537" s="2675">
        <f t="shared" si="325"/>
        <v>0</v>
      </c>
      <c r="BS537" s="2675">
        <f t="shared" si="326"/>
        <v>0</v>
      </c>
      <c r="BT537" s="2722">
        <f t="shared" si="327"/>
        <v>0</v>
      </c>
    </row>
    <row r="538" spans="1:72">
      <c r="A538" s="2673"/>
      <c r="B538" s="2674"/>
      <c r="C538" s="2674"/>
      <c r="D538" s="2277"/>
      <c r="E538" s="2675">
        <f t="shared" si="299"/>
        <v>0</v>
      </c>
      <c r="F538" s="2676"/>
      <c r="G538" s="2677">
        <f t="shared" si="303"/>
        <v>0</v>
      </c>
      <c r="H538" s="2678">
        <f t="shared" si="304"/>
        <v>0</v>
      </c>
      <c r="I538" s="2685"/>
      <c r="J538" s="2685"/>
      <c r="K538" s="2685"/>
      <c r="L538" s="2685"/>
      <c r="M538" s="2685"/>
      <c r="N538" s="2685"/>
      <c r="O538" s="2685"/>
      <c r="P538" s="2685"/>
      <c r="Q538" s="2685"/>
      <c r="R538" s="2685"/>
      <c r="S538" s="2685"/>
      <c r="T538" s="2685"/>
      <c r="U538" s="2685"/>
      <c r="V538" s="2685"/>
      <c r="W538" s="2685"/>
      <c r="X538" s="2685"/>
      <c r="Y538" s="2685"/>
      <c r="Z538" s="2685"/>
      <c r="AA538" s="2685"/>
      <c r="AB538" s="2685"/>
      <c r="AC538" s="2675">
        <f t="shared" si="305"/>
        <v>0</v>
      </c>
      <c r="AD538" s="2695"/>
      <c r="AE538" s="2695"/>
      <c r="AF538" s="2695"/>
      <c r="AG538" s="2695"/>
      <c r="AH538" s="2695"/>
      <c r="AI538" s="2695"/>
      <c r="AJ538" s="2695"/>
      <c r="AK538" s="2695"/>
      <c r="AL538" s="2695"/>
      <c r="AM538" s="2695"/>
      <c r="AN538" s="2695"/>
      <c r="AO538" s="2695"/>
      <c r="AP538" s="2695"/>
      <c r="AQ538" s="2695"/>
      <c r="AR538" s="2695"/>
      <c r="AS538" s="2695"/>
      <c r="AT538" s="2703"/>
      <c r="AU538" s="2704"/>
      <c r="AV538" s="1074">
        <f t="shared" si="300"/>
        <v>0</v>
      </c>
      <c r="AW538" s="1074">
        <f t="shared" si="301"/>
        <v>0</v>
      </c>
      <c r="AX538" s="1074">
        <f t="shared" si="302"/>
        <v>0</v>
      </c>
      <c r="AY538" s="2279">
        <f t="shared" si="306"/>
        <v>0</v>
      </c>
      <c r="AZ538" s="2675">
        <f t="shared" si="307"/>
        <v>0</v>
      </c>
      <c r="BA538" s="2675">
        <f t="shared" si="308"/>
        <v>0</v>
      </c>
      <c r="BB538" s="2675">
        <f t="shared" si="309"/>
        <v>0</v>
      </c>
      <c r="BC538" s="2675">
        <f t="shared" si="310"/>
        <v>0</v>
      </c>
      <c r="BD538" s="2675">
        <f t="shared" si="311"/>
        <v>0</v>
      </c>
      <c r="BE538" s="2675">
        <f t="shared" si="312"/>
        <v>0</v>
      </c>
      <c r="BF538" s="2675">
        <f t="shared" si="313"/>
        <v>0</v>
      </c>
      <c r="BG538" s="2675">
        <f t="shared" si="314"/>
        <v>0</v>
      </c>
      <c r="BH538" s="2675">
        <f t="shared" si="315"/>
        <v>0</v>
      </c>
      <c r="BI538" s="2675">
        <f t="shared" si="316"/>
        <v>0</v>
      </c>
      <c r="BJ538" s="2675">
        <f t="shared" si="317"/>
        <v>0</v>
      </c>
      <c r="BK538" s="2675">
        <f t="shared" si="318"/>
        <v>0</v>
      </c>
      <c r="BL538" s="2675">
        <f t="shared" si="319"/>
        <v>0</v>
      </c>
      <c r="BM538" s="2675">
        <f t="shared" si="320"/>
        <v>0</v>
      </c>
      <c r="BN538" s="2675">
        <f t="shared" si="321"/>
        <v>0</v>
      </c>
      <c r="BO538" s="2675">
        <f t="shared" si="322"/>
        <v>0</v>
      </c>
      <c r="BP538" s="2675">
        <f t="shared" si="323"/>
        <v>0</v>
      </c>
      <c r="BQ538" s="2675">
        <f t="shared" si="324"/>
        <v>0</v>
      </c>
      <c r="BR538" s="2675">
        <f t="shared" si="325"/>
        <v>0</v>
      </c>
      <c r="BS538" s="2675">
        <f t="shared" si="326"/>
        <v>0</v>
      </c>
      <c r="BT538" s="2722">
        <f t="shared" si="327"/>
        <v>0</v>
      </c>
    </row>
    <row r="539" spans="1:72">
      <c r="A539" s="2673"/>
      <c r="B539" s="2674"/>
      <c r="C539" s="2674"/>
      <c r="D539" s="2277"/>
      <c r="E539" s="2675">
        <f t="shared" si="299"/>
        <v>0</v>
      </c>
      <c r="F539" s="2676"/>
      <c r="G539" s="2677">
        <f t="shared" si="303"/>
        <v>0</v>
      </c>
      <c r="H539" s="2678">
        <f t="shared" si="304"/>
        <v>0</v>
      </c>
      <c r="I539" s="2685"/>
      <c r="J539" s="2685"/>
      <c r="K539" s="2685"/>
      <c r="L539" s="2685"/>
      <c r="M539" s="2685"/>
      <c r="N539" s="2685"/>
      <c r="O539" s="2685"/>
      <c r="P539" s="2685"/>
      <c r="Q539" s="2685"/>
      <c r="R539" s="2685"/>
      <c r="S539" s="2685"/>
      <c r="T539" s="2685"/>
      <c r="U539" s="2685"/>
      <c r="V539" s="2685"/>
      <c r="W539" s="2685"/>
      <c r="X539" s="2685"/>
      <c r="Y539" s="2685"/>
      <c r="Z539" s="2685"/>
      <c r="AA539" s="2685"/>
      <c r="AB539" s="2685"/>
      <c r="AC539" s="2675">
        <f t="shared" si="305"/>
        <v>0</v>
      </c>
      <c r="AD539" s="2695"/>
      <c r="AE539" s="2695"/>
      <c r="AF539" s="2695"/>
      <c r="AG539" s="2695"/>
      <c r="AH539" s="2695"/>
      <c r="AI539" s="2695"/>
      <c r="AJ539" s="2695"/>
      <c r="AK539" s="2695"/>
      <c r="AL539" s="2695"/>
      <c r="AM539" s="2695"/>
      <c r="AN539" s="2695"/>
      <c r="AO539" s="2695"/>
      <c r="AP539" s="2695"/>
      <c r="AQ539" s="2695"/>
      <c r="AR539" s="2695"/>
      <c r="AS539" s="2695"/>
      <c r="AT539" s="2703"/>
      <c r="AU539" s="2704"/>
      <c r="AV539" s="1074">
        <f t="shared" si="300"/>
        <v>0</v>
      </c>
      <c r="AW539" s="1074">
        <f t="shared" si="301"/>
        <v>0</v>
      </c>
      <c r="AX539" s="1074">
        <f t="shared" si="302"/>
        <v>0</v>
      </c>
      <c r="AY539" s="2279">
        <f t="shared" si="306"/>
        <v>0</v>
      </c>
      <c r="AZ539" s="2675">
        <f t="shared" si="307"/>
        <v>0</v>
      </c>
      <c r="BA539" s="2675">
        <f t="shared" si="308"/>
        <v>0</v>
      </c>
      <c r="BB539" s="2675">
        <f t="shared" si="309"/>
        <v>0</v>
      </c>
      <c r="BC539" s="2675">
        <f t="shared" si="310"/>
        <v>0</v>
      </c>
      <c r="BD539" s="2675">
        <f t="shared" si="311"/>
        <v>0</v>
      </c>
      <c r="BE539" s="2675">
        <f t="shared" si="312"/>
        <v>0</v>
      </c>
      <c r="BF539" s="2675">
        <f t="shared" si="313"/>
        <v>0</v>
      </c>
      <c r="BG539" s="2675">
        <f t="shared" si="314"/>
        <v>0</v>
      </c>
      <c r="BH539" s="2675">
        <f t="shared" si="315"/>
        <v>0</v>
      </c>
      <c r="BI539" s="2675">
        <f t="shared" si="316"/>
        <v>0</v>
      </c>
      <c r="BJ539" s="2675">
        <f t="shared" si="317"/>
        <v>0</v>
      </c>
      <c r="BK539" s="2675">
        <f t="shared" si="318"/>
        <v>0</v>
      </c>
      <c r="BL539" s="2675">
        <f t="shared" si="319"/>
        <v>0</v>
      </c>
      <c r="BM539" s="2675">
        <f t="shared" si="320"/>
        <v>0</v>
      </c>
      <c r="BN539" s="2675">
        <f t="shared" si="321"/>
        <v>0</v>
      </c>
      <c r="BO539" s="2675">
        <f t="shared" si="322"/>
        <v>0</v>
      </c>
      <c r="BP539" s="2675">
        <f t="shared" si="323"/>
        <v>0</v>
      </c>
      <c r="BQ539" s="2675">
        <f t="shared" si="324"/>
        <v>0</v>
      </c>
      <c r="BR539" s="2675">
        <f t="shared" si="325"/>
        <v>0</v>
      </c>
      <c r="BS539" s="2675">
        <f t="shared" si="326"/>
        <v>0</v>
      </c>
      <c r="BT539" s="2722">
        <f t="shared" si="327"/>
        <v>0</v>
      </c>
    </row>
    <row r="540" spans="1:72">
      <c r="A540" s="2673"/>
      <c r="B540" s="2674"/>
      <c r="C540" s="2674"/>
      <c r="D540" s="2277"/>
      <c r="E540" s="2675">
        <f t="shared" si="299"/>
        <v>0</v>
      </c>
      <c r="F540" s="2676"/>
      <c r="G540" s="2677">
        <f t="shared" si="303"/>
        <v>0</v>
      </c>
      <c r="H540" s="2678">
        <f t="shared" si="304"/>
        <v>0</v>
      </c>
      <c r="I540" s="2685"/>
      <c r="J540" s="2685"/>
      <c r="K540" s="2685"/>
      <c r="L540" s="2685"/>
      <c r="M540" s="2685"/>
      <c r="N540" s="2685"/>
      <c r="O540" s="2685"/>
      <c r="P540" s="2685"/>
      <c r="Q540" s="2685"/>
      <c r="R540" s="2685"/>
      <c r="S540" s="2685"/>
      <c r="T540" s="2685"/>
      <c r="U540" s="2685"/>
      <c r="V540" s="2685"/>
      <c r="W540" s="2685"/>
      <c r="X540" s="2685"/>
      <c r="Y540" s="2685"/>
      <c r="Z540" s="2685"/>
      <c r="AA540" s="2685"/>
      <c r="AB540" s="2685"/>
      <c r="AC540" s="2675">
        <f t="shared" si="305"/>
        <v>0</v>
      </c>
      <c r="AD540" s="2695"/>
      <c r="AE540" s="2695"/>
      <c r="AF540" s="2695"/>
      <c r="AG540" s="2695"/>
      <c r="AH540" s="2695"/>
      <c r="AI540" s="2695"/>
      <c r="AJ540" s="2695"/>
      <c r="AK540" s="2695"/>
      <c r="AL540" s="2695"/>
      <c r="AM540" s="2695"/>
      <c r="AN540" s="2695"/>
      <c r="AO540" s="2695"/>
      <c r="AP540" s="2695"/>
      <c r="AQ540" s="2695"/>
      <c r="AR540" s="2695"/>
      <c r="AS540" s="2695"/>
      <c r="AT540" s="2703"/>
      <c r="AU540" s="2704"/>
      <c r="AV540" s="1074">
        <f t="shared" si="300"/>
        <v>0</v>
      </c>
      <c r="AW540" s="1074">
        <f t="shared" si="301"/>
        <v>0</v>
      </c>
      <c r="AX540" s="1074">
        <f t="shared" si="302"/>
        <v>0</v>
      </c>
      <c r="AY540" s="2279">
        <f t="shared" si="306"/>
        <v>0</v>
      </c>
      <c r="AZ540" s="2675">
        <f t="shared" si="307"/>
        <v>0</v>
      </c>
      <c r="BA540" s="2675">
        <f t="shared" si="308"/>
        <v>0</v>
      </c>
      <c r="BB540" s="2675">
        <f t="shared" si="309"/>
        <v>0</v>
      </c>
      <c r="BC540" s="2675">
        <f t="shared" si="310"/>
        <v>0</v>
      </c>
      <c r="BD540" s="2675">
        <f t="shared" si="311"/>
        <v>0</v>
      </c>
      <c r="BE540" s="2675">
        <f t="shared" si="312"/>
        <v>0</v>
      </c>
      <c r="BF540" s="2675">
        <f t="shared" si="313"/>
        <v>0</v>
      </c>
      <c r="BG540" s="2675">
        <f t="shared" si="314"/>
        <v>0</v>
      </c>
      <c r="BH540" s="2675">
        <f t="shared" si="315"/>
        <v>0</v>
      </c>
      <c r="BI540" s="2675">
        <f t="shared" si="316"/>
        <v>0</v>
      </c>
      <c r="BJ540" s="2675">
        <f t="shared" si="317"/>
        <v>0</v>
      </c>
      <c r="BK540" s="2675">
        <f t="shared" si="318"/>
        <v>0</v>
      </c>
      <c r="BL540" s="2675">
        <f t="shared" si="319"/>
        <v>0</v>
      </c>
      <c r="BM540" s="2675">
        <f t="shared" si="320"/>
        <v>0</v>
      </c>
      <c r="BN540" s="2675">
        <f t="shared" si="321"/>
        <v>0</v>
      </c>
      <c r="BO540" s="2675">
        <f t="shared" si="322"/>
        <v>0</v>
      </c>
      <c r="BP540" s="2675">
        <f t="shared" si="323"/>
        <v>0</v>
      </c>
      <c r="BQ540" s="2675">
        <f t="shared" si="324"/>
        <v>0</v>
      </c>
      <c r="BR540" s="2675">
        <f t="shared" si="325"/>
        <v>0</v>
      </c>
      <c r="BS540" s="2675">
        <f t="shared" si="326"/>
        <v>0</v>
      </c>
      <c r="BT540" s="2722">
        <f t="shared" si="327"/>
        <v>0</v>
      </c>
    </row>
    <row r="541" spans="1:72">
      <c r="A541" s="2673"/>
      <c r="B541" s="2674"/>
      <c r="C541" s="2674"/>
      <c r="D541" s="2277"/>
      <c r="E541" s="2675">
        <f t="shared" si="299"/>
        <v>0</v>
      </c>
      <c r="F541" s="2676"/>
      <c r="G541" s="2677">
        <f t="shared" si="303"/>
        <v>0</v>
      </c>
      <c r="H541" s="2678">
        <f t="shared" si="304"/>
        <v>0</v>
      </c>
      <c r="I541" s="2685"/>
      <c r="J541" s="2685"/>
      <c r="K541" s="2685"/>
      <c r="L541" s="2685"/>
      <c r="M541" s="2685"/>
      <c r="N541" s="2685"/>
      <c r="O541" s="2685"/>
      <c r="P541" s="2685"/>
      <c r="Q541" s="2685"/>
      <c r="R541" s="2685"/>
      <c r="S541" s="2685"/>
      <c r="T541" s="2685"/>
      <c r="U541" s="2685"/>
      <c r="V541" s="2685"/>
      <c r="W541" s="2685"/>
      <c r="X541" s="2685"/>
      <c r="Y541" s="2685"/>
      <c r="Z541" s="2685"/>
      <c r="AA541" s="2685"/>
      <c r="AB541" s="2685"/>
      <c r="AC541" s="2675">
        <f t="shared" si="305"/>
        <v>0</v>
      </c>
      <c r="AD541" s="2695"/>
      <c r="AE541" s="2695"/>
      <c r="AF541" s="2695"/>
      <c r="AG541" s="2695"/>
      <c r="AH541" s="2695"/>
      <c r="AI541" s="2695"/>
      <c r="AJ541" s="2695"/>
      <c r="AK541" s="2695"/>
      <c r="AL541" s="2695"/>
      <c r="AM541" s="2695"/>
      <c r="AN541" s="2695"/>
      <c r="AO541" s="2695"/>
      <c r="AP541" s="2695"/>
      <c r="AQ541" s="2695"/>
      <c r="AR541" s="2695"/>
      <c r="AS541" s="2695"/>
      <c r="AT541" s="2703"/>
      <c r="AU541" s="2704"/>
      <c r="AV541" s="1074">
        <f t="shared" si="300"/>
        <v>0</v>
      </c>
      <c r="AW541" s="1074">
        <f t="shared" si="301"/>
        <v>0</v>
      </c>
      <c r="AX541" s="1074">
        <f t="shared" si="302"/>
        <v>0</v>
      </c>
      <c r="AY541" s="2279">
        <f t="shared" si="306"/>
        <v>0</v>
      </c>
      <c r="AZ541" s="2675">
        <f t="shared" si="307"/>
        <v>0</v>
      </c>
      <c r="BA541" s="2675">
        <f t="shared" si="308"/>
        <v>0</v>
      </c>
      <c r="BB541" s="2675">
        <f t="shared" si="309"/>
        <v>0</v>
      </c>
      <c r="BC541" s="2675">
        <f t="shared" si="310"/>
        <v>0</v>
      </c>
      <c r="BD541" s="2675">
        <f t="shared" si="311"/>
        <v>0</v>
      </c>
      <c r="BE541" s="2675">
        <f t="shared" si="312"/>
        <v>0</v>
      </c>
      <c r="BF541" s="2675">
        <f t="shared" si="313"/>
        <v>0</v>
      </c>
      <c r="BG541" s="2675">
        <f t="shared" si="314"/>
        <v>0</v>
      </c>
      <c r="BH541" s="2675">
        <f t="shared" si="315"/>
        <v>0</v>
      </c>
      <c r="BI541" s="2675">
        <f t="shared" si="316"/>
        <v>0</v>
      </c>
      <c r="BJ541" s="2675">
        <f t="shared" si="317"/>
        <v>0</v>
      </c>
      <c r="BK541" s="2675">
        <f t="shared" si="318"/>
        <v>0</v>
      </c>
      <c r="BL541" s="2675">
        <f t="shared" si="319"/>
        <v>0</v>
      </c>
      <c r="BM541" s="2675">
        <f t="shared" si="320"/>
        <v>0</v>
      </c>
      <c r="BN541" s="2675">
        <f t="shared" si="321"/>
        <v>0</v>
      </c>
      <c r="BO541" s="2675">
        <f t="shared" si="322"/>
        <v>0</v>
      </c>
      <c r="BP541" s="2675">
        <f t="shared" si="323"/>
        <v>0</v>
      </c>
      <c r="BQ541" s="2675">
        <f t="shared" si="324"/>
        <v>0</v>
      </c>
      <c r="BR541" s="2675">
        <f t="shared" si="325"/>
        <v>0</v>
      </c>
      <c r="BS541" s="2675">
        <f t="shared" si="326"/>
        <v>0</v>
      </c>
      <c r="BT541" s="2722">
        <f t="shared" si="327"/>
        <v>0</v>
      </c>
    </row>
    <row r="542" spans="1:72">
      <c r="A542" s="2673"/>
      <c r="B542" s="2674"/>
      <c r="C542" s="2674"/>
      <c r="D542" s="2277"/>
      <c r="E542" s="2675">
        <f t="shared" si="299"/>
        <v>0</v>
      </c>
      <c r="F542" s="2676"/>
      <c r="G542" s="2677">
        <f t="shared" si="303"/>
        <v>0</v>
      </c>
      <c r="H542" s="2678">
        <f t="shared" si="304"/>
        <v>0</v>
      </c>
      <c r="I542" s="2685"/>
      <c r="J542" s="2685"/>
      <c r="K542" s="2685"/>
      <c r="L542" s="2685"/>
      <c r="M542" s="2685"/>
      <c r="N542" s="2685"/>
      <c r="O542" s="2685"/>
      <c r="P542" s="2685"/>
      <c r="Q542" s="2685"/>
      <c r="R542" s="2685"/>
      <c r="S542" s="2685"/>
      <c r="T542" s="2685"/>
      <c r="U542" s="2685"/>
      <c r="V542" s="2685"/>
      <c r="W542" s="2685"/>
      <c r="X542" s="2685"/>
      <c r="Y542" s="2685"/>
      <c r="Z542" s="2685"/>
      <c r="AA542" s="2685"/>
      <c r="AB542" s="2685"/>
      <c r="AC542" s="2675">
        <f t="shared" si="305"/>
        <v>0</v>
      </c>
      <c r="AD542" s="2695"/>
      <c r="AE542" s="2695"/>
      <c r="AF542" s="2695"/>
      <c r="AG542" s="2695"/>
      <c r="AH542" s="2695"/>
      <c r="AI542" s="2695"/>
      <c r="AJ542" s="2695"/>
      <c r="AK542" s="2695"/>
      <c r="AL542" s="2695"/>
      <c r="AM542" s="2695"/>
      <c r="AN542" s="2695"/>
      <c r="AO542" s="2695"/>
      <c r="AP542" s="2695"/>
      <c r="AQ542" s="2695"/>
      <c r="AR542" s="2695"/>
      <c r="AS542" s="2695"/>
      <c r="AT542" s="2703"/>
      <c r="AU542" s="2704"/>
      <c r="AV542" s="1074">
        <f t="shared" si="300"/>
        <v>0</v>
      </c>
      <c r="AW542" s="1074">
        <f t="shared" si="301"/>
        <v>0</v>
      </c>
      <c r="AX542" s="1074">
        <f t="shared" si="302"/>
        <v>0</v>
      </c>
      <c r="AY542" s="2279">
        <f t="shared" si="306"/>
        <v>0</v>
      </c>
      <c r="AZ542" s="2675">
        <f t="shared" si="307"/>
        <v>0</v>
      </c>
      <c r="BA542" s="2675">
        <f t="shared" si="308"/>
        <v>0</v>
      </c>
      <c r="BB542" s="2675">
        <f t="shared" si="309"/>
        <v>0</v>
      </c>
      <c r="BC542" s="2675">
        <f t="shared" si="310"/>
        <v>0</v>
      </c>
      <c r="BD542" s="2675">
        <f t="shared" si="311"/>
        <v>0</v>
      </c>
      <c r="BE542" s="2675">
        <f t="shared" si="312"/>
        <v>0</v>
      </c>
      <c r="BF542" s="2675">
        <f t="shared" si="313"/>
        <v>0</v>
      </c>
      <c r="BG542" s="2675">
        <f t="shared" si="314"/>
        <v>0</v>
      </c>
      <c r="BH542" s="2675">
        <f t="shared" si="315"/>
        <v>0</v>
      </c>
      <c r="BI542" s="2675">
        <f t="shared" si="316"/>
        <v>0</v>
      </c>
      <c r="BJ542" s="2675">
        <f t="shared" si="317"/>
        <v>0</v>
      </c>
      <c r="BK542" s="2675">
        <f t="shared" si="318"/>
        <v>0</v>
      </c>
      <c r="BL542" s="2675">
        <f t="shared" si="319"/>
        <v>0</v>
      </c>
      <c r="BM542" s="2675">
        <f t="shared" si="320"/>
        <v>0</v>
      </c>
      <c r="BN542" s="2675">
        <f t="shared" si="321"/>
        <v>0</v>
      </c>
      <c r="BO542" s="2675">
        <f t="shared" si="322"/>
        <v>0</v>
      </c>
      <c r="BP542" s="2675">
        <f t="shared" si="323"/>
        <v>0</v>
      </c>
      <c r="BQ542" s="2675">
        <f t="shared" si="324"/>
        <v>0</v>
      </c>
      <c r="BR542" s="2675">
        <f t="shared" si="325"/>
        <v>0</v>
      </c>
      <c r="BS542" s="2675">
        <f t="shared" si="326"/>
        <v>0</v>
      </c>
      <c r="BT542" s="2722">
        <f t="shared" si="327"/>
        <v>0</v>
      </c>
    </row>
    <row r="543" spans="1:72">
      <c r="A543" s="2673"/>
      <c r="B543" s="2674"/>
      <c r="C543" s="2674"/>
      <c r="D543" s="2277"/>
      <c r="E543" s="2675">
        <f t="shared" si="299"/>
        <v>0</v>
      </c>
      <c r="F543" s="2676"/>
      <c r="G543" s="2677">
        <f t="shared" si="303"/>
        <v>0</v>
      </c>
      <c r="H543" s="2678">
        <f t="shared" si="304"/>
        <v>0</v>
      </c>
      <c r="I543" s="2685"/>
      <c r="J543" s="2685"/>
      <c r="K543" s="2685"/>
      <c r="L543" s="2685"/>
      <c r="M543" s="2685"/>
      <c r="N543" s="2685"/>
      <c r="O543" s="2685"/>
      <c r="P543" s="2685"/>
      <c r="Q543" s="2685"/>
      <c r="R543" s="2685"/>
      <c r="S543" s="2685"/>
      <c r="T543" s="2685"/>
      <c r="U543" s="2685"/>
      <c r="V543" s="2685"/>
      <c r="W543" s="2685"/>
      <c r="X543" s="2685"/>
      <c r="Y543" s="2685"/>
      <c r="Z543" s="2685"/>
      <c r="AA543" s="2685"/>
      <c r="AB543" s="2685"/>
      <c r="AC543" s="2675">
        <f t="shared" si="305"/>
        <v>0</v>
      </c>
      <c r="AD543" s="2695"/>
      <c r="AE543" s="2695"/>
      <c r="AF543" s="2695"/>
      <c r="AG543" s="2695"/>
      <c r="AH543" s="2695"/>
      <c r="AI543" s="2695"/>
      <c r="AJ543" s="2695"/>
      <c r="AK543" s="2695"/>
      <c r="AL543" s="2695"/>
      <c r="AM543" s="2695"/>
      <c r="AN543" s="2695"/>
      <c r="AO543" s="2695"/>
      <c r="AP543" s="2695"/>
      <c r="AQ543" s="2695"/>
      <c r="AR543" s="2695"/>
      <c r="AS543" s="2695"/>
      <c r="AT543" s="2703"/>
      <c r="AU543" s="2704"/>
      <c r="AV543" s="1074">
        <f t="shared" si="300"/>
        <v>0</v>
      </c>
      <c r="AW543" s="1074">
        <f t="shared" si="301"/>
        <v>0</v>
      </c>
      <c r="AX543" s="1074">
        <f t="shared" si="302"/>
        <v>0</v>
      </c>
      <c r="AY543" s="2279">
        <f t="shared" si="306"/>
        <v>0</v>
      </c>
      <c r="AZ543" s="2675">
        <f t="shared" si="307"/>
        <v>0</v>
      </c>
      <c r="BA543" s="2675">
        <f t="shared" si="308"/>
        <v>0</v>
      </c>
      <c r="BB543" s="2675">
        <f t="shared" si="309"/>
        <v>0</v>
      </c>
      <c r="BC543" s="2675">
        <f t="shared" si="310"/>
        <v>0</v>
      </c>
      <c r="BD543" s="2675">
        <f t="shared" si="311"/>
        <v>0</v>
      </c>
      <c r="BE543" s="2675">
        <f t="shared" si="312"/>
        <v>0</v>
      </c>
      <c r="BF543" s="2675">
        <f t="shared" si="313"/>
        <v>0</v>
      </c>
      <c r="BG543" s="2675">
        <f t="shared" si="314"/>
        <v>0</v>
      </c>
      <c r="BH543" s="2675">
        <f t="shared" si="315"/>
        <v>0</v>
      </c>
      <c r="BI543" s="2675">
        <f t="shared" si="316"/>
        <v>0</v>
      </c>
      <c r="BJ543" s="2675">
        <f t="shared" si="317"/>
        <v>0</v>
      </c>
      <c r="BK543" s="2675">
        <f t="shared" si="318"/>
        <v>0</v>
      </c>
      <c r="BL543" s="2675">
        <f t="shared" si="319"/>
        <v>0</v>
      </c>
      <c r="BM543" s="2675">
        <f t="shared" si="320"/>
        <v>0</v>
      </c>
      <c r="BN543" s="2675">
        <f t="shared" si="321"/>
        <v>0</v>
      </c>
      <c r="BO543" s="2675">
        <f t="shared" si="322"/>
        <v>0</v>
      </c>
      <c r="BP543" s="2675">
        <f t="shared" si="323"/>
        <v>0</v>
      </c>
      <c r="BQ543" s="2675">
        <f t="shared" si="324"/>
        <v>0</v>
      </c>
      <c r="BR543" s="2675">
        <f t="shared" si="325"/>
        <v>0</v>
      </c>
      <c r="BS543" s="2675">
        <f t="shared" si="326"/>
        <v>0</v>
      </c>
      <c r="BT543" s="2722">
        <f t="shared" si="327"/>
        <v>0</v>
      </c>
    </row>
    <row r="544" spans="1:72">
      <c r="A544" s="2673"/>
      <c r="B544" s="2674"/>
      <c r="C544" s="2674"/>
      <c r="D544" s="2277"/>
      <c r="E544" s="2675">
        <f t="shared" si="299"/>
        <v>0</v>
      </c>
      <c r="F544" s="2676"/>
      <c r="G544" s="2677">
        <f t="shared" si="303"/>
        <v>0</v>
      </c>
      <c r="H544" s="2678">
        <f t="shared" si="304"/>
        <v>0</v>
      </c>
      <c r="I544" s="2685"/>
      <c r="J544" s="2685"/>
      <c r="K544" s="2685"/>
      <c r="L544" s="2685"/>
      <c r="M544" s="2685"/>
      <c r="N544" s="2685"/>
      <c r="O544" s="2685"/>
      <c r="P544" s="2685"/>
      <c r="Q544" s="2685"/>
      <c r="R544" s="2685"/>
      <c r="S544" s="2685"/>
      <c r="T544" s="2685"/>
      <c r="U544" s="2685"/>
      <c r="V544" s="2685"/>
      <c r="W544" s="2685"/>
      <c r="X544" s="2685"/>
      <c r="Y544" s="2685"/>
      <c r="Z544" s="2685"/>
      <c r="AA544" s="2685"/>
      <c r="AB544" s="2685"/>
      <c r="AC544" s="2675">
        <f t="shared" si="305"/>
        <v>0</v>
      </c>
      <c r="AD544" s="2695"/>
      <c r="AE544" s="2695"/>
      <c r="AF544" s="2695"/>
      <c r="AG544" s="2695"/>
      <c r="AH544" s="2695"/>
      <c r="AI544" s="2695"/>
      <c r="AJ544" s="2695"/>
      <c r="AK544" s="2695"/>
      <c r="AL544" s="2695"/>
      <c r="AM544" s="2695"/>
      <c r="AN544" s="2695"/>
      <c r="AO544" s="2695"/>
      <c r="AP544" s="2695"/>
      <c r="AQ544" s="2695"/>
      <c r="AR544" s="2695"/>
      <c r="AS544" s="2695"/>
      <c r="AT544" s="2703"/>
      <c r="AU544" s="2704"/>
      <c r="AV544" s="1074">
        <f t="shared" si="300"/>
        <v>0</v>
      </c>
      <c r="AW544" s="1074">
        <f t="shared" si="301"/>
        <v>0</v>
      </c>
      <c r="AX544" s="1074">
        <f t="shared" si="302"/>
        <v>0</v>
      </c>
      <c r="AY544" s="2279">
        <f t="shared" si="306"/>
        <v>0</v>
      </c>
      <c r="AZ544" s="2675">
        <f t="shared" si="307"/>
        <v>0</v>
      </c>
      <c r="BA544" s="2675">
        <f t="shared" si="308"/>
        <v>0</v>
      </c>
      <c r="BB544" s="2675">
        <f t="shared" si="309"/>
        <v>0</v>
      </c>
      <c r="BC544" s="2675">
        <f t="shared" si="310"/>
        <v>0</v>
      </c>
      <c r="BD544" s="2675">
        <f t="shared" si="311"/>
        <v>0</v>
      </c>
      <c r="BE544" s="2675">
        <f t="shared" si="312"/>
        <v>0</v>
      </c>
      <c r="BF544" s="2675">
        <f t="shared" si="313"/>
        <v>0</v>
      </c>
      <c r="BG544" s="2675">
        <f t="shared" si="314"/>
        <v>0</v>
      </c>
      <c r="BH544" s="2675">
        <f t="shared" si="315"/>
        <v>0</v>
      </c>
      <c r="BI544" s="2675">
        <f t="shared" si="316"/>
        <v>0</v>
      </c>
      <c r="BJ544" s="2675">
        <f t="shared" si="317"/>
        <v>0</v>
      </c>
      <c r="BK544" s="2675">
        <f t="shared" si="318"/>
        <v>0</v>
      </c>
      <c r="BL544" s="2675">
        <f t="shared" si="319"/>
        <v>0</v>
      </c>
      <c r="BM544" s="2675">
        <f t="shared" si="320"/>
        <v>0</v>
      </c>
      <c r="BN544" s="2675">
        <f t="shared" si="321"/>
        <v>0</v>
      </c>
      <c r="BO544" s="2675">
        <f t="shared" si="322"/>
        <v>0</v>
      </c>
      <c r="BP544" s="2675">
        <f t="shared" si="323"/>
        <v>0</v>
      </c>
      <c r="BQ544" s="2675">
        <f t="shared" si="324"/>
        <v>0</v>
      </c>
      <c r="BR544" s="2675">
        <f t="shared" si="325"/>
        <v>0</v>
      </c>
      <c r="BS544" s="2675">
        <f t="shared" si="326"/>
        <v>0</v>
      </c>
      <c r="BT544" s="2722">
        <f t="shared" si="327"/>
        <v>0</v>
      </c>
    </row>
    <row r="545" spans="1:72">
      <c r="A545" s="2673"/>
      <c r="B545" s="2674"/>
      <c r="C545" s="2674"/>
      <c r="D545" s="2277"/>
      <c r="E545" s="2675">
        <f t="shared" si="299"/>
        <v>0</v>
      </c>
      <c r="F545" s="2676"/>
      <c r="G545" s="2677">
        <f t="shared" si="303"/>
        <v>0</v>
      </c>
      <c r="H545" s="2678">
        <f t="shared" si="304"/>
        <v>0</v>
      </c>
      <c r="I545" s="2685"/>
      <c r="J545" s="2685"/>
      <c r="K545" s="2685"/>
      <c r="L545" s="2685"/>
      <c r="M545" s="2685"/>
      <c r="N545" s="2685"/>
      <c r="O545" s="2685"/>
      <c r="P545" s="2685"/>
      <c r="Q545" s="2685"/>
      <c r="R545" s="2685"/>
      <c r="S545" s="2685"/>
      <c r="T545" s="2685"/>
      <c r="U545" s="2685"/>
      <c r="V545" s="2685"/>
      <c r="W545" s="2685"/>
      <c r="X545" s="2685"/>
      <c r="Y545" s="2685"/>
      <c r="Z545" s="2685"/>
      <c r="AA545" s="2685"/>
      <c r="AB545" s="2685"/>
      <c r="AC545" s="2675">
        <f t="shared" si="305"/>
        <v>0</v>
      </c>
      <c r="AD545" s="2695"/>
      <c r="AE545" s="2695"/>
      <c r="AF545" s="2695"/>
      <c r="AG545" s="2695"/>
      <c r="AH545" s="2695"/>
      <c r="AI545" s="2695"/>
      <c r="AJ545" s="2695"/>
      <c r="AK545" s="2695"/>
      <c r="AL545" s="2695"/>
      <c r="AM545" s="2695"/>
      <c r="AN545" s="2695"/>
      <c r="AO545" s="2695"/>
      <c r="AP545" s="2695"/>
      <c r="AQ545" s="2695"/>
      <c r="AR545" s="2695"/>
      <c r="AS545" s="2695"/>
      <c r="AT545" s="2703"/>
      <c r="AU545" s="2704"/>
      <c r="AV545" s="1074">
        <f t="shared" si="300"/>
        <v>0</v>
      </c>
      <c r="AW545" s="1074">
        <f t="shared" si="301"/>
        <v>0</v>
      </c>
      <c r="AX545" s="1074">
        <f t="shared" si="302"/>
        <v>0</v>
      </c>
      <c r="AY545" s="2279">
        <f t="shared" si="306"/>
        <v>0</v>
      </c>
      <c r="AZ545" s="2675">
        <f t="shared" si="307"/>
        <v>0</v>
      </c>
      <c r="BA545" s="2675">
        <f t="shared" si="308"/>
        <v>0</v>
      </c>
      <c r="BB545" s="2675">
        <f t="shared" si="309"/>
        <v>0</v>
      </c>
      <c r="BC545" s="2675">
        <f t="shared" si="310"/>
        <v>0</v>
      </c>
      <c r="BD545" s="2675">
        <f t="shared" si="311"/>
        <v>0</v>
      </c>
      <c r="BE545" s="2675">
        <f t="shared" si="312"/>
        <v>0</v>
      </c>
      <c r="BF545" s="2675">
        <f t="shared" si="313"/>
        <v>0</v>
      </c>
      <c r="BG545" s="2675">
        <f t="shared" si="314"/>
        <v>0</v>
      </c>
      <c r="BH545" s="2675">
        <f t="shared" si="315"/>
        <v>0</v>
      </c>
      <c r="BI545" s="2675">
        <f t="shared" si="316"/>
        <v>0</v>
      </c>
      <c r="BJ545" s="2675">
        <f t="shared" si="317"/>
        <v>0</v>
      </c>
      <c r="BK545" s="2675">
        <f t="shared" si="318"/>
        <v>0</v>
      </c>
      <c r="BL545" s="2675">
        <f t="shared" si="319"/>
        <v>0</v>
      </c>
      <c r="BM545" s="2675">
        <f t="shared" si="320"/>
        <v>0</v>
      </c>
      <c r="BN545" s="2675">
        <f t="shared" si="321"/>
        <v>0</v>
      </c>
      <c r="BO545" s="2675">
        <f t="shared" si="322"/>
        <v>0</v>
      </c>
      <c r="BP545" s="2675">
        <f t="shared" si="323"/>
        <v>0</v>
      </c>
      <c r="BQ545" s="2675">
        <f t="shared" si="324"/>
        <v>0</v>
      </c>
      <c r="BR545" s="2675">
        <f t="shared" si="325"/>
        <v>0</v>
      </c>
      <c r="BS545" s="2675">
        <f t="shared" si="326"/>
        <v>0</v>
      </c>
      <c r="BT545" s="2722">
        <f t="shared" si="327"/>
        <v>0</v>
      </c>
    </row>
    <row r="546" spans="1:72">
      <c r="A546" s="2673"/>
      <c r="B546" s="2674"/>
      <c r="C546" s="2674"/>
      <c r="D546" s="2277"/>
      <c r="E546" s="2675">
        <f t="shared" si="299"/>
        <v>0</v>
      </c>
      <c r="F546" s="2676"/>
      <c r="G546" s="2677">
        <f t="shared" si="303"/>
        <v>0</v>
      </c>
      <c r="H546" s="2678">
        <f t="shared" si="304"/>
        <v>0</v>
      </c>
      <c r="I546" s="2685"/>
      <c r="J546" s="2685"/>
      <c r="K546" s="2685"/>
      <c r="L546" s="2685"/>
      <c r="M546" s="2685"/>
      <c r="N546" s="2685"/>
      <c r="O546" s="2685"/>
      <c r="P546" s="2685"/>
      <c r="Q546" s="2685"/>
      <c r="R546" s="2685"/>
      <c r="S546" s="2685"/>
      <c r="T546" s="2685"/>
      <c r="U546" s="2685"/>
      <c r="V546" s="2685"/>
      <c r="W546" s="2685"/>
      <c r="X546" s="2685"/>
      <c r="Y546" s="2685"/>
      <c r="Z546" s="2685"/>
      <c r="AA546" s="2685"/>
      <c r="AB546" s="2685"/>
      <c r="AC546" s="2675">
        <f t="shared" si="305"/>
        <v>0</v>
      </c>
      <c r="AD546" s="2695"/>
      <c r="AE546" s="2695"/>
      <c r="AF546" s="2695"/>
      <c r="AG546" s="2695"/>
      <c r="AH546" s="2695"/>
      <c r="AI546" s="2695"/>
      <c r="AJ546" s="2695"/>
      <c r="AK546" s="2695"/>
      <c r="AL546" s="2695"/>
      <c r="AM546" s="2695"/>
      <c r="AN546" s="2695"/>
      <c r="AO546" s="2695"/>
      <c r="AP546" s="2695"/>
      <c r="AQ546" s="2695"/>
      <c r="AR546" s="2695"/>
      <c r="AS546" s="2695"/>
      <c r="AT546" s="2703"/>
      <c r="AU546" s="2704"/>
      <c r="AV546" s="1074">
        <f t="shared" si="300"/>
        <v>0</v>
      </c>
      <c r="AW546" s="1074">
        <f t="shared" si="301"/>
        <v>0</v>
      </c>
      <c r="AX546" s="1074">
        <f t="shared" si="302"/>
        <v>0</v>
      </c>
      <c r="AY546" s="2279">
        <f t="shared" si="306"/>
        <v>0</v>
      </c>
      <c r="AZ546" s="2675">
        <f t="shared" si="307"/>
        <v>0</v>
      </c>
      <c r="BA546" s="2675">
        <f t="shared" si="308"/>
        <v>0</v>
      </c>
      <c r="BB546" s="2675">
        <f t="shared" si="309"/>
        <v>0</v>
      </c>
      <c r="BC546" s="2675">
        <f t="shared" si="310"/>
        <v>0</v>
      </c>
      <c r="BD546" s="2675">
        <f t="shared" si="311"/>
        <v>0</v>
      </c>
      <c r="BE546" s="2675">
        <f t="shared" si="312"/>
        <v>0</v>
      </c>
      <c r="BF546" s="2675">
        <f t="shared" si="313"/>
        <v>0</v>
      </c>
      <c r="BG546" s="2675">
        <f t="shared" si="314"/>
        <v>0</v>
      </c>
      <c r="BH546" s="2675">
        <f t="shared" si="315"/>
        <v>0</v>
      </c>
      <c r="BI546" s="2675">
        <f t="shared" si="316"/>
        <v>0</v>
      </c>
      <c r="BJ546" s="2675">
        <f t="shared" si="317"/>
        <v>0</v>
      </c>
      <c r="BK546" s="2675">
        <f t="shared" si="318"/>
        <v>0</v>
      </c>
      <c r="BL546" s="2675">
        <f t="shared" si="319"/>
        <v>0</v>
      </c>
      <c r="BM546" s="2675">
        <f t="shared" si="320"/>
        <v>0</v>
      </c>
      <c r="BN546" s="2675">
        <f t="shared" si="321"/>
        <v>0</v>
      </c>
      <c r="BO546" s="2675">
        <f t="shared" si="322"/>
        <v>0</v>
      </c>
      <c r="BP546" s="2675">
        <f t="shared" si="323"/>
        <v>0</v>
      </c>
      <c r="BQ546" s="2675">
        <f t="shared" si="324"/>
        <v>0</v>
      </c>
      <c r="BR546" s="2675">
        <f t="shared" si="325"/>
        <v>0</v>
      </c>
      <c r="BS546" s="2675">
        <f t="shared" si="326"/>
        <v>0</v>
      </c>
      <c r="BT546" s="2722">
        <f t="shared" si="327"/>
        <v>0</v>
      </c>
    </row>
    <row r="547" spans="1:72">
      <c r="A547" s="2673"/>
      <c r="B547" s="2674"/>
      <c r="C547" s="2674"/>
      <c r="D547" s="2277"/>
      <c r="E547" s="2675">
        <f t="shared" si="299"/>
        <v>0</v>
      </c>
      <c r="F547" s="2676"/>
      <c r="G547" s="2677">
        <f t="shared" si="303"/>
        <v>0</v>
      </c>
      <c r="H547" s="2678">
        <f t="shared" si="304"/>
        <v>0</v>
      </c>
      <c r="I547" s="2685"/>
      <c r="J547" s="2685"/>
      <c r="K547" s="2685"/>
      <c r="L547" s="2685"/>
      <c r="M547" s="2685"/>
      <c r="N547" s="2685"/>
      <c r="O547" s="2685"/>
      <c r="P547" s="2685"/>
      <c r="Q547" s="2685"/>
      <c r="R547" s="2685"/>
      <c r="S547" s="2685"/>
      <c r="T547" s="2685"/>
      <c r="U547" s="2685"/>
      <c r="V547" s="2685"/>
      <c r="W547" s="2685"/>
      <c r="X547" s="2685"/>
      <c r="Y547" s="2685"/>
      <c r="Z547" s="2685"/>
      <c r="AA547" s="2685"/>
      <c r="AB547" s="2685"/>
      <c r="AC547" s="2675">
        <f t="shared" si="305"/>
        <v>0</v>
      </c>
      <c r="AD547" s="2695"/>
      <c r="AE547" s="2695"/>
      <c r="AF547" s="2695"/>
      <c r="AG547" s="2695"/>
      <c r="AH547" s="2695"/>
      <c r="AI547" s="2695"/>
      <c r="AJ547" s="2695"/>
      <c r="AK547" s="2695"/>
      <c r="AL547" s="2695"/>
      <c r="AM547" s="2695"/>
      <c r="AN547" s="2695"/>
      <c r="AO547" s="2695"/>
      <c r="AP547" s="2695"/>
      <c r="AQ547" s="2695"/>
      <c r="AR547" s="2695"/>
      <c r="AS547" s="2695"/>
      <c r="AT547" s="2703"/>
      <c r="AU547" s="2704"/>
      <c r="AV547" s="1074">
        <f t="shared" si="300"/>
        <v>0</v>
      </c>
      <c r="AW547" s="1074">
        <f t="shared" si="301"/>
        <v>0</v>
      </c>
      <c r="AX547" s="1074">
        <f t="shared" si="302"/>
        <v>0</v>
      </c>
      <c r="AY547" s="2279">
        <f t="shared" si="306"/>
        <v>0</v>
      </c>
      <c r="AZ547" s="2675">
        <f t="shared" si="307"/>
        <v>0</v>
      </c>
      <c r="BA547" s="2675">
        <f t="shared" si="308"/>
        <v>0</v>
      </c>
      <c r="BB547" s="2675">
        <f t="shared" si="309"/>
        <v>0</v>
      </c>
      <c r="BC547" s="2675">
        <f t="shared" si="310"/>
        <v>0</v>
      </c>
      <c r="BD547" s="2675">
        <f t="shared" si="311"/>
        <v>0</v>
      </c>
      <c r="BE547" s="2675">
        <f t="shared" si="312"/>
        <v>0</v>
      </c>
      <c r="BF547" s="2675">
        <f t="shared" si="313"/>
        <v>0</v>
      </c>
      <c r="BG547" s="2675">
        <f t="shared" si="314"/>
        <v>0</v>
      </c>
      <c r="BH547" s="2675">
        <f t="shared" si="315"/>
        <v>0</v>
      </c>
      <c r="BI547" s="2675">
        <f t="shared" si="316"/>
        <v>0</v>
      </c>
      <c r="BJ547" s="2675">
        <f t="shared" si="317"/>
        <v>0</v>
      </c>
      <c r="BK547" s="2675">
        <f t="shared" si="318"/>
        <v>0</v>
      </c>
      <c r="BL547" s="2675">
        <f t="shared" si="319"/>
        <v>0</v>
      </c>
      <c r="BM547" s="2675">
        <f t="shared" si="320"/>
        <v>0</v>
      </c>
      <c r="BN547" s="2675">
        <f t="shared" si="321"/>
        <v>0</v>
      </c>
      <c r="BO547" s="2675">
        <f t="shared" si="322"/>
        <v>0</v>
      </c>
      <c r="BP547" s="2675">
        <f t="shared" si="323"/>
        <v>0</v>
      </c>
      <c r="BQ547" s="2675">
        <f t="shared" si="324"/>
        <v>0</v>
      </c>
      <c r="BR547" s="2675">
        <f t="shared" si="325"/>
        <v>0</v>
      </c>
      <c r="BS547" s="2675">
        <f t="shared" si="326"/>
        <v>0</v>
      </c>
      <c r="BT547" s="2722">
        <f t="shared" si="327"/>
        <v>0</v>
      </c>
    </row>
    <row r="548" spans="1:72">
      <c r="A548" s="2673"/>
      <c r="B548" s="2674"/>
      <c r="C548" s="2674"/>
      <c r="D548" s="2277"/>
      <c r="E548" s="2675">
        <f t="shared" si="299"/>
        <v>0</v>
      </c>
      <c r="F548" s="2676"/>
      <c r="G548" s="2677">
        <f t="shared" si="303"/>
        <v>0</v>
      </c>
      <c r="H548" s="2678">
        <f t="shared" si="304"/>
        <v>0</v>
      </c>
      <c r="I548" s="2685"/>
      <c r="J548" s="2685"/>
      <c r="K548" s="2685"/>
      <c r="L548" s="2685"/>
      <c r="M548" s="2685"/>
      <c r="N548" s="2685"/>
      <c r="O548" s="2685"/>
      <c r="P548" s="2685"/>
      <c r="Q548" s="2685"/>
      <c r="R548" s="2685"/>
      <c r="S548" s="2685"/>
      <c r="T548" s="2685"/>
      <c r="U548" s="2685"/>
      <c r="V548" s="2685"/>
      <c r="W548" s="2685"/>
      <c r="X548" s="2685"/>
      <c r="Y548" s="2685"/>
      <c r="Z548" s="2685"/>
      <c r="AA548" s="2685"/>
      <c r="AB548" s="2685"/>
      <c r="AC548" s="2675">
        <f t="shared" si="305"/>
        <v>0</v>
      </c>
      <c r="AD548" s="2695"/>
      <c r="AE548" s="2695"/>
      <c r="AF548" s="2695"/>
      <c r="AG548" s="2695"/>
      <c r="AH548" s="2695"/>
      <c r="AI548" s="2695"/>
      <c r="AJ548" s="2695"/>
      <c r="AK548" s="2695"/>
      <c r="AL548" s="2695"/>
      <c r="AM548" s="2695"/>
      <c r="AN548" s="2695"/>
      <c r="AO548" s="2695"/>
      <c r="AP548" s="2695"/>
      <c r="AQ548" s="2695"/>
      <c r="AR548" s="2695"/>
      <c r="AS548" s="2695"/>
      <c r="AT548" s="2703"/>
      <c r="AU548" s="2704"/>
      <c r="AV548" s="1074">
        <f t="shared" si="300"/>
        <v>0</v>
      </c>
      <c r="AW548" s="1074">
        <f t="shared" si="301"/>
        <v>0</v>
      </c>
      <c r="AX548" s="1074">
        <f t="shared" si="302"/>
        <v>0</v>
      </c>
      <c r="AY548" s="2279">
        <f t="shared" si="306"/>
        <v>0</v>
      </c>
      <c r="AZ548" s="2675">
        <f t="shared" si="307"/>
        <v>0</v>
      </c>
      <c r="BA548" s="2675">
        <f t="shared" si="308"/>
        <v>0</v>
      </c>
      <c r="BB548" s="2675">
        <f t="shared" si="309"/>
        <v>0</v>
      </c>
      <c r="BC548" s="2675">
        <f t="shared" si="310"/>
        <v>0</v>
      </c>
      <c r="BD548" s="2675">
        <f t="shared" si="311"/>
        <v>0</v>
      </c>
      <c r="BE548" s="2675">
        <f t="shared" si="312"/>
        <v>0</v>
      </c>
      <c r="BF548" s="2675">
        <f t="shared" si="313"/>
        <v>0</v>
      </c>
      <c r="BG548" s="2675">
        <f t="shared" si="314"/>
        <v>0</v>
      </c>
      <c r="BH548" s="2675">
        <f t="shared" si="315"/>
        <v>0</v>
      </c>
      <c r="BI548" s="2675">
        <f t="shared" si="316"/>
        <v>0</v>
      </c>
      <c r="BJ548" s="2675">
        <f t="shared" si="317"/>
        <v>0</v>
      </c>
      <c r="BK548" s="2675">
        <f t="shared" si="318"/>
        <v>0</v>
      </c>
      <c r="BL548" s="2675">
        <f t="shared" si="319"/>
        <v>0</v>
      </c>
      <c r="BM548" s="2675">
        <f t="shared" si="320"/>
        <v>0</v>
      </c>
      <c r="BN548" s="2675">
        <f t="shared" si="321"/>
        <v>0</v>
      </c>
      <c r="BO548" s="2675">
        <f t="shared" si="322"/>
        <v>0</v>
      </c>
      <c r="BP548" s="2675">
        <f t="shared" si="323"/>
        <v>0</v>
      </c>
      <c r="BQ548" s="2675">
        <f t="shared" si="324"/>
        <v>0</v>
      </c>
      <c r="BR548" s="2675">
        <f t="shared" si="325"/>
        <v>0</v>
      </c>
      <c r="BS548" s="2675">
        <f t="shared" si="326"/>
        <v>0</v>
      </c>
      <c r="BT548" s="2722">
        <f t="shared" si="327"/>
        <v>0</v>
      </c>
    </row>
    <row r="549" spans="1:72">
      <c r="A549" s="2673"/>
      <c r="B549" s="2674"/>
      <c r="C549" s="2674"/>
      <c r="D549" s="2277"/>
      <c r="E549" s="2675">
        <f t="shared" si="299"/>
        <v>0</v>
      </c>
      <c r="F549" s="2676"/>
      <c r="G549" s="2677">
        <f t="shared" si="303"/>
        <v>0</v>
      </c>
      <c r="H549" s="2678">
        <f t="shared" si="304"/>
        <v>0</v>
      </c>
      <c r="I549" s="2685"/>
      <c r="J549" s="2685"/>
      <c r="K549" s="2685"/>
      <c r="L549" s="2685"/>
      <c r="M549" s="2685"/>
      <c r="N549" s="2685"/>
      <c r="O549" s="2685"/>
      <c r="P549" s="2685"/>
      <c r="Q549" s="2685"/>
      <c r="R549" s="2685"/>
      <c r="S549" s="2685"/>
      <c r="T549" s="2685"/>
      <c r="U549" s="2685"/>
      <c r="V549" s="2685"/>
      <c r="W549" s="2685"/>
      <c r="X549" s="2685"/>
      <c r="Y549" s="2685"/>
      <c r="Z549" s="2685"/>
      <c r="AA549" s="2685"/>
      <c r="AB549" s="2685"/>
      <c r="AC549" s="2675">
        <f t="shared" si="305"/>
        <v>0</v>
      </c>
      <c r="AD549" s="2695"/>
      <c r="AE549" s="2695"/>
      <c r="AF549" s="2695"/>
      <c r="AG549" s="2695"/>
      <c r="AH549" s="2695"/>
      <c r="AI549" s="2695"/>
      <c r="AJ549" s="2695"/>
      <c r="AK549" s="2695"/>
      <c r="AL549" s="2695"/>
      <c r="AM549" s="2695"/>
      <c r="AN549" s="2695"/>
      <c r="AO549" s="2695"/>
      <c r="AP549" s="2695"/>
      <c r="AQ549" s="2695"/>
      <c r="AR549" s="2695"/>
      <c r="AS549" s="2695"/>
      <c r="AT549" s="2703"/>
      <c r="AU549" s="2704"/>
      <c r="AV549" s="1074">
        <f t="shared" si="300"/>
        <v>0</v>
      </c>
      <c r="AW549" s="1074">
        <f t="shared" si="301"/>
        <v>0</v>
      </c>
      <c r="AX549" s="1074">
        <f t="shared" si="302"/>
        <v>0</v>
      </c>
      <c r="AY549" s="2279">
        <f t="shared" si="306"/>
        <v>0</v>
      </c>
      <c r="AZ549" s="2675">
        <f t="shared" si="307"/>
        <v>0</v>
      </c>
      <c r="BA549" s="2675">
        <f t="shared" si="308"/>
        <v>0</v>
      </c>
      <c r="BB549" s="2675">
        <f t="shared" si="309"/>
        <v>0</v>
      </c>
      <c r="BC549" s="2675">
        <f t="shared" si="310"/>
        <v>0</v>
      </c>
      <c r="BD549" s="2675">
        <f t="shared" si="311"/>
        <v>0</v>
      </c>
      <c r="BE549" s="2675">
        <f t="shared" si="312"/>
        <v>0</v>
      </c>
      <c r="BF549" s="2675">
        <f t="shared" si="313"/>
        <v>0</v>
      </c>
      <c r="BG549" s="2675">
        <f t="shared" si="314"/>
        <v>0</v>
      </c>
      <c r="BH549" s="2675">
        <f t="shared" si="315"/>
        <v>0</v>
      </c>
      <c r="BI549" s="2675">
        <f t="shared" si="316"/>
        <v>0</v>
      </c>
      <c r="BJ549" s="2675">
        <f t="shared" si="317"/>
        <v>0</v>
      </c>
      <c r="BK549" s="2675">
        <f t="shared" si="318"/>
        <v>0</v>
      </c>
      <c r="BL549" s="2675">
        <f t="shared" si="319"/>
        <v>0</v>
      </c>
      <c r="BM549" s="2675">
        <f t="shared" si="320"/>
        <v>0</v>
      </c>
      <c r="BN549" s="2675">
        <f t="shared" si="321"/>
        <v>0</v>
      </c>
      <c r="BO549" s="2675">
        <f t="shared" si="322"/>
        <v>0</v>
      </c>
      <c r="BP549" s="2675">
        <f t="shared" si="323"/>
        <v>0</v>
      </c>
      <c r="BQ549" s="2675">
        <f t="shared" si="324"/>
        <v>0</v>
      </c>
      <c r="BR549" s="2675">
        <f t="shared" si="325"/>
        <v>0</v>
      </c>
      <c r="BS549" s="2675">
        <f t="shared" si="326"/>
        <v>0</v>
      </c>
      <c r="BT549" s="2722">
        <f t="shared" si="327"/>
        <v>0</v>
      </c>
    </row>
    <row r="550" spans="1:72">
      <c r="A550" s="2673"/>
      <c r="B550" s="2674"/>
      <c r="C550" s="2674"/>
      <c r="D550" s="2277"/>
      <c r="E550" s="2675">
        <f t="shared" si="299"/>
        <v>0</v>
      </c>
      <c r="F550" s="2676"/>
      <c r="G550" s="2677">
        <f t="shared" si="303"/>
        <v>0</v>
      </c>
      <c r="H550" s="2678">
        <f t="shared" si="304"/>
        <v>0</v>
      </c>
      <c r="I550" s="2685"/>
      <c r="J550" s="2685"/>
      <c r="K550" s="2685"/>
      <c r="L550" s="2685"/>
      <c r="M550" s="2685"/>
      <c r="N550" s="2685"/>
      <c r="O550" s="2685"/>
      <c r="P550" s="2685"/>
      <c r="Q550" s="2685"/>
      <c r="R550" s="2685"/>
      <c r="S550" s="2685"/>
      <c r="T550" s="2685"/>
      <c r="U550" s="2685"/>
      <c r="V550" s="2685"/>
      <c r="W550" s="2685"/>
      <c r="X550" s="2685"/>
      <c r="Y550" s="2685"/>
      <c r="Z550" s="2685"/>
      <c r="AA550" s="2685"/>
      <c r="AB550" s="2685"/>
      <c r="AC550" s="2675">
        <f t="shared" si="305"/>
        <v>0</v>
      </c>
      <c r="AD550" s="2695"/>
      <c r="AE550" s="2695"/>
      <c r="AF550" s="2695"/>
      <c r="AG550" s="2695"/>
      <c r="AH550" s="2695"/>
      <c r="AI550" s="2695"/>
      <c r="AJ550" s="2695"/>
      <c r="AK550" s="2695"/>
      <c r="AL550" s="2695"/>
      <c r="AM550" s="2695"/>
      <c r="AN550" s="2695"/>
      <c r="AO550" s="2695"/>
      <c r="AP550" s="2695"/>
      <c r="AQ550" s="2695"/>
      <c r="AR550" s="2695"/>
      <c r="AS550" s="2695"/>
      <c r="AT550" s="2703"/>
      <c r="AU550" s="2704"/>
      <c r="AV550" s="1074">
        <f t="shared" si="300"/>
        <v>0</v>
      </c>
      <c r="AW550" s="1074">
        <f t="shared" si="301"/>
        <v>0</v>
      </c>
      <c r="AX550" s="1074">
        <f t="shared" si="302"/>
        <v>0</v>
      </c>
      <c r="AY550" s="2279">
        <f t="shared" si="306"/>
        <v>0</v>
      </c>
      <c r="AZ550" s="2675">
        <f t="shared" si="307"/>
        <v>0</v>
      </c>
      <c r="BA550" s="2675">
        <f t="shared" si="308"/>
        <v>0</v>
      </c>
      <c r="BB550" s="2675">
        <f t="shared" si="309"/>
        <v>0</v>
      </c>
      <c r="BC550" s="2675">
        <f t="shared" si="310"/>
        <v>0</v>
      </c>
      <c r="BD550" s="2675">
        <f t="shared" si="311"/>
        <v>0</v>
      </c>
      <c r="BE550" s="2675">
        <f t="shared" si="312"/>
        <v>0</v>
      </c>
      <c r="BF550" s="2675">
        <f t="shared" si="313"/>
        <v>0</v>
      </c>
      <c r="BG550" s="2675">
        <f t="shared" si="314"/>
        <v>0</v>
      </c>
      <c r="BH550" s="2675">
        <f t="shared" si="315"/>
        <v>0</v>
      </c>
      <c r="BI550" s="2675">
        <f t="shared" si="316"/>
        <v>0</v>
      </c>
      <c r="BJ550" s="2675">
        <f t="shared" si="317"/>
        <v>0</v>
      </c>
      <c r="BK550" s="2675">
        <f t="shared" si="318"/>
        <v>0</v>
      </c>
      <c r="BL550" s="2675">
        <f t="shared" si="319"/>
        <v>0</v>
      </c>
      <c r="BM550" s="2675">
        <f t="shared" si="320"/>
        <v>0</v>
      </c>
      <c r="BN550" s="2675">
        <f t="shared" si="321"/>
        <v>0</v>
      </c>
      <c r="BO550" s="2675">
        <f t="shared" si="322"/>
        <v>0</v>
      </c>
      <c r="BP550" s="2675">
        <f t="shared" si="323"/>
        <v>0</v>
      </c>
      <c r="BQ550" s="2675">
        <f t="shared" si="324"/>
        <v>0</v>
      </c>
      <c r="BR550" s="2675">
        <f t="shared" si="325"/>
        <v>0</v>
      </c>
      <c r="BS550" s="2675">
        <f t="shared" si="326"/>
        <v>0</v>
      </c>
      <c r="BT550" s="2722">
        <f t="shared" si="327"/>
        <v>0</v>
      </c>
    </row>
    <row r="551" spans="1:72">
      <c r="A551" s="2673"/>
      <c r="B551" s="2674"/>
      <c r="C551" s="2674"/>
      <c r="D551" s="2277"/>
      <c r="E551" s="2675">
        <f t="shared" si="299"/>
        <v>0</v>
      </c>
      <c r="F551" s="2676"/>
      <c r="G551" s="2677">
        <f t="shared" si="303"/>
        <v>0</v>
      </c>
      <c r="H551" s="2678">
        <f t="shared" si="304"/>
        <v>0</v>
      </c>
      <c r="I551" s="2685"/>
      <c r="J551" s="2685"/>
      <c r="K551" s="2685"/>
      <c r="L551" s="2685"/>
      <c r="M551" s="2685"/>
      <c r="N551" s="2685"/>
      <c r="O551" s="2685"/>
      <c r="P551" s="2685"/>
      <c r="Q551" s="2685"/>
      <c r="R551" s="2685"/>
      <c r="S551" s="2685"/>
      <c r="T551" s="2685"/>
      <c r="U551" s="2685"/>
      <c r="V551" s="2685"/>
      <c r="W551" s="2685"/>
      <c r="X551" s="2685"/>
      <c r="Y551" s="2685"/>
      <c r="Z551" s="2685"/>
      <c r="AA551" s="2685"/>
      <c r="AB551" s="2685"/>
      <c r="AC551" s="2675">
        <f t="shared" si="305"/>
        <v>0</v>
      </c>
      <c r="AD551" s="2695"/>
      <c r="AE551" s="2695"/>
      <c r="AF551" s="2695"/>
      <c r="AG551" s="2695"/>
      <c r="AH551" s="2695"/>
      <c r="AI551" s="2695"/>
      <c r="AJ551" s="2695"/>
      <c r="AK551" s="2695"/>
      <c r="AL551" s="2695"/>
      <c r="AM551" s="2695"/>
      <c r="AN551" s="2695"/>
      <c r="AO551" s="2695"/>
      <c r="AP551" s="2695"/>
      <c r="AQ551" s="2695"/>
      <c r="AR551" s="2695"/>
      <c r="AS551" s="2695"/>
      <c r="AT551" s="2703"/>
      <c r="AU551" s="2704"/>
      <c r="AV551" s="1074">
        <f t="shared" si="300"/>
        <v>0</v>
      </c>
      <c r="AW551" s="1074">
        <f t="shared" si="301"/>
        <v>0</v>
      </c>
      <c r="AX551" s="1074">
        <f t="shared" si="302"/>
        <v>0</v>
      </c>
      <c r="AY551" s="2279">
        <f t="shared" si="306"/>
        <v>0</v>
      </c>
      <c r="AZ551" s="2675">
        <f t="shared" si="307"/>
        <v>0</v>
      </c>
      <c r="BA551" s="2675">
        <f t="shared" si="308"/>
        <v>0</v>
      </c>
      <c r="BB551" s="2675">
        <f t="shared" si="309"/>
        <v>0</v>
      </c>
      <c r="BC551" s="2675">
        <f t="shared" si="310"/>
        <v>0</v>
      </c>
      <c r="BD551" s="2675">
        <f t="shared" si="311"/>
        <v>0</v>
      </c>
      <c r="BE551" s="2675">
        <f t="shared" si="312"/>
        <v>0</v>
      </c>
      <c r="BF551" s="2675">
        <f t="shared" si="313"/>
        <v>0</v>
      </c>
      <c r="BG551" s="2675">
        <f t="shared" si="314"/>
        <v>0</v>
      </c>
      <c r="BH551" s="2675">
        <f t="shared" si="315"/>
        <v>0</v>
      </c>
      <c r="BI551" s="2675">
        <f t="shared" si="316"/>
        <v>0</v>
      </c>
      <c r="BJ551" s="2675">
        <f t="shared" si="317"/>
        <v>0</v>
      </c>
      <c r="BK551" s="2675">
        <f t="shared" si="318"/>
        <v>0</v>
      </c>
      <c r="BL551" s="2675">
        <f t="shared" si="319"/>
        <v>0</v>
      </c>
      <c r="BM551" s="2675">
        <f t="shared" si="320"/>
        <v>0</v>
      </c>
      <c r="BN551" s="2675">
        <f t="shared" si="321"/>
        <v>0</v>
      </c>
      <c r="BO551" s="2675">
        <f t="shared" si="322"/>
        <v>0</v>
      </c>
      <c r="BP551" s="2675">
        <f t="shared" si="323"/>
        <v>0</v>
      </c>
      <c r="BQ551" s="2675">
        <f t="shared" si="324"/>
        <v>0</v>
      </c>
      <c r="BR551" s="2675">
        <f t="shared" si="325"/>
        <v>0</v>
      </c>
      <c r="BS551" s="2675">
        <f t="shared" si="326"/>
        <v>0</v>
      </c>
      <c r="BT551" s="2722">
        <f t="shared" si="327"/>
        <v>0</v>
      </c>
    </row>
    <row r="552" spans="1:72">
      <c r="A552" s="2673"/>
      <c r="B552" s="2674"/>
      <c r="C552" s="2674"/>
      <c r="D552" s="2277"/>
      <c r="E552" s="2675">
        <f t="shared" ref="E552:E587" si="328">IF($C$3="是",ROUND($A$3*G552/$B$3,2),ROUND($A$3*(G552-AT552)/$B$3,2))</f>
        <v>0</v>
      </c>
      <c r="F552" s="2676"/>
      <c r="G552" s="2677">
        <f t="shared" si="303"/>
        <v>0</v>
      </c>
      <c r="H552" s="2678">
        <f t="shared" si="304"/>
        <v>0</v>
      </c>
      <c r="I552" s="2685"/>
      <c r="J552" s="2685"/>
      <c r="K552" s="2685"/>
      <c r="L552" s="2685"/>
      <c r="M552" s="2685"/>
      <c r="N552" s="2685"/>
      <c r="O552" s="2685"/>
      <c r="P552" s="2685"/>
      <c r="Q552" s="2685"/>
      <c r="R552" s="2685"/>
      <c r="S552" s="2685"/>
      <c r="T552" s="2685"/>
      <c r="U552" s="2685"/>
      <c r="V552" s="2685"/>
      <c r="W552" s="2685"/>
      <c r="X552" s="2685"/>
      <c r="Y552" s="2685"/>
      <c r="Z552" s="2685"/>
      <c r="AA552" s="2685"/>
      <c r="AB552" s="2685"/>
      <c r="AC552" s="2675">
        <f t="shared" si="305"/>
        <v>0</v>
      </c>
      <c r="AD552" s="2695"/>
      <c r="AE552" s="2695"/>
      <c r="AF552" s="2695"/>
      <c r="AG552" s="2695"/>
      <c r="AH552" s="2695"/>
      <c r="AI552" s="2695"/>
      <c r="AJ552" s="2695"/>
      <c r="AK552" s="2695"/>
      <c r="AL552" s="2695"/>
      <c r="AM552" s="2695"/>
      <c r="AN552" s="2695"/>
      <c r="AO552" s="2695"/>
      <c r="AP552" s="2695"/>
      <c r="AQ552" s="2695"/>
      <c r="AR552" s="2695"/>
      <c r="AS552" s="2695"/>
      <c r="AT552" s="2703"/>
      <c r="AU552" s="2704"/>
      <c r="AV552" s="1074">
        <f t="shared" si="300"/>
        <v>0</v>
      </c>
      <c r="AW552" s="1074">
        <f t="shared" si="301"/>
        <v>0</v>
      </c>
      <c r="AX552" s="1074">
        <f t="shared" si="302"/>
        <v>0</v>
      </c>
      <c r="AY552" s="2279">
        <f t="shared" si="306"/>
        <v>0</v>
      </c>
      <c r="AZ552" s="2675">
        <f t="shared" si="307"/>
        <v>0</v>
      </c>
      <c r="BA552" s="2675">
        <f t="shared" si="308"/>
        <v>0</v>
      </c>
      <c r="BB552" s="2675">
        <f t="shared" si="309"/>
        <v>0</v>
      </c>
      <c r="BC552" s="2675">
        <f t="shared" si="310"/>
        <v>0</v>
      </c>
      <c r="BD552" s="2675">
        <f t="shared" si="311"/>
        <v>0</v>
      </c>
      <c r="BE552" s="2675">
        <f t="shared" si="312"/>
        <v>0</v>
      </c>
      <c r="BF552" s="2675">
        <f t="shared" si="313"/>
        <v>0</v>
      </c>
      <c r="BG552" s="2675">
        <f t="shared" si="314"/>
        <v>0</v>
      </c>
      <c r="BH552" s="2675">
        <f t="shared" si="315"/>
        <v>0</v>
      </c>
      <c r="BI552" s="2675">
        <f t="shared" si="316"/>
        <v>0</v>
      </c>
      <c r="BJ552" s="2675">
        <f t="shared" si="317"/>
        <v>0</v>
      </c>
      <c r="BK552" s="2675">
        <f t="shared" si="318"/>
        <v>0</v>
      </c>
      <c r="BL552" s="2675">
        <f t="shared" si="319"/>
        <v>0</v>
      </c>
      <c r="BM552" s="2675">
        <f t="shared" si="320"/>
        <v>0</v>
      </c>
      <c r="BN552" s="2675">
        <f t="shared" si="321"/>
        <v>0</v>
      </c>
      <c r="BO552" s="2675">
        <f t="shared" si="322"/>
        <v>0</v>
      </c>
      <c r="BP552" s="2675">
        <f t="shared" si="323"/>
        <v>0</v>
      </c>
      <c r="BQ552" s="2675">
        <f t="shared" si="324"/>
        <v>0</v>
      </c>
      <c r="BR552" s="2675">
        <f t="shared" si="325"/>
        <v>0</v>
      </c>
      <c r="BS552" s="2675">
        <f t="shared" si="326"/>
        <v>0</v>
      </c>
      <c r="BT552" s="2722">
        <f t="shared" si="327"/>
        <v>0</v>
      </c>
    </row>
    <row r="553" spans="1:72">
      <c r="A553" s="2673"/>
      <c r="B553" s="2674"/>
      <c r="C553" s="2674"/>
      <c r="D553" s="2277"/>
      <c r="E553" s="2675">
        <f t="shared" si="328"/>
        <v>0</v>
      </c>
      <c r="F553" s="2676"/>
      <c r="G553" s="2677">
        <f t="shared" ref="G553:G587" si="329">H553+AC553+AT553</f>
        <v>0</v>
      </c>
      <c r="H553" s="2678">
        <f t="shared" ref="H553:H587" si="330">SUMIF(I$12:AB$12,"总值",I553:AB553)</f>
        <v>0</v>
      </c>
      <c r="I553" s="2685"/>
      <c r="J553" s="2685"/>
      <c r="K553" s="2685"/>
      <c r="L553" s="2685"/>
      <c r="M553" s="2685"/>
      <c r="N553" s="2685"/>
      <c r="O553" s="2685"/>
      <c r="P553" s="2685"/>
      <c r="Q553" s="2685"/>
      <c r="R553" s="2685"/>
      <c r="S553" s="2685"/>
      <c r="T553" s="2685"/>
      <c r="U553" s="2685"/>
      <c r="V553" s="2685"/>
      <c r="W553" s="2685"/>
      <c r="X553" s="2685"/>
      <c r="Y553" s="2685"/>
      <c r="Z553" s="2685"/>
      <c r="AA553" s="2685"/>
      <c r="AB553" s="2685"/>
      <c r="AC553" s="2675">
        <f t="shared" ref="AC553:AC587" si="331">SUMIF(AD$12:AS$12,"总值",AD553:AS553)</f>
        <v>0</v>
      </c>
      <c r="AD553" s="2695"/>
      <c r="AE553" s="2695"/>
      <c r="AF553" s="2695"/>
      <c r="AG553" s="2695"/>
      <c r="AH553" s="2695"/>
      <c r="AI553" s="2695"/>
      <c r="AJ553" s="2695"/>
      <c r="AK553" s="2695"/>
      <c r="AL553" s="2695"/>
      <c r="AM553" s="2695"/>
      <c r="AN553" s="2695"/>
      <c r="AO553" s="2695"/>
      <c r="AP553" s="2695"/>
      <c r="AQ553" s="2695"/>
      <c r="AR553" s="2695"/>
      <c r="AS553" s="2695"/>
      <c r="AT553" s="2703"/>
      <c r="AU553" s="2704"/>
      <c r="AV553" s="1074">
        <f t="shared" ref="AV553:AV587" si="332">A553</f>
        <v>0</v>
      </c>
      <c r="AW553" s="1074">
        <f t="shared" ref="AW553:AW587" si="333">B553</f>
        <v>0</v>
      </c>
      <c r="AX553" s="1074">
        <f t="shared" ref="AX553:AX587" si="334">C553</f>
        <v>0</v>
      </c>
      <c r="AY553" s="2279">
        <f t="shared" ref="AY553:AY587" si="335">ROUND($AY$6*AZ553/$AZ$5,2)</f>
        <v>0</v>
      </c>
      <c r="AZ553" s="2675">
        <f t="shared" ref="AZ553:AZ587" si="336">BA553+BL553</f>
        <v>0</v>
      </c>
      <c r="BA553" s="2675">
        <f t="shared" ref="BA553:BA587" si="337">SUM(BB553:BK553)</f>
        <v>0</v>
      </c>
      <c r="BB553" s="2675">
        <f t="shared" ref="BB553:BB587" si="338">IF($D553="是",I553-J553,0)</f>
        <v>0</v>
      </c>
      <c r="BC553" s="2675">
        <f t="shared" ref="BC553:BC587" si="339">IF($D553="是",K553-L553,0)</f>
        <v>0</v>
      </c>
      <c r="BD553" s="2675">
        <f t="shared" ref="BD553:BD587" si="340">IF($D553="是",M553-N553,0)</f>
        <v>0</v>
      </c>
      <c r="BE553" s="2675">
        <f t="shared" ref="BE553:BE587" si="341">IF($D553="是",O553-P553,0)</f>
        <v>0</v>
      </c>
      <c r="BF553" s="2675">
        <f t="shared" ref="BF553:BF587" si="342">IF($D553="是",Q553-R553,0)</f>
        <v>0</v>
      </c>
      <c r="BG553" s="2675">
        <f t="shared" ref="BG553:BG587" si="343">IF($D553="是",S553-T553,0)</f>
        <v>0</v>
      </c>
      <c r="BH553" s="2675">
        <f t="shared" ref="BH553:BH587" si="344">IF($D553="是",U553-V553,0)</f>
        <v>0</v>
      </c>
      <c r="BI553" s="2675">
        <f t="shared" ref="BI553:BI587" si="345">IF($D553="是",W553-X553,0)</f>
        <v>0</v>
      </c>
      <c r="BJ553" s="2675">
        <f t="shared" ref="BJ553:BJ587" si="346">IF($D553="是",Y553-Z553,0)</f>
        <v>0</v>
      </c>
      <c r="BK553" s="2675">
        <f t="shared" ref="BK553:BK587" si="347">IF($D553="是",AA553-AB553,0)</f>
        <v>0</v>
      </c>
      <c r="BL553" s="2675">
        <f t="shared" ref="BL553:BL587" si="348">SUM(BM553:BT553)</f>
        <v>0</v>
      </c>
      <c r="BM553" s="2675">
        <f t="shared" ref="BM553:BM587" si="349">IF($D553="是",AD553-AE553,0)</f>
        <v>0</v>
      </c>
      <c r="BN553" s="2675">
        <f t="shared" ref="BN553:BN587" si="350">IF($D553="是",AF553-AG553,0)</f>
        <v>0</v>
      </c>
      <c r="BO553" s="2675">
        <f t="shared" ref="BO553:BO587" si="351">IF($D553="是",AH553-AI553,0)</f>
        <v>0</v>
      </c>
      <c r="BP553" s="2675">
        <f t="shared" ref="BP553:BP587" si="352">IF($D553="是",AJ553-AK553,0)</f>
        <v>0</v>
      </c>
      <c r="BQ553" s="2675">
        <f t="shared" ref="BQ553:BQ587" si="353">IF($D553="是",AL553-AM553,0)</f>
        <v>0</v>
      </c>
      <c r="BR553" s="2675">
        <f t="shared" ref="BR553:BR587" si="354">IF($D553="是",AN553-AO553,0)</f>
        <v>0</v>
      </c>
      <c r="BS553" s="2675">
        <f t="shared" ref="BS553:BS587" si="355">IF($D553="是",AP553-AQ553,0)</f>
        <v>0</v>
      </c>
      <c r="BT553" s="2722">
        <f t="shared" ref="BT553:BT587" si="356">IF($D553="是",AR553-AS553,0)</f>
        <v>0</v>
      </c>
    </row>
    <row r="554" spans="1:72">
      <c r="A554" s="2673"/>
      <c r="B554" s="2674"/>
      <c r="C554" s="2674"/>
      <c r="D554" s="2277"/>
      <c r="E554" s="2675">
        <f t="shared" si="328"/>
        <v>0</v>
      </c>
      <c r="F554" s="2676"/>
      <c r="G554" s="2677">
        <f t="shared" si="329"/>
        <v>0</v>
      </c>
      <c r="H554" s="2678">
        <f t="shared" si="330"/>
        <v>0</v>
      </c>
      <c r="I554" s="2685"/>
      <c r="J554" s="2685"/>
      <c r="K554" s="2685"/>
      <c r="L554" s="2685"/>
      <c r="M554" s="2685"/>
      <c r="N554" s="2685"/>
      <c r="O554" s="2685"/>
      <c r="P554" s="2685"/>
      <c r="Q554" s="2685"/>
      <c r="R554" s="2685"/>
      <c r="S554" s="2685"/>
      <c r="T554" s="2685"/>
      <c r="U554" s="2685"/>
      <c r="V554" s="2685"/>
      <c r="W554" s="2685"/>
      <c r="X554" s="2685"/>
      <c r="Y554" s="2685"/>
      <c r="Z554" s="2685"/>
      <c r="AA554" s="2685"/>
      <c r="AB554" s="2685"/>
      <c r="AC554" s="2675">
        <f t="shared" si="331"/>
        <v>0</v>
      </c>
      <c r="AD554" s="2695"/>
      <c r="AE554" s="2695"/>
      <c r="AF554" s="2695"/>
      <c r="AG554" s="2695"/>
      <c r="AH554" s="2695"/>
      <c r="AI554" s="2695"/>
      <c r="AJ554" s="2695"/>
      <c r="AK554" s="2695"/>
      <c r="AL554" s="2695"/>
      <c r="AM554" s="2695"/>
      <c r="AN554" s="2695"/>
      <c r="AO554" s="2695"/>
      <c r="AP554" s="2695"/>
      <c r="AQ554" s="2695"/>
      <c r="AR554" s="2695"/>
      <c r="AS554" s="2695"/>
      <c r="AT554" s="2703"/>
      <c r="AU554" s="2704"/>
      <c r="AV554" s="1074">
        <f t="shared" si="332"/>
        <v>0</v>
      </c>
      <c r="AW554" s="1074">
        <f t="shared" si="333"/>
        <v>0</v>
      </c>
      <c r="AX554" s="1074">
        <f t="shared" si="334"/>
        <v>0</v>
      </c>
      <c r="AY554" s="2279">
        <f t="shared" si="335"/>
        <v>0</v>
      </c>
      <c r="AZ554" s="2675">
        <f t="shared" si="336"/>
        <v>0</v>
      </c>
      <c r="BA554" s="2675">
        <f t="shared" si="337"/>
        <v>0</v>
      </c>
      <c r="BB554" s="2675">
        <f t="shared" si="338"/>
        <v>0</v>
      </c>
      <c r="BC554" s="2675">
        <f t="shared" si="339"/>
        <v>0</v>
      </c>
      <c r="BD554" s="2675">
        <f t="shared" si="340"/>
        <v>0</v>
      </c>
      <c r="BE554" s="2675">
        <f t="shared" si="341"/>
        <v>0</v>
      </c>
      <c r="BF554" s="2675">
        <f t="shared" si="342"/>
        <v>0</v>
      </c>
      <c r="BG554" s="2675">
        <f t="shared" si="343"/>
        <v>0</v>
      </c>
      <c r="BH554" s="2675">
        <f t="shared" si="344"/>
        <v>0</v>
      </c>
      <c r="BI554" s="2675">
        <f t="shared" si="345"/>
        <v>0</v>
      </c>
      <c r="BJ554" s="2675">
        <f t="shared" si="346"/>
        <v>0</v>
      </c>
      <c r="BK554" s="2675">
        <f t="shared" si="347"/>
        <v>0</v>
      </c>
      <c r="BL554" s="2675">
        <f t="shared" si="348"/>
        <v>0</v>
      </c>
      <c r="BM554" s="2675">
        <f t="shared" si="349"/>
        <v>0</v>
      </c>
      <c r="BN554" s="2675">
        <f t="shared" si="350"/>
        <v>0</v>
      </c>
      <c r="BO554" s="2675">
        <f t="shared" si="351"/>
        <v>0</v>
      </c>
      <c r="BP554" s="2675">
        <f t="shared" si="352"/>
        <v>0</v>
      </c>
      <c r="BQ554" s="2675">
        <f t="shared" si="353"/>
        <v>0</v>
      </c>
      <c r="BR554" s="2675">
        <f t="shared" si="354"/>
        <v>0</v>
      </c>
      <c r="BS554" s="2675">
        <f t="shared" si="355"/>
        <v>0</v>
      </c>
      <c r="BT554" s="2722">
        <f t="shared" si="356"/>
        <v>0</v>
      </c>
    </row>
    <row r="555" spans="1:72">
      <c r="A555" s="2673"/>
      <c r="B555" s="2674"/>
      <c r="C555" s="2674"/>
      <c r="D555" s="2277"/>
      <c r="E555" s="2675">
        <f t="shared" si="328"/>
        <v>0</v>
      </c>
      <c r="F555" s="2676"/>
      <c r="G555" s="2677">
        <f t="shared" si="329"/>
        <v>0</v>
      </c>
      <c r="H555" s="2678">
        <f t="shared" si="330"/>
        <v>0</v>
      </c>
      <c r="I555" s="2685"/>
      <c r="J555" s="2685"/>
      <c r="K555" s="2685"/>
      <c r="L555" s="2685"/>
      <c r="M555" s="2685"/>
      <c r="N555" s="2685"/>
      <c r="O555" s="2685"/>
      <c r="P555" s="2685"/>
      <c r="Q555" s="2685"/>
      <c r="R555" s="2685"/>
      <c r="S555" s="2685"/>
      <c r="T555" s="2685"/>
      <c r="U555" s="2685"/>
      <c r="V555" s="2685"/>
      <c r="W555" s="2685"/>
      <c r="X555" s="2685"/>
      <c r="Y555" s="2685"/>
      <c r="Z555" s="2685"/>
      <c r="AA555" s="2685"/>
      <c r="AB555" s="2685"/>
      <c r="AC555" s="2675">
        <f t="shared" si="331"/>
        <v>0</v>
      </c>
      <c r="AD555" s="2695"/>
      <c r="AE555" s="2695"/>
      <c r="AF555" s="2695"/>
      <c r="AG555" s="2695"/>
      <c r="AH555" s="2695"/>
      <c r="AI555" s="2695"/>
      <c r="AJ555" s="2695"/>
      <c r="AK555" s="2695"/>
      <c r="AL555" s="2695"/>
      <c r="AM555" s="2695"/>
      <c r="AN555" s="2695"/>
      <c r="AO555" s="2695"/>
      <c r="AP555" s="2695"/>
      <c r="AQ555" s="2695"/>
      <c r="AR555" s="2695"/>
      <c r="AS555" s="2695"/>
      <c r="AT555" s="2703"/>
      <c r="AU555" s="2704"/>
      <c r="AV555" s="1074">
        <f t="shared" si="332"/>
        <v>0</v>
      </c>
      <c r="AW555" s="1074">
        <f t="shared" si="333"/>
        <v>0</v>
      </c>
      <c r="AX555" s="1074">
        <f t="shared" si="334"/>
        <v>0</v>
      </c>
      <c r="AY555" s="2279">
        <f t="shared" si="335"/>
        <v>0</v>
      </c>
      <c r="AZ555" s="2675">
        <f t="shared" si="336"/>
        <v>0</v>
      </c>
      <c r="BA555" s="2675">
        <f t="shared" si="337"/>
        <v>0</v>
      </c>
      <c r="BB555" s="2675">
        <f t="shared" si="338"/>
        <v>0</v>
      </c>
      <c r="BC555" s="2675">
        <f t="shared" si="339"/>
        <v>0</v>
      </c>
      <c r="BD555" s="2675">
        <f t="shared" si="340"/>
        <v>0</v>
      </c>
      <c r="BE555" s="2675">
        <f t="shared" si="341"/>
        <v>0</v>
      </c>
      <c r="BF555" s="2675">
        <f t="shared" si="342"/>
        <v>0</v>
      </c>
      <c r="BG555" s="2675">
        <f t="shared" si="343"/>
        <v>0</v>
      </c>
      <c r="BH555" s="2675">
        <f t="shared" si="344"/>
        <v>0</v>
      </c>
      <c r="BI555" s="2675">
        <f t="shared" si="345"/>
        <v>0</v>
      </c>
      <c r="BJ555" s="2675">
        <f t="shared" si="346"/>
        <v>0</v>
      </c>
      <c r="BK555" s="2675">
        <f t="shared" si="347"/>
        <v>0</v>
      </c>
      <c r="BL555" s="2675">
        <f t="shared" si="348"/>
        <v>0</v>
      </c>
      <c r="BM555" s="2675">
        <f t="shared" si="349"/>
        <v>0</v>
      </c>
      <c r="BN555" s="2675">
        <f t="shared" si="350"/>
        <v>0</v>
      </c>
      <c r="BO555" s="2675">
        <f t="shared" si="351"/>
        <v>0</v>
      </c>
      <c r="BP555" s="2675">
        <f t="shared" si="352"/>
        <v>0</v>
      </c>
      <c r="BQ555" s="2675">
        <f t="shared" si="353"/>
        <v>0</v>
      </c>
      <c r="BR555" s="2675">
        <f t="shared" si="354"/>
        <v>0</v>
      </c>
      <c r="BS555" s="2675">
        <f t="shared" si="355"/>
        <v>0</v>
      </c>
      <c r="BT555" s="2722">
        <f t="shared" si="356"/>
        <v>0</v>
      </c>
    </row>
    <row r="556" spans="1:72">
      <c r="A556" s="2673"/>
      <c r="B556" s="2674"/>
      <c r="C556" s="2674"/>
      <c r="D556" s="2277"/>
      <c r="E556" s="2675">
        <f t="shared" si="328"/>
        <v>0</v>
      </c>
      <c r="F556" s="2676"/>
      <c r="G556" s="2677">
        <f t="shared" si="329"/>
        <v>0</v>
      </c>
      <c r="H556" s="2678">
        <f t="shared" si="330"/>
        <v>0</v>
      </c>
      <c r="I556" s="2685"/>
      <c r="J556" s="2685"/>
      <c r="K556" s="2685"/>
      <c r="L556" s="2685"/>
      <c r="M556" s="2685"/>
      <c r="N556" s="2685"/>
      <c r="O556" s="2685"/>
      <c r="P556" s="2685"/>
      <c r="Q556" s="2685"/>
      <c r="R556" s="2685"/>
      <c r="S556" s="2685"/>
      <c r="T556" s="2685"/>
      <c r="U556" s="2685"/>
      <c r="V556" s="2685"/>
      <c r="W556" s="2685"/>
      <c r="X556" s="2685"/>
      <c r="Y556" s="2685"/>
      <c r="Z556" s="2685"/>
      <c r="AA556" s="2685"/>
      <c r="AB556" s="2685"/>
      <c r="AC556" s="2675">
        <f t="shared" si="331"/>
        <v>0</v>
      </c>
      <c r="AD556" s="2695"/>
      <c r="AE556" s="2695"/>
      <c r="AF556" s="2695"/>
      <c r="AG556" s="2695"/>
      <c r="AH556" s="2695"/>
      <c r="AI556" s="2695"/>
      <c r="AJ556" s="2695"/>
      <c r="AK556" s="2695"/>
      <c r="AL556" s="2695"/>
      <c r="AM556" s="2695"/>
      <c r="AN556" s="2695"/>
      <c r="AO556" s="2695"/>
      <c r="AP556" s="2695"/>
      <c r="AQ556" s="2695"/>
      <c r="AR556" s="2695"/>
      <c r="AS556" s="2695"/>
      <c r="AT556" s="2703"/>
      <c r="AU556" s="2704"/>
      <c r="AV556" s="1074">
        <f t="shared" si="332"/>
        <v>0</v>
      </c>
      <c r="AW556" s="1074">
        <f t="shared" si="333"/>
        <v>0</v>
      </c>
      <c r="AX556" s="1074">
        <f t="shared" si="334"/>
        <v>0</v>
      </c>
      <c r="AY556" s="2279">
        <f t="shared" si="335"/>
        <v>0</v>
      </c>
      <c r="AZ556" s="2675">
        <f t="shared" si="336"/>
        <v>0</v>
      </c>
      <c r="BA556" s="2675">
        <f t="shared" si="337"/>
        <v>0</v>
      </c>
      <c r="BB556" s="2675">
        <f t="shared" si="338"/>
        <v>0</v>
      </c>
      <c r="BC556" s="2675">
        <f t="shared" si="339"/>
        <v>0</v>
      </c>
      <c r="BD556" s="2675">
        <f t="shared" si="340"/>
        <v>0</v>
      </c>
      <c r="BE556" s="2675">
        <f t="shared" si="341"/>
        <v>0</v>
      </c>
      <c r="BF556" s="2675">
        <f t="shared" si="342"/>
        <v>0</v>
      </c>
      <c r="BG556" s="2675">
        <f t="shared" si="343"/>
        <v>0</v>
      </c>
      <c r="BH556" s="2675">
        <f t="shared" si="344"/>
        <v>0</v>
      </c>
      <c r="BI556" s="2675">
        <f t="shared" si="345"/>
        <v>0</v>
      </c>
      <c r="BJ556" s="2675">
        <f t="shared" si="346"/>
        <v>0</v>
      </c>
      <c r="BK556" s="2675">
        <f t="shared" si="347"/>
        <v>0</v>
      </c>
      <c r="BL556" s="2675">
        <f t="shared" si="348"/>
        <v>0</v>
      </c>
      <c r="BM556" s="2675">
        <f t="shared" si="349"/>
        <v>0</v>
      </c>
      <c r="BN556" s="2675">
        <f t="shared" si="350"/>
        <v>0</v>
      </c>
      <c r="BO556" s="2675">
        <f t="shared" si="351"/>
        <v>0</v>
      </c>
      <c r="BP556" s="2675">
        <f t="shared" si="352"/>
        <v>0</v>
      </c>
      <c r="BQ556" s="2675">
        <f t="shared" si="353"/>
        <v>0</v>
      </c>
      <c r="BR556" s="2675">
        <f t="shared" si="354"/>
        <v>0</v>
      </c>
      <c r="BS556" s="2675">
        <f t="shared" si="355"/>
        <v>0</v>
      </c>
      <c r="BT556" s="2722">
        <f t="shared" si="356"/>
        <v>0</v>
      </c>
    </row>
    <row r="557" spans="1:72">
      <c r="A557" s="2673"/>
      <c r="B557" s="2674"/>
      <c r="C557" s="2674"/>
      <c r="D557" s="2277"/>
      <c r="E557" s="2675">
        <f t="shared" si="328"/>
        <v>0</v>
      </c>
      <c r="F557" s="2676"/>
      <c r="G557" s="2677">
        <f t="shared" si="329"/>
        <v>0</v>
      </c>
      <c r="H557" s="2678">
        <f t="shared" si="330"/>
        <v>0</v>
      </c>
      <c r="I557" s="2685"/>
      <c r="J557" s="2685"/>
      <c r="K557" s="2685"/>
      <c r="L557" s="2685"/>
      <c r="M557" s="2685"/>
      <c r="N557" s="2685"/>
      <c r="O557" s="2685"/>
      <c r="P557" s="2685"/>
      <c r="Q557" s="2685"/>
      <c r="R557" s="2685"/>
      <c r="S557" s="2685"/>
      <c r="T557" s="2685"/>
      <c r="U557" s="2685"/>
      <c r="V557" s="2685"/>
      <c r="W557" s="2685"/>
      <c r="X557" s="2685"/>
      <c r="Y557" s="2685"/>
      <c r="Z557" s="2685"/>
      <c r="AA557" s="2685"/>
      <c r="AB557" s="2685"/>
      <c r="AC557" s="2675">
        <f t="shared" si="331"/>
        <v>0</v>
      </c>
      <c r="AD557" s="2695"/>
      <c r="AE557" s="2695"/>
      <c r="AF557" s="2695"/>
      <c r="AG557" s="2695"/>
      <c r="AH557" s="2695"/>
      <c r="AI557" s="2695"/>
      <c r="AJ557" s="2695"/>
      <c r="AK557" s="2695"/>
      <c r="AL557" s="2695"/>
      <c r="AM557" s="2695"/>
      <c r="AN557" s="2695"/>
      <c r="AO557" s="2695"/>
      <c r="AP557" s="2695"/>
      <c r="AQ557" s="2695"/>
      <c r="AR557" s="2695"/>
      <c r="AS557" s="2695"/>
      <c r="AT557" s="2703"/>
      <c r="AU557" s="2704"/>
      <c r="AV557" s="1074">
        <f t="shared" si="332"/>
        <v>0</v>
      </c>
      <c r="AW557" s="1074">
        <f t="shared" si="333"/>
        <v>0</v>
      </c>
      <c r="AX557" s="1074">
        <f t="shared" si="334"/>
        <v>0</v>
      </c>
      <c r="AY557" s="2279">
        <f t="shared" si="335"/>
        <v>0</v>
      </c>
      <c r="AZ557" s="2675">
        <f t="shared" si="336"/>
        <v>0</v>
      </c>
      <c r="BA557" s="2675">
        <f t="shared" si="337"/>
        <v>0</v>
      </c>
      <c r="BB557" s="2675">
        <f t="shared" si="338"/>
        <v>0</v>
      </c>
      <c r="BC557" s="2675">
        <f t="shared" si="339"/>
        <v>0</v>
      </c>
      <c r="BD557" s="2675">
        <f t="shared" si="340"/>
        <v>0</v>
      </c>
      <c r="BE557" s="2675">
        <f t="shared" si="341"/>
        <v>0</v>
      </c>
      <c r="BF557" s="2675">
        <f t="shared" si="342"/>
        <v>0</v>
      </c>
      <c r="BG557" s="2675">
        <f t="shared" si="343"/>
        <v>0</v>
      </c>
      <c r="BH557" s="2675">
        <f t="shared" si="344"/>
        <v>0</v>
      </c>
      <c r="BI557" s="2675">
        <f t="shared" si="345"/>
        <v>0</v>
      </c>
      <c r="BJ557" s="2675">
        <f t="shared" si="346"/>
        <v>0</v>
      </c>
      <c r="BK557" s="2675">
        <f t="shared" si="347"/>
        <v>0</v>
      </c>
      <c r="BL557" s="2675">
        <f t="shared" si="348"/>
        <v>0</v>
      </c>
      <c r="BM557" s="2675">
        <f t="shared" si="349"/>
        <v>0</v>
      </c>
      <c r="BN557" s="2675">
        <f t="shared" si="350"/>
        <v>0</v>
      </c>
      <c r="BO557" s="2675">
        <f t="shared" si="351"/>
        <v>0</v>
      </c>
      <c r="BP557" s="2675">
        <f t="shared" si="352"/>
        <v>0</v>
      </c>
      <c r="BQ557" s="2675">
        <f t="shared" si="353"/>
        <v>0</v>
      </c>
      <c r="BR557" s="2675">
        <f t="shared" si="354"/>
        <v>0</v>
      </c>
      <c r="BS557" s="2675">
        <f t="shared" si="355"/>
        <v>0</v>
      </c>
      <c r="BT557" s="2722">
        <f t="shared" si="356"/>
        <v>0</v>
      </c>
    </row>
    <row r="558" spans="1:72">
      <c r="A558" s="2673"/>
      <c r="B558" s="2674"/>
      <c r="C558" s="2674"/>
      <c r="D558" s="2277"/>
      <c r="E558" s="2675">
        <f t="shared" si="328"/>
        <v>0</v>
      </c>
      <c r="F558" s="2676"/>
      <c r="G558" s="2677">
        <f t="shared" si="329"/>
        <v>0</v>
      </c>
      <c r="H558" s="2678">
        <f t="shared" si="330"/>
        <v>0</v>
      </c>
      <c r="I558" s="2685"/>
      <c r="J558" s="2685"/>
      <c r="K558" s="2685"/>
      <c r="L558" s="2685"/>
      <c r="M558" s="2685"/>
      <c r="N558" s="2685"/>
      <c r="O558" s="2685"/>
      <c r="P558" s="2685"/>
      <c r="Q558" s="2685"/>
      <c r="R558" s="2685"/>
      <c r="S558" s="2685"/>
      <c r="T558" s="2685"/>
      <c r="U558" s="2685"/>
      <c r="V558" s="2685"/>
      <c r="W558" s="2685"/>
      <c r="X558" s="2685"/>
      <c r="Y558" s="2685"/>
      <c r="Z558" s="2685"/>
      <c r="AA558" s="2685"/>
      <c r="AB558" s="2685"/>
      <c r="AC558" s="2675">
        <f t="shared" si="331"/>
        <v>0</v>
      </c>
      <c r="AD558" s="2695"/>
      <c r="AE558" s="2695"/>
      <c r="AF558" s="2695"/>
      <c r="AG558" s="2695"/>
      <c r="AH558" s="2695"/>
      <c r="AI558" s="2695"/>
      <c r="AJ558" s="2695"/>
      <c r="AK558" s="2695"/>
      <c r="AL558" s="2695"/>
      <c r="AM558" s="2695"/>
      <c r="AN558" s="2695"/>
      <c r="AO558" s="2695"/>
      <c r="AP558" s="2695"/>
      <c r="AQ558" s="2695"/>
      <c r="AR558" s="2695"/>
      <c r="AS558" s="2695"/>
      <c r="AT558" s="2703"/>
      <c r="AU558" s="2704"/>
      <c r="AV558" s="1074">
        <f t="shared" si="332"/>
        <v>0</v>
      </c>
      <c r="AW558" s="1074">
        <f t="shared" si="333"/>
        <v>0</v>
      </c>
      <c r="AX558" s="1074">
        <f t="shared" si="334"/>
        <v>0</v>
      </c>
      <c r="AY558" s="2279">
        <f t="shared" si="335"/>
        <v>0</v>
      </c>
      <c r="AZ558" s="2675">
        <f t="shared" si="336"/>
        <v>0</v>
      </c>
      <c r="BA558" s="2675">
        <f t="shared" si="337"/>
        <v>0</v>
      </c>
      <c r="BB558" s="2675">
        <f t="shared" si="338"/>
        <v>0</v>
      </c>
      <c r="BC558" s="2675">
        <f t="shared" si="339"/>
        <v>0</v>
      </c>
      <c r="BD558" s="2675">
        <f t="shared" si="340"/>
        <v>0</v>
      </c>
      <c r="BE558" s="2675">
        <f t="shared" si="341"/>
        <v>0</v>
      </c>
      <c r="BF558" s="2675">
        <f t="shared" si="342"/>
        <v>0</v>
      </c>
      <c r="BG558" s="2675">
        <f t="shared" si="343"/>
        <v>0</v>
      </c>
      <c r="BH558" s="2675">
        <f t="shared" si="344"/>
        <v>0</v>
      </c>
      <c r="BI558" s="2675">
        <f t="shared" si="345"/>
        <v>0</v>
      </c>
      <c r="BJ558" s="2675">
        <f t="shared" si="346"/>
        <v>0</v>
      </c>
      <c r="BK558" s="2675">
        <f t="shared" si="347"/>
        <v>0</v>
      </c>
      <c r="BL558" s="2675">
        <f t="shared" si="348"/>
        <v>0</v>
      </c>
      <c r="BM558" s="2675">
        <f t="shared" si="349"/>
        <v>0</v>
      </c>
      <c r="BN558" s="2675">
        <f t="shared" si="350"/>
        <v>0</v>
      </c>
      <c r="BO558" s="2675">
        <f t="shared" si="351"/>
        <v>0</v>
      </c>
      <c r="BP558" s="2675">
        <f t="shared" si="352"/>
        <v>0</v>
      </c>
      <c r="BQ558" s="2675">
        <f t="shared" si="353"/>
        <v>0</v>
      </c>
      <c r="BR558" s="2675">
        <f t="shared" si="354"/>
        <v>0</v>
      </c>
      <c r="BS558" s="2675">
        <f t="shared" si="355"/>
        <v>0</v>
      </c>
      <c r="BT558" s="2722">
        <f t="shared" si="356"/>
        <v>0</v>
      </c>
    </row>
    <row r="559" spans="1:72">
      <c r="A559" s="2673"/>
      <c r="B559" s="2674"/>
      <c r="C559" s="2674"/>
      <c r="D559" s="2277"/>
      <c r="E559" s="2675">
        <f t="shared" si="328"/>
        <v>0</v>
      </c>
      <c r="F559" s="2676"/>
      <c r="G559" s="2677">
        <f t="shared" si="329"/>
        <v>0</v>
      </c>
      <c r="H559" s="2678">
        <f t="shared" si="330"/>
        <v>0</v>
      </c>
      <c r="I559" s="2685"/>
      <c r="J559" s="2685"/>
      <c r="K559" s="2685"/>
      <c r="L559" s="2685"/>
      <c r="M559" s="2685"/>
      <c r="N559" s="2685"/>
      <c r="O559" s="2685"/>
      <c r="P559" s="2685"/>
      <c r="Q559" s="2685"/>
      <c r="R559" s="2685"/>
      <c r="S559" s="2685"/>
      <c r="T559" s="2685"/>
      <c r="U559" s="2685"/>
      <c r="V559" s="2685"/>
      <c r="W559" s="2685"/>
      <c r="X559" s="2685"/>
      <c r="Y559" s="2685"/>
      <c r="Z559" s="2685"/>
      <c r="AA559" s="2685"/>
      <c r="AB559" s="2685"/>
      <c r="AC559" s="2675">
        <f t="shared" si="331"/>
        <v>0</v>
      </c>
      <c r="AD559" s="2695"/>
      <c r="AE559" s="2695"/>
      <c r="AF559" s="2695"/>
      <c r="AG559" s="2695"/>
      <c r="AH559" s="2695"/>
      <c r="AI559" s="2695"/>
      <c r="AJ559" s="2695"/>
      <c r="AK559" s="2695"/>
      <c r="AL559" s="2695"/>
      <c r="AM559" s="2695"/>
      <c r="AN559" s="2695"/>
      <c r="AO559" s="2695"/>
      <c r="AP559" s="2695"/>
      <c r="AQ559" s="2695"/>
      <c r="AR559" s="2695"/>
      <c r="AS559" s="2695"/>
      <c r="AT559" s="2703"/>
      <c r="AU559" s="2704"/>
      <c r="AV559" s="1074">
        <f t="shared" si="332"/>
        <v>0</v>
      </c>
      <c r="AW559" s="1074">
        <f t="shared" si="333"/>
        <v>0</v>
      </c>
      <c r="AX559" s="1074">
        <f t="shared" si="334"/>
        <v>0</v>
      </c>
      <c r="AY559" s="2279">
        <f t="shared" si="335"/>
        <v>0</v>
      </c>
      <c r="AZ559" s="2675">
        <f t="shared" si="336"/>
        <v>0</v>
      </c>
      <c r="BA559" s="2675">
        <f t="shared" si="337"/>
        <v>0</v>
      </c>
      <c r="BB559" s="2675">
        <f t="shared" si="338"/>
        <v>0</v>
      </c>
      <c r="BC559" s="2675">
        <f t="shared" si="339"/>
        <v>0</v>
      </c>
      <c r="BD559" s="2675">
        <f t="shared" si="340"/>
        <v>0</v>
      </c>
      <c r="BE559" s="2675">
        <f t="shared" si="341"/>
        <v>0</v>
      </c>
      <c r="BF559" s="2675">
        <f t="shared" si="342"/>
        <v>0</v>
      </c>
      <c r="BG559" s="2675">
        <f t="shared" si="343"/>
        <v>0</v>
      </c>
      <c r="BH559" s="2675">
        <f t="shared" si="344"/>
        <v>0</v>
      </c>
      <c r="BI559" s="2675">
        <f t="shared" si="345"/>
        <v>0</v>
      </c>
      <c r="BJ559" s="2675">
        <f t="shared" si="346"/>
        <v>0</v>
      </c>
      <c r="BK559" s="2675">
        <f t="shared" si="347"/>
        <v>0</v>
      </c>
      <c r="BL559" s="2675">
        <f t="shared" si="348"/>
        <v>0</v>
      </c>
      <c r="BM559" s="2675">
        <f t="shared" si="349"/>
        <v>0</v>
      </c>
      <c r="BN559" s="2675">
        <f t="shared" si="350"/>
        <v>0</v>
      </c>
      <c r="BO559" s="2675">
        <f t="shared" si="351"/>
        <v>0</v>
      </c>
      <c r="BP559" s="2675">
        <f t="shared" si="352"/>
        <v>0</v>
      </c>
      <c r="BQ559" s="2675">
        <f t="shared" si="353"/>
        <v>0</v>
      </c>
      <c r="BR559" s="2675">
        <f t="shared" si="354"/>
        <v>0</v>
      </c>
      <c r="BS559" s="2675">
        <f t="shared" si="355"/>
        <v>0</v>
      </c>
      <c r="BT559" s="2722">
        <f t="shared" si="356"/>
        <v>0</v>
      </c>
    </row>
    <row r="560" spans="1:72">
      <c r="A560" s="2673"/>
      <c r="B560" s="2674"/>
      <c r="C560" s="2674"/>
      <c r="D560" s="2277"/>
      <c r="E560" s="2675">
        <f t="shared" si="328"/>
        <v>0</v>
      </c>
      <c r="F560" s="2676"/>
      <c r="G560" s="2677">
        <f t="shared" si="329"/>
        <v>0</v>
      </c>
      <c r="H560" s="2678">
        <f t="shared" si="330"/>
        <v>0</v>
      </c>
      <c r="I560" s="2685"/>
      <c r="J560" s="2685"/>
      <c r="K560" s="2685"/>
      <c r="L560" s="2685"/>
      <c r="M560" s="2685"/>
      <c r="N560" s="2685"/>
      <c r="O560" s="2685"/>
      <c r="P560" s="2685"/>
      <c r="Q560" s="2685"/>
      <c r="R560" s="2685"/>
      <c r="S560" s="2685"/>
      <c r="T560" s="2685"/>
      <c r="U560" s="2685"/>
      <c r="V560" s="2685"/>
      <c r="W560" s="2685"/>
      <c r="X560" s="2685"/>
      <c r="Y560" s="2685"/>
      <c r="Z560" s="2685"/>
      <c r="AA560" s="2685"/>
      <c r="AB560" s="2685"/>
      <c r="AC560" s="2675">
        <f t="shared" si="331"/>
        <v>0</v>
      </c>
      <c r="AD560" s="2695"/>
      <c r="AE560" s="2695"/>
      <c r="AF560" s="2695"/>
      <c r="AG560" s="2695"/>
      <c r="AH560" s="2695"/>
      <c r="AI560" s="2695"/>
      <c r="AJ560" s="2695"/>
      <c r="AK560" s="2695"/>
      <c r="AL560" s="2695"/>
      <c r="AM560" s="2695"/>
      <c r="AN560" s="2695"/>
      <c r="AO560" s="2695"/>
      <c r="AP560" s="2695"/>
      <c r="AQ560" s="2695"/>
      <c r="AR560" s="2695"/>
      <c r="AS560" s="2695"/>
      <c r="AT560" s="2703"/>
      <c r="AU560" s="2704"/>
      <c r="AV560" s="1074">
        <f t="shared" si="332"/>
        <v>0</v>
      </c>
      <c r="AW560" s="1074">
        <f t="shared" si="333"/>
        <v>0</v>
      </c>
      <c r="AX560" s="1074">
        <f t="shared" si="334"/>
        <v>0</v>
      </c>
      <c r="AY560" s="2279">
        <f t="shared" si="335"/>
        <v>0</v>
      </c>
      <c r="AZ560" s="2675">
        <f t="shared" si="336"/>
        <v>0</v>
      </c>
      <c r="BA560" s="2675">
        <f t="shared" si="337"/>
        <v>0</v>
      </c>
      <c r="BB560" s="2675">
        <f t="shared" si="338"/>
        <v>0</v>
      </c>
      <c r="BC560" s="2675">
        <f t="shared" si="339"/>
        <v>0</v>
      </c>
      <c r="BD560" s="2675">
        <f t="shared" si="340"/>
        <v>0</v>
      </c>
      <c r="BE560" s="2675">
        <f t="shared" si="341"/>
        <v>0</v>
      </c>
      <c r="BF560" s="2675">
        <f t="shared" si="342"/>
        <v>0</v>
      </c>
      <c r="BG560" s="2675">
        <f t="shared" si="343"/>
        <v>0</v>
      </c>
      <c r="BH560" s="2675">
        <f t="shared" si="344"/>
        <v>0</v>
      </c>
      <c r="BI560" s="2675">
        <f t="shared" si="345"/>
        <v>0</v>
      </c>
      <c r="BJ560" s="2675">
        <f t="shared" si="346"/>
        <v>0</v>
      </c>
      <c r="BK560" s="2675">
        <f t="shared" si="347"/>
        <v>0</v>
      </c>
      <c r="BL560" s="2675">
        <f t="shared" si="348"/>
        <v>0</v>
      </c>
      <c r="BM560" s="2675">
        <f t="shared" si="349"/>
        <v>0</v>
      </c>
      <c r="BN560" s="2675">
        <f t="shared" si="350"/>
        <v>0</v>
      </c>
      <c r="BO560" s="2675">
        <f t="shared" si="351"/>
        <v>0</v>
      </c>
      <c r="BP560" s="2675">
        <f t="shared" si="352"/>
        <v>0</v>
      </c>
      <c r="BQ560" s="2675">
        <f t="shared" si="353"/>
        <v>0</v>
      </c>
      <c r="BR560" s="2675">
        <f t="shared" si="354"/>
        <v>0</v>
      </c>
      <c r="BS560" s="2675">
        <f t="shared" si="355"/>
        <v>0</v>
      </c>
      <c r="BT560" s="2722">
        <f t="shared" si="356"/>
        <v>0</v>
      </c>
    </row>
    <row r="561" spans="1:72">
      <c r="A561" s="2673"/>
      <c r="B561" s="2674"/>
      <c r="C561" s="2674"/>
      <c r="D561" s="2277"/>
      <c r="E561" s="2675">
        <f t="shared" si="328"/>
        <v>0</v>
      </c>
      <c r="F561" s="2676"/>
      <c r="G561" s="2677">
        <f t="shared" si="329"/>
        <v>0</v>
      </c>
      <c r="H561" s="2678">
        <f t="shared" si="330"/>
        <v>0</v>
      </c>
      <c r="I561" s="2685"/>
      <c r="J561" s="2685"/>
      <c r="K561" s="2685"/>
      <c r="L561" s="2685"/>
      <c r="M561" s="2685"/>
      <c r="N561" s="2685"/>
      <c r="O561" s="2685"/>
      <c r="P561" s="2685"/>
      <c r="Q561" s="2685"/>
      <c r="R561" s="2685"/>
      <c r="S561" s="2685"/>
      <c r="T561" s="2685"/>
      <c r="U561" s="2685"/>
      <c r="V561" s="2685"/>
      <c r="W561" s="2685"/>
      <c r="X561" s="2685"/>
      <c r="Y561" s="2685"/>
      <c r="Z561" s="2685"/>
      <c r="AA561" s="2685"/>
      <c r="AB561" s="2685"/>
      <c r="AC561" s="2675">
        <f t="shared" si="331"/>
        <v>0</v>
      </c>
      <c r="AD561" s="2695"/>
      <c r="AE561" s="2695"/>
      <c r="AF561" s="2695"/>
      <c r="AG561" s="2695"/>
      <c r="AH561" s="2695"/>
      <c r="AI561" s="2695"/>
      <c r="AJ561" s="2695"/>
      <c r="AK561" s="2695"/>
      <c r="AL561" s="2695"/>
      <c r="AM561" s="2695"/>
      <c r="AN561" s="2695"/>
      <c r="AO561" s="2695"/>
      <c r="AP561" s="2695"/>
      <c r="AQ561" s="2695"/>
      <c r="AR561" s="2695"/>
      <c r="AS561" s="2695"/>
      <c r="AT561" s="2703"/>
      <c r="AU561" s="2704"/>
      <c r="AV561" s="1074">
        <f t="shared" si="332"/>
        <v>0</v>
      </c>
      <c r="AW561" s="1074">
        <f t="shared" si="333"/>
        <v>0</v>
      </c>
      <c r="AX561" s="1074">
        <f t="shared" si="334"/>
        <v>0</v>
      </c>
      <c r="AY561" s="2279">
        <f t="shared" si="335"/>
        <v>0</v>
      </c>
      <c r="AZ561" s="2675">
        <f t="shared" si="336"/>
        <v>0</v>
      </c>
      <c r="BA561" s="2675">
        <f t="shared" si="337"/>
        <v>0</v>
      </c>
      <c r="BB561" s="2675">
        <f t="shared" si="338"/>
        <v>0</v>
      </c>
      <c r="BC561" s="2675">
        <f t="shared" si="339"/>
        <v>0</v>
      </c>
      <c r="BD561" s="2675">
        <f t="shared" si="340"/>
        <v>0</v>
      </c>
      <c r="BE561" s="2675">
        <f t="shared" si="341"/>
        <v>0</v>
      </c>
      <c r="BF561" s="2675">
        <f t="shared" si="342"/>
        <v>0</v>
      </c>
      <c r="BG561" s="2675">
        <f t="shared" si="343"/>
        <v>0</v>
      </c>
      <c r="BH561" s="2675">
        <f t="shared" si="344"/>
        <v>0</v>
      </c>
      <c r="BI561" s="2675">
        <f t="shared" si="345"/>
        <v>0</v>
      </c>
      <c r="BJ561" s="2675">
        <f t="shared" si="346"/>
        <v>0</v>
      </c>
      <c r="BK561" s="2675">
        <f t="shared" si="347"/>
        <v>0</v>
      </c>
      <c r="BL561" s="2675">
        <f t="shared" si="348"/>
        <v>0</v>
      </c>
      <c r="BM561" s="2675">
        <f t="shared" si="349"/>
        <v>0</v>
      </c>
      <c r="BN561" s="2675">
        <f t="shared" si="350"/>
        <v>0</v>
      </c>
      <c r="BO561" s="2675">
        <f t="shared" si="351"/>
        <v>0</v>
      </c>
      <c r="BP561" s="2675">
        <f t="shared" si="352"/>
        <v>0</v>
      </c>
      <c r="BQ561" s="2675">
        <f t="shared" si="353"/>
        <v>0</v>
      </c>
      <c r="BR561" s="2675">
        <f t="shared" si="354"/>
        <v>0</v>
      </c>
      <c r="BS561" s="2675">
        <f t="shared" si="355"/>
        <v>0</v>
      </c>
      <c r="BT561" s="2722">
        <f t="shared" si="356"/>
        <v>0</v>
      </c>
    </row>
    <row r="562" spans="1:72">
      <c r="A562" s="2673"/>
      <c r="B562" s="2674"/>
      <c r="C562" s="2674"/>
      <c r="D562" s="2277"/>
      <c r="E562" s="2675">
        <f t="shared" si="328"/>
        <v>0</v>
      </c>
      <c r="F562" s="2676"/>
      <c r="G562" s="2677">
        <f t="shared" si="329"/>
        <v>0</v>
      </c>
      <c r="H562" s="2678">
        <f t="shared" si="330"/>
        <v>0</v>
      </c>
      <c r="I562" s="2685"/>
      <c r="J562" s="2685"/>
      <c r="K562" s="2685"/>
      <c r="L562" s="2685"/>
      <c r="M562" s="2685"/>
      <c r="N562" s="2685"/>
      <c r="O562" s="2685"/>
      <c r="P562" s="2685"/>
      <c r="Q562" s="2685"/>
      <c r="R562" s="2685"/>
      <c r="S562" s="2685"/>
      <c r="T562" s="2685"/>
      <c r="U562" s="2685"/>
      <c r="V562" s="2685"/>
      <c r="W562" s="2685"/>
      <c r="X562" s="2685"/>
      <c r="Y562" s="2685"/>
      <c r="Z562" s="2685"/>
      <c r="AA562" s="2685"/>
      <c r="AB562" s="2685"/>
      <c r="AC562" s="2675">
        <f t="shared" si="331"/>
        <v>0</v>
      </c>
      <c r="AD562" s="2695"/>
      <c r="AE562" s="2695"/>
      <c r="AF562" s="2695"/>
      <c r="AG562" s="2695"/>
      <c r="AH562" s="2695"/>
      <c r="AI562" s="2695"/>
      <c r="AJ562" s="2695"/>
      <c r="AK562" s="2695"/>
      <c r="AL562" s="2695"/>
      <c r="AM562" s="2695"/>
      <c r="AN562" s="2695"/>
      <c r="AO562" s="2695"/>
      <c r="AP562" s="2695"/>
      <c r="AQ562" s="2695"/>
      <c r="AR562" s="2695"/>
      <c r="AS562" s="2695"/>
      <c r="AT562" s="2703"/>
      <c r="AU562" s="2704"/>
      <c r="AV562" s="1074">
        <f t="shared" si="332"/>
        <v>0</v>
      </c>
      <c r="AW562" s="1074">
        <f t="shared" si="333"/>
        <v>0</v>
      </c>
      <c r="AX562" s="1074">
        <f t="shared" si="334"/>
        <v>0</v>
      </c>
      <c r="AY562" s="2279">
        <f t="shared" si="335"/>
        <v>0</v>
      </c>
      <c r="AZ562" s="2675">
        <f t="shared" si="336"/>
        <v>0</v>
      </c>
      <c r="BA562" s="2675">
        <f t="shared" si="337"/>
        <v>0</v>
      </c>
      <c r="BB562" s="2675">
        <f t="shared" si="338"/>
        <v>0</v>
      </c>
      <c r="BC562" s="2675">
        <f t="shared" si="339"/>
        <v>0</v>
      </c>
      <c r="BD562" s="2675">
        <f t="shared" si="340"/>
        <v>0</v>
      </c>
      <c r="BE562" s="2675">
        <f t="shared" si="341"/>
        <v>0</v>
      </c>
      <c r="BF562" s="2675">
        <f t="shared" si="342"/>
        <v>0</v>
      </c>
      <c r="BG562" s="2675">
        <f t="shared" si="343"/>
        <v>0</v>
      </c>
      <c r="BH562" s="2675">
        <f t="shared" si="344"/>
        <v>0</v>
      </c>
      <c r="BI562" s="2675">
        <f t="shared" si="345"/>
        <v>0</v>
      </c>
      <c r="BJ562" s="2675">
        <f t="shared" si="346"/>
        <v>0</v>
      </c>
      <c r="BK562" s="2675">
        <f t="shared" si="347"/>
        <v>0</v>
      </c>
      <c r="BL562" s="2675">
        <f t="shared" si="348"/>
        <v>0</v>
      </c>
      <c r="BM562" s="2675">
        <f t="shared" si="349"/>
        <v>0</v>
      </c>
      <c r="BN562" s="2675">
        <f t="shared" si="350"/>
        <v>0</v>
      </c>
      <c r="BO562" s="2675">
        <f t="shared" si="351"/>
        <v>0</v>
      </c>
      <c r="BP562" s="2675">
        <f t="shared" si="352"/>
        <v>0</v>
      </c>
      <c r="BQ562" s="2675">
        <f t="shared" si="353"/>
        <v>0</v>
      </c>
      <c r="BR562" s="2675">
        <f t="shared" si="354"/>
        <v>0</v>
      </c>
      <c r="BS562" s="2675">
        <f t="shared" si="355"/>
        <v>0</v>
      </c>
      <c r="BT562" s="2722">
        <f t="shared" si="356"/>
        <v>0</v>
      </c>
    </row>
    <row r="563" spans="1:72">
      <c r="A563" s="2673"/>
      <c r="B563" s="2674"/>
      <c r="C563" s="2674"/>
      <c r="D563" s="2277"/>
      <c r="E563" s="2675">
        <f t="shared" si="328"/>
        <v>0</v>
      </c>
      <c r="F563" s="2676"/>
      <c r="G563" s="2677">
        <f t="shared" si="329"/>
        <v>0</v>
      </c>
      <c r="H563" s="2678">
        <f t="shared" si="330"/>
        <v>0</v>
      </c>
      <c r="I563" s="2685"/>
      <c r="J563" s="2685"/>
      <c r="K563" s="2685"/>
      <c r="L563" s="2685"/>
      <c r="M563" s="2685"/>
      <c r="N563" s="2685"/>
      <c r="O563" s="2685"/>
      <c r="P563" s="2685"/>
      <c r="Q563" s="2685"/>
      <c r="R563" s="2685"/>
      <c r="S563" s="2685"/>
      <c r="T563" s="2685"/>
      <c r="U563" s="2685"/>
      <c r="V563" s="2685"/>
      <c r="W563" s="2685"/>
      <c r="X563" s="2685"/>
      <c r="Y563" s="2685"/>
      <c r="Z563" s="2685"/>
      <c r="AA563" s="2685"/>
      <c r="AB563" s="2685"/>
      <c r="AC563" s="2675">
        <f t="shared" si="331"/>
        <v>0</v>
      </c>
      <c r="AD563" s="2695"/>
      <c r="AE563" s="2695"/>
      <c r="AF563" s="2695"/>
      <c r="AG563" s="2695"/>
      <c r="AH563" s="2695"/>
      <c r="AI563" s="2695"/>
      <c r="AJ563" s="2695"/>
      <c r="AK563" s="2695"/>
      <c r="AL563" s="2695"/>
      <c r="AM563" s="2695"/>
      <c r="AN563" s="2695"/>
      <c r="AO563" s="2695"/>
      <c r="AP563" s="2695"/>
      <c r="AQ563" s="2695"/>
      <c r="AR563" s="2695"/>
      <c r="AS563" s="2695"/>
      <c r="AT563" s="2703"/>
      <c r="AU563" s="2704"/>
      <c r="AV563" s="1074">
        <f t="shared" si="332"/>
        <v>0</v>
      </c>
      <c r="AW563" s="1074">
        <f t="shared" si="333"/>
        <v>0</v>
      </c>
      <c r="AX563" s="1074">
        <f t="shared" si="334"/>
        <v>0</v>
      </c>
      <c r="AY563" s="2279">
        <f t="shared" si="335"/>
        <v>0</v>
      </c>
      <c r="AZ563" s="2675">
        <f t="shared" si="336"/>
        <v>0</v>
      </c>
      <c r="BA563" s="2675">
        <f t="shared" si="337"/>
        <v>0</v>
      </c>
      <c r="BB563" s="2675">
        <f t="shared" si="338"/>
        <v>0</v>
      </c>
      <c r="BC563" s="2675">
        <f t="shared" si="339"/>
        <v>0</v>
      </c>
      <c r="BD563" s="2675">
        <f t="shared" si="340"/>
        <v>0</v>
      </c>
      <c r="BE563" s="2675">
        <f t="shared" si="341"/>
        <v>0</v>
      </c>
      <c r="BF563" s="2675">
        <f t="shared" si="342"/>
        <v>0</v>
      </c>
      <c r="BG563" s="2675">
        <f t="shared" si="343"/>
        <v>0</v>
      </c>
      <c r="BH563" s="2675">
        <f t="shared" si="344"/>
        <v>0</v>
      </c>
      <c r="BI563" s="2675">
        <f t="shared" si="345"/>
        <v>0</v>
      </c>
      <c r="BJ563" s="2675">
        <f t="shared" si="346"/>
        <v>0</v>
      </c>
      <c r="BK563" s="2675">
        <f t="shared" si="347"/>
        <v>0</v>
      </c>
      <c r="BL563" s="2675">
        <f t="shared" si="348"/>
        <v>0</v>
      </c>
      <c r="BM563" s="2675">
        <f t="shared" si="349"/>
        <v>0</v>
      </c>
      <c r="BN563" s="2675">
        <f t="shared" si="350"/>
        <v>0</v>
      </c>
      <c r="BO563" s="2675">
        <f t="shared" si="351"/>
        <v>0</v>
      </c>
      <c r="BP563" s="2675">
        <f t="shared" si="352"/>
        <v>0</v>
      </c>
      <c r="BQ563" s="2675">
        <f t="shared" si="353"/>
        <v>0</v>
      </c>
      <c r="BR563" s="2675">
        <f t="shared" si="354"/>
        <v>0</v>
      </c>
      <c r="BS563" s="2675">
        <f t="shared" si="355"/>
        <v>0</v>
      </c>
      <c r="BT563" s="2722">
        <f t="shared" si="356"/>
        <v>0</v>
      </c>
    </row>
    <row r="564" spans="1:72">
      <c r="A564" s="2673"/>
      <c r="B564" s="2674"/>
      <c r="C564" s="2674"/>
      <c r="D564" s="2277"/>
      <c r="E564" s="2675">
        <f t="shared" si="328"/>
        <v>0</v>
      </c>
      <c r="F564" s="2676"/>
      <c r="G564" s="2677">
        <f t="shared" si="329"/>
        <v>0</v>
      </c>
      <c r="H564" s="2678">
        <f t="shared" si="330"/>
        <v>0</v>
      </c>
      <c r="I564" s="2685"/>
      <c r="J564" s="2685"/>
      <c r="K564" s="2685"/>
      <c r="L564" s="2685"/>
      <c r="M564" s="2685"/>
      <c r="N564" s="2685"/>
      <c r="O564" s="2685"/>
      <c r="P564" s="2685"/>
      <c r="Q564" s="2685"/>
      <c r="R564" s="2685"/>
      <c r="S564" s="2685"/>
      <c r="T564" s="2685"/>
      <c r="U564" s="2685"/>
      <c r="V564" s="2685"/>
      <c r="W564" s="2685"/>
      <c r="X564" s="2685"/>
      <c r="Y564" s="2685"/>
      <c r="Z564" s="2685"/>
      <c r="AA564" s="2685"/>
      <c r="AB564" s="2685"/>
      <c r="AC564" s="2675">
        <f t="shared" si="331"/>
        <v>0</v>
      </c>
      <c r="AD564" s="2695"/>
      <c r="AE564" s="2695"/>
      <c r="AF564" s="2695"/>
      <c r="AG564" s="2695"/>
      <c r="AH564" s="2695"/>
      <c r="AI564" s="2695"/>
      <c r="AJ564" s="2695"/>
      <c r="AK564" s="2695"/>
      <c r="AL564" s="2695"/>
      <c r="AM564" s="2695"/>
      <c r="AN564" s="2695"/>
      <c r="AO564" s="2695"/>
      <c r="AP564" s="2695"/>
      <c r="AQ564" s="2695"/>
      <c r="AR564" s="2695"/>
      <c r="AS564" s="2695"/>
      <c r="AT564" s="2703"/>
      <c r="AU564" s="2704"/>
      <c r="AV564" s="1074">
        <f t="shared" si="332"/>
        <v>0</v>
      </c>
      <c r="AW564" s="1074">
        <f t="shared" si="333"/>
        <v>0</v>
      </c>
      <c r="AX564" s="1074">
        <f t="shared" si="334"/>
        <v>0</v>
      </c>
      <c r="AY564" s="2279">
        <f t="shared" si="335"/>
        <v>0</v>
      </c>
      <c r="AZ564" s="2675">
        <f t="shared" si="336"/>
        <v>0</v>
      </c>
      <c r="BA564" s="2675">
        <f t="shared" si="337"/>
        <v>0</v>
      </c>
      <c r="BB564" s="2675">
        <f t="shared" si="338"/>
        <v>0</v>
      </c>
      <c r="BC564" s="2675">
        <f t="shared" si="339"/>
        <v>0</v>
      </c>
      <c r="BD564" s="2675">
        <f t="shared" si="340"/>
        <v>0</v>
      </c>
      <c r="BE564" s="2675">
        <f t="shared" si="341"/>
        <v>0</v>
      </c>
      <c r="BF564" s="2675">
        <f t="shared" si="342"/>
        <v>0</v>
      </c>
      <c r="BG564" s="2675">
        <f t="shared" si="343"/>
        <v>0</v>
      </c>
      <c r="BH564" s="2675">
        <f t="shared" si="344"/>
        <v>0</v>
      </c>
      <c r="BI564" s="2675">
        <f t="shared" si="345"/>
        <v>0</v>
      </c>
      <c r="BJ564" s="2675">
        <f t="shared" si="346"/>
        <v>0</v>
      </c>
      <c r="BK564" s="2675">
        <f t="shared" si="347"/>
        <v>0</v>
      </c>
      <c r="BL564" s="2675">
        <f t="shared" si="348"/>
        <v>0</v>
      </c>
      <c r="BM564" s="2675">
        <f t="shared" si="349"/>
        <v>0</v>
      </c>
      <c r="BN564" s="2675">
        <f t="shared" si="350"/>
        <v>0</v>
      </c>
      <c r="BO564" s="2675">
        <f t="shared" si="351"/>
        <v>0</v>
      </c>
      <c r="BP564" s="2675">
        <f t="shared" si="352"/>
        <v>0</v>
      </c>
      <c r="BQ564" s="2675">
        <f t="shared" si="353"/>
        <v>0</v>
      </c>
      <c r="BR564" s="2675">
        <f t="shared" si="354"/>
        <v>0</v>
      </c>
      <c r="BS564" s="2675">
        <f t="shared" si="355"/>
        <v>0</v>
      </c>
      <c r="BT564" s="2722">
        <f t="shared" si="356"/>
        <v>0</v>
      </c>
    </row>
    <row r="565" spans="1:72">
      <c r="A565" s="2673"/>
      <c r="B565" s="2674"/>
      <c r="C565" s="2674"/>
      <c r="D565" s="2277"/>
      <c r="E565" s="2675">
        <f t="shared" si="328"/>
        <v>0</v>
      </c>
      <c r="F565" s="2676"/>
      <c r="G565" s="2677">
        <f t="shared" si="329"/>
        <v>0</v>
      </c>
      <c r="H565" s="2678">
        <f t="shared" si="330"/>
        <v>0</v>
      </c>
      <c r="I565" s="2685"/>
      <c r="J565" s="2685"/>
      <c r="K565" s="2685"/>
      <c r="L565" s="2685"/>
      <c r="M565" s="2685"/>
      <c r="N565" s="2685"/>
      <c r="O565" s="2685"/>
      <c r="P565" s="2685"/>
      <c r="Q565" s="2685"/>
      <c r="R565" s="2685"/>
      <c r="S565" s="2685"/>
      <c r="T565" s="2685"/>
      <c r="U565" s="2685"/>
      <c r="V565" s="2685"/>
      <c r="W565" s="2685"/>
      <c r="X565" s="2685"/>
      <c r="Y565" s="2685"/>
      <c r="Z565" s="2685"/>
      <c r="AA565" s="2685"/>
      <c r="AB565" s="2685"/>
      <c r="AC565" s="2675">
        <f t="shared" si="331"/>
        <v>0</v>
      </c>
      <c r="AD565" s="2695"/>
      <c r="AE565" s="2695"/>
      <c r="AF565" s="2695"/>
      <c r="AG565" s="2695"/>
      <c r="AH565" s="2695"/>
      <c r="AI565" s="2695"/>
      <c r="AJ565" s="2695"/>
      <c r="AK565" s="2695"/>
      <c r="AL565" s="2695"/>
      <c r="AM565" s="2695"/>
      <c r="AN565" s="2695"/>
      <c r="AO565" s="2695"/>
      <c r="AP565" s="2695"/>
      <c r="AQ565" s="2695"/>
      <c r="AR565" s="2695"/>
      <c r="AS565" s="2695"/>
      <c r="AT565" s="2703"/>
      <c r="AU565" s="2704"/>
      <c r="AV565" s="1074">
        <f t="shared" si="332"/>
        <v>0</v>
      </c>
      <c r="AW565" s="1074">
        <f t="shared" si="333"/>
        <v>0</v>
      </c>
      <c r="AX565" s="1074">
        <f t="shared" si="334"/>
        <v>0</v>
      </c>
      <c r="AY565" s="2279">
        <f t="shared" si="335"/>
        <v>0</v>
      </c>
      <c r="AZ565" s="2675">
        <f t="shared" si="336"/>
        <v>0</v>
      </c>
      <c r="BA565" s="2675">
        <f t="shared" si="337"/>
        <v>0</v>
      </c>
      <c r="BB565" s="2675">
        <f t="shared" si="338"/>
        <v>0</v>
      </c>
      <c r="BC565" s="2675">
        <f t="shared" si="339"/>
        <v>0</v>
      </c>
      <c r="BD565" s="2675">
        <f t="shared" si="340"/>
        <v>0</v>
      </c>
      <c r="BE565" s="2675">
        <f t="shared" si="341"/>
        <v>0</v>
      </c>
      <c r="BF565" s="2675">
        <f t="shared" si="342"/>
        <v>0</v>
      </c>
      <c r="BG565" s="2675">
        <f t="shared" si="343"/>
        <v>0</v>
      </c>
      <c r="BH565" s="2675">
        <f t="shared" si="344"/>
        <v>0</v>
      </c>
      <c r="BI565" s="2675">
        <f t="shared" si="345"/>
        <v>0</v>
      </c>
      <c r="BJ565" s="2675">
        <f t="shared" si="346"/>
        <v>0</v>
      </c>
      <c r="BK565" s="2675">
        <f t="shared" si="347"/>
        <v>0</v>
      </c>
      <c r="BL565" s="2675">
        <f t="shared" si="348"/>
        <v>0</v>
      </c>
      <c r="BM565" s="2675">
        <f t="shared" si="349"/>
        <v>0</v>
      </c>
      <c r="BN565" s="2675">
        <f t="shared" si="350"/>
        <v>0</v>
      </c>
      <c r="BO565" s="2675">
        <f t="shared" si="351"/>
        <v>0</v>
      </c>
      <c r="BP565" s="2675">
        <f t="shared" si="352"/>
        <v>0</v>
      </c>
      <c r="BQ565" s="2675">
        <f t="shared" si="353"/>
        <v>0</v>
      </c>
      <c r="BR565" s="2675">
        <f t="shared" si="354"/>
        <v>0</v>
      </c>
      <c r="BS565" s="2675">
        <f t="shared" si="355"/>
        <v>0</v>
      </c>
      <c r="BT565" s="2722">
        <f t="shared" si="356"/>
        <v>0</v>
      </c>
    </row>
    <row r="566" spans="1:72">
      <c r="A566" s="2673"/>
      <c r="B566" s="2674"/>
      <c r="C566" s="2674"/>
      <c r="D566" s="2277"/>
      <c r="E566" s="2675">
        <f t="shared" si="328"/>
        <v>0</v>
      </c>
      <c r="F566" s="2676"/>
      <c r="G566" s="2677">
        <f t="shared" si="329"/>
        <v>0</v>
      </c>
      <c r="H566" s="2678">
        <f t="shared" si="330"/>
        <v>0</v>
      </c>
      <c r="I566" s="2685"/>
      <c r="J566" s="2685"/>
      <c r="K566" s="2685"/>
      <c r="L566" s="2685"/>
      <c r="M566" s="2685"/>
      <c r="N566" s="2685"/>
      <c r="O566" s="2685"/>
      <c r="P566" s="2685"/>
      <c r="Q566" s="2685"/>
      <c r="R566" s="2685"/>
      <c r="S566" s="2685"/>
      <c r="T566" s="2685"/>
      <c r="U566" s="2685"/>
      <c r="V566" s="2685"/>
      <c r="W566" s="2685"/>
      <c r="X566" s="2685"/>
      <c r="Y566" s="2685"/>
      <c r="Z566" s="2685"/>
      <c r="AA566" s="2685"/>
      <c r="AB566" s="2685"/>
      <c r="AC566" s="2675">
        <f t="shared" si="331"/>
        <v>0</v>
      </c>
      <c r="AD566" s="2695"/>
      <c r="AE566" s="2695"/>
      <c r="AF566" s="2695"/>
      <c r="AG566" s="2695"/>
      <c r="AH566" s="2695"/>
      <c r="AI566" s="2695"/>
      <c r="AJ566" s="2695"/>
      <c r="AK566" s="2695"/>
      <c r="AL566" s="2695"/>
      <c r="AM566" s="2695"/>
      <c r="AN566" s="2695"/>
      <c r="AO566" s="2695"/>
      <c r="AP566" s="2695"/>
      <c r="AQ566" s="2695"/>
      <c r="AR566" s="2695"/>
      <c r="AS566" s="2695"/>
      <c r="AT566" s="2703"/>
      <c r="AU566" s="2704"/>
      <c r="AV566" s="1074">
        <f t="shared" si="332"/>
        <v>0</v>
      </c>
      <c r="AW566" s="1074">
        <f t="shared" si="333"/>
        <v>0</v>
      </c>
      <c r="AX566" s="1074">
        <f t="shared" si="334"/>
        <v>0</v>
      </c>
      <c r="AY566" s="2279">
        <f t="shared" si="335"/>
        <v>0</v>
      </c>
      <c r="AZ566" s="2675">
        <f t="shared" si="336"/>
        <v>0</v>
      </c>
      <c r="BA566" s="2675">
        <f t="shared" si="337"/>
        <v>0</v>
      </c>
      <c r="BB566" s="2675">
        <f t="shared" si="338"/>
        <v>0</v>
      </c>
      <c r="BC566" s="2675">
        <f t="shared" si="339"/>
        <v>0</v>
      </c>
      <c r="BD566" s="2675">
        <f t="shared" si="340"/>
        <v>0</v>
      </c>
      <c r="BE566" s="2675">
        <f t="shared" si="341"/>
        <v>0</v>
      </c>
      <c r="BF566" s="2675">
        <f t="shared" si="342"/>
        <v>0</v>
      </c>
      <c r="BG566" s="2675">
        <f t="shared" si="343"/>
        <v>0</v>
      </c>
      <c r="BH566" s="2675">
        <f t="shared" si="344"/>
        <v>0</v>
      </c>
      <c r="BI566" s="2675">
        <f t="shared" si="345"/>
        <v>0</v>
      </c>
      <c r="BJ566" s="2675">
        <f t="shared" si="346"/>
        <v>0</v>
      </c>
      <c r="BK566" s="2675">
        <f t="shared" si="347"/>
        <v>0</v>
      </c>
      <c r="BL566" s="2675">
        <f t="shared" si="348"/>
        <v>0</v>
      </c>
      <c r="BM566" s="2675">
        <f t="shared" si="349"/>
        <v>0</v>
      </c>
      <c r="BN566" s="2675">
        <f t="shared" si="350"/>
        <v>0</v>
      </c>
      <c r="BO566" s="2675">
        <f t="shared" si="351"/>
        <v>0</v>
      </c>
      <c r="BP566" s="2675">
        <f t="shared" si="352"/>
        <v>0</v>
      </c>
      <c r="BQ566" s="2675">
        <f t="shared" si="353"/>
        <v>0</v>
      </c>
      <c r="BR566" s="2675">
        <f t="shared" si="354"/>
        <v>0</v>
      </c>
      <c r="BS566" s="2675">
        <f t="shared" si="355"/>
        <v>0</v>
      </c>
      <c r="BT566" s="2722">
        <f t="shared" si="356"/>
        <v>0</v>
      </c>
    </row>
    <row r="567" spans="1:72">
      <c r="A567" s="2673"/>
      <c r="B567" s="2674"/>
      <c r="C567" s="2674"/>
      <c r="D567" s="2277"/>
      <c r="E567" s="2675">
        <f t="shared" si="328"/>
        <v>0</v>
      </c>
      <c r="F567" s="2676"/>
      <c r="G567" s="2677">
        <f t="shared" si="329"/>
        <v>0</v>
      </c>
      <c r="H567" s="2678">
        <f t="shared" si="330"/>
        <v>0</v>
      </c>
      <c r="I567" s="2685"/>
      <c r="J567" s="2685"/>
      <c r="K567" s="2685"/>
      <c r="L567" s="2685"/>
      <c r="M567" s="2685"/>
      <c r="N567" s="2685"/>
      <c r="O567" s="2685"/>
      <c r="P567" s="2685"/>
      <c r="Q567" s="2685"/>
      <c r="R567" s="2685"/>
      <c r="S567" s="2685"/>
      <c r="T567" s="2685"/>
      <c r="U567" s="2685"/>
      <c r="V567" s="2685"/>
      <c r="W567" s="2685"/>
      <c r="X567" s="2685"/>
      <c r="Y567" s="2685"/>
      <c r="Z567" s="2685"/>
      <c r="AA567" s="2685"/>
      <c r="AB567" s="2685"/>
      <c r="AC567" s="2675">
        <f t="shared" si="331"/>
        <v>0</v>
      </c>
      <c r="AD567" s="2695"/>
      <c r="AE567" s="2695"/>
      <c r="AF567" s="2695"/>
      <c r="AG567" s="2695"/>
      <c r="AH567" s="2695"/>
      <c r="AI567" s="2695"/>
      <c r="AJ567" s="2695"/>
      <c r="AK567" s="2695"/>
      <c r="AL567" s="2695"/>
      <c r="AM567" s="2695"/>
      <c r="AN567" s="2695"/>
      <c r="AO567" s="2695"/>
      <c r="AP567" s="2695"/>
      <c r="AQ567" s="2695"/>
      <c r="AR567" s="2695"/>
      <c r="AS567" s="2695"/>
      <c r="AT567" s="2703"/>
      <c r="AU567" s="2704"/>
      <c r="AV567" s="1074">
        <f t="shared" si="332"/>
        <v>0</v>
      </c>
      <c r="AW567" s="1074">
        <f t="shared" si="333"/>
        <v>0</v>
      </c>
      <c r="AX567" s="1074">
        <f t="shared" si="334"/>
        <v>0</v>
      </c>
      <c r="AY567" s="2279">
        <f t="shared" si="335"/>
        <v>0</v>
      </c>
      <c r="AZ567" s="2675">
        <f t="shared" si="336"/>
        <v>0</v>
      </c>
      <c r="BA567" s="2675">
        <f t="shared" si="337"/>
        <v>0</v>
      </c>
      <c r="BB567" s="2675">
        <f t="shared" si="338"/>
        <v>0</v>
      </c>
      <c r="BC567" s="2675">
        <f t="shared" si="339"/>
        <v>0</v>
      </c>
      <c r="BD567" s="2675">
        <f t="shared" si="340"/>
        <v>0</v>
      </c>
      <c r="BE567" s="2675">
        <f t="shared" si="341"/>
        <v>0</v>
      </c>
      <c r="BF567" s="2675">
        <f t="shared" si="342"/>
        <v>0</v>
      </c>
      <c r="BG567" s="2675">
        <f t="shared" si="343"/>
        <v>0</v>
      </c>
      <c r="BH567" s="2675">
        <f t="shared" si="344"/>
        <v>0</v>
      </c>
      <c r="BI567" s="2675">
        <f t="shared" si="345"/>
        <v>0</v>
      </c>
      <c r="BJ567" s="2675">
        <f t="shared" si="346"/>
        <v>0</v>
      </c>
      <c r="BK567" s="2675">
        <f t="shared" si="347"/>
        <v>0</v>
      </c>
      <c r="BL567" s="2675">
        <f t="shared" si="348"/>
        <v>0</v>
      </c>
      <c r="BM567" s="2675">
        <f t="shared" si="349"/>
        <v>0</v>
      </c>
      <c r="BN567" s="2675">
        <f t="shared" si="350"/>
        <v>0</v>
      </c>
      <c r="BO567" s="2675">
        <f t="shared" si="351"/>
        <v>0</v>
      </c>
      <c r="BP567" s="2675">
        <f t="shared" si="352"/>
        <v>0</v>
      </c>
      <c r="BQ567" s="2675">
        <f t="shared" si="353"/>
        <v>0</v>
      </c>
      <c r="BR567" s="2675">
        <f t="shared" si="354"/>
        <v>0</v>
      </c>
      <c r="BS567" s="2675">
        <f t="shared" si="355"/>
        <v>0</v>
      </c>
      <c r="BT567" s="2722">
        <f t="shared" si="356"/>
        <v>0</v>
      </c>
    </row>
    <row r="568" spans="1:72">
      <c r="A568" s="2673"/>
      <c r="B568" s="2674"/>
      <c r="C568" s="2674"/>
      <c r="D568" s="2277"/>
      <c r="E568" s="2675">
        <f t="shared" si="328"/>
        <v>0</v>
      </c>
      <c r="F568" s="2676"/>
      <c r="G568" s="2677">
        <f t="shared" si="329"/>
        <v>0</v>
      </c>
      <c r="H568" s="2678">
        <f t="shared" si="330"/>
        <v>0</v>
      </c>
      <c r="I568" s="2685"/>
      <c r="J568" s="2685"/>
      <c r="K568" s="2685"/>
      <c r="L568" s="2685"/>
      <c r="M568" s="2685"/>
      <c r="N568" s="2685"/>
      <c r="O568" s="2685"/>
      <c r="P568" s="2685"/>
      <c r="Q568" s="2685"/>
      <c r="R568" s="2685"/>
      <c r="S568" s="2685"/>
      <c r="T568" s="2685"/>
      <c r="U568" s="2685"/>
      <c r="V568" s="2685"/>
      <c r="W568" s="2685"/>
      <c r="X568" s="2685"/>
      <c r="Y568" s="2685"/>
      <c r="Z568" s="2685"/>
      <c r="AA568" s="2685"/>
      <c r="AB568" s="2685"/>
      <c r="AC568" s="2675">
        <f t="shared" si="331"/>
        <v>0</v>
      </c>
      <c r="AD568" s="2695"/>
      <c r="AE568" s="2695"/>
      <c r="AF568" s="2695"/>
      <c r="AG568" s="2695"/>
      <c r="AH568" s="2695"/>
      <c r="AI568" s="2695"/>
      <c r="AJ568" s="2695"/>
      <c r="AK568" s="2695"/>
      <c r="AL568" s="2695"/>
      <c r="AM568" s="2695"/>
      <c r="AN568" s="2695"/>
      <c r="AO568" s="2695"/>
      <c r="AP568" s="2695"/>
      <c r="AQ568" s="2695"/>
      <c r="AR568" s="2695"/>
      <c r="AS568" s="2695"/>
      <c r="AT568" s="2703"/>
      <c r="AU568" s="2704"/>
      <c r="AV568" s="1074">
        <f t="shared" si="332"/>
        <v>0</v>
      </c>
      <c r="AW568" s="1074">
        <f t="shared" si="333"/>
        <v>0</v>
      </c>
      <c r="AX568" s="1074">
        <f t="shared" si="334"/>
        <v>0</v>
      </c>
      <c r="AY568" s="2279">
        <f t="shared" si="335"/>
        <v>0</v>
      </c>
      <c r="AZ568" s="2675">
        <f t="shared" si="336"/>
        <v>0</v>
      </c>
      <c r="BA568" s="2675">
        <f t="shared" si="337"/>
        <v>0</v>
      </c>
      <c r="BB568" s="2675">
        <f t="shared" si="338"/>
        <v>0</v>
      </c>
      <c r="BC568" s="2675">
        <f t="shared" si="339"/>
        <v>0</v>
      </c>
      <c r="BD568" s="2675">
        <f t="shared" si="340"/>
        <v>0</v>
      </c>
      <c r="BE568" s="2675">
        <f t="shared" si="341"/>
        <v>0</v>
      </c>
      <c r="BF568" s="2675">
        <f t="shared" si="342"/>
        <v>0</v>
      </c>
      <c r="BG568" s="2675">
        <f t="shared" si="343"/>
        <v>0</v>
      </c>
      <c r="BH568" s="2675">
        <f t="shared" si="344"/>
        <v>0</v>
      </c>
      <c r="BI568" s="2675">
        <f t="shared" si="345"/>
        <v>0</v>
      </c>
      <c r="BJ568" s="2675">
        <f t="shared" si="346"/>
        <v>0</v>
      </c>
      <c r="BK568" s="2675">
        <f t="shared" si="347"/>
        <v>0</v>
      </c>
      <c r="BL568" s="2675">
        <f t="shared" si="348"/>
        <v>0</v>
      </c>
      <c r="BM568" s="2675">
        <f t="shared" si="349"/>
        <v>0</v>
      </c>
      <c r="BN568" s="2675">
        <f t="shared" si="350"/>
        <v>0</v>
      </c>
      <c r="BO568" s="2675">
        <f t="shared" si="351"/>
        <v>0</v>
      </c>
      <c r="BP568" s="2675">
        <f t="shared" si="352"/>
        <v>0</v>
      </c>
      <c r="BQ568" s="2675">
        <f t="shared" si="353"/>
        <v>0</v>
      </c>
      <c r="BR568" s="2675">
        <f t="shared" si="354"/>
        <v>0</v>
      </c>
      <c r="BS568" s="2675">
        <f t="shared" si="355"/>
        <v>0</v>
      </c>
      <c r="BT568" s="2722">
        <f t="shared" si="356"/>
        <v>0</v>
      </c>
    </row>
    <row r="569" spans="1:72">
      <c r="A569" s="2673"/>
      <c r="B569" s="2674"/>
      <c r="C569" s="2674"/>
      <c r="D569" s="2277"/>
      <c r="E569" s="2675">
        <f t="shared" si="328"/>
        <v>0</v>
      </c>
      <c r="F569" s="2676"/>
      <c r="G569" s="2677">
        <f t="shared" si="329"/>
        <v>0</v>
      </c>
      <c r="H569" s="2678">
        <f t="shared" si="330"/>
        <v>0</v>
      </c>
      <c r="I569" s="2685"/>
      <c r="J569" s="2685"/>
      <c r="K569" s="2685"/>
      <c r="L569" s="2685"/>
      <c r="M569" s="2685"/>
      <c r="N569" s="2685"/>
      <c r="O569" s="2685"/>
      <c r="P569" s="2685"/>
      <c r="Q569" s="2685"/>
      <c r="R569" s="2685"/>
      <c r="S569" s="2685"/>
      <c r="T569" s="2685"/>
      <c r="U569" s="2685"/>
      <c r="V569" s="2685"/>
      <c r="W569" s="2685"/>
      <c r="X569" s="2685"/>
      <c r="Y569" s="2685"/>
      <c r="Z569" s="2685"/>
      <c r="AA569" s="2685"/>
      <c r="AB569" s="2685"/>
      <c r="AC569" s="2675">
        <f t="shared" si="331"/>
        <v>0</v>
      </c>
      <c r="AD569" s="2695"/>
      <c r="AE569" s="2695"/>
      <c r="AF569" s="2695"/>
      <c r="AG569" s="2695"/>
      <c r="AH569" s="2695"/>
      <c r="AI569" s="2695"/>
      <c r="AJ569" s="2695"/>
      <c r="AK569" s="2695"/>
      <c r="AL569" s="2695"/>
      <c r="AM569" s="2695"/>
      <c r="AN569" s="2695"/>
      <c r="AO569" s="2695"/>
      <c r="AP569" s="2695"/>
      <c r="AQ569" s="2695"/>
      <c r="AR569" s="2695"/>
      <c r="AS569" s="2695"/>
      <c r="AT569" s="2703"/>
      <c r="AU569" s="2704"/>
      <c r="AV569" s="1074">
        <f t="shared" si="332"/>
        <v>0</v>
      </c>
      <c r="AW569" s="1074">
        <f t="shared" si="333"/>
        <v>0</v>
      </c>
      <c r="AX569" s="1074">
        <f t="shared" si="334"/>
        <v>0</v>
      </c>
      <c r="AY569" s="2279">
        <f t="shared" si="335"/>
        <v>0</v>
      </c>
      <c r="AZ569" s="2675">
        <f t="shared" si="336"/>
        <v>0</v>
      </c>
      <c r="BA569" s="2675">
        <f t="shared" si="337"/>
        <v>0</v>
      </c>
      <c r="BB569" s="2675">
        <f t="shared" si="338"/>
        <v>0</v>
      </c>
      <c r="BC569" s="2675">
        <f t="shared" si="339"/>
        <v>0</v>
      </c>
      <c r="BD569" s="2675">
        <f t="shared" si="340"/>
        <v>0</v>
      </c>
      <c r="BE569" s="2675">
        <f t="shared" si="341"/>
        <v>0</v>
      </c>
      <c r="BF569" s="2675">
        <f t="shared" si="342"/>
        <v>0</v>
      </c>
      <c r="BG569" s="2675">
        <f t="shared" si="343"/>
        <v>0</v>
      </c>
      <c r="BH569" s="2675">
        <f t="shared" si="344"/>
        <v>0</v>
      </c>
      <c r="BI569" s="2675">
        <f t="shared" si="345"/>
        <v>0</v>
      </c>
      <c r="BJ569" s="2675">
        <f t="shared" si="346"/>
        <v>0</v>
      </c>
      <c r="BK569" s="2675">
        <f t="shared" si="347"/>
        <v>0</v>
      </c>
      <c r="BL569" s="2675">
        <f t="shared" si="348"/>
        <v>0</v>
      </c>
      <c r="BM569" s="2675">
        <f t="shared" si="349"/>
        <v>0</v>
      </c>
      <c r="BN569" s="2675">
        <f t="shared" si="350"/>
        <v>0</v>
      </c>
      <c r="BO569" s="2675">
        <f t="shared" si="351"/>
        <v>0</v>
      </c>
      <c r="BP569" s="2675">
        <f t="shared" si="352"/>
        <v>0</v>
      </c>
      <c r="BQ569" s="2675">
        <f t="shared" si="353"/>
        <v>0</v>
      </c>
      <c r="BR569" s="2675">
        <f t="shared" si="354"/>
        <v>0</v>
      </c>
      <c r="BS569" s="2675">
        <f t="shared" si="355"/>
        <v>0</v>
      </c>
      <c r="BT569" s="2722">
        <f t="shared" si="356"/>
        <v>0</v>
      </c>
    </row>
    <row r="570" spans="1:72">
      <c r="A570" s="2673"/>
      <c r="B570" s="2674"/>
      <c r="C570" s="2674"/>
      <c r="D570" s="2277"/>
      <c r="E570" s="2675">
        <f t="shared" si="328"/>
        <v>0</v>
      </c>
      <c r="F570" s="2676"/>
      <c r="G570" s="2677">
        <f t="shared" si="329"/>
        <v>0</v>
      </c>
      <c r="H570" s="2678">
        <f t="shared" si="330"/>
        <v>0</v>
      </c>
      <c r="I570" s="2685"/>
      <c r="J570" s="2685"/>
      <c r="K570" s="2685"/>
      <c r="L570" s="2685"/>
      <c r="M570" s="2685"/>
      <c r="N570" s="2685"/>
      <c r="O570" s="2685"/>
      <c r="P570" s="2685"/>
      <c r="Q570" s="2685"/>
      <c r="R570" s="2685"/>
      <c r="S570" s="2685"/>
      <c r="T570" s="2685"/>
      <c r="U570" s="2685"/>
      <c r="V570" s="2685"/>
      <c r="W570" s="2685"/>
      <c r="X570" s="2685"/>
      <c r="Y570" s="2685"/>
      <c r="Z570" s="2685"/>
      <c r="AA570" s="2685"/>
      <c r="AB570" s="2685"/>
      <c r="AC570" s="2675">
        <f t="shared" si="331"/>
        <v>0</v>
      </c>
      <c r="AD570" s="2695"/>
      <c r="AE570" s="2695"/>
      <c r="AF570" s="2695"/>
      <c r="AG570" s="2695"/>
      <c r="AH570" s="2695"/>
      <c r="AI570" s="2695"/>
      <c r="AJ570" s="2695"/>
      <c r="AK570" s="2695"/>
      <c r="AL570" s="2695"/>
      <c r="AM570" s="2695"/>
      <c r="AN570" s="2695"/>
      <c r="AO570" s="2695"/>
      <c r="AP570" s="2695"/>
      <c r="AQ570" s="2695"/>
      <c r="AR570" s="2695"/>
      <c r="AS570" s="2695"/>
      <c r="AT570" s="2703"/>
      <c r="AU570" s="2704"/>
      <c r="AV570" s="1074">
        <f t="shared" si="332"/>
        <v>0</v>
      </c>
      <c r="AW570" s="1074">
        <f t="shared" si="333"/>
        <v>0</v>
      </c>
      <c r="AX570" s="1074">
        <f t="shared" si="334"/>
        <v>0</v>
      </c>
      <c r="AY570" s="2279">
        <f t="shared" si="335"/>
        <v>0</v>
      </c>
      <c r="AZ570" s="2675">
        <f t="shared" si="336"/>
        <v>0</v>
      </c>
      <c r="BA570" s="2675">
        <f t="shared" si="337"/>
        <v>0</v>
      </c>
      <c r="BB570" s="2675">
        <f t="shared" si="338"/>
        <v>0</v>
      </c>
      <c r="BC570" s="2675">
        <f t="shared" si="339"/>
        <v>0</v>
      </c>
      <c r="BD570" s="2675">
        <f t="shared" si="340"/>
        <v>0</v>
      </c>
      <c r="BE570" s="2675">
        <f t="shared" si="341"/>
        <v>0</v>
      </c>
      <c r="BF570" s="2675">
        <f t="shared" si="342"/>
        <v>0</v>
      </c>
      <c r="BG570" s="2675">
        <f t="shared" si="343"/>
        <v>0</v>
      </c>
      <c r="BH570" s="2675">
        <f t="shared" si="344"/>
        <v>0</v>
      </c>
      <c r="BI570" s="2675">
        <f t="shared" si="345"/>
        <v>0</v>
      </c>
      <c r="BJ570" s="2675">
        <f t="shared" si="346"/>
        <v>0</v>
      </c>
      <c r="BK570" s="2675">
        <f t="shared" si="347"/>
        <v>0</v>
      </c>
      <c r="BL570" s="2675">
        <f t="shared" si="348"/>
        <v>0</v>
      </c>
      <c r="BM570" s="2675">
        <f t="shared" si="349"/>
        <v>0</v>
      </c>
      <c r="BN570" s="2675">
        <f t="shared" si="350"/>
        <v>0</v>
      </c>
      <c r="BO570" s="2675">
        <f t="shared" si="351"/>
        <v>0</v>
      </c>
      <c r="BP570" s="2675">
        <f t="shared" si="352"/>
        <v>0</v>
      </c>
      <c r="BQ570" s="2675">
        <f t="shared" si="353"/>
        <v>0</v>
      </c>
      <c r="BR570" s="2675">
        <f t="shared" si="354"/>
        <v>0</v>
      </c>
      <c r="BS570" s="2675">
        <f t="shared" si="355"/>
        <v>0</v>
      </c>
      <c r="BT570" s="2722">
        <f t="shared" si="356"/>
        <v>0</v>
      </c>
    </row>
    <row r="571" spans="1:72">
      <c r="A571" s="2673"/>
      <c r="B571" s="2674"/>
      <c r="C571" s="2674"/>
      <c r="D571" s="2277"/>
      <c r="E571" s="2675">
        <f t="shared" si="328"/>
        <v>0</v>
      </c>
      <c r="F571" s="2676"/>
      <c r="G571" s="2677">
        <f t="shared" si="329"/>
        <v>0</v>
      </c>
      <c r="H571" s="2678">
        <f t="shared" si="330"/>
        <v>0</v>
      </c>
      <c r="I571" s="2685"/>
      <c r="J571" s="2685"/>
      <c r="K571" s="2685"/>
      <c r="L571" s="2685"/>
      <c r="M571" s="2685"/>
      <c r="N571" s="2685"/>
      <c r="O571" s="2685"/>
      <c r="P571" s="2685"/>
      <c r="Q571" s="2685"/>
      <c r="R571" s="2685"/>
      <c r="S571" s="2685"/>
      <c r="T571" s="2685"/>
      <c r="U571" s="2685"/>
      <c r="V571" s="2685"/>
      <c r="W571" s="2685"/>
      <c r="X571" s="2685"/>
      <c r="Y571" s="2685"/>
      <c r="Z571" s="2685"/>
      <c r="AA571" s="2685"/>
      <c r="AB571" s="2685"/>
      <c r="AC571" s="2675">
        <f t="shared" si="331"/>
        <v>0</v>
      </c>
      <c r="AD571" s="2695"/>
      <c r="AE571" s="2695"/>
      <c r="AF571" s="2695"/>
      <c r="AG571" s="2695"/>
      <c r="AH571" s="2695"/>
      <c r="AI571" s="2695"/>
      <c r="AJ571" s="2695"/>
      <c r="AK571" s="2695"/>
      <c r="AL571" s="2695"/>
      <c r="AM571" s="2695"/>
      <c r="AN571" s="2695"/>
      <c r="AO571" s="2695"/>
      <c r="AP571" s="2695"/>
      <c r="AQ571" s="2695"/>
      <c r="AR571" s="2695"/>
      <c r="AS571" s="2695"/>
      <c r="AT571" s="2703"/>
      <c r="AU571" s="2704"/>
      <c r="AV571" s="1074">
        <f t="shared" si="332"/>
        <v>0</v>
      </c>
      <c r="AW571" s="1074">
        <f t="shared" si="333"/>
        <v>0</v>
      </c>
      <c r="AX571" s="1074">
        <f t="shared" si="334"/>
        <v>0</v>
      </c>
      <c r="AY571" s="2279">
        <f t="shared" si="335"/>
        <v>0</v>
      </c>
      <c r="AZ571" s="2675">
        <f t="shared" si="336"/>
        <v>0</v>
      </c>
      <c r="BA571" s="2675">
        <f t="shared" si="337"/>
        <v>0</v>
      </c>
      <c r="BB571" s="2675">
        <f t="shared" si="338"/>
        <v>0</v>
      </c>
      <c r="BC571" s="2675">
        <f t="shared" si="339"/>
        <v>0</v>
      </c>
      <c r="BD571" s="2675">
        <f t="shared" si="340"/>
        <v>0</v>
      </c>
      <c r="BE571" s="2675">
        <f t="shared" si="341"/>
        <v>0</v>
      </c>
      <c r="BF571" s="2675">
        <f t="shared" si="342"/>
        <v>0</v>
      </c>
      <c r="BG571" s="2675">
        <f t="shared" si="343"/>
        <v>0</v>
      </c>
      <c r="BH571" s="2675">
        <f t="shared" si="344"/>
        <v>0</v>
      </c>
      <c r="BI571" s="2675">
        <f t="shared" si="345"/>
        <v>0</v>
      </c>
      <c r="BJ571" s="2675">
        <f t="shared" si="346"/>
        <v>0</v>
      </c>
      <c r="BK571" s="2675">
        <f t="shared" si="347"/>
        <v>0</v>
      </c>
      <c r="BL571" s="2675">
        <f t="shared" si="348"/>
        <v>0</v>
      </c>
      <c r="BM571" s="2675">
        <f t="shared" si="349"/>
        <v>0</v>
      </c>
      <c r="BN571" s="2675">
        <f t="shared" si="350"/>
        <v>0</v>
      </c>
      <c r="BO571" s="2675">
        <f t="shared" si="351"/>
        <v>0</v>
      </c>
      <c r="BP571" s="2675">
        <f t="shared" si="352"/>
        <v>0</v>
      </c>
      <c r="BQ571" s="2675">
        <f t="shared" si="353"/>
        <v>0</v>
      </c>
      <c r="BR571" s="2675">
        <f t="shared" si="354"/>
        <v>0</v>
      </c>
      <c r="BS571" s="2675">
        <f t="shared" si="355"/>
        <v>0</v>
      </c>
      <c r="BT571" s="2722">
        <f t="shared" si="356"/>
        <v>0</v>
      </c>
    </row>
    <row r="572" spans="1:72">
      <c r="A572" s="2673"/>
      <c r="B572" s="2674"/>
      <c r="C572" s="2674"/>
      <c r="D572" s="2277"/>
      <c r="E572" s="2675">
        <f t="shared" si="328"/>
        <v>0</v>
      </c>
      <c r="F572" s="2676"/>
      <c r="G572" s="2677">
        <f t="shared" si="329"/>
        <v>0</v>
      </c>
      <c r="H572" s="2678">
        <f t="shared" si="330"/>
        <v>0</v>
      </c>
      <c r="I572" s="2685"/>
      <c r="J572" s="2685"/>
      <c r="K572" s="2685"/>
      <c r="L572" s="2685"/>
      <c r="M572" s="2685"/>
      <c r="N572" s="2685"/>
      <c r="O572" s="2685"/>
      <c r="P572" s="2685"/>
      <c r="Q572" s="2685"/>
      <c r="R572" s="2685"/>
      <c r="S572" s="2685"/>
      <c r="T572" s="2685"/>
      <c r="U572" s="2685"/>
      <c r="V572" s="2685"/>
      <c r="W572" s="2685"/>
      <c r="X572" s="2685"/>
      <c r="Y572" s="2685"/>
      <c r="Z572" s="2685"/>
      <c r="AA572" s="2685"/>
      <c r="AB572" s="2685"/>
      <c r="AC572" s="2675">
        <f t="shared" si="331"/>
        <v>0</v>
      </c>
      <c r="AD572" s="2695"/>
      <c r="AE572" s="2695"/>
      <c r="AF572" s="2695"/>
      <c r="AG572" s="2695"/>
      <c r="AH572" s="2695"/>
      <c r="AI572" s="2695"/>
      <c r="AJ572" s="2695"/>
      <c r="AK572" s="2695"/>
      <c r="AL572" s="2695"/>
      <c r="AM572" s="2695"/>
      <c r="AN572" s="2695"/>
      <c r="AO572" s="2695"/>
      <c r="AP572" s="2695"/>
      <c r="AQ572" s="2695"/>
      <c r="AR572" s="2695"/>
      <c r="AS572" s="2695"/>
      <c r="AT572" s="2703"/>
      <c r="AU572" s="2704"/>
      <c r="AV572" s="1074">
        <f t="shared" si="332"/>
        <v>0</v>
      </c>
      <c r="AW572" s="1074">
        <f t="shared" si="333"/>
        <v>0</v>
      </c>
      <c r="AX572" s="1074">
        <f t="shared" si="334"/>
        <v>0</v>
      </c>
      <c r="AY572" s="2279">
        <f t="shared" si="335"/>
        <v>0</v>
      </c>
      <c r="AZ572" s="2675">
        <f t="shared" si="336"/>
        <v>0</v>
      </c>
      <c r="BA572" s="2675">
        <f t="shared" si="337"/>
        <v>0</v>
      </c>
      <c r="BB572" s="2675">
        <f t="shared" si="338"/>
        <v>0</v>
      </c>
      <c r="BC572" s="2675">
        <f t="shared" si="339"/>
        <v>0</v>
      </c>
      <c r="BD572" s="2675">
        <f t="shared" si="340"/>
        <v>0</v>
      </c>
      <c r="BE572" s="2675">
        <f t="shared" si="341"/>
        <v>0</v>
      </c>
      <c r="BF572" s="2675">
        <f t="shared" si="342"/>
        <v>0</v>
      </c>
      <c r="BG572" s="2675">
        <f t="shared" si="343"/>
        <v>0</v>
      </c>
      <c r="BH572" s="2675">
        <f t="shared" si="344"/>
        <v>0</v>
      </c>
      <c r="BI572" s="2675">
        <f t="shared" si="345"/>
        <v>0</v>
      </c>
      <c r="BJ572" s="2675">
        <f t="shared" si="346"/>
        <v>0</v>
      </c>
      <c r="BK572" s="2675">
        <f t="shared" si="347"/>
        <v>0</v>
      </c>
      <c r="BL572" s="2675">
        <f t="shared" si="348"/>
        <v>0</v>
      </c>
      <c r="BM572" s="2675">
        <f t="shared" si="349"/>
        <v>0</v>
      </c>
      <c r="BN572" s="2675">
        <f t="shared" si="350"/>
        <v>0</v>
      </c>
      <c r="BO572" s="2675">
        <f t="shared" si="351"/>
        <v>0</v>
      </c>
      <c r="BP572" s="2675">
        <f t="shared" si="352"/>
        <v>0</v>
      </c>
      <c r="BQ572" s="2675">
        <f t="shared" si="353"/>
        <v>0</v>
      </c>
      <c r="BR572" s="2675">
        <f t="shared" si="354"/>
        <v>0</v>
      </c>
      <c r="BS572" s="2675">
        <f t="shared" si="355"/>
        <v>0</v>
      </c>
      <c r="BT572" s="2722">
        <f t="shared" si="356"/>
        <v>0</v>
      </c>
    </row>
    <row r="573" spans="1:72">
      <c r="A573" s="2673"/>
      <c r="B573" s="2674"/>
      <c r="C573" s="2674"/>
      <c r="D573" s="2277"/>
      <c r="E573" s="2675">
        <f t="shared" si="328"/>
        <v>0</v>
      </c>
      <c r="F573" s="2676"/>
      <c r="G573" s="2677">
        <f t="shared" si="329"/>
        <v>0</v>
      </c>
      <c r="H573" s="2678">
        <f t="shared" si="330"/>
        <v>0</v>
      </c>
      <c r="I573" s="2685"/>
      <c r="J573" s="2685"/>
      <c r="K573" s="2685"/>
      <c r="L573" s="2685"/>
      <c r="M573" s="2685"/>
      <c r="N573" s="2685"/>
      <c r="O573" s="2685"/>
      <c r="P573" s="2685"/>
      <c r="Q573" s="2685"/>
      <c r="R573" s="2685"/>
      <c r="S573" s="2685"/>
      <c r="T573" s="2685"/>
      <c r="U573" s="2685"/>
      <c r="V573" s="2685"/>
      <c r="W573" s="2685"/>
      <c r="X573" s="2685"/>
      <c r="Y573" s="2685"/>
      <c r="Z573" s="2685"/>
      <c r="AA573" s="2685"/>
      <c r="AB573" s="2685"/>
      <c r="AC573" s="2675">
        <f t="shared" si="331"/>
        <v>0</v>
      </c>
      <c r="AD573" s="2695"/>
      <c r="AE573" s="2695"/>
      <c r="AF573" s="2695"/>
      <c r="AG573" s="2695"/>
      <c r="AH573" s="2695"/>
      <c r="AI573" s="2695"/>
      <c r="AJ573" s="2695"/>
      <c r="AK573" s="2695"/>
      <c r="AL573" s="2695"/>
      <c r="AM573" s="2695"/>
      <c r="AN573" s="2695"/>
      <c r="AO573" s="2695"/>
      <c r="AP573" s="2695"/>
      <c r="AQ573" s="2695"/>
      <c r="AR573" s="2695"/>
      <c r="AS573" s="2695"/>
      <c r="AT573" s="2703"/>
      <c r="AU573" s="2704"/>
      <c r="AV573" s="1074">
        <f t="shared" si="332"/>
        <v>0</v>
      </c>
      <c r="AW573" s="1074">
        <f t="shared" si="333"/>
        <v>0</v>
      </c>
      <c r="AX573" s="1074">
        <f t="shared" si="334"/>
        <v>0</v>
      </c>
      <c r="AY573" s="2279">
        <f t="shared" si="335"/>
        <v>0</v>
      </c>
      <c r="AZ573" s="2675">
        <f t="shared" si="336"/>
        <v>0</v>
      </c>
      <c r="BA573" s="2675">
        <f t="shared" si="337"/>
        <v>0</v>
      </c>
      <c r="BB573" s="2675">
        <f t="shared" si="338"/>
        <v>0</v>
      </c>
      <c r="BC573" s="2675">
        <f t="shared" si="339"/>
        <v>0</v>
      </c>
      <c r="BD573" s="2675">
        <f t="shared" si="340"/>
        <v>0</v>
      </c>
      <c r="BE573" s="2675">
        <f t="shared" si="341"/>
        <v>0</v>
      </c>
      <c r="BF573" s="2675">
        <f t="shared" si="342"/>
        <v>0</v>
      </c>
      <c r="BG573" s="2675">
        <f t="shared" si="343"/>
        <v>0</v>
      </c>
      <c r="BH573" s="2675">
        <f t="shared" si="344"/>
        <v>0</v>
      </c>
      <c r="BI573" s="2675">
        <f t="shared" si="345"/>
        <v>0</v>
      </c>
      <c r="BJ573" s="2675">
        <f t="shared" si="346"/>
        <v>0</v>
      </c>
      <c r="BK573" s="2675">
        <f t="shared" si="347"/>
        <v>0</v>
      </c>
      <c r="BL573" s="2675">
        <f t="shared" si="348"/>
        <v>0</v>
      </c>
      <c r="BM573" s="2675">
        <f t="shared" si="349"/>
        <v>0</v>
      </c>
      <c r="BN573" s="2675">
        <f t="shared" si="350"/>
        <v>0</v>
      </c>
      <c r="BO573" s="2675">
        <f t="shared" si="351"/>
        <v>0</v>
      </c>
      <c r="BP573" s="2675">
        <f t="shared" si="352"/>
        <v>0</v>
      </c>
      <c r="BQ573" s="2675">
        <f t="shared" si="353"/>
        <v>0</v>
      </c>
      <c r="BR573" s="2675">
        <f t="shared" si="354"/>
        <v>0</v>
      </c>
      <c r="BS573" s="2675">
        <f t="shared" si="355"/>
        <v>0</v>
      </c>
      <c r="BT573" s="2722">
        <f t="shared" si="356"/>
        <v>0</v>
      </c>
    </row>
    <row r="574" spans="1:72">
      <c r="A574" s="2673"/>
      <c r="B574" s="2674"/>
      <c r="C574" s="2674"/>
      <c r="D574" s="2277"/>
      <c r="E574" s="2675">
        <f t="shared" si="328"/>
        <v>0</v>
      </c>
      <c r="F574" s="2676"/>
      <c r="G574" s="2677">
        <f t="shared" si="329"/>
        <v>0</v>
      </c>
      <c r="H574" s="2678">
        <f t="shared" si="330"/>
        <v>0</v>
      </c>
      <c r="I574" s="2685"/>
      <c r="J574" s="2685"/>
      <c r="K574" s="2685"/>
      <c r="L574" s="2685"/>
      <c r="M574" s="2685"/>
      <c r="N574" s="2685"/>
      <c r="O574" s="2685"/>
      <c r="P574" s="2685"/>
      <c r="Q574" s="2685"/>
      <c r="R574" s="2685"/>
      <c r="S574" s="2685"/>
      <c r="T574" s="2685"/>
      <c r="U574" s="2685"/>
      <c r="V574" s="2685"/>
      <c r="W574" s="2685"/>
      <c r="X574" s="2685"/>
      <c r="Y574" s="2685"/>
      <c r="Z574" s="2685"/>
      <c r="AA574" s="2685"/>
      <c r="AB574" s="2685"/>
      <c r="AC574" s="2675">
        <f t="shared" si="331"/>
        <v>0</v>
      </c>
      <c r="AD574" s="2695"/>
      <c r="AE574" s="2695"/>
      <c r="AF574" s="2695"/>
      <c r="AG574" s="2695"/>
      <c r="AH574" s="2695"/>
      <c r="AI574" s="2695"/>
      <c r="AJ574" s="2695"/>
      <c r="AK574" s="2695"/>
      <c r="AL574" s="2695"/>
      <c r="AM574" s="2695"/>
      <c r="AN574" s="2695"/>
      <c r="AO574" s="2695"/>
      <c r="AP574" s="2695"/>
      <c r="AQ574" s="2695"/>
      <c r="AR574" s="2695"/>
      <c r="AS574" s="2695"/>
      <c r="AT574" s="2703"/>
      <c r="AU574" s="2704"/>
      <c r="AV574" s="1074">
        <f t="shared" si="332"/>
        <v>0</v>
      </c>
      <c r="AW574" s="1074">
        <f t="shared" si="333"/>
        <v>0</v>
      </c>
      <c r="AX574" s="1074">
        <f t="shared" si="334"/>
        <v>0</v>
      </c>
      <c r="AY574" s="2279">
        <f t="shared" si="335"/>
        <v>0</v>
      </c>
      <c r="AZ574" s="2675">
        <f t="shared" si="336"/>
        <v>0</v>
      </c>
      <c r="BA574" s="2675">
        <f t="shared" si="337"/>
        <v>0</v>
      </c>
      <c r="BB574" s="2675">
        <f t="shared" si="338"/>
        <v>0</v>
      </c>
      <c r="BC574" s="2675">
        <f t="shared" si="339"/>
        <v>0</v>
      </c>
      <c r="BD574" s="2675">
        <f t="shared" si="340"/>
        <v>0</v>
      </c>
      <c r="BE574" s="2675">
        <f t="shared" si="341"/>
        <v>0</v>
      </c>
      <c r="BF574" s="2675">
        <f t="shared" si="342"/>
        <v>0</v>
      </c>
      <c r="BG574" s="2675">
        <f t="shared" si="343"/>
        <v>0</v>
      </c>
      <c r="BH574" s="2675">
        <f t="shared" si="344"/>
        <v>0</v>
      </c>
      <c r="BI574" s="2675">
        <f t="shared" si="345"/>
        <v>0</v>
      </c>
      <c r="BJ574" s="2675">
        <f t="shared" si="346"/>
        <v>0</v>
      </c>
      <c r="BK574" s="2675">
        <f t="shared" si="347"/>
        <v>0</v>
      </c>
      <c r="BL574" s="2675">
        <f t="shared" si="348"/>
        <v>0</v>
      </c>
      <c r="BM574" s="2675">
        <f t="shared" si="349"/>
        <v>0</v>
      </c>
      <c r="BN574" s="2675">
        <f t="shared" si="350"/>
        <v>0</v>
      </c>
      <c r="BO574" s="2675">
        <f t="shared" si="351"/>
        <v>0</v>
      </c>
      <c r="BP574" s="2675">
        <f t="shared" si="352"/>
        <v>0</v>
      </c>
      <c r="BQ574" s="2675">
        <f t="shared" si="353"/>
        <v>0</v>
      </c>
      <c r="BR574" s="2675">
        <f t="shared" si="354"/>
        <v>0</v>
      </c>
      <c r="BS574" s="2675">
        <f t="shared" si="355"/>
        <v>0</v>
      </c>
      <c r="BT574" s="2722">
        <f t="shared" si="356"/>
        <v>0</v>
      </c>
    </row>
    <row r="575" spans="1:72">
      <c r="A575" s="2673"/>
      <c r="B575" s="2674"/>
      <c r="C575" s="2674"/>
      <c r="D575" s="2277"/>
      <c r="E575" s="2675">
        <f t="shared" si="328"/>
        <v>0</v>
      </c>
      <c r="F575" s="2676"/>
      <c r="G575" s="2677">
        <f t="shared" si="329"/>
        <v>0</v>
      </c>
      <c r="H575" s="2678">
        <f t="shared" si="330"/>
        <v>0</v>
      </c>
      <c r="I575" s="2685"/>
      <c r="J575" s="2685"/>
      <c r="K575" s="2685"/>
      <c r="L575" s="2685"/>
      <c r="M575" s="2685"/>
      <c r="N575" s="2685"/>
      <c r="O575" s="2685"/>
      <c r="P575" s="2685"/>
      <c r="Q575" s="2685"/>
      <c r="R575" s="2685"/>
      <c r="S575" s="2685"/>
      <c r="T575" s="2685"/>
      <c r="U575" s="2685"/>
      <c r="V575" s="2685"/>
      <c r="W575" s="2685"/>
      <c r="X575" s="2685"/>
      <c r="Y575" s="2685"/>
      <c r="Z575" s="2685"/>
      <c r="AA575" s="2685"/>
      <c r="AB575" s="2685"/>
      <c r="AC575" s="2675">
        <f t="shared" si="331"/>
        <v>0</v>
      </c>
      <c r="AD575" s="2695"/>
      <c r="AE575" s="2695"/>
      <c r="AF575" s="2695"/>
      <c r="AG575" s="2695"/>
      <c r="AH575" s="2695"/>
      <c r="AI575" s="2695"/>
      <c r="AJ575" s="2695"/>
      <c r="AK575" s="2695"/>
      <c r="AL575" s="2695"/>
      <c r="AM575" s="2695"/>
      <c r="AN575" s="2695"/>
      <c r="AO575" s="2695"/>
      <c r="AP575" s="2695"/>
      <c r="AQ575" s="2695"/>
      <c r="AR575" s="2695"/>
      <c r="AS575" s="2695"/>
      <c r="AT575" s="2703"/>
      <c r="AU575" s="2704"/>
      <c r="AV575" s="1074">
        <f t="shared" si="332"/>
        <v>0</v>
      </c>
      <c r="AW575" s="1074">
        <f t="shared" si="333"/>
        <v>0</v>
      </c>
      <c r="AX575" s="1074">
        <f t="shared" si="334"/>
        <v>0</v>
      </c>
      <c r="AY575" s="2279">
        <f t="shared" si="335"/>
        <v>0</v>
      </c>
      <c r="AZ575" s="2675">
        <f t="shared" si="336"/>
        <v>0</v>
      </c>
      <c r="BA575" s="2675">
        <f t="shared" si="337"/>
        <v>0</v>
      </c>
      <c r="BB575" s="2675">
        <f t="shared" si="338"/>
        <v>0</v>
      </c>
      <c r="BC575" s="2675">
        <f t="shared" si="339"/>
        <v>0</v>
      </c>
      <c r="BD575" s="2675">
        <f t="shared" si="340"/>
        <v>0</v>
      </c>
      <c r="BE575" s="2675">
        <f t="shared" si="341"/>
        <v>0</v>
      </c>
      <c r="BF575" s="2675">
        <f t="shared" si="342"/>
        <v>0</v>
      </c>
      <c r="BG575" s="2675">
        <f t="shared" si="343"/>
        <v>0</v>
      </c>
      <c r="BH575" s="2675">
        <f t="shared" si="344"/>
        <v>0</v>
      </c>
      <c r="BI575" s="2675">
        <f t="shared" si="345"/>
        <v>0</v>
      </c>
      <c r="BJ575" s="2675">
        <f t="shared" si="346"/>
        <v>0</v>
      </c>
      <c r="BK575" s="2675">
        <f t="shared" si="347"/>
        <v>0</v>
      </c>
      <c r="BL575" s="2675">
        <f t="shared" si="348"/>
        <v>0</v>
      </c>
      <c r="BM575" s="2675">
        <f t="shared" si="349"/>
        <v>0</v>
      </c>
      <c r="BN575" s="2675">
        <f t="shared" si="350"/>
        <v>0</v>
      </c>
      <c r="BO575" s="2675">
        <f t="shared" si="351"/>
        <v>0</v>
      </c>
      <c r="BP575" s="2675">
        <f t="shared" si="352"/>
        <v>0</v>
      </c>
      <c r="BQ575" s="2675">
        <f t="shared" si="353"/>
        <v>0</v>
      </c>
      <c r="BR575" s="2675">
        <f t="shared" si="354"/>
        <v>0</v>
      </c>
      <c r="BS575" s="2675">
        <f t="shared" si="355"/>
        <v>0</v>
      </c>
      <c r="BT575" s="2722">
        <f t="shared" si="356"/>
        <v>0</v>
      </c>
    </row>
    <row r="576" spans="1:72">
      <c r="A576" s="2673"/>
      <c r="B576" s="2674"/>
      <c r="C576" s="2674"/>
      <c r="D576" s="2277"/>
      <c r="E576" s="2675">
        <f t="shared" si="328"/>
        <v>0</v>
      </c>
      <c r="F576" s="2676"/>
      <c r="G576" s="2677">
        <f t="shared" si="329"/>
        <v>0</v>
      </c>
      <c r="H576" s="2678">
        <f t="shared" si="330"/>
        <v>0</v>
      </c>
      <c r="I576" s="2685"/>
      <c r="J576" s="2685"/>
      <c r="K576" s="2685"/>
      <c r="L576" s="2685"/>
      <c r="M576" s="2685"/>
      <c r="N576" s="2685"/>
      <c r="O576" s="2685"/>
      <c r="P576" s="2685"/>
      <c r="Q576" s="2685"/>
      <c r="R576" s="2685"/>
      <c r="S576" s="2685"/>
      <c r="T576" s="2685"/>
      <c r="U576" s="2685"/>
      <c r="V576" s="2685"/>
      <c r="W576" s="2685"/>
      <c r="X576" s="2685"/>
      <c r="Y576" s="2685"/>
      <c r="Z576" s="2685"/>
      <c r="AA576" s="2685"/>
      <c r="AB576" s="2685"/>
      <c r="AC576" s="2675">
        <f t="shared" si="331"/>
        <v>0</v>
      </c>
      <c r="AD576" s="2695"/>
      <c r="AE576" s="2695"/>
      <c r="AF576" s="2695"/>
      <c r="AG576" s="2695"/>
      <c r="AH576" s="2695"/>
      <c r="AI576" s="2695"/>
      <c r="AJ576" s="2695"/>
      <c r="AK576" s="2695"/>
      <c r="AL576" s="2695"/>
      <c r="AM576" s="2695"/>
      <c r="AN576" s="2695"/>
      <c r="AO576" s="2695"/>
      <c r="AP576" s="2695"/>
      <c r="AQ576" s="2695"/>
      <c r="AR576" s="2695"/>
      <c r="AS576" s="2695"/>
      <c r="AT576" s="2703"/>
      <c r="AU576" s="2704"/>
      <c r="AV576" s="1074">
        <f t="shared" si="332"/>
        <v>0</v>
      </c>
      <c r="AW576" s="1074">
        <f t="shared" si="333"/>
        <v>0</v>
      </c>
      <c r="AX576" s="1074">
        <f t="shared" si="334"/>
        <v>0</v>
      </c>
      <c r="AY576" s="2279">
        <f t="shared" si="335"/>
        <v>0</v>
      </c>
      <c r="AZ576" s="2675">
        <f t="shared" si="336"/>
        <v>0</v>
      </c>
      <c r="BA576" s="2675">
        <f t="shared" si="337"/>
        <v>0</v>
      </c>
      <c r="BB576" s="2675">
        <f t="shared" si="338"/>
        <v>0</v>
      </c>
      <c r="BC576" s="2675">
        <f t="shared" si="339"/>
        <v>0</v>
      </c>
      <c r="BD576" s="2675">
        <f t="shared" si="340"/>
        <v>0</v>
      </c>
      <c r="BE576" s="2675">
        <f t="shared" si="341"/>
        <v>0</v>
      </c>
      <c r="BF576" s="2675">
        <f t="shared" si="342"/>
        <v>0</v>
      </c>
      <c r="BG576" s="2675">
        <f t="shared" si="343"/>
        <v>0</v>
      </c>
      <c r="BH576" s="2675">
        <f t="shared" si="344"/>
        <v>0</v>
      </c>
      <c r="BI576" s="2675">
        <f t="shared" si="345"/>
        <v>0</v>
      </c>
      <c r="BJ576" s="2675">
        <f t="shared" si="346"/>
        <v>0</v>
      </c>
      <c r="BK576" s="2675">
        <f t="shared" si="347"/>
        <v>0</v>
      </c>
      <c r="BL576" s="2675">
        <f t="shared" si="348"/>
        <v>0</v>
      </c>
      <c r="BM576" s="2675">
        <f t="shared" si="349"/>
        <v>0</v>
      </c>
      <c r="BN576" s="2675">
        <f t="shared" si="350"/>
        <v>0</v>
      </c>
      <c r="BO576" s="2675">
        <f t="shared" si="351"/>
        <v>0</v>
      </c>
      <c r="BP576" s="2675">
        <f t="shared" si="352"/>
        <v>0</v>
      </c>
      <c r="BQ576" s="2675">
        <f t="shared" si="353"/>
        <v>0</v>
      </c>
      <c r="BR576" s="2675">
        <f t="shared" si="354"/>
        <v>0</v>
      </c>
      <c r="BS576" s="2675">
        <f t="shared" si="355"/>
        <v>0</v>
      </c>
      <c r="BT576" s="2722">
        <f t="shared" si="356"/>
        <v>0</v>
      </c>
    </row>
    <row r="577" spans="1:72">
      <c r="A577" s="2673"/>
      <c r="B577" s="2674"/>
      <c r="C577" s="2674"/>
      <c r="D577" s="2277"/>
      <c r="E577" s="2675">
        <f t="shared" si="328"/>
        <v>0</v>
      </c>
      <c r="F577" s="2676"/>
      <c r="G577" s="2677">
        <f t="shared" si="329"/>
        <v>0</v>
      </c>
      <c r="H577" s="2678">
        <f t="shared" si="330"/>
        <v>0</v>
      </c>
      <c r="I577" s="2685"/>
      <c r="J577" s="2685"/>
      <c r="K577" s="2685"/>
      <c r="L577" s="2685"/>
      <c r="M577" s="2685"/>
      <c r="N577" s="2685"/>
      <c r="O577" s="2685"/>
      <c r="P577" s="2685"/>
      <c r="Q577" s="2685"/>
      <c r="R577" s="2685"/>
      <c r="S577" s="2685"/>
      <c r="T577" s="2685"/>
      <c r="U577" s="2685"/>
      <c r="V577" s="2685"/>
      <c r="W577" s="2685"/>
      <c r="X577" s="2685"/>
      <c r="Y577" s="2685"/>
      <c r="Z577" s="2685"/>
      <c r="AA577" s="2685"/>
      <c r="AB577" s="2685"/>
      <c r="AC577" s="2675">
        <f t="shared" si="331"/>
        <v>0</v>
      </c>
      <c r="AD577" s="2695"/>
      <c r="AE577" s="2695"/>
      <c r="AF577" s="2695"/>
      <c r="AG577" s="2695"/>
      <c r="AH577" s="2695"/>
      <c r="AI577" s="2695"/>
      <c r="AJ577" s="2695"/>
      <c r="AK577" s="2695"/>
      <c r="AL577" s="2695"/>
      <c r="AM577" s="2695"/>
      <c r="AN577" s="2695"/>
      <c r="AO577" s="2695"/>
      <c r="AP577" s="2695"/>
      <c r="AQ577" s="2695"/>
      <c r="AR577" s="2695"/>
      <c r="AS577" s="2695"/>
      <c r="AT577" s="2703"/>
      <c r="AU577" s="2704"/>
      <c r="AV577" s="1074">
        <f t="shared" si="332"/>
        <v>0</v>
      </c>
      <c r="AW577" s="1074">
        <f t="shared" si="333"/>
        <v>0</v>
      </c>
      <c r="AX577" s="1074">
        <f t="shared" si="334"/>
        <v>0</v>
      </c>
      <c r="AY577" s="2279">
        <f t="shared" si="335"/>
        <v>0</v>
      </c>
      <c r="AZ577" s="2675">
        <f t="shared" si="336"/>
        <v>0</v>
      </c>
      <c r="BA577" s="2675">
        <f t="shared" si="337"/>
        <v>0</v>
      </c>
      <c r="BB577" s="2675">
        <f t="shared" si="338"/>
        <v>0</v>
      </c>
      <c r="BC577" s="2675">
        <f t="shared" si="339"/>
        <v>0</v>
      </c>
      <c r="BD577" s="2675">
        <f t="shared" si="340"/>
        <v>0</v>
      </c>
      <c r="BE577" s="2675">
        <f t="shared" si="341"/>
        <v>0</v>
      </c>
      <c r="BF577" s="2675">
        <f t="shared" si="342"/>
        <v>0</v>
      </c>
      <c r="BG577" s="2675">
        <f t="shared" si="343"/>
        <v>0</v>
      </c>
      <c r="BH577" s="2675">
        <f t="shared" si="344"/>
        <v>0</v>
      </c>
      <c r="BI577" s="2675">
        <f t="shared" si="345"/>
        <v>0</v>
      </c>
      <c r="BJ577" s="2675">
        <f t="shared" si="346"/>
        <v>0</v>
      </c>
      <c r="BK577" s="2675">
        <f t="shared" si="347"/>
        <v>0</v>
      </c>
      <c r="BL577" s="2675">
        <f t="shared" si="348"/>
        <v>0</v>
      </c>
      <c r="BM577" s="2675">
        <f t="shared" si="349"/>
        <v>0</v>
      </c>
      <c r="BN577" s="2675">
        <f t="shared" si="350"/>
        <v>0</v>
      </c>
      <c r="BO577" s="2675">
        <f t="shared" si="351"/>
        <v>0</v>
      </c>
      <c r="BP577" s="2675">
        <f t="shared" si="352"/>
        <v>0</v>
      </c>
      <c r="BQ577" s="2675">
        <f t="shared" si="353"/>
        <v>0</v>
      </c>
      <c r="BR577" s="2675">
        <f t="shared" si="354"/>
        <v>0</v>
      </c>
      <c r="BS577" s="2675">
        <f t="shared" si="355"/>
        <v>0</v>
      </c>
      <c r="BT577" s="2722">
        <f t="shared" si="356"/>
        <v>0</v>
      </c>
    </row>
    <row r="578" spans="1:72">
      <c r="A578" s="2673"/>
      <c r="B578" s="2674"/>
      <c r="C578" s="2674"/>
      <c r="D578" s="2277"/>
      <c r="E578" s="2675">
        <f t="shared" si="328"/>
        <v>0</v>
      </c>
      <c r="F578" s="2676"/>
      <c r="G578" s="2677">
        <f t="shared" si="329"/>
        <v>0</v>
      </c>
      <c r="H578" s="2678">
        <f t="shared" si="330"/>
        <v>0</v>
      </c>
      <c r="I578" s="2685"/>
      <c r="J578" s="2685"/>
      <c r="K578" s="2685"/>
      <c r="L578" s="2685"/>
      <c r="M578" s="2685"/>
      <c r="N578" s="2685"/>
      <c r="O578" s="2685"/>
      <c r="P578" s="2685"/>
      <c r="Q578" s="2685"/>
      <c r="R578" s="2685"/>
      <c r="S578" s="2685"/>
      <c r="T578" s="2685"/>
      <c r="U578" s="2685"/>
      <c r="V578" s="2685"/>
      <c r="W578" s="2685"/>
      <c r="X578" s="2685"/>
      <c r="Y578" s="2685"/>
      <c r="Z578" s="2685"/>
      <c r="AA578" s="2685"/>
      <c r="AB578" s="2685"/>
      <c r="AC578" s="2675">
        <f t="shared" si="331"/>
        <v>0</v>
      </c>
      <c r="AD578" s="2695"/>
      <c r="AE578" s="2695"/>
      <c r="AF578" s="2695"/>
      <c r="AG578" s="2695"/>
      <c r="AH578" s="2695"/>
      <c r="AI578" s="2695"/>
      <c r="AJ578" s="2695"/>
      <c r="AK578" s="2695"/>
      <c r="AL578" s="2695"/>
      <c r="AM578" s="2695"/>
      <c r="AN578" s="2695"/>
      <c r="AO578" s="2695"/>
      <c r="AP578" s="2695"/>
      <c r="AQ578" s="2695"/>
      <c r="AR578" s="2695"/>
      <c r="AS578" s="2695"/>
      <c r="AT578" s="2703"/>
      <c r="AU578" s="2704"/>
      <c r="AV578" s="1074">
        <f t="shared" si="332"/>
        <v>0</v>
      </c>
      <c r="AW578" s="1074">
        <f t="shared" si="333"/>
        <v>0</v>
      </c>
      <c r="AX578" s="1074">
        <f t="shared" si="334"/>
        <v>0</v>
      </c>
      <c r="AY578" s="2279">
        <f t="shared" si="335"/>
        <v>0</v>
      </c>
      <c r="AZ578" s="2675">
        <f t="shared" si="336"/>
        <v>0</v>
      </c>
      <c r="BA578" s="2675">
        <f t="shared" si="337"/>
        <v>0</v>
      </c>
      <c r="BB578" s="2675">
        <f t="shared" si="338"/>
        <v>0</v>
      </c>
      <c r="BC578" s="2675">
        <f t="shared" si="339"/>
        <v>0</v>
      </c>
      <c r="BD578" s="2675">
        <f t="shared" si="340"/>
        <v>0</v>
      </c>
      <c r="BE578" s="2675">
        <f t="shared" si="341"/>
        <v>0</v>
      </c>
      <c r="BF578" s="2675">
        <f t="shared" si="342"/>
        <v>0</v>
      </c>
      <c r="BG578" s="2675">
        <f t="shared" si="343"/>
        <v>0</v>
      </c>
      <c r="BH578" s="2675">
        <f t="shared" si="344"/>
        <v>0</v>
      </c>
      <c r="BI578" s="2675">
        <f t="shared" si="345"/>
        <v>0</v>
      </c>
      <c r="BJ578" s="2675">
        <f t="shared" si="346"/>
        <v>0</v>
      </c>
      <c r="BK578" s="2675">
        <f t="shared" si="347"/>
        <v>0</v>
      </c>
      <c r="BL578" s="2675">
        <f t="shared" si="348"/>
        <v>0</v>
      </c>
      <c r="BM578" s="2675">
        <f t="shared" si="349"/>
        <v>0</v>
      </c>
      <c r="BN578" s="2675">
        <f t="shared" si="350"/>
        <v>0</v>
      </c>
      <c r="BO578" s="2675">
        <f t="shared" si="351"/>
        <v>0</v>
      </c>
      <c r="BP578" s="2675">
        <f t="shared" si="352"/>
        <v>0</v>
      </c>
      <c r="BQ578" s="2675">
        <f t="shared" si="353"/>
        <v>0</v>
      </c>
      <c r="BR578" s="2675">
        <f t="shared" si="354"/>
        <v>0</v>
      </c>
      <c r="BS578" s="2675">
        <f t="shared" si="355"/>
        <v>0</v>
      </c>
      <c r="BT578" s="2722">
        <f t="shared" si="356"/>
        <v>0</v>
      </c>
    </row>
    <row r="579" spans="1:72">
      <c r="A579" s="2673"/>
      <c r="B579" s="2674"/>
      <c r="C579" s="2674"/>
      <c r="D579" s="2277"/>
      <c r="E579" s="2675">
        <f t="shared" si="328"/>
        <v>0</v>
      </c>
      <c r="F579" s="2676"/>
      <c r="G579" s="2677">
        <f t="shared" si="329"/>
        <v>0</v>
      </c>
      <c r="H579" s="2678">
        <f t="shared" si="330"/>
        <v>0</v>
      </c>
      <c r="I579" s="2685"/>
      <c r="J579" s="2685"/>
      <c r="K579" s="2685"/>
      <c r="L579" s="2685"/>
      <c r="M579" s="2685"/>
      <c r="N579" s="2685"/>
      <c r="O579" s="2685"/>
      <c r="P579" s="2685"/>
      <c r="Q579" s="2685"/>
      <c r="R579" s="2685"/>
      <c r="S579" s="2685"/>
      <c r="T579" s="2685"/>
      <c r="U579" s="2685"/>
      <c r="V579" s="2685"/>
      <c r="W579" s="2685"/>
      <c r="X579" s="2685"/>
      <c r="Y579" s="2685"/>
      <c r="Z579" s="2685"/>
      <c r="AA579" s="2685"/>
      <c r="AB579" s="2685"/>
      <c r="AC579" s="2675">
        <f t="shared" si="331"/>
        <v>0</v>
      </c>
      <c r="AD579" s="2695"/>
      <c r="AE579" s="2695"/>
      <c r="AF579" s="2695"/>
      <c r="AG579" s="2695"/>
      <c r="AH579" s="2695"/>
      <c r="AI579" s="2695"/>
      <c r="AJ579" s="2695"/>
      <c r="AK579" s="2695"/>
      <c r="AL579" s="2695"/>
      <c r="AM579" s="2695"/>
      <c r="AN579" s="2695"/>
      <c r="AO579" s="2695"/>
      <c r="AP579" s="2695"/>
      <c r="AQ579" s="2695"/>
      <c r="AR579" s="2695"/>
      <c r="AS579" s="2695"/>
      <c r="AT579" s="2703"/>
      <c r="AU579" s="2704"/>
      <c r="AV579" s="1074">
        <f t="shared" si="332"/>
        <v>0</v>
      </c>
      <c r="AW579" s="1074">
        <f t="shared" si="333"/>
        <v>0</v>
      </c>
      <c r="AX579" s="1074">
        <f t="shared" si="334"/>
        <v>0</v>
      </c>
      <c r="AY579" s="2279">
        <f t="shared" si="335"/>
        <v>0</v>
      </c>
      <c r="AZ579" s="2675">
        <f t="shared" si="336"/>
        <v>0</v>
      </c>
      <c r="BA579" s="2675">
        <f t="shared" si="337"/>
        <v>0</v>
      </c>
      <c r="BB579" s="2675">
        <f t="shared" si="338"/>
        <v>0</v>
      </c>
      <c r="BC579" s="2675">
        <f t="shared" si="339"/>
        <v>0</v>
      </c>
      <c r="BD579" s="2675">
        <f t="shared" si="340"/>
        <v>0</v>
      </c>
      <c r="BE579" s="2675">
        <f t="shared" si="341"/>
        <v>0</v>
      </c>
      <c r="BF579" s="2675">
        <f t="shared" si="342"/>
        <v>0</v>
      </c>
      <c r="BG579" s="2675">
        <f t="shared" si="343"/>
        <v>0</v>
      </c>
      <c r="BH579" s="2675">
        <f t="shared" si="344"/>
        <v>0</v>
      </c>
      <c r="BI579" s="2675">
        <f t="shared" si="345"/>
        <v>0</v>
      </c>
      <c r="BJ579" s="2675">
        <f t="shared" si="346"/>
        <v>0</v>
      </c>
      <c r="BK579" s="2675">
        <f t="shared" si="347"/>
        <v>0</v>
      </c>
      <c r="BL579" s="2675">
        <f t="shared" si="348"/>
        <v>0</v>
      </c>
      <c r="BM579" s="2675">
        <f t="shared" si="349"/>
        <v>0</v>
      </c>
      <c r="BN579" s="2675">
        <f t="shared" si="350"/>
        <v>0</v>
      </c>
      <c r="BO579" s="2675">
        <f t="shared" si="351"/>
        <v>0</v>
      </c>
      <c r="BP579" s="2675">
        <f t="shared" si="352"/>
        <v>0</v>
      </c>
      <c r="BQ579" s="2675">
        <f t="shared" si="353"/>
        <v>0</v>
      </c>
      <c r="BR579" s="2675">
        <f t="shared" si="354"/>
        <v>0</v>
      </c>
      <c r="BS579" s="2675">
        <f t="shared" si="355"/>
        <v>0</v>
      </c>
      <c r="BT579" s="2722">
        <f t="shared" si="356"/>
        <v>0</v>
      </c>
    </row>
    <row r="580" spans="1:72">
      <c r="A580" s="2673"/>
      <c r="B580" s="2674"/>
      <c r="C580" s="2674"/>
      <c r="D580" s="2277"/>
      <c r="E580" s="2675">
        <f t="shared" si="328"/>
        <v>0</v>
      </c>
      <c r="F580" s="2676"/>
      <c r="G580" s="2677">
        <f t="shared" si="329"/>
        <v>0</v>
      </c>
      <c r="H580" s="2678">
        <f t="shared" si="330"/>
        <v>0</v>
      </c>
      <c r="I580" s="2685"/>
      <c r="J580" s="2685"/>
      <c r="K580" s="2685"/>
      <c r="L580" s="2685"/>
      <c r="M580" s="2685"/>
      <c r="N580" s="2685"/>
      <c r="O580" s="2685"/>
      <c r="P580" s="2685"/>
      <c r="Q580" s="2685"/>
      <c r="R580" s="2685"/>
      <c r="S580" s="2685"/>
      <c r="T580" s="2685"/>
      <c r="U580" s="2685"/>
      <c r="V580" s="2685"/>
      <c r="W580" s="2685"/>
      <c r="X580" s="2685"/>
      <c r="Y580" s="2685"/>
      <c r="Z580" s="2685"/>
      <c r="AA580" s="2685"/>
      <c r="AB580" s="2685"/>
      <c r="AC580" s="2675">
        <f t="shared" si="331"/>
        <v>0</v>
      </c>
      <c r="AD580" s="2695"/>
      <c r="AE580" s="2695"/>
      <c r="AF580" s="2695"/>
      <c r="AG580" s="2695"/>
      <c r="AH580" s="2695"/>
      <c r="AI580" s="2695"/>
      <c r="AJ580" s="2695"/>
      <c r="AK580" s="2695"/>
      <c r="AL580" s="2695"/>
      <c r="AM580" s="2695"/>
      <c r="AN580" s="2695"/>
      <c r="AO580" s="2695"/>
      <c r="AP580" s="2695"/>
      <c r="AQ580" s="2695"/>
      <c r="AR580" s="2695"/>
      <c r="AS580" s="2695"/>
      <c r="AT580" s="2703"/>
      <c r="AU580" s="2704"/>
      <c r="AV580" s="1074">
        <f t="shared" si="332"/>
        <v>0</v>
      </c>
      <c r="AW580" s="1074">
        <f t="shared" si="333"/>
        <v>0</v>
      </c>
      <c r="AX580" s="1074">
        <f t="shared" si="334"/>
        <v>0</v>
      </c>
      <c r="AY580" s="2279">
        <f t="shared" si="335"/>
        <v>0</v>
      </c>
      <c r="AZ580" s="2675">
        <f t="shared" si="336"/>
        <v>0</v>
      </c>
      <c r="BA580" s="2675">
        <f t="shared" si="337"/>
        <v>0</v>
      </c>
      <c r="BB580" s="2675">
        <f t="shared" si="338"/>
        <v>0</v>
      </c>
      <c r="BC580" s="2675">
        <f t="shared" si="339"/>
        <v>0</v>
      </c>
      <c r="BD580" s="2675">
        <f t="shared" si="340"/>
        <v>0</v>
      </c>
      <c r="BE580" s="2675">
        <f t="shared" si="341"/>
        <v>0</v>
      </c>
      <c r="BF580" s="2675">
        <f t="shared" si="342"/>
        <v>0</v>
      </c>
      <c r="BG580" s="2675">
        <f t="shared" si="343"/>
        <v>0</v>
      </c>
      <c r="BH580" s="2675">
        <f t="shared" si="344"/>
        <v>0</v>
      </c>
      <c r="BI580" s="2675">
        <f t="shared" si="345"/>
        <v>0</v>
      </c>
      <c r="BJ580" s="2675">
        <f t="shared" si="346"/>
        <v>0</v>
      </c>
      <c r="BK580" s="2675">
        <f t="shared" si="347"/>
        <v>0</v>
      </c>
      <c r="BL580" s="2675">
        <f t="shared" si="348"/>
        <v>0</v>
      </c>
      <c r="BM580" s="2675">
        <f t="shared" si="349"/>
        <v>0</v>
      </c>
      <c r="BN580" s="2675">
        <f t="shared" si="350"/>
        <v>0</v>
      </c>
      <c r="BO580" s="2675">
        <f t="shared" si="351"/>
        <v>0</v>
      </c>
      <c r="BP580" s="2675">
        <f t="shared" si="352"/>
        <v>0</v>
      </c>
      <c r="BQ580" s="2675">
        <f t="shared" si="353"/>
        <v>0</v>
      </c>
      <c r="BR580" s="2675">
        <f t="shared" si="354"/>
        <v>0</v>
      </c>
      <c r="BS580" s="2675">
        <f t="shared" si="355"/>
        <v>0</v>
      </c>
      <c r="BT580" s="2722">
        <f t="shared" si="356"/>
        <v>0</v>
      </c>
    </row>
    <row r="581" spans="1:72">
      <c r="A581" s="2673"/>
      <c r="B581" s="2674"/>
      <c r="C581" s="2674"/>
      <c r="D581" s="2277"/>
      <c r="E581" s="2675">
        <f t="shared" si="328"/>
        <v>0</v>
      </c>
      <c r="F581" s="2676"/>
      <c r="G581" s="2677">
        <f t="shared" si="329"/>
        <v>0</v>
      </c>
      <c r="H581" s="2678">
        <f t="shared" si="330"/>
        <v>0</v>
      </c>
      <c r="I581" s="2685"/>
      <c r="J581" s="2685"/>
      <c r="K581" s="2685"/>
      <c r="L581" s="2685"/>
      <c r="M581" s="2685"/>
      <c r="N581" s="2685"/>
      <c r="O581" s="2685"/>
      <c r="P581" s="2685"/>
      <c r="Q581" s="2685"/>
      <c r="R581" s="2685"/>
      <c r="S581" s="2685"/>
      <c r="T581" s="2685"/>
      <c r="U581" s="2685"/>
      <c r="V581" s="2685"/>
      <c r="W581" s="2685"/>
      <c r="X581" s="2685"/>
      <c r="Y581" s="2685"/>
      <c r="Z581" s="2685"/>
      <c r="AA581" s="2685"/>
      <c r="AB581" s="2685"/>
      <c r="AC581" s="2675">
        <f t="shared" si="331"/>
        <v>0</v>
      </c>
      <c r="AD581" s="2695"/>
      <c r="AE581" s="2695"/>
      <c r="AF581" s="2695"/>
      <c r="AG581" s="2695"/>
      <c r="AH581" s="2695"/>
      <c r="AI581" s="2695"/>
      <c r="AJ581" s="2695"/>
      <c r="AK581" s="2695"/>
      <c r="AL581" s="2695"/>
      <c r="AM581" s="2695"/>
      <c r="AN581" s="2695"/>
      <c r="AO581" s="2695"/>
      <c r="AP581" s="2695"/>
      <c r="AQ581" s="2695"/>
      <c r="AR581" s="2695"/>
      <c r="AS581" s="2695"/>
      <c r="AT581" s="2703"/>
      <c r="AU581" s="2704"/>
      <c r="AV581" s="1074">
        <f t="shared" si="332"/>
        <v>0</v>
      </c>
      <c r="AW581" s="1074">
        <f t="shared" si="333"/>
        <v>0</v>
      </c>
      <c r="AX581" s="1074">
        <f t="shared" si="334"/>
        <v>0</v>
      </c>
      <c r="AY581" s="2279">
        <f t="shared" si="335"/>
        <v>0</v>
      </c>
      <c r="AZ581" s="2675">
        <f t="shared" si="336"/>
        <v>0</v>
      </c>
      <c r="BA581" s="2675">
        <f t="shared" si="337"/>
        <v>0</v>
      </c>
      <c r="BB581" s="2675">
        <f t="shared" si="338"/>
        <v>0</v>
      </c>
      <c r="BC581" s="2675">
        <f t="shared" si="339"/>
        <v>0</v>
      </c>
      <c r="BD581" s="2675">
        <f t="shared" si="340"/>
        <v>0</v>
      </c>
      <c r="BE581" s="2675">
        <f t="shared" si="341"/>
        <v>0</v>
      </c>
      <c r="BF581" s="2675">
        <f t="shared" si="342"/>
        <v>0</v>
      </c>
      <c r="BG581" s="2675">
        <f t="shared" si="343"/>
        <v>0</v>
      </c>
      <c r="BH581" s="2675">
        <f t="shared" si="344"/>
        <v>0</v>
      </c>
      <c r="BI581" s="2675">
        <f t="shared" si="345"/>
        <v>0</v>
      </c>
      <c r="BJ581" s="2675">
        <f t="shared" si="346"/>
        <v>0</v>
      </c>
      <c r="BK581" s="2675">
        <f t="shared" si="347"/>
        <v>0</v>
      </c>
      <c r="BL581" s="2675">
        <f t="shared" si="348"/>
        <v>0</v>
      </c>
      <c r="BM581" s="2675">
        <f t="shared" si="349"/>
        <v>0</v>
      </c>
      <c r="BN581" s="2675">
        <f t="shared" si="350"/>
        <v>0</v>
      </c>
      <c r="BO581" s="2675">
        <f t="shared" si="351"/>
        <v>0</v>
      </c>
      <c r="BP581" s="2675">
        <f t="shared" si="352"/>
        <v>0</v>
      </c>
      <c r="BQ581" s="2675">
        <f t="shared" si="353"/>
        <v>0</v>
      </c>
      <c r="BR581" s="2675">
        <f t="shared" si="354"/>
        <v>0</v>
      </c>
      <c r="BS581" s="2675">
        <f t="shared" si="355"/>
        <v>0</v>
      </c>
      <c r="BT581" s="2722">
        <f t="shared" si="356"/>
        <v>0</v>
      </c>
    </row>
    <row r="582" spans="1:72">
      <c r="A582" s="2673"/>
      <c r="B582" s="2674"/>
      <c r="C582" s="2674"/>
      <c r="D582" s="2277"/>
      <c r="E582" s="2675">
        <f t="shared" si="328"/>
        <v>0</v>
      </c>
      <c r="F582" s="2676"/>
      <c r="G582" s="2677">
        <f t="shared" si="329"/>
        <v>0</v>
      </c>
      <c r="H582" s="2678">
        <f t="shared" si="330"/>
        <v>0</v>
      </c>
      <c r="I582" s="2685"/>
      <c r="J582" s="2685"/>
      <c r="K582" s="2685"/>
      <c r="L582" s="2685"/>
      <c r="M582" s="2685"/>
      <c r="N582" s="2685"/>
      <c r="O582" s="2685"/>
      <c r="P582" s="2685"/>
      <c r="Q582" s="2685"/>
      <c r="R582" s="2685"/>
      <c r="S582" s="2685"/>
      <c r="T582" s="2685"/>
      <c r="U582" s="2685"/>
      <c r="V582" s="2685"/>
      <c r="W582" s="2685"/>
      <c r="X582" s="2685"/>
      <c r="Y582" s="2685"/>
      <c r="Z582" s="2685"/>
      <c r="AA582" s="2685"/>
      <c r="AB582" s="2685"/>
      <c r="AC582" s="2675">
        <f t="shared" si="331"/>
        <v>0</v>
      </c>
      <c r="AD582" s="2695"/>
      <c r="AE582" s="2695"/>
      <c r="AF582" s="2695"/>
      <c r="AG582" s="2695"/>
      <c r="AH582" s="2695"/>
      <c r="AI582" s="2695"/>
      <c r="AJ582" s="2695"/>
      <c r="AK582" s="2695"/>
      <c r="AL582" s="2695"/>
      <c r="AM582" s="2695"/>
      <c r="AN582" s="2695"/>
      <c r="AO582" s="2695"/>
      <c r="AP582" s="2695"/>
      <c r="AQ582" s="2695"/>
      <c r="AR582" s="2695"/>
      <c r="AS582" s="2695"/>
      <c r="AT582" s="2703"/>
      <c r="AU582" s="2704"/>
      <c r="AV582" s="1074">
        <f t="shared" si="332"/>
        <v>0</v>
      </c>
      <c r="AW582" s="1074">
        <f t="shared" si="333"/>
        <v>0</v>
      </c>
      <c r="AX582" s="1074">
        <f t="shared" si="334"/>
        <v>0</v>
      </c>
      <c r="AY582" s="2279">
        <f t="shared" si="335"/>
        <v>0</v>
      </c>
      <c r="AZ582" s="2675">
        <f t="shared" si="336"/>
        <v>0</v>
      </c>
      <c r="BA582" s="2675">
        <f t="shared" si="337"/>
        <v>0</v>
      </c>
      <c r="BB582" s="2675">
        <f t="shared" si="338"/>
        <v>0</v>
      </c>
      <c r="BC582" s="2675">
        <f t="shared" si="339"/>
        <v>0</v>
      </c>
      <c r="BD582" s="2675">
        <f t="shared" si="340"/>
        <v>0</v>
      </c>
      <c r="BE582" s="2675">
        <f t="shared" si="341"/>
        <v>0</v>
      </c>
      <c r="BF582" s="2675">
        <f t="shared" si="342"/>
        <v>0</v>
      </c>
      <c r="BG582" s="2675">
        <f t="shared" si="343"/>
        <v>0</v>
      </c>
      <c r="BH582" s="2675">
        <f t="shared" si="344"/>
        <v>0</v>
      </c>
      <c r="BI582" s="2675">
        <f t="shared" si="345"/>
        <v>0</v>
      </c>
      <c r="BJ582" s="2675">
        <f t="shared" si="346"/>
        <v>0</v>
      </c>
      <c r="BK582" s="2675">
        <f t="shared" si="347"/>
        <v>0</v>
      </c>
      <c r="BL582" s="2675">
        <f t="shared" si="348"/>
        <v>0</v>
      </c>
      <c r="BM582" s="2675">
        <f t="shared" si="349"/>
        <v>0</v>
      </c>
      <c r="BN582" s="2675">
        <f t="shared" si="350"/>
        <v>0</v>
      </c>
      <c r="BO582" s="2675">
        <f t="shared" si="351"/>
        <v>0</v>
      </c>
      <c r="BP582" s="2675">
        <f t="shared" si="352"/>
        <v>0</v>
      </c>
      <c r="BQ582" s="2675">
        <f t="shared" si="353"/>
        <v>0</v>
      </c>
      <c r="BR582" s="2675">
        <f t="shared" si="354"/>
        <v>0</v>
      </c>
      <c r="BS582" s="2675">
        <f t="shared" si="355"/>
        <v>0</v>
      </c>
      <c r="BT582" s="2722">
        <f t="shared" si="356"/>
        <v>0</v>
      </c>
    </row>
    <row r="583" spans="1:72">
      <c r="A583" s="2673"/>
      <c r="B583" s="2674"/>
      <c r="C583" s="2674"/>
      <c r="D583" s="2277"/>
      <c r="E583" s="2675">
        <f t="shared" si="328"/>
        <v>0</v>
      </c>
      <c r="F583" s="2676"/>
      <c r="G583" s="2677">
        <f t="shared" si="329"/>
        <v>0</v>
      </c>
      <c r="H583" s="2678">
        <f t="shared" si="330"/>
        <v>0</v>
      </c>
      <c r="I583" s="2685"/>
      <c r="J583" s="2685"/>
      <c r="K583" s="2685"/>
      <c r="L583" s="2685"/>
      <c r="M583" s="2685"/>
      <c r="N583" s="2685"/>
      <c r="O583" s="2685"/>
      <c r="P583" s="2685"/>
      <c r="Q583" s="2685"/>
      <c r="R583" s="2685"/>
      <c r="S583" s="2685"/>
      <c r="T583" s="2685"/>
      <c r="U583" s="2685"/>
      <c r="V583" s="2685"/>
      <c r="W583" s="2685"/>
      <c r="X583" s="2685"/>
      <c r="Y583" s="2685"/>
      <c r="Z583" s="2685"/>
      <c r="AA583" s="2685"/>
      <c r="AB583" s="2685"/>
      <c r="AC583" s="2675">
        <f t="shared" si="331"/>
        <v>0</v>
      </c>
      <c r="AD583" s="2695"/>
      <c r="AE583" s="2695"/>
      <c r="AF583" s="2695"/>
      <c r="AG583" s="2695"/>
      <c r="AH583" s="2695"/>
      <c r="AI583" s="2695"/>
      <c r="AJ583" s="2695"/>
      <c r="AK583" s="2695"/>
      <c r="AL583" s="2695"/>
      <c r="AM583" s="2695"/>
      <c r="AN583" s="2695"/>
      <c r="AO583" s="2695"/>
      <c r="AP583" s="2695"/>
      <c r="AQ583" s="2695"/>
      <c r="AR583" s="2695"/>
      <c r="AS583" s="2695"/>
      <c r="AT583" s="2703"/>
      <c r="AU583" s="2704"/>
      <c r="AV583" s="1074">
        <f t="shared" si="332"/>
        <v>0</v>
      </c>
      <c r="AW583" s="1074">
        <f t="shared" si="333"/>
        <v>0</v>
      </c>
      <c r="AX583" s="1074">
        <f t="shared" si="334"/>
        <v>0</v>
      </c>
      <c r="AY583" s="2279">
        <f t="shared" si="335"/>
        <v>0</v>
      </c>
      <c r="AZ583" s="2675">
        <f t="shared" si="336"/>
        <v>0</v>
      </c>
      <c r="BA583" s="2675">
        <f t="shared" si="337"/>
        <v>0</v>
      </c>
      <c r="BB583" s="2675">
        <f t="shared" si="338"/>
        <v>0</v>
      </c>
      <c r="BC583" s="2675">
        <f t="shared" si="339"/>
        <v>0</v>
      </c>
      <c r="BD583" s="2675">
        <f t="shared" si="340"/>
        <v>0</v>
      </c>
      <c r="BE583" s="2675">
        <f t="shared" si="341"/>
        <v>0</v>
      </c>
      <c r="BF583" s="2675">
        <f t="shared" si="342"/>
        <v>0</v>
      </c>
      <c r="BG583" s="2675">
        <f t="shared" si="343"/>
        <v>0</v>
      </c>
      <c r="BH583" s="2675">
        <f t="shared" si="344"/>
        <v>0</v>
      </c>
      <c r="BI583" s="2675">
        <f t="shared" si="345"/>
        <v>0</v>
      </c>
      <c r="BJ583" s="2675">
        <f t="shared" si="346"/>
        <v>0</v>
      </c>
      <c r="BK583" s="2675">
        <f t="shared" si="347"/>
        <v>0</v>
      </c>
      <c r="BL583" s="2675">
        <f t="shared" si="348"/>
        <v>0</v>
      </c>
      <c r="BM583" s="2675">
        <f t="shared" si="349"/>
        <v>0</v>
      </c>
      <c r="BN583" s="2675">
        <f t="shared" si="350"/>
        <v>0</v>
      </c>
      <c r="BO583" s="2675">
        <f t="shared" si="351"/>
        <v>0</v>
      </c>
      <c r="BP583" s="2675">
        <f t="shared" si="352"/>
        <v>0</v>
      </c>
      <c r="BQ583" s="2675">
        <f t="shared" si="353"/>
        <v>0</v>
      </c>
      <c r="BR583" s="2675">
        <f t="shared" si="354"/>
        <v>0</v>
      </c>
      <c r="BS583" s="2675">
        <f t="shared" si="355"/>
        <v>0</v>
      </c>
      <c r="BT583" s="2722">
        <f t="shared" si="356"/>
        <v>0</v>
      </c>
    </row>
    <row r="584" spans="1:72">
      <c r="A584" s="2673"/>
      <c r="B584" s="2674"/>
      <c r="C584" s="2674"/>
      <c r="D584" s="2277"/>
      <c r="E584" s="2675">
        <f t="shared" si="328"/>
        <v>0</v>
      </c>
      <c r="F584" s="2676"/>
      <c r="G584" s="2677">
        <f t="shared" si="329"/>
        <v>0</v>
      </c>
      <c r="H584" s="2678">
        <f t="shared" si="330"/>
        <v>0</v>
      </c>
      <c r="I584" s="2685"/>
      <c r="J584" s="2685"/>
      <c r="K584" s="2685"/>
      <c r="L584" s="2685"/>
      <c r="M584" s="2685"/>
      <c r="N584" s="2685"/>
      <c r="O584" s="2685"/>
      <c r="P584" s="2685"/>
      <c r="Q584" s="2685"/>
      <c r="R584" s="2685"/>
      <c r="S584" s="2685"/>
      <c r="T584" s="2685"/>
      <c r="U584" s="2685"/>
      <c r="V584" s="2685"/>
      <c r="W584" s="2685"/>
      <c r="X584" s="2685"/>
      <c r="Y584" s="2685"/>
      <c r="Z584" s="2685"/>
      <c r="AA584" s="2685"/>
      <c r="AB584" s="2685"/>
      <c r="AC584" s="2675">
        <f t="shared" si="331"/>
        <v>0</v>
      </c>
      <c r="AD584" s="2695"/>
      <c r="AE584" s="2695"/>
      <c r="AF584" s="2695"/>
      <c r="AG584" s="2695"/>
      <c r="AH584" s="2695"/>
      <c r="AI584" s="2695"/>
      <c r="AJ584" s="2695"/>
      <c r="AK584" s="2695"/>
      <c r="AL584" s="2695"/>
      <c r="AM584" s="2695"/>
      <c r="AN584" s="2695"/>
      <c r="AO584" s="2695"/>
      <c r="AP584" s="2695"/>
      <c r="AQ584" s="2695"/>
      <c r="AR584" s="2695"/>
      <c r="AS584" s="2695"/>
      <c r="AT584" s="2703"/>
      <c r="AU584" s="2704"/>
      <c r="AV584" s="1074">
        <f t="shared" si="332"/>
        <v>0</v>
      </c>
      <c r="AW584" s="1074">
        <f t="shared" si="333"/>
        <v>0</v>
      </c>
      <c r="AX584" s="1074">
        <f t="shared" si="334"/>
        <v>0</v>
      </c>
      <c r="AY584" s="2279">
        <f t="shared" si="335"/>
        <v>0</v>
      </c>
      <c r="AZ584" s="2675">
        <f t="shared" si="336"/>
        <v>0</v>
      </c>
      <c r="BA584" s="2675">
        <f t="shared" si="337"/>
        <v>0</v>
      </c>
      <c r="BB584" s="2675">
        <f t="shared" si="338"/>
        <v>0</v>
      </c>
      <c r="BC584" s="2675">
        <f t="shared" si="339"/>
        <v>0</v>
      </c>
      <c r="BD584" s="2675">
        <f t="shared" si="340"/>
        <v>0</v>
      </c>
      <c r="BE584" s="2675">
        <f t="shared" si="341"/>
        <v>0</v>
      </c>
      <c r="BF584" s="2675">
        <f t="shared" si="342"/>
        <v>0</v>
      </c>
      <c r="BG584" s="2675">
        <f t="shared" si="343"/>
        <v>0</v>
      </c>
      <c r="BH584" s="2675">
        <f t="shared" si="344"/>
        <v>0</v>
      </c>
      <c r="BI584" s="2675">
        <f t="shared" si="345"/>
        <v>0</v>
      </c>
      <c r="BJ584" s="2675">
        <f t="shared" si="346"/>
        <v>0</v>
      </c>
      <c r="BK584" s="2675">
        <f t="shared" si="347"/>
        <v>0</v>
      </c>
      <c r="BL584" s="2675">
        <f t="shared" si="348"/>
        <v>0</v>
      </c>
      <c r="BM584" s="2675">
        <f t="shared" si="349"/>
        <v>0</v>
      </c>
      <c r="BN584" s="2675">
        <f t="shared" si="350"/>
        <v>0</v>
      </c>
      <c r="BO584" s="2675">
        <f t="shared" si="351"/>
        <v>0</v>
      </c>
      <c r="BP584" s="2675">
        <f t="shared" si="352"/>
        <v>0</v>
      </c>
      <c r="BQ584" s="2675">
        <f t="shared" si="353"/>
        <v>0</v>
      </c>
      <c r="BR584" s="2675">
        <f t="shared" si="354"/>
        <v>0</v>
      </c>
      <c r="BS584" s="2675">
        <f t="shared" si="355"/>
        <v>0</v>
      </c>
      <c r="BT584" s="2722">
        <f t="shared" si="356"/>
        <v>0</v>
      </c>
    </row>
    <row r="585" spans="1:72">
      <c r="A585" s="2673"/>
      <c r="B585" s="2673"/>
      <c r="C585" s="2673"/>
      <c r="D585" s="2277"/>
      <c r="E585" s="2675">
        <f t="shared" si="328"/>
        <v>0</v>
      </c>
      <c r="F585" s="2723"/>
      <c r="G585" s="2677">
        <f t="shared" si="329"/>
        <v>0</v>
      </c>
      <c r="H585" s="2678">
        <f t="shared" si="330"/>
        <v>0</v>
      </c>
      <c r="I585" s="2724"/>
      <c r="J585" s="2724"/>
      <c r="K585" s="2685"/>
      <c r="L585" s="2685"/>
      <c r="M585" s="2685"/>
      <c r="N585" s="2685"/>
      <c r="O585" s="2685"/>
      <c r="P585" s="2685"/>
      <c r="Q585" s="2685"/>
      <c r="R585" s="2685"/>
      <c r="S585" s="2685"/>
      <c r="T585" s="2685"/>
      <c r="U585" s="2685"/>
      <c r="V585" s="2685"/>
      <c r="W585" s="2685"/>
      <c r="X585" s="2685"/>
      <c r="Y585" s="2685"/>
      <c r="Z585" s="2685"/>
      <c r="AA585" s="2685"/>
      <c r="AB585" s="2685"/>
      <c r="AC585" s="2675">
        <f t="shared" si="331"/>
        <v>0</v>
      </c>
      <c r="AD585" s="2695"/>
      <c r="AE585" s="2695"/>
      <c r="AF585" s="2695"/>
      <c r="AG585" s="2695"/>
      <c r="AH585" s="2695"/>
      <c r="AI585" s="2695"/>
      <c r="AJ585" s="2695"/>
      <c r="AK585" s="2695"/>
      <c r="AL585" s="2695"/>
      <c r="AM585" s="2695"/>
      <c r="AN585" s="2695"/>
      <c r="AO585" s="2695"/>
      <c r="AP585" s="2695"/>
      <c r="AQ585" s="2695"/>
      <c r="AR585" s="2695"/>
      <c r="AS585" s="2695"/>
      <c r="AT585" s="2695"/>
      <c r="AU585" s="2725"/>
      <c r="AV585" s="1074">
        <f t="shared" si="332"/>
        <v>0</v>
      </c>
      <c r="AW585" s="1074">
        <f t="shared" si="333"/>
        <v>0</v>
      </c>
      <c r="AX585" s="1074">
        <f t="shared" si="334"/>
        <v>0</v>
      </c>
      <c r="AY585" s="2279">
        <f t="shared" si="335"/>
        <v>0</v>
      </c>
      <c r="AZ585" s="2675">
        <f t="shared" si="336"/>
        <v>0</v>
      </c>
      <c r="BA585" s="2675">
        <f t="shared" si="337"/>
        <v>0</v>
      </c>
      <c r="BB585" s="2675">
        <f t="shared" si="338"/>
        <v>0</v>
      </c>
      <c r="BC585" s="2675">
        <f t="shared" si="339"/>
        <v>0</v>
      </c>
      <c r="BD585" s="2675">
        <f t="shared" si="340"/>
        <v>0</v>
      </c>
      <c r="BE585" s="2675">
        <f t="shared" si="341"/>
        <v>0</v>
      </c>
      <c r="BF585" s="2675">
        <f t="shared" si="342"/>
        <v>0</v>
      </c>
      <c r="BG585" s="2675">
        <f t="shared" si="343"/>
        <v>0</v>
      </c>
      <c r="BH585" s="2675">
        <f t="shared" si="344"/>
        <v>0</v>
      </c>
      <c r="BI585" s="2675">
        <f t="shared" si="345"/>
        <v>0</v>
      </c>
      <c r="BJ585" s="2675">
        <f t="shared" si="346"/>
        <v>0</v>
      </c>
      <c r="BK585" s="2675">
        <f t="shared" si="347"/>
        <v>0</v>
      </c>
      <c r="BL585" s="2675">
        <f t="shared" si="348"/>
        <v>0</v>
      </c>
      <c r="BM585" s="2675">
        <f t="shared" si="349"/>
        <v>0</v>
      </c>
      <c r="BN585" s="2675">
        <f t="shared" si="350"/>
        <v>0</v>
      </c>
      <c r="BO585" s="2675">
        <f t="shared" si="351"/>
        <v>0</v>
      </c>
      <c r="BP585" s="2675">
        <f t="shared" si="352"/>
        <v>0</v>
      </c>
      <c r="BQ585" s="2675">
        <f t="shared" si="353"/>
        <v>0</v>
      </c>
      <c r="BR585" s="2675">
        <f t="shared" si="354"/>
        <v>0</v>
      </c>
      <c r="BS585" s="2675">
        <f t="shared" si="355"/>
        <v>0</v>
      </c>
      <c r="BT585" s="2722">
        <f t="shared" si="356"/>
        <v>0</v>
      </c>
    </row>
    <row r="586" spans="1:72">
      <c r="A586" s="2673"/>
      <c r="B586" s="2673"/>
      <c r="C586" s="2673"/>
      <c r="D586" s="2277"/>
      <c r="E586" s="2675">
        <f t="shared" si="328"/>
        <v>0</v>
      </c>
      <c r="F586" s="2723"/>
      <c r="G586" s="2677">
        <f t="shared" si="329"/>
        <v>0</v>
      </c>
      <c r="H586" s="2678">
        <f t="shared" si="330"/>
        <v>0</v>
      </c>
      <c r="I586" s="2685"/>
      <c r="J586" s="2685"/>
      <c r="K586" s="2685"/>
      <c r="L586" s="2685"/>
      <c r="M586" s="2685"/>
      <c r="N586" s="2685"/>
      <c r="O586" s="2685"/>
      <c r="P586" s="2685"/>
      <c r="Q586" s="2685"/>
      <c r="R586" s="2685"/>
      <c r="S586" s="2685"/>
      <c r="T586" s="2685"/>
      <c r="U586" s="2685"/>
      <c r="V586" s="2685"/>
      <c r="W586" s="2685"/>
      <c r="X586" s="2685"/>
      <c r="Y586" s="2685"/>
      <c r="Z586" s="2685"/>
      <c r="AA586" s="2685"/>
      <c r="AB586" s="2685"/>
      <c r="AC586" s="2675">
        <f t="shared" si="331"/>
        <v>0</v>
      </c>
      <c r="AD586" s="2695"/>
      <c r="AE586" s="2695"/>
      <c r="AF586" s="2695"/>
      <c r="AG586" s="2695"/>
      <c r="AH586" s="2695"/>
      <c r="AI586" s="2695"/>
      <c r="AJ586" s="2695"/>
      <c r="AK586" s="2695"/>
      <c r="AL586" s="2695"/>
      <c r="AM586" s="2695"/>
      <c r="AN586" s="2695"/>
      <c r="AO586" s="2695"/>
      <c r="AP586" s="2695"/>
      <c r="AQ586" s="2695"/>
      <c r="AR586" s="2695"/>
      <c r="AS586" s="2695"/>
      <c r="AT586" s="2695"/>
      <c r="AU586" s="2725"/>
      <c r="AV586" s="1074">
        <f t="shared" si="332"/>
        <v>0</v>
      </c>
      <c r="AW586" s="1074">
        <f t="shared" si="333"/>
        <v>0</v>
      </c>
      <c r="AX586" s="1074">
        <f t="shared" si="334"/>
        <v>0</v>
      </c>
      <c r="AY586" s="2279">
        <f t="shared" si="335"/>
        <v>0</v>
      </c>
      <c r="AZ586" s="2675">
        <f t="shared" si="336"/>
        <v>0</v>
      </c>
      <c r="BA586" s="2675">
        <f t="shared" si="337"/>
        <v>0</v>
      </c>
      <c r="BB586" s="2675">
        <f t="shared" si="338"/>
        <v>0</v>
      </c>
      <c r="BC586" s="2675">
        <f t="shared" si="339"/>
        <v>0</v>
      </c>
      <c r="BD586" s="2675">
        <f t="shared" si="340"/>
        <v>0</v>
      </c>
      <c r="BE586" s="2675">
        <f t="shared" si="341"/>
        <v>0</v>
      </c>
      <c r="BF586" s="2675">
        <f t="shared" si="342"/>
        <v>0</v>
      </c>
      <c r="BG586" s="2675">
        <f t="shared" si="343"/>
        <v>0</v>
      </c>
      <c r="BH586" s="2675">
        <f t="shared" si="344"/>
        <v>0</v>
      </c>
      <c r="BI586" s="2675">
        <f t="shared" si="345"/>
        <v>0</v>
      </c>
      <c r="BJ586" s="2675">
        <f t="shared" si="346"/>
        <v>0</v>
      </c>
      <c r="BK586" s="2675">
        <f t="shared" si="347"/>
        <v>0</v>
      </c>
      <c r="BL586" s="2675">
        <f t="shared" si="348"/>
        <v>0</v>
      </c>
      <c r="BM586" s="2675">
        <f t="shared" si="349"/>
        <v>0</v>
      </c>
      <c r="BN586" s="2675">
        <f t="shared" si="350"/>
        <v>0</v>
      </c>
      <c r="BO586" s="2675">
        <f t="shared" si="351"/>
        <v>0</v>
      </c>
      <c r="BP586" s="2675">
        <f t="shared" si="352"/>
        <v>0</v>
      </c>
      <c r="BQ586" s="2675">
        <f t="shared" si="353"/>
        <v>0</v>
      </c>
      <c r="BR586" s="2675">
        <f t="shared" si="354"/>
        <v>0</v>
      </c>
      <c r="BS586" s="2675">
        <f t="shared" si="355"/>
        <v>0</v>
      </c>
      <c r="BT586" s="2722">
        <f t="shared" si="356"/>
        <v>0</v>
      </c>
    </row>
    <row r="587" spans="1:72">
      <c r="A587" s="2673"/>
      <c r="B587" s="2673"/>
      <c r="C587" s="2673"/>
      <c r="D587" s="2277"/>
      <c r="E587" s="2675">
        <f t="shared" si="328"/>
        <v>0</v>
      </c>
      <c r="F587" s="2723"/>
      <c r="G587" s="2677">
        <f t="shared" si="329"/>
        <v>0</v>
      </c>
      <c r="H587" s="2678">
        <f t="shared" si="330"/>
        <v>0</v>
      </c>
      <c r="I587" s="2685"/>
      <c r="J587" s="2685"/>
      <c r="K587" s="2685"/>
      <c r="L587" s="2685"/>
      <c r="M587" s="2685"/>
      <c r="N587" s="2685"/>
      <c r="O587" s="2685"/>
      <c r="P587" s="2685"/>
      <c r="Q587" s="2685"/>
      <c r="R587" s="2685"/>
      <c r="S587" s="2685"/>
      <c r="T587" s="2685"/>
      <c r="U587" s="2685"/>
      <c r="V587" s="2685"/>
      <c r="W587" s="2685"/>
      <c r="X587" s="2685"/>
      <c r="Y587" s="2685"/>
      <c r="Z587" s="2685"/>
      <c r="AA587" s="2685"/>
      <c r="AB587" s="2685"/>
      <c r="AC587" s="2675">
        <f t="shared" si="331"/>
        <v>0</v>
      </c>
      <c r="AD587" s="2695"/>
      <c r="AE587" s="2695"/>
      <c r="AF587" s="2695"/>
      <c r="AG587" s="2695"/>
      <c r="AH587" s="2695"/>
      <c r="AI587" s="2695"/>
      <c r="AJ587" s="2695"/>
      <c r="AK587" s="2695"/>
      <c r="AL587" s="2695"/>
      <c r="AM587" s="2695"/>
      <c r="AN587" s="2695"/>
      <c r="AO587" s="2695"/>
      <c r="AP587" s="2695"/>
      <c r="AQ587" s="2695"/>
      <c r="AR587" s="2695"/>
      <c r="AS587" s="2695"/>
      <c r="AT587" s="2695"/>
      <c r="AU587" s="2725"/>
      <c r="AV587" s="1074">
        <f t="shared" si="332"/>
        <v>0</v>
      </c>
      <c r="AW587" s="1074">
        <f t="shared" si="333"/>
        <v>0</v>
      </c>
      <c r="AX587" s="1074">
        <f t="shared" si="334"/>
        <v>0</v>
      </c>
      <c r="AY587" s="2279">
        <f t="shared" si="335"/>
        <v>0</v>
      </c>
      <c r="AZ587" s="2675">
        <f t="shared" si="336"/>
        <v>0</v>
      </c>
      <c r="BA587" s="2675">
        <f t="shared" si="337"/>
        <v>0</v>
      </c>
      <c r="BB587" s="2675">
        <f t="shared" si="338"/>
        <v>0</v>
      </c>
      <c r="BC587" s="2675">
        <f t="shared" si="339"/>
        <v>0</v>
      </c>
      <c r="BD587" s="2675">
        <f t="shared" si="340"/>
        <v>0</v>
      </c>
      <c r="BE587" s="2675">
        <f t="shared" si="341"/>
        <v>0</v>
      </c>
      <c r="BF587" s="2675">
        <f t="shared" si="342"/>
        <v>0</v>
      </c>
      <c r="BG587" s="2675">
        <f t="shared" si="343"/>
        <v>0</v>
      </c>
      <c r="BH587" s="2675">
        <f t="shared" si="344"/>
        <v>0</v>
      </c>
      <c r="BI587" s="2675">
        <f t="shared" si="345"/>
        <v>0</v>
      </c>
      <c r="BJ587" s="2675">
        <f t="shared" si="346"/>
        <v>0</v>
      </c>
      <c r="BK587" s="2675">
        <f t="shared" si="347"/>
        <v>0</v>
      </c>
      <c r="BL587" s="2675">
        <f t="shared" si="348"/>
        <v>0</v>
      </c>
      <c r="BM587" s="2675">
        <f t="shared" si="349"/>
        <v>0</v>
      </c>
      <c r="BN587" s="2675">
        <f t="shared" si="350"/>
        <v>0</v>
      </c>
      <c r="BO587" s="2675">
        <f t="shared" si="351"/>
        <v>0</v>
      </c>
      <c r="BP587" s="2675">
        <f t="shared" si="352"/>
        <v>0</v>
      </c>
      <c r="BQ587" s="2675">
        <f t="shared" si="353"/>
        <v>0</v>
      </c>
      <c r="BR587" s="2675">
        <f t="shared" si="354"/>
        <v>0</v>
      </c>
      <c r="BS587" s="2675">
        <f t="shared" si="355"/>
        <v>0</v>
      </c>
      <c r="BT587" s="2722">
        <f t="shared" si="356"/>
        <v>0</v>
      </c>
    </row>
    <row r="588" spans="1:72" s="2643" customFormat="1">
      <c r="A588" s="2726"/>
      <c r="B588" s="2726"/>
      <c r="C588" s="2726"/>
      <c r="D588" s="2726"/>
      <c r="E588" s="2727"/>
      <c r="F588" s="2727"/>
      <c r="G588" s="2726"/>
      <c r="H588" s="2727"/>
      <c r="I588" s="2727"/>
      <c r="J588" s="2727"/>
      <c r="K588" s="2727"/>
      <c r="L588" s="2727"/>
      <c r="M588" s="2727"/>
      <c r="N588" s="2727"/>
      <c r="O588" s="2727"/>
      <c r="P588" s="2727"/>
      <c r="Q588" s="2727"/>
      <c r="R588" s="2727"/>
      <c r="S588" s="2727"/>
      <c r="T588" s="2727"/>
      <c r="U588" s="2727"/>
      <c r="V588" s="2727"/>
      <c r="W588" s="2727"/>
      <c r="X588" s="2727"/>
      <c r="Y588" s="2727"/>
      <c r="Z588" s="2727"/>
      <c r="AA588" s="2727"/>
      <c r="AB588" s="2727"/>
      <c r="AC588" s="2727"/>
      <c r="AD588" s="2727"/>
      <c r="AE588" s="2727"/>
      <c r="AF588" s="2727"/>
      <c r="AG588" s="2727"/>
      <c r="AH588" s="2727"/>
      <c r="AI588" s="2727"/>
      <c r="AJ588" s="2727"/>
      <c r="AK588" s="2727"/>
      <c r="AL588" s="2727"/>
      <c r="AM588" s="2727"/>
      <c r="AN588" s="2727"/>
      <c r="AO588" s="2727"/>
      <c r="AP588" s="2727"/>
      <c r="AQ588" s="2727"/>
      <c r="AR588" s="2727"/>
      <c r="AS588" s="2727"/>
      <c r="AT588" s="2727"/>
      <c r="AU588" s="2726"/>
      <c r="AV588" s="2726"/>
      <c r="AW588" s="2726"/>
      <c r="AX588" s="2726"/>
    </row>
    <row r="589" spans="1:72" s="2644" customFormat="1">
      <c r="C589" s="2728"/>
      <c r="D589" s="2728"/>
    </row>
    <row r="590" spans="1:72" s="2644" customFormat="1">
      <c r="C590" s="2728"/>
      <c r="D590" s="2728"/>
    </row>
    <row r="593" spans="2:2">
      <c r="B593" s="2728"/>
    </row>
  </sheetData>
  <sheetProtection password="C66D" sheet="1" objects="1" scenarios="1" formatCells="0" formatColumns="0" formatRows="0"/>
  <phoneticPr fontId="225"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69930555555555596" right="0.69930555555555596"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637" customWidth="1"/>
    <col min="2" max="2" width="10.625" style="2637" customWidth="1"/>
    <col min="3" max="3" width="15.75" style="2637" customWidth="1"/>
    <col min="4" max="7" width="9.5" style="2637" customWidth="1"/>
    <col min="8" max="13" width="9.125" style="2637" customWidth="1"/>
    <col min="14" max="16384" width="9" style="2637"/>
  </cols>
  <sheetData>
    <row r="1" spans="1:13" ht="14.25">
      <c r="A1" s="3254" t="s">
        <v>460</v>
      </c>
      <c r="B1" s="3254" t="s">
        <v>461</v>
      </c>
      <c r="C1" s="3254" t="s">
        <v>462</v>
      </c>
      <c r="D1" s="3253" t="s">
        <v>463</v>
      </c>
      <c r="E1" s="3253" t="s">
        <v>464</v>
      </c>
      <c r="F1" s="3253"/>
      <c r="G1" s="3253"/>
      <c r="H1" s="3253"/>
      <c r="I1" s="3253"/>
      <c r="J1" s="3253"/>
      <c r="K1" s="3253"/>
      <c r="L1" s="3253"/>
      <c r="M1" s="3253"/>
    </row>
    <row r="2" spans="1:13" ht="27" customHeight="1">
      <c r="A2" s="3254"/>
      <c r="B2" s="3254"/>
      <c r="C2" s="3254"/>
      <c r="D2" s="3253"/>
      <c r="E2" s="3253" t="s">
        <v>465</v>
      </c>
      <c r="F2" s="3253" t="s">
        <v>466</v>
      </c>
      <c r="G2" s="3253"/>
      <c r="H2" s="3253"/>
      <c r="I2" s="3253"/>
      <c r="J2" s="3253" t="s">
        <v>467</v>
      </c>
      <c r="K2" s="3253"/>
      <c r="L2" s="3253"/>
      <c r="M2" s="3253"/>
    </row>
    <row r="3" spans="1:13" ht="28.5">
      <c r="A3" s="3254"/>
      <c r="B3" s="3254"/>
      <c r="C3" s="3254"/>
      <c r="D3" s="3253"/>
      <c r="E3" s="3253"/>
      <c r="F3" s="2639" t="s">
        <v>468</v>
      </c>
      <c r="G3" s="2639" t="s">
        <v>469</v>
      </c>
      <c r="H3" s="2639" t="s">
        <v>470</v>
      </c>
      <c r="I3" s="2639" t="s">
        <v>471</v>
      </c>
      <c r="J3" s="2639" t="s">
        <v>468</v>
      </c>
      <c r="K3" s="2639" t="s">
        <v>472</v>
      </c>
      <c r="L3" s="2639" t="s">
        <v>473</v>
      </c>
      <c r="M3" s="2639" t="s">
        <v>474</v>
      </c>
    </row>
    <row r="4" spans="1:13" ht="42.75">
      <c r="A4" s="2639" t="s">
        <v>475</v>
      </c>
      <c r="B4" s="2639" t="s">
        <v>476</v>
      </c>
      <c r="C4" s="2639" t="s">
        <v>477</v>
      </c>
      <c r="D4" s="2638">
        <v>3807.94</v>
      </c>
      <c r="E4" s="2638">
        <v>20666.91</v>
      </c>
      <c r="F4" s="2638">
        <v>19673</v>
      </c>
      <c r="G4" s="2638">
        <v>0</v>
      </c>
      <c r="H4" s="2638">
        <v>19673</v>
      </c>
      <c r="I4" s="2638">
        <v>0</v>
      </c>
      <c r="J4" s="2638">
        <v>993.91</v>
      </c>
      <c r="K4" s="2638">
        <v>0</v>
      </c>
      <c r="L4" s="2638">
        <v>0</v>
      </c>
      <c r="M4" s="2638">
        <v>993.91</v>
      </c>
    </row>
    <row r="5" spans="1:13" ht="42.75">
      <c r="A5" s="2639" t="s">
        <v>475</v>
      </c>
      <c r="B5" s="2639" t="s">
        <v>478</v>
      </c>
      <c r="C5" s="2639" t="s">
        <v>479</v>
      </c>
      <c r="D5" s="2638">
        <v>3667.86</v>
      </c>
      <c r="E5" s="2638">
        <v>19906.61</v>
      </c>
      <c r="F5" s="2638">
        <v>18792.87</v>
      </c>
      <c r="G5" s="2638">
        <v>18792.87</v>
      </c>
      <c r="H5" s="2638">
        <v>0</v>
      </c>
      <c r="I5" s="2638">
        <v>0</v>
      </c>
      <c r="J5" s="2638">
        <v>1113.74</v>
      </c>
      <c r="K5" s="2638">
        <v>55.59</v>
      </c>
      <c r="L5" s="2638">
        <v>0</v>
      </c>
      <c r="M5" s="2638">
        <v>1058.1500000000001</v>
      </c>
    </row>
    <row r="6" spans="1:13" ht="42.75">
      <c r="A6" s="2639" t="s">
        <v>475</v>
      </c>
      <c r="B6" s="2639" t="s">
        <v>478</v>
      </c>
      <c r="C6" s="2639" t="s">
        <v>480</v>
      </c>
      <c r="D6" s="2638">
        <v>2067.52</v>
      </c>
      <c r="E6" s="2638">
        <v>11221.06</v>
      </c>
      <c r="F6" s="2638">
        <v>9934.1299999999992</v>
      </c>
      <c r="G6" s="2638">
        <v>9934.1299999999992</v>
      </c>
      <c r="H6" s="2638">
        <v>0</v>
      </c>
      <c r="I6" s="2638">
        <v>0</v>
      </c>
      <c r="J6" s="2638">
        <v>1286.93</v>
      </c>
      <c r="K6" s="2638">
        <v>0</v>
      </c>
      <c r="L6" s="2638">
        <v>0</v>
      </c>
      <c r="M6" s="2638">
        <v>1286.93</v>
      </c>
    </row>
    <row r="7" spans="1:13" ht="42.75">
      <c r="A7" s="2639" t="s">
        <v>475</v>
      </c>
      <c r="B7" s="2639" t="s">
        <v>478</v>
      </c>
      <c r="C7" s="2639" t="s">
        <v>481</v>
      </c>
      <c r="D7" s="2638">
        <v>8.18</v>
      </c>
      <c r="E7" s="2638">
        <v>44.41</v>
      </c>
      <c r="F7" s="2638">
        <v>0</v>
      </c>
      <c r="G7" s="2638">
        <v>0</v>
      </c>
      <c r="H7" s="2638">
        <v>0</v>
      </c>
      <c r="I7" s="2638">
        <v>0</v>
      </c>
      <c r="J7" s="2638">
        <v>44.41</v>
      </c>
      <c r="K7" s="2638">
        <v>44.41</v>
      </c>
      <c r="L7" s="2638">
        <v>0</v>
      </c>
      <c r="M7" s="2638">
        <v>0</v>
      </c>
    </row>
    <row r="8" spans="1:13" ht="42.75">
      <c r="A8" s="2639" t="s">
        <v>475</v>
      </c>
      <c r="B8" s="2639" t="s">
        <v>478</v>
      </c>
      <c r="C8" s="2639" t="s">
        <v>471</v>
      </c>
      <c r="D8" s="2638">
        <v>2455.5300000000002</v>
      </c>
      <c r="E8" s="2638">
        <v>13326.96</v>
      </c>
      <c r="F8" s="2638">
        <v>9231.0499999999993</v>
      </c>
      <c r="G8" s="2638">
        <v>0</v>
      </c>
      <c r="H8" s="2638">
        <v>0</v>
      </c>
      <c r="I8" s="2638">
        <v>9231.0499999999993</v>
      </c>
      <c r="J8" s="2638">
        <v>4095.91</v>
      </c>
      <c r="K8" s="2638">
        <v>0</v>
      </c>
      <c r="L8" s="2638">
        <v>3320.79</v>
      </c>
      <c r="M8" s="2638">
        <v>775.12</v>
      </c>
    </row>
    <row r="9" spans="1:13" ht="27" customHeight="1">
      <c r="A9" s="3253" t="s">
        <v>482</v>
      </c>
      <c r="B9" s="3253"/>
      <c r="C9" s="3253"/>
      <c r="D9" s="2638">
        <v>12007.03</v>
      </c>
      <c r="E9" s="2638">
        <v>65165.95</v>
      </c>
      <c r="F9" s="2638">
        <v>57631.05</v>
      </c>
      <c r="G9" s="2638">
        <v>28727</v>
      </c>
      <c r="H9" s="2638">
        <v>19673</v>
      </c>
      <c r="I9" s="2638">
        <v>9231.0499999999993</v>
      </c>
      <c r="J9" s="2638">
        <v>7534.9</v>
      </c>
      <c r="K9" s="2638">
        <v>100</v>
      </c>
      <c r="L9" s="2638">
        <v>3320.79</v>
      </c>
      <c r="M9" s="2638">
        <v>4114.1099999999997</v>
      </c>
    </row>
  </sheetData>
  <mergeCells count="9">
    <mergeCell ref="E1:M1"/>
    <mergeCell ref="F2:I2"/>
    <mergeCell ref="J2:M2"/>
    <mergeCell ref="A9:C9"/>
    <mergeCell ref="A1:A3"/>
    <mergeCell ref="B1:B3"/>
    <mergeCell ref="C1:C3"/>
    <mergeCell ref="D1:D3"/>
    <mergeCell ref="E2:E3"/>
  </mergeCells>
  <phoneticPr fontId="225" type="noConversion"/>
  <pageMargins left="0.69930555555555596" right="0.69930555555555596"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F24"/>
  <sheetViews>
    <sheetView workbookViewId="0">
      <selection activeCell="F25" sqref="F25"/>
    </sheetView>
  </sheetViews>
  <sheetFormatPr defaultRowHeight="13.5"/>
  <cols>
    <col min="2" max="2" width="20.375" customWidth="1"/>
    <col min="3" max="3" width="11.625" customWidth="1"/>
    <col min="10" max="12" width="0" hidden="1" customWidth="1"/>
    <col min="17" max="17" width="10.5" bestFit="1" customWidth="1"/>
    <col min="18" max="26" width="0" hidden="1" customWidth="1"/>
  </cols>
  <sheetData>
    <row r="2" spans="2:32">
      <c r="B2" s="3255" t="s">
        <v>3247</v>
      </c>
      <c r="C2" s="3256"/>
      <c r="D2" s="3256"/>
      <c r="E2" s="3256"/>
      <c r="F2" s="3256"/>
      <c r="G2" s="3256"/>
      <c r="H2" s="3256"/>
      <c r="I2" s="3256"/>
      <c r="J2" s="3256"/>
      <c r="K2" s="3256"/>
      <c r="L2" s="3256"/>
      <c r="M2" s="3256"/>
      <c r="N2" s="3256"/>
      <c r="O2" s="3256"/>
      <c r="P2" s="3256"/>
      <c r="Q2" s="3256"/>
      <c r="R2" s="3256"/>
      <c r="S2" s="3256"/>
      <c r="T2" s="3256"/>
      <c r="U2" s="3256"/>
      <c r="V2" s="3256"/>
      <c r="W2" s="3256"/>
      <c r="X2" s="3256"/>
      <c r="Y2" s="3256"/>
      <c r="Z2" s="3256"/>
      <c r="AA2" s="3256"/>
      <c r="AB2" s="3256"/>
      <c r="AC2" s="3256"/>
      <c r="AD2" s="3256"/>
      <c r="AE2" s="3256"/>
      <c r="AF2" s="3256"/>
    </row>
    <row r="3" spans="2:32">
      <c r="B3" s="3257" t="s">
        <v>1484</v>
      </c>
      <c r="C3" s="3257" t="s">
        <v>1485</v>
      </c>
      <c r="D3" s="3259" t="s">
        <v>1486</v>
      </c>
      <c r="E3" s="3259" t="s">
        <v>1487</v>
      </c>
      <c r="F3" s="3259" t="s">
        <v>1488</v>
      </c>
      <c r="G3" s="3259" t="s">
        <v>3248</v>
      </c>
      <c r="H3" s="3259" t="s">
        <v>3249</v>
      </c>
      <c r="I3" s="3259" t="s">
        <v>1490</v>
      </c>
      <c r="J3" s="3259" t="s">
        <v>1491</v>
      </c>
      <c r="K3" s="3259"/>
      <c r="L3" s="3259"/>
      <c r="M3" s="3259" t="s">
        <v>1492</v>
      </c>
      <c r="N3" s="3259"/>
      <c r="O3" s="3259"/>
      <c r="P3" s="3259"/>
      <c r="Q3" s="3105"/>
      <c r="R3" s="3259" t="s">
        <v>1493</v>
      </c>
      <c r="S3" s="3259"/>
      <c r="T3" s="3259"/>
      <c r="U3" s="3259"/>
      <c r="V3" s="3259"/>
      <c r="W3" s="3259" t="s">
        <v>1494</v>
      </c>
      <c r="X3" s="3259"/>
      <c r="Y3" s="3259" t="s">
        <v>1495</v>
      </c>
      <c r="Z3" s="3259"/>
      <c r="AA3" s="3274" t="s">
        <v>1497</v>
      </c>
      <c r="AB3" s="3091"/>
      <c r="AC3" s="3263" t="s">
        <v>1498</v>
      </c>
      <c r="AD3" s="3263"/>
      <c r="AE3" s="3261" t="s">
        <v>1499</v>
      </c>
      <c r="AF3" s="3261"/>
    </row>
    <row r="4" spans="2:32" ht="27">
      <c r="B4" s="3258"/>
      <c r="C4" s="3258"/>
      <c r="D4" s="3260"/>
      <c r="E4" s="3260"/>
      <c r="F4" s="3260"/>
      <c r="G4" s="3260"/>
      <c r="H4" s="3260"/>
      <c r="I4" s="3260"/>
      <c r="J4" s="3092" t="s">
        <v>1500</v>
      </c>
      <c r="K4" s="3092" t="s">
        <v>1501</v>
      </c>
      <c r="L4" s="3092" t="s">
        <v>1502</v>
      </c>
      <c r="M4" s="3092" t="s">
        <v>1503</v>
      </c>
      <c r="N4" s="3092" t="s">
        <v>1504</v>
      </c>
      <c r="O4" s="3092" t="s">
        <v>1505</v>
      </c>
      <c r="P4" s="3092" t="s">
        <v>1506</v>
      </c>
      <c r="Q4" s="3109" t="s">
        <v>3246</v>
      </c>
      <c r="R4" s="3092" t="s">
        <v>1507</v>
      </c>
      <c r="S4" s="3092" t="s">
        <v>1508</v>
      </c>
      <c r="T4" s="3092" t="s">
        <v>1509</v>
      </c>
      <c r="U4" s="3092" t="s">
        <v>1510</v>
      </c>
      <c r="V4" s="3092" t="s">
        <v>1511</v>
      </c>
      <c r="W4" s="3092" t="s">
        <v>1512</v>
      </c>
      <c r="X4" s="3092" t="s">
        <v>1513</v>
      </c>
      <c r="Y4" s="3092" t="s">
        <v>1514</v>
      </c>
      <c r="Z4" s="3092" t="s">
        <v>1515</v>
      </c>
      <c r="AA4" s="3275"/>
      <c r="AB4" s="3056"/>
      <c r="AC4" s="3263"/>
      <c r="AD4" s="3263"/>
      <c r="AE4" s="3262"/>
      <c r="AF4" s="3262"/>
    </row>
    <row r="5" spans="2:32">
      <c r="B5" s="3264" t="s">
        <v>3250</v>
      </c>
      <c r="C5" s="3093" t="s">
        <v>3251</v>
      </c>
      <c r="D5" s="3057" t="s">
        <v>1555</v>
      </c>
      <c r="E5" s="3093" t="s">
        <v>3252</v>
      </c>
      <c r="F5" s="3057">
        <v>32</v>
      </c>
      <c r="G5" s="3093">
        <v>2562</v>
      </c>
      <c r="H5" s="3057">
        <v>1573.7</v>
      </c>
      <c r="I5" s="3267">
        <v>7798.53</v>
      </c>
      <c r="J5" s="3093" t="s">
        <v>1521</v>
      </c>
      <c r="K5" s="3093" t="s">
        <v>1521</v>
      </c>
      <c r="L5" s="3093" t="s">
        <v>1521</v>
      </c>
      <c r="M5" s="3057">
        <v>31</v>
      </c>
      <c r="N5" s="3057">
        <v>1573.7</v>
      </c>
      <c r="O5" s="3270">
        <v>7919.66</v>
      </c>
      <c r="P5" s="3270">
        <v>7798.53</v>
      </c>
      <c r="Q5" s="3282">
        <f>'1、2号连廊'!AR17</f>
        <v>7798.53</v>
      </c>
      <c r="R5" s="3057">
        <v>14</v>
      </c>
      <c r="S5" s="3270">
        <v>8</v>
      </c>
      <c r="T5" s="3057">
        <v>663.4</v>
      </c>
      <c r="U5" s="3057">
        <v>419217</v>
      </c>
      <c r="V5" s="3057">
        <f t="shared" ref="V5:V9" si="0">ROUND(U5/T5,0)</f>
        <v>632</v>
      </c>
      <c r="W5" s="3057">
        <v>18</v>
      </c>
      <c r="X5" s="3057">
        <v>910.3</v>
      </c>
      <c r="Y5" s="3057" t="s">
        <v>1521</v>
      </c>
      <c r="Z5" s="3094" t="s">
        <v>1521</v>
      </c>
      <c r="AA5" s="3288" t="s">
        <v>3253</v>
      </c>
      <c r="AB5" s="3095"/>
      <c r="AC5" s="3276" t="s">
        <v>3254</v>
      </c>
      <c r="AD5" s="3263"/>
      <c r="AE5" s="3263" t="s">
        <v>3255</v>
      </c>
      <c r="AF5" s="3263"/>
    </row>
    <row r="6" spans="2:32">
      <c r="B6" s="3265"/>
      <c r="C6" s="3093" t="s">
        <v>3256</v>
      </c>
      <c r="D6" s="3057" t="s">
        <v>1555</v>
      </c>
      <c r="E6" s="3093" t="s">
        <v>3252</v>
      </c>
      <c r="F6" s="3057">
        <v>32</v>
      </c>
      <c r="G6" s="3093">
        <v>2562</v>
      </c>
      <c r="H6" s="3057">
        <v>1573.7</v>
      </c>
      <c r="I6" s="3268"/>
      <c r="J6" s="3093" t="s">
        <v>1521</v>
      </c>
      <c r="K6" s="3093" t="s">
        <v>1521</v>
      </c>
      <c r="L6" s="3093" t="s">
        <v>1521</v>
      </c>
      <c r="M6" s="3057">
        <v>31</v>
      </c>
      <c r="N6" s="3057">
        <v>1573.7</v>
      </c>
      <c r="O6" s="3271"/>
      <c r="P6" s="3271"/>
      <c r="Q6" s="3271"/>
      <c r="R6" s="3057">
        <v>1</v>
      </c>
      <c r="S6" s="3271"/>
      <c r="T6" s="3057">
        <v>51.5</v>
      </c>
      <c r="U6" s="3057">
        <v>236953</v>
      </c>
      <c r="V6" s="3057">
        <f t="shared" si="0"/>
        <v>4601</v>
      </c>
      <c r="W6" s="3057">
        <v>31</v>
      </c>
      <c r="X6" s="3057">
        <v>1522.2</v>
      </c>
      <c r="Y6" s="3057" t="s">
        <v>1521</v>
      </c>
      <c r="Z6" s="3094" t="s">
        <v>1521</v>
      </c>
      <c r="AA6" s="3288"/>
      <c r="AB6" s="3095"/>
      <c r="AC6" s="3263"/>
      <c r="AD6" s="3263"/>
      <c r="AE6" s="3263"/>
      <c r="AF6" s="3263"/>
    </row>
    <row r="7" spans="2:32">
      <c r="B7" s="3265"/>
      <c r="C7" s="3093" t="s">
        <v>3257</v>
      </c>
      <c r="D7" s="3057" t="s">
        <v>1555</v>
      </c>
      <c r="E7" s="3093" t="s">
        <v>3252</v>
      </c>
      <c r="F7" s="3057">
        <v>32</v>
      </c>
      <c r="G7" s="3093">
        <v>2562</v>
      </c>
      <c r="H7" s="3057">
        <v>1573.7</v>
      </c>
      <c r="I7" s="3269"/>
      <c r="J7" s="3093" t="s">
        <v>1521</v>
      </c>
      <c r="K7" s="3093" t="s">
        <v>1521</v>
      </c>
      <c r="L7" s="3093" t="s">
        <v>1521</v>
      </c>
      <c r="M7" s="3057">
        <v>31</v>
      </c>
      <c r="N7" s="3057">
        <v>1573.7</v>
      </c>
      <c r="O7" s="3257"/>
      <c r="P7" s="3257"/>
      <c r="Q7" s="3257"/>
      <c r="R7" s="3057">
        <v>2</v>
      </c>
      <c r="S7" s="3257"/>
      <c r="T7" s="3057">
        <v>91.4</v>
      </c>
      <c r="U7" s="3057">
        <v>204837</v>
      </c>
      <c r="V7" s="3057">
        <f t="shared" si="0"/>
        <v>2241</v>
      </c>
      <c r="W7" s="3057">
        <v>30</v>
      </c>
      <c r="X7" s="3057">
        <v>1482.3</v>
      </c>
      <c r="Y7" s="3057" t="s">
        <v>1521</v>
      </c>
      <c r="Z7" s="3094" t="s">
        <v>1521</v>
      </c>
      <c r="AA7" s="3288"/>
      <c r="AB7" s="3095"/>
      <c r="AC7" s="3263"/>
      <c r="AD7" s="3263"/>
      <c r="AE7" s="3263"/>
      <c r="AF7" s="3263"/>
    </row>
    <row r="8" spans="2:32">
      <c r="B8" s="3266"/>
      <c r="C8" s="3096"/>
      <c r="D8" s="3272" t="s">
        <v>3258</v>
      </c>
      <c r="E8" s="3273"/>
      <c r="F8" s="3096">
        <f t="shared" ref="F8:H8" si="1">SUM(F5:F7)</f>
        <v>96</v>
      </c>
      <c r="G8" s="3096">
        <f t="shared" si="1"/>
        <v>7686</v>
      </c>
      <c r="H8" s="3096">
        <f t="shared" si="1"/>
        <v>4721.1000000000004</v>
      </c>
      <c r="I8" s="3096">
        <v>7798.53</v>
      </c>
      <c r="J8" s="3097" t="s">
        <v>1521</v>
      </c>
      <c r="K8" s="3097" t="s">
        <v>1521</v>
      </c>
      <c r="L8" s="3097" t="s">
        <v>1521</v>
      </c>
      <c r="M8" s="3096">
        <f>SUM(M5:M7)</f>
        <v>93</v>
      </c>
      <c r="N8" s="3096">
        <f>SUM(N5:N7)</f>
        <v>4721.1000000000004</v>
      </c>
      <c r="O8" s="3044">
        <v>7919.66</v>
      </c>
      <c r="P8" s="3096">
        <v>7798.53</v>
      </c>
      <c r="Q8" s="3107">
        <f>Q5</f>
        <v>7798.53</v>
      </c>
      <c r="R8" s="3096">
        <v>17</v>
      </c>
      <c r="S8" s="3096">
        <v>8</v>
      </c>
      <c r="T8" s="3096">
        <v>806.3</v>
      </c>
      <c r="U8" s="3096">
        <f>U7+U6+U5</f>
        <v>861007</v>
      </c>
      <c r="V8" s="3098">
        <f t="shared" si="0"/>
        <v>1068</v>
      </c>
      <c r="W8" s="3096">
        <v>79</v>
      </c>
      <c r="X8" s="3096">
        <v>3914.8</v>
      </c>
      <c r="Y8" s="3096" t="s">
        <v>1521</v>
      </c>
      <c r="Z8" s="3096" t="s">
        <v>1521</v>
      </c>
      <c r="AA8" s="3099"/>
      <c r="AB8" s="3096"/>
      <c r="AC8" s="3277"/>
      <c r="AD8" s="3277"/>
      <c r="AE8" s="3277"/>
      <c r="AF8" s="3277"/>
    </row>
    <row r="9" spans="2:32">
      <c r="B9" s="3264" t="s">
        <v>3259</v>
      </c>
      <c r="C9" s="3093" t="s">
        <v>3260</v>
      </c>
      <c r="D9" s="3057" t="s">
        <v>1555</v>
      </c>
      <c r="E9" s="3093" t="s">
        <v>2041</v>
      </c>
      <c r="F9" s="3057">
        <v>1</v>
      </c>
      <c r="G9" s="3100">
        <v>1337.28</v>
      </c>
      <c r="H9" s="3100">
        <v>1337.28</v>
      </c>
      <c r="I9" s="3267">
        <v>7799.84</v>
      </c>
      <c r="J9" s="3093" t="s">
        <v>1521</v>
      </c>
      <c r="K9" s="3093" t="s">
        <v>1521</v>
      </c>
      <c r="L9" s="3093" t="s">
        <v>1521</v>
      </c>
      <c r="M9" s="3057">
        <v>1</v>
      </c>
      <c r="N9" s="3100">
        <v>1337.28</v>
      </c>
      <c r="O9" s="3270">
        <v>7874.29</v>
      </c>
      <c r="P9" s="3267">
        <v>7799.94</v>
      </c>
      <c r="Q9" s="3283">
        <f>'1、2号连廊'!AR27</f>
        <v>7799.94</v>
      </c>
      <c r="R9" s="3057">
        <v>1</v>
      </c>
      <c r="S9" s="3270">
        <v>1</v>
      </c>
      <c r="T9" s="3057">
        <v>1337.28</v>
      </c>
      <c r="U9" s="3057">
        <v>600000</v>
      </c>
      <c r="V9" s="3057">
        <f t="shared" si="0"/>
        <v>449</v>
      </c>
      <c r="W9" s="3057">
        <v>0</v>
      </c>
      <c r="X9" s="3057">
        <v>0</v>
      </c>
      <c r="Y9" s="3057" t="s">
        <v>1521</v>
      </c>
      <c r="Z9" s="3057" t="s">
        <v>1521</v>
      </c>
      <c r="AA9" s="3285" t="s">
        <v>3261</v>
      </c>
      <c r="AB9" s="3056"/>
      <c r="AC9" s="3276" t="s">
        <v>3262</v>
      </c>
      <c r="AD9" s="3263"/>
      <c r="AE9" s="3055"/>
      <c r="AF9" s="3055"/>
    </row>
    <row r="10" spans="2:32">
      <c r="B10" s="3265"/>
      <c r="C10" s="3093" t="s">
        <v>3251</v>
      </c>
      <c r="D10" s="3057" t="s">
        <v>1555</v>
      </c>
      <c r="E10" s="3093" t="s">
        <v>3252</v>
      </c>
      <c r="F10" s="3057">
        <v>29</v>
      </c>
      <c r="G10" s="3057">
        <v>2562.0500000000002</v>
      </c>
      <c r="H10" s="3057">
        <v>1557.7</v>
      </c>
      <c r="I10" s="3268"/>
      <c r="J10" s="3093" t="s">
        <v>1521</v>
      </c>
      <c r="K10" s="3093" t="s">
        <v>1521</v>
      </c>
      <c r="L10" s="3093" t="s">
        <v>1521</v>
      </c>
      <c r="M10" s="3057">
        <v>29</v>
      </c>
      <c r="N10" s="3057">
        <v>1557.7</v>
      </c>
      <c r="O10" s="3271"/>
      <c r="P10" s="3268"/>
      <c r="Q10" s="3268"/>
      <c r="R10" s="3057">
        <v>0</v>
      </c>
      <c r="S10" s="3271"/>
      <c r="T10" s="3057">
        <v>0</v>
      </c>
      <c r="U10" s="3057">
        <v>0</v>
      </c>
      <c r="V10" s="3057">
        <v>0</v>
      </c>
      <c r="W10" s="3057">
        <v>29</v>
      </c>
      <c r="X10" s="3057">
        <v>1557.7</v>
      </c>
      <c r="Y10" s="3057" t="s">
        <v>1521</v>
      </c>
      <c r="Z10" s="3057" t="s">
        <v>1521</v>
      </c>
      <c r="AA10" s="3286"/>
      <c r="AB10" s="3056"/>
      <c r="AC10" s="3263"/>
      <c r="AD10" s="3263"/>
      <c r="AE10" s="3263" t="s">
        <v>3263</v>
      </c>
      <c r="AF10" s="3263"/>
    </row>
    <row r="11" spans="2:32">
      <c r="B11" s="3265"/>
      <c r="C11" s="3093" t="s">
        <v>3256</v>
      </c>
      <c r="D11" s="3057" t="s">
        <v>1555</v>
      </c>
      <c r="E11" s="3093" t="s">
        <v>3252</v>
      </c>
      <c r="F11" s="3057">
        <v>29</v>
      </c>
      <c r="G11" s="3057">
        <v>2562.0500000000002</v>
      </c>
      <c r="H11" s="3057">
        <v>1557.7</v>
      </c>
      <c r="I11" s="3268"/>
      <c r="J11" s="3093" t="s">
        <v>1521</v>
      </c>
      <c r="K11" s="3093" t="s">
        <v>1521</v>
      </c>
      <c r="L11" s="3093" t="s">
        <v>1521</v>
      </c>
      <c r="M11" s="3057">
        <v>29</v>
      </c>
      <c r="N11" s="3057">
        <v>1557.7</v>
      </c>
      <c r="O11" s="3271"/>
      <c r="P11" s="3268"/>
      <c r="Q11" s="3268"/>
      <c r="R11" s="3057">
        <v>0</v>
      </c>
      <c r="S11" s="3271"/>
      <c r="T11" s="3057">
        <v>0</v>
      </c>
      <c r="U11" s="3057">
        <v>0</v>
      </c>
      <c r="V11" s="3057">
        <v>0</v>
      </c>
      <c r="W11" s="3057">
        <v>29</v>
      </c>
      <c r="X11" s="3057">
        <v>1557.7</v>
      </c>
      <c r="Y11" s="3057" t="s">
        <v>1521</v>
      </c>
      <c r="Z11" s="3057" t="s">
        <v>1521</v>
      </c>
      <c r="AA11" s="3286"/>
      <c r="AB11" s="3056"/>
      <c r="AC11" s="3263"/>
      <c r="AD11" s="3263"/>
      <c r="AE11" s="3263"/>
      <c r="AF11" s="3263"/>
    </row>
    <row r="12" spans="2:32">
      <c r="B12" s="3265"/>
      <c r="C12" s="3093" t="s">
        <v>3257</v>
      </c>
      <c r="D12" s="3057" t="s">
        <v>1555</v>
      </c>
      <c r="E12" s="3093" t="s">
        <v>3252</v>
      </c>
      <c r="F12" s="3057">
        <v>29</v>
      </c>
      <c r="G12" s="3057">
        <v>2562.0500000000002</v>
      </c>
      <c r="H12" s="3057">
        <v>1557.7</v>
      </c>
      <c r="I12" s="3269"/>
      <c r="J12" s="3093" t="s">
        <v>1521</v>
      </c>
      <c r="K12" s="3093" t="s">
        <v>1521</v>
      </c>
      <c r="L12" s="3093" t="s">
        <v>1521</v>
      </c>
      <c r="M12" s="3057">
        <v>29</v>
      </c>
      <c r="N12" s="3057">
        <v>1557.7</v>
      </c>
      <c r="O12" s="3257"/>
      <c r="P12" s="3269"/>
      <c r="Q12" s="3269"/>
      <c r="R12" s="3057">
        <v>0</v>
      </c>
      <c r="S12" s="3257"/>
      <c r="T12" s="3057">
        <v>0</v>
      </c>
      <c r="U12" s="3057">
        <v>0</v>
      </c>
      <c r="V12" s="3057">
        <v>0</v>
      </c>
      <c r="W12" s="3057">
        <v>29</v>
      </c>
      <c r="X12" s="3057">
        <v>1557.7</v>
      </c>
      <c r="Y12" s="3057" t="s">
        <v>1521</v>
      </c>
      <c r="Z12" s="3057" t="s">
        <v>1521</v>
      </c>
      <c r="AA12" s="3287"/>
      <c r="AB12" s="3056"/>
      <c r="AC12" s="3263"/>
      <c r="AD12" s="3263"/>
      <c r="AE12" s="3263"/>
      <c r="AF12" s="3263"/>
    </row>
    <row r="13" spans="2:32">
      <c r="B13" s="3284"/>
      <c r="C13" s="3101"/>
      <c r="D13" s="3278" t="s">
        <v>3258</v>
      </c>
      <c r="E13" s="3279"/>
      <c r="F13" s="3101">
        <f t="shared" ref="F13:H13" si="2">SUM(F9:F12)</f>
        <v>88</v>
      </c>
      <c r="G13" s="3101">
        <f t="shared" si="2"/>
        <v>9023.43</v>
      </c>
      <c r="H13" s="3101">
        <f t="shared" si="2"/>
        <v>6010.38</v>
      </c>
      <c r="I13" s="3101">
        <v>7799.84</v>
      </c>
      <c r="J13" s="3102" t="s">
        <v>1521</v>
      </c>
      <c r="K13" s="3102" t="s">
        <v>1521</v>
      </c>
      <c r="L13" s="3102" t="s">
        <v>1521</v>
      </c>
      <c r="M13" s="3101">
        <f>SUM(M10:M12)</f>
        <v>87</v>
      </c>
      <c r="N13" s="3101">
        <f>SUM(N9:N12)</f>
        <v>6010.38</v>
      </c>
      <c r="O13" s="3052">
        <v>7874.29</v>
      </c>
      <c r="P13" s="3101">
        <v>7799.94</v>
      </c>
      <c r="Q13" s="3106">
        <f>Q9</f>
        <v>7799.94</v>
      </c>
      <c r="R13" s="3101">
        <v>1</v>
      </c>
      <c r="S13" s="3101">
        <v>1</v>
      </c>
      <c r="T13" s="3101">
        <v>1337.28</v>
      </c>
      <c r="U13" s="3101">
        <f>SUM(U9:U12)</f>
        <v>600000</v>
      </c>
      <c r="V13" s="3098">
        <f>ROUND(U13/T13,0)</f>
        <v>449</v>
      </c>
      <c r="W13" s="3101">
        <v>87</v>
      </c>
      <c r="X13" s="3101">
        <v>4673.1000000000004</v>
      </c>
      <c r="Y13" s="3101" t="s">
        <v>1521</v>
      </c>
      <c r="Z13" s="3101" t="s">
        <v>1521</v>
      </c>
      <c r="AA13" s="3101"/>
      <c r="AB13" s="3101"/>
      <c r="AC13" s="3277"/>
      <c r="AD13" s="3277"/>
      <c r="AE13" s="3277"/>
      <c r="AF13" s="3277"/>
    </row>
    <row r="14" spans="2:32">
      <c r="B14" s="3280" t="s">
        <v>3264</v>
      </c>
      <c r="C14" s="3281"/>
      <c r="D14" s="3281"/>
      <c r="E14" s="3281"/>
      <c r="F14" s="3054">
        <f t="shared" ref="F14:H14" si="3">F8+F13</f>
        <v>184</v>
      </c>
      <c r="G14" s="3054">
        <f t="shared" si="3"/>
        <v>16709.43</v>
      </c>
      <c r="H14" s="3054">
        <f t="shared" si="3"/>
        <v>10731.48</v>
      </c>
      <c r="I14" s="3054"/>
      <c r="J14" s="3103" t="s">
        <v>1521</v>
      </c>
      <c r="K14" s="3103" t="s">
        <v>1521</v>
      </c>
      <c r="L14" s="3103" t="s">
        <v>1521</v>
      </c>
      <c r="M14" s="3054">
        <f>M8+M13</f>
        <v>180</v>
      </c>
      <c r="N14" s="3054">
        <f>N8+N13</f>
        <v>10731.48</v>
      </c>
      <c r="O14" s="3054"/>
      <c r="P14" s="3054">
        <f>P8+P13</f>
        <v>15598.47</v>
      </c>
      <c r="Q14" s="3108">
        <f>Q8+Q13</f>
        <v>15598.47</v>
      </c>
      <c r="R14" s="3054">
        <v>18</v>
      </c>
      <c r="S14" s="3054"/>
      <c r="T14" s="3054">
        <v>2143.58</v>
      </c>
      <c r="U14" s="3054">
        <f>U13+U8</f>
        <v>1461007</v>
      </c>
      <c r="V14" s="3081">
        <f>ROUND(U14/T14,0)</f>
        <v>682</v>
      </c>
      <c r="W14" s="3054">
        <v>166</v>
      </c>
      <c r="X14" s="3054">
        <v>8587.9</v>
      </c>
      <c r="Y14" s="3054" t="s">
        <v>1521</v>
      </c>
      <c r="Z14" s="3054" t="s">
        <v>1521</v>
      </c>
      <c r="AA14" s="3054"/>
      <c r="AB14" s="3054"/>
      <c r="AC14" s="3104"/>
      <c r="AD14" s="3104"/>
      <c r="AE14" s="3104"/>
      <c r="AF14" s="3104"/>
    </row>
    <row r="17" spans="2:3">
      <c r="B17" s="3110" t="s">
        <v>3285</v>
      </c>
    </row>
    <row r="23" spans="2:3" ht="15">
      <c r="B23" s="3136" t="s">
        <v>3317</v>
      </c>
      <c r="C23" s="3135" t="s">
        <v>1504</v>
      </c>
    </row>
    <row r="24" spans="2:3" ht="16.5">
      <c r="B24" s="3134" t="s">
        <v>3324</v>
      </c>
      <c r="C24" s="3135">
        <v>27351</v>
      </c>
    </row>
  </sheetData>
  <mergeCells count="38">
    <mergeCell ref="AA3:AA4"/>
    <mergeCell ref="AC9:AD13"/>
    <mergeCell ref="AE10:AF13"/>
    <mergeCell ref="D13:E13"/>
    <mergeCell ref="B14:E14"/>
    <mergeCell ref="Q5:Q7"/>
    <mergeCell ref="Q9:Q12"/>
    <mergeCell ref="B9:B13"/>
    <mergeCell ref="I9:I12"/>
    <mergeCell ref="O9:O12"/>
    <mergeCell ref="P9:P12"/>
    <mergeCell ref="S9:S12"/>
    <mergeCell ref="AA9:AA12"/>
    <mergeCell ref="AA5:AA7"/>
    <mergeCell ref="AC5:AD8"/>
    <mergeCell ref="AE5:AF8"/>
    <mergeCell ref="B5:B8"/>
    <mergeCell ref="I5:I7"/>
    <mergeCell ref="O5:O7"/>
    <mergeCell ref="P5:P7"/>
    <mergeCell ref="S5:S7"/>
    <mergeCell ref="D8:E8"/>
    <mergeCell ref="B2:AF2"/>
    <mergeCell ref="B3:B4"/>
    <mergeCell ref="C3:C4"/>
    <mergeCell ref="D3:D4"/>
    <mergeCell ref="E3:E4"/>
    <mergeCell ref="F3:F4"/>
    <mergeCell ref="G3:G4"/>
    <mergeCell ref="H3:H4"/>
    <mergeCell ref="I3:I4"/>
    <mergeCell ref="J3:L3"/>
    <mergeCell ref="AE3:AF4"/>
    <mergeCell ref="AC3:AD4"/>
    <mergeCell ref="M3:P3"/>
    <mergeCell ref="R3:V3"/>
    <mergeCell ref="W3:X3"/>
    <mergeCell ref="Y3:Z3"/>
  </mergeCells>
  <phoneticPr fontId="225"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4:AC35"/>
  <sheetViews>
    <sheetView topLeftCell="A13" workbookViewId="0">
      <selection activeCell="C33" sqref="C33:D33"/>
    </sheetView>
  </sheetViews>
  <sheetFormatPr defaultRowHeight="13.5"/>
  <cols>
    <col min="4" max="4" width="13.625" customWidth="1"/>
    <col min="5" max="5" width="0" hidden="1" customWidth="1"/>
    <col min="6" max="9" width="9" hidden="1" customWidth="1"/>
    <col min="13" max="21" width="0" hidden="1" customWidth="1"/>
    <col min="22" max="22" width="10.5" bestFit="1" customWidth="1"/>
  </cols>
  <sheetData>
    <row r="4" spans="2:29" ht="14.25">
      <c r="B4" s="3255" t="s">
        <v>3222</v>
      </c>
      <c r="C4" s="3256"/>
      <c r="D4" s="3256"/>
      <c r="E4" s="3256"/>
      <c r="F4" s="3256"/>
      <c r="G4" s="3256"/>
      <c r="H4" s="3256"/>
      <c r="I4" s="3256"/>
      <c r="J4" s="3256"/>
      <c r="K4" s="3256"/>
      <c r="L4" s="3256"/>
      <c r="M4" s="3256"/>
      <c r="N4" s="3256"/>
      <c r="O4" s="3256"/>
      <c r="P4" s="3256"/>
      <c r="Q4" s="3256"/>
      <c r="R4" s="3256"/>
      <c r="S4" s="3256"/>
      <c r="T4" s="3256"/>
      <c r="U4" s="3256"/>
      <c r="V4" s="3256"/>
      <c r="W4" s="3256"/>
      <c r="X4" s="3256"/>
      <c r="Y4" s="3256"/>
      <c r="Z4" s="3256"/>
      <c r="AA4" s="3256"/>
      <c r="AB4" s="3256"/>
      <c r="AC4" s="3078"/>
    </row>
    <row r="5" spans="2:29" ht="108" customHeight="1">
      <c r="B5" s="3294" t="s">
        <v>1484</v>
      </c>
      <c r="C5" s="3296" t="s">
        <v>1488</v>
      </c>
      <c r="D5" s="3296" t="s">
        <v>1489</v>
      </c>
      <c r="E5" s="3296" t="s">
        <v>1490</v>
      </c>
      <c r="F5" s="3296" t="s">
        <v>1491</v>
      </c>
      <c r="G5" s="3296"/>
      <c r="H5" s="3296"/>
      <c r="I5" s="3296" t="s">
        <v>1492</v>
      </c>
      <c r="J5" s="3296"/>
      <c r="K5" s="3296"/>
      <c r="L5" s="3296"/>
      <c r="M5" s="3296" t="s">
        <v>1493</v>
      </c>
      <c r="N5" s="3296"/>
      <c r="O5" s="3296"/>
      <c r="P5" s="3296"/>
      <c r="Q5" s="3296"/>
      <c r="R5" s="3296" t="s">
        <v>1494</v>
      </c>
      <c r="S5" s="3296"/>
      <c r="T5" s="3296" t="s">
        <v>1495</v>
      </c>
      <c r="U5" s="3296"/>
      <c r="V5" s="3306" t="s">
        <v>3246</v>
      </c>
      <c r="W5" s="3300" t="s">
        <v>1497</v>
      </c>
      <c r="X5" s="3269" t="s">
        <v>1498</v>
      </c>
      <c r="Y5" s="3269"/>
      <c r="Z5" s="3263" t="s">
        <v>1499</v>
      </c>
      <c r="AA5" s="3263"/>
      <c r="AB5" s="3298" t="s">
        <v>1499</v>
      </c>
      <c r="AC5" s="3078"/>
    </row>
    <row r="6" spans="2:29" ht="27">
      <c r="B6" s="3295"/>
      <c r="C6" s="3297"/>
      <c r="D6" s="3297"/>
      <c r="E6" s="3297"/>
      <c r="F6" s="3079" t="s">
        <v>1500</v>
      </c>
      <c r="G6" s="3079" t="s">
        <v>1501</v>
      </c>
      <c r="H6" s="3079" t="s">
        <v>1502</v>
      </c>
      <c r="I6" s="3079" t="s">
        <v>1503</v>
      </c>
      <c r="J6" s="3079" t="s">
        <v>1504</v>
      </c>
      <c r="K6" s="3079" t="s">
        <v>1505</v>
      </c>
      <c r="L6" s="3079" t="s">
        <v>1506</v>
      </c>
      <c r="M6" s="3079" t="s">
        <v>1507</v>
      </c>
      <c r="N6" s="3079" t="s">
        <v>1508</v>
      </c>
      <c r="O6" s="3079" t="s">
        <v>1509</v>
      </c>
      <c r="P6" s="3079" t="s">
        <v>1510</v>
      </c>
      <c r="Q6" s="3079" t="s">
        <v>1511</v>
      </c>
      <c r="R6" s="3079" t="s">
        <v>1512</v>
      </c>
      <c r="S6" s="3079" t="s">
        <v>1513</v>
      </c>
      <c r="T6" s="3079" t="s">
        <v>1514</v>
      </c>
      <c r="U6" s="3079" t="s">
        <v>1515</v>
      </c>
      <c r="V6" s="3307"/>
      <c r="W6" s="3301"/>
      <c r="X6" s="3302"/>
      <c r="Y6" s="3302"/>
      <c r="Z6" s="3263"/>
      <c r="AA6" s="3263"/>
      <c r="AB6" s="3299"/>
      <c r="AC6" s="3078"/>
    </row>
    <row r="7" spans="2:29">
      <c r="B7" s="3057" t="s">
        <v>3223</v>
      </c>
      <c r="C7" s="3057">
        <v>5</v>
      </c>
      <c r="D7" s="3057">
        <v>9683.7900000000009</v>
      </c>
      <c r="E7" s="3057" t="s">
        <v>1521</v>
      </c>
      <c r="F7" s="3057">
        <v>0</v>
      </c>
      <c r="G7" s="3057">
        <v>0</v>
      </c>
      <c r="H7" s="3057">
        <v>0</v>
      </c>
      <c r="I7" s="3057"/>
      <c r="J7" s="3057">
        <v>9683.7900000000009</v>
      </c>
      <c r="K7" s="3258">
        <v>99526.64</v>
      </c>
      <c r="L7" s="3057" t="s">
        <v>1521</v>
      </c>
      <c r="M7" s="3057">
        <v>1</v>
      </c>
      <c r="N7" s="3057" t="s">
        <v>1521</v>
      </c>
      <c r="O7" s="3057">
        <v>1939.31</v>
      </c>
      <c r="P7" s="3057">
        <v>0</v>
      </c>
      <c r="Q7" s="3057">
        <v>0</v>
      </c>
      <c r="R7" s="3057">
        <f>I7-M7</f>
        <v>-1</v>
      </c>
      <c r="S7" s="3057">
        <f>J7-O7</f>
        <v>7744.4800000000014</v>
      </c>
      <c r="T7" s="3057" t="s">
        <v>1521</v>
      </c>
      <c r="U7" s="3057" t="s">
        <v>1521</v>
      </c>
      <c r="V7" s="3089">
        <f>电商产业园!AB15</f>
        <v>9719.27</v>
      </c>
      <c r="W7" s="1268"/>
      <c r="X7" s="3293"/>
      <c r="Y7" s="3293"/>
      <c r="Z7" s="3289" t="s">
        <v>3224</v>
      </c>
      <c r="AA7" s="3290"/>
      <c r="AB7" s="3292" t="s">
        <v>3225</v>
      </c>
      <c r="AC7" s="3080"/>
    </row>
    <row r="8" spans="2:29">
      <c r="B8" s="3057" t="s">
        <v>3226</v>
      </c>
      <c r="C8" s="3057">
        <v>5</v>
      </c>
      <c r="D8" s="3057">
        <v>8324.7900000000009</v>
      </c>
      <c r="E8" s="3057" t="s">
        <v>1521</v>
      </c>
      <c r="F8" s="3057">
        <v>0</v>
      </c>
      <c r="G8" s="3057">
        <v>0</v>
      </c>
      <c r="H8" s="3057">
        <v>0</v>
      </c>
      <c r="I8" s="3057"/>
      <c r="J8" s="3057">
        <v>8324.7900000000009</v>
      </c>
      <c r="K8" s="3258"/>
      <c r="L8" s="3057" t="s">
        <v>1521</v>
      </c>
      <c r="M8" s="3057">
        <v>0</v>
      </c>
      <c r="N8" s="3057" t="s">
        <v>1521</v>
      </c>
      <c r="O8" s="3057">
        <v>0</v>
      </c>
      <c r="P8" s="3057">
        <v>0</v>
      </c>
      <c r="Q8" s="3057">
        <v>0</v>
      </c>
      <c r="R8" s="3057">
        <f t="shared" ref="R8:R25" si="0">I8-M8</f>
        <v>0</v>
      </c>
      <c r="S8" s="3057">
        <f t="shared" ref="S8:S25" si="1">J8-O8</f>
        <v>8324.7900000000009</v>
      </c>
      <c r="T8" s="3057" t="s">
        <v>1521</v>
      </c>
      <c r="U8" s="3057" t="s">
        <v>1521</v>
      </c>
      <c r="V8" s="3089">
        <f>电商产业园!AB16</f>
        <v>8360.27</v>
      </c>
      <c r="W8" s="1268"/>
      <c r="X8" s="3293"/>
      <c r="Y8" s="3293"/>
      <c r="Z8" s="3290"/>
      <c r="AA8" s="3290"/>
      <c r="AB8" s="3290"/>
      <c r="AC8" s="3080"/>
    </row>
    <row r="9" spans="2:29">
      <c r="B9" s="3057" t="s">
        <v>3227</v>
      </c>
      <c r="C9" s="3057">
        <v>170</v>
      </c>
      <c r="D9" s="3057">
        <v>17342.93</v>
      </c>
      <c r="E9" s="3057" t="s">
        <v>1521</v>
      </c>
      <c r="F9" s="3057">
        <v>0</v>
      </c>
      <c r="G9" s="3057">
        <v>0</v>
      </c>
      <c r="H9" s="3057">
        <v>0</v>
      </c>
      <c r="I9" s="3057"/>
      <c r="J9" s="3057">
        <v>17342.93</v>
      </c>
      <c r="K9" s="3258"/>
      <c r="L9" s="3057" t="s">
        <v>1521</v>
      </c>
      <c r="M9" s="3057">
        <v>170</v>
      </c>
      <c r="N9" s="3057" t="s">
        <v>1521</v>
      </c>
      <c r="O9" s="3057">
        <v>17342.93</v>
      </c>
      <c r="P9" s="3057">
        <v>1773743</v>
      </c>
      <c r="Q9" s="3057">
        <f t="shared" ref="Q9:Q14" si="2">ROUND(P9/O9,0)</f>
        <v>102</v>
      </c>
      <c r="R9" s="3057">
        <f t="shared" si="0"/>
        <v>-170</v>
      </c>
      <c r="S9" s="3057">
        <f t="shared" si="1"/>
        <v>0</v>
      </c>
      <c r="T9" s="3057" t="s">
        <v>1521</v>
      </c>
      <c r="U9" s="3057" t="s">
        <v>1521</v>
      </c>
      <c r="V9" s="3089">
        <f>电商产业园!AB17</f>
        <v>17920.22</v>
      </c>
      <c r="W9" s="1268"/>
      <c r="X9" s="3293"/>
      <c r="Y9" s="3293"/>
      <c r="Z9" s="3290"/>
      <c r="AA9" s="3290"/>
      <c r="AB9" s="3290"/>
      <c r="AC9" s="3080"/>
    </row>
    <row r="10" spans="2:29">
      <c r="B10" s="3057" t="s">
        <v>3228</v>
      </c>
      <c r="C10" s="3057">
        <v>5</v>
      </c>
      <c r="D10" s="3057">
        <v>13778.11</v>
      </c>
      <c r="E10" s="3057" t="s">
        <v>1521</v>
      </c>
      <c r="F10" s="3057">
        <v>0</v>
      </c>
      <c r="G10" s="3057">
        <v>0</v>
      </c>
      <c r="H10" s="3057">
        <v>0</v>
      </c>
      <c r="I10" s="3057"/>
      <c r="J10" s="3057">
        <v>13778.11</v>
      </c>
      <c r="K10" s="3258"/>
      <c r="L10" s="3057" t="s">
        <v>1521</v>
      </c>
      <c r="M10" s="3057">
        <v>5</v>
      </c>
      <c r="N10" s="3057" t="s">
        <v>1521</v>
      </c>
      <c r="O10" s="3057">
        <v>13778.11</v>
      </c>
      <c r="P10" s="3057">
        <v>494946</v>
      </c>
      <c r="Q10" s="3057">
        <f t="shared" si="2"/>
        <v>36</v>
      </c>
      <c r="R10" s="3057">
        <f t="shared" si="0"/>
        <v>-5</v>
      </c>
      <c r="S10" s="3057">
        <f t="shared" si="1"/>
        <v>0</v>
      </c>
      <c r="T10" s="3057" t="s">
        <v>1521</v>
      </c>
      <c r="U10" s="3057" t="s">
        <v>1521</v>
      </c>
      <c r="V10" s="3089">
        <f>电商产业园!AB18</f>
        <v>13843.22</v>
      </c>
      <c r="W10" s="1268"/>
      <c r="X10" s="3293"/>
      <c r="Y10" s="3293"/>
      <c r="Z10" s="3290"/>
      <c r="AA10" s="3290"/>
      <c r="AB10" s="3290"/>
      <c r="AC10" s="3080"/>
    </row>
    <row r="11" spans="2:29">
      <c r="B11" s="3057" t="s">
        <v>3229</v>
      </c>
      <c r="C11" s="3057">
        <v>125</v>
      </c>
      <c r="D11" s="3057">
        <v>17929.36</v>
      </c>
      <c r="E11" s="3057" t="s">
        <v>1521</v>
      </c>
      <c r="F11" s="3057">
        <v>0</v>
      </c>
      <c r="G11" s="3057">
        <v>0</v>
      </c>
      <c r="H11" s="3057">
        <v>0</v>
      </c>
      <c r="I11" s="3057"/>
      <c r="J11" s="3057">
        <v>17929.36</v>
      </c>
      <c r="K11" s="3258"/>
      <c r="L11" s="3057" t="s">
        <v>1521</v>
      </c>
      <c r="M11" s="3057">
        <v>109</v>
      </c>
      <c r="N11" s="3057" t="s">
        <v>1521</v>
      </c>
      <c r="O11" s="3057">
        <v>15085.44</v>
      </c>
      <c r="P11" s="3057">
        <v>1515447</v>
      </c>
      <c r="Q11" s="3057">
        <f t="shared" si="2"/>
        <v>100</v>
      </c>
      <c r="R11" s="3057">
        <f t="shared" si="0"/>
        <v>-109</v>
      </c>
      <c r="S11" s="3057">
        <f t="shared" si="1"/>
        <v>2843.92</v>
      </c>
      <c r="T11" s="3057" t="s">
        <v>1521</v>
      </c>
      <c r="U11" s="3057" t="s">
        <v>1521</v>
      </c>
      <c r="V11" s="3089">
        <f>电商产业园!AB19</f>
        <v>17920.22</v>
      </c>
      <c r="W11" s="1268"/>
      <c r="X11" s="3293"/>
      <c r="Y11" s="3293"/>
      <c r="Z11" s="3290"/>
      <c r="AA11" s="3290"/>
      <c r="AB11" s="3290"/>
      <c r="AC11" s="3080"/>
    </row>
    <row r="12" spans="2:29">
      <c r="B12" s="3057" t="s">
        <v>3230</v>
      </c>
      <c r="C12" s="3057">
        <v>5</v>
      </c>
      <c r="D12" s="3057">
        <v>17568.39</v>
      </c>
      <c r="E12" s="3057" t="s">
        <v>1521</v>
      </c>
      <c r="F12" s="3057">
        <v>0</v>
      </c>
      <c r="G12" s="3057">
        <v>0</v>
      </c>
      <c r="H12" s="3057">
        <v>0</v>
      </c>
      <c r="I12" s="3057"/>
      <c r="J12" s="3057">
        <v>17568.39</v>
      </c>
      <c r="K12" s="3258"/>
      <c r="L12" s="3057" t="s">
        <v>1521</v>
      </c>
      <c r="M12" s="3057">
        <v>5</v>
      </c>
      <c r="N12" s="3057" t="s">
        <v>1521</v>
      </c>
      <c r="O12" s="3057">
        <v>17568.39</v>
      </c>
      <c r="P12" s="3057">
        <v>1677233</v>
      </c>
      <c r="Q12" s="3057">
        <f t="shared" si="2"/>
        <v>95</v>
      </c>
      <c r="R12" s="3057">
        <f t="shared" si="0"/>
        <v>-5</v>
      </c>
      <c r="S12" s="3057">
        <f t="shared" si="1"/>
        <v>0</v>
      </c>
      <c r="T12" s="3057" t="s">
        <v>1521</v>
      </c>
      <c r="U12" s="3057" t="s">
        <v>1521</v>
      </c>
      <c r="V12" s="3089">
        <f>电商产业园!AB20</f>
        <v>17920.22</v>
      </c>
      <c r="W12" s="1268"/>
      <c r="X12" s="3293"/>
      <c r="Y12" s="3293"/>
      <c r="Z12" s="3290"/>
      <c r="AA12" s="3290"/>
      <c r="AB12" s="3290"/>
      <c r="AC12" s="3080"/>
    </row>
    <row r="13" spans="2:29">
      <c r="B13" s="3057" t="s">
        <v>3231</v>
      </c>
      <c r="C13" s="3057">
        <v>5</v>
      </c>
      <c r="D13" s="3057">
        <v>13826.31</v>
      </c>
      <c r="E13" s="3057" t="s">
        <v>1521</v>
      </c>
      <c r="F13" s="3057">
        <v>0</v>
      </c>
      <c r="G13" s="3057">
        <v>0</v>
      </c>
      <c r="H13" s="3057">
        <v>0</v>
      </c>
      <c r="I13" s="3057"/>
      <c r="J13" s="3057">
        <v>13826.31</v>
      </c>
      <c r="K13" s="3258"/>
      <c r="L13" s="3057" t="s">
        <v>1521</v>
      </c>
      <c r="M13" s="3057">
        <v>5</v>
      </c>
      <c r="N13" s="3057" t="s">
        <v>1521</v>
      </c>
      <c r="O13" s="3057">
        <v>13826.31</v>
      </c>
      <c r="P13" s="3057">
        <v>1326937</v>
      </c>
      <c r="Q13" s="3057">
        <f t="shared" si="2"/>
        <v>96</v>
      </c>
      <c r="R13" s="3057">
        <f t="shared" si="0"/>
        <v>-5</v>
      </c>
      <c r="S13" s="3057">
        <f t="shared" si="1"/>
        <v>0</v>
      </c>
      <c r="T13" s="3057" t="s">
        <v>1521</v>
      </c>
      <c r="U13" s="3057" t="s">
        <v>1521</v>
      </c>
      <c r="V13" s="3089">
        <f>电商产业园!AB21</f>
        <v>13843.22</v>
      </c>
      <c r="W13" s="1268"/>
      <c r="X13" s="3293"/>
      <c r="Y13" s="3293"/>
      <c r="Z13" s="3290"/>
      <c r="AA13" s="3290"/>
      <c r="AB13" s="3290"/>
      <c r="AC13" s="3080"/>
    </row>
    <row r="14" spans="2:29" ht="27">
      <c r="B14" s="3081" t="s">
        <v>3232</v>
      </c>
      <c r="C14" s="3054">
        <v>320</v>
      </c>
      <c r="D14" s="3054">
        <f>SUM(D7:D13)</f>
        <v>98453.680000000008</v>
      </c>
      <c r="E14" s="3054" t="s">
        <v>1521</v>
      </c>
      <c r="F14" s="3054">
        <v>0</v>
      </c>
      <c r="G14" s="3054">
        <v>0</v>
      </c>
      <c r="H14" s="3054">
        <v>0</v>
      </c>
      <c r="I14" s="3054"/>
      <c r="J14" s="3054">
        <f>SUM(J7:J13)</f>
        <v>98453.680000000008</v>
      </c>
      <c r="K14" s="3082">
        <v>99526.64</v>
      </c>
      <c r="L14" s="3054" t="s">
        <v>1521</v>
      </c>
      <c r="M14" s="3054">
        <v>295</v>
      </c>
      <c r="N14" s="3054" t="s">
        <v>1521</v>
      </c>
      <c r="O14" s="3054">
        <v>79540.490000000005</v>
      </c>
      <c r="P14" s="3054">
        <f>P13+P12+P11+P10+P9+P8+P7</f>
        <v>6788306</v>
      </c>
      <c r="Q14" s="3054">
        <f t="shared" si="2"/>
        <v>85</v>
      </c>
      <c r="R14" s="3054">
        <f t="shared" si="0"/>
        <v>-295</v>
      </c>
      <c r="S14" s="3054">
        <f t="shared" si="1"/>
        <v>18913.190000000002</v>
      </c>
      <c r="T14" s="3054" t="s">
        <v>1521</v>
      </c>
      <c r="U14" s="3054" t="s">
        <v>1521</v>
      </c>
      <c r="V14" s="3054">
        <f>电商产业园!AB22</f>
        <v>99526.640000000014</v>
      </c>
      <c r="W14" s="3083"/>
      <c r="X14" s="3084"/>
      <c r="Y14" s="3084"/>
      <c r="Z14" s="3291"/>
      <c r="AA14" s="3291"/>
      <c r="AB14" s="3291"/>
      <c r="AC14" s="3080"/>
    </row>
    <row r="15" spans="2:29">
      <c r="B15" s="3057" t="s">
        <v>3233</v>
      </c>
      <c r="C15" s="3085">
        <v>5</v>
      </c>
      <c r="D15" s="3086">
        <v>15947.21</v>
      </c>
      <c r="E15" s="3057" t="s">
        <v>1521</v>
      </c>
      <c r="F15" s="3057">
        <v>0</v>
      </c>
      <c r="G15" s="3057">
        <v>0</v>
      </c>
      <c r="H15" s="3057">
        <v>0</v>
      </c>
      <c r="I15" s="3057"/>
      <c r="J15" s="3057">
        <v>11461.16</v>
      </c>
      <c r="K15" s="3258">
        <v>126326.11</v>
      </c>
      <c r="L15" s="3057" t="s">
        <v>1521</v>
      </c>
      <c r="M15" s="3057">
        <v>0</v>
      </c>
      <c r="N15" s="3057" t="s">
        <v>1521</v>
      </c>
      <c r="O15" s="3057">
        <v>0</v>
      </c>
      <c r="P15" s="3057">
        <v>0</v>
      </c>
      <c r="Q15" s="3057">
        <v>0</v>
      </c>
      <c r="R15" s="3057">
        <f t="shared" si="0"/>
        <v>0</v>
      </c>
      <c r="S15" s="3057">
        <f t="shared" si="1"/>
        <v>11461.16</v>
      </c>
      <c r="T15" s="3057" t="s">
        <v>1521</v>
      </c>
      <c r="U15" s="3057" t="s">
        <v>1521</v>
      </c>
      <c r="V15" s="3089">
        <f>浙商产业园!AA14</f>
        <v>16561.22</v>
      </c>
      <c r="W15" s="1268"/>
      <c r="X15" s="3293"/>
      <c r="Y15" s="3293"/>
      <c r="Z15" s="3289" t="s">
        <v>3234</v>
      </c>
      <c r="AA15" s="3290"/>
      <c r="AB15" s="3292" t="s">
        <v>3235</v>
      </c>
      <c r="AC15" s="3080"/>
    </row>
    <row r="16" spans="2:29">
      <c r="B16" s="3057" t="s">
        <v>3236</v>
      </c>
      <c r="C16" s="3085">
        <v>4</v>
      </c>
      <c r="D16" s="3086">
        <v>4513.57</v>
      </c>
      <c r="E16" s="3057" t="s">
        <v>1521</v>
      </c>
      <c r="F16" s="3057">
        <v>0</v>
      </c>
      <c r="G16" s="3057">
        <v>0</v>
      </c>
      <c r="H16" s="3057">
        <v>0</v>
      </c>
      <c r="I16" s="3057"/>
      <c r="J16" s="3057">
        <v>4513.57</v>
      </c>
      <c r="K16" s="3258"/>
      <c r="L16" s="3057" t="s">
        <v>1521</v>
      </c>
      <c r="M16" s="3057">
        <v>0</v>
      </c>
      <c r="N16" s="3057" t="s">
        <v>1521</v>
      </c>
      <c r="O16" s="3057">
        <v>0</v>
      </c>
      <c r="P16" s="3057">
        <v>0</v>
      </c>
      <c r="Q16" s="3057">
        <v>0</v>
      </c>
      <c r="R16" s="3057">
        <f t="shared" si="0"/>
        <v>0</v>
      </c>
      <c r="S16" s="3057">
        <f t="shared" si="1"/>
        <v>4513.57</v>
      </c>
      <c r="T16" s="3057" t="s">
        <v>1521</v>
      </c>
      <c r="U16" s="3057" t="s">
        <v>1521</v>
      </c>
      <c r="V16" s="3089">
        <f>浙商产业园!AA15</f>
        <v>4549.03</v>
      </c>
      <c r="W16" s="1268"/>
      <c r="X16" s="3293"/>
      <c r="Y16" s="3293"/>
      <c r="Z16" s="3290"/>
      <c r="AA16" s="3290"/>
      <c r="AB16" s="3290"/>
      <c r="AC16" s="3080"/>
    </row>
    <row r="17" spans="2:29">
      <c r="B17" s="3057" t="s">
        <v>3237</v>
      </c>
      <c r="C17" s="3085">
        <v>5</v>
      </c>
      <c r="D17" s="3086">
        <v>9683.7900000000009</v>
      </c>
      <c r="E17" s="3057" t="s">
        <v>1521</v>
      </c>
      <c r="F17" s="3057">
        <v>0</v>
      </c>
      <c r="G17" s="3057">
        <v>0</v>
      </c>
      <c r="H17" s="3057">
        <v>0</v>
      </c>
      <c r="I17" s="3057"/>
      <c r="J17" s="3057">
        <v>9683.7900000000009</v>
      </c>
      <c r="K17" s="3258"/>
      <c r="L17" s="3057" t="s">
        <v>1521</v>
      </c>
      <c r="M17" s="3057">
        <v>0</v>
      </c>
      <c r="N17" s="3057" t="s">
        <v>1521</v>
      </c>
      <c r="O17" s="3057">
        <v>0</v>
      </c>
      <c r="P17" s="3057">
        <v>0</v>
      </c>
      <c r="Q17" s="3057">
        <v>0</v>
      </c>
      <c r="R17" s="3057">
        <f t="shared" si="0"/>
        <v>0</v>
      </c>
      <c r="S17" s="3057">
        <f t="shared" si="1"/>
        <v>9683.7900000000009</v>
      </c>
      <c r="T17" s="3057" t="s">
        <v>1521</v>
      </c>
      <c r="U17" s="3057" t="s">
        <v>1521</v>
      </c>
      <c r="V17" s="3089">
        <f>浙商产业园!AA16</f>
        <v>9719.27</v>
      </c>
      <c r="W17" s="1268"/>
      <c r="X17" s="3293"/>
      <c r="Y17" s="3293"/>
      <c r="Z17" s="3290"/>
      <c r="AA17" s="3290"/>
      <c r="AB17" s="3290"/>
      <c r="AC17" s="3080"/>
    </row>
    <row r="18" spans="2:29">
      <c r="B18" s="3057" t="s">
        <v>3238</v>
      </c>
      <c r="C18" s="3085">
        <v>5</v>
      </c>
      <c r="D18" s="3086">
        <v>9683.7900000000009</v>
      </c>
      <c r="E18" s="3057" t="s">
        <v>1521</v>
      </c>
      <c r="F18" s="3057">
        <v>0</v>
      </c>
      <c r="G18" s="3057">
        <v>0</v>
      </c>
      <c r="H18" s="3057">
        <v>0</v>
      </c>
      <c r="I18" s="3057"/>
      <c r="J18" s="3057">
        <v>9683.7900000000009</v>
      </c>
      <c r="K18" s="3258"/>
      <c r="L18" s="3057" t="s">
        <v>1521</v>
      </c>
      <c r="M18" s="3057">
        <v>0</v>
      </c>
      <c r="N18" s="3057" t="s">
        <v>1521</v>
      </c>
      <c r="O18" s="3057">
        <v>0</v>
      </c>
      <c r="P18" s="3057">
        <v>0</v>
      </c>
      <c r="Q18" s="3057">
        <v>0</v>
      </c>
      <c r="R18" s="3057">
        <f t="shared" si="0"/>
        <v>0</v>
      </c>
      <c r="S18" s="3057">
        <f t="shared" si="1"/>
        <v>9683.7900000000009</v>
      </c>
      <c r="T18" s="3057" t="s">
        <v>1521</v>
      </c>
      <c r="U18" s="3057" t="s">
        <v>1521</v>
      </c>
      <c r="V18" s="3089">
        <f>浙商产业园!AA17</f>
        <v>9719.27</v>
      </c>
      <c r="W18" s="1268"/>
      <c r="X18" s="3293"/>
      <c r="Y18" s="3293"/>
      <c r="Z18" s="3290"/>
      <c r="AA18" s="3290"/>
      <c r="AB18" s="3290"/>
      <c r="AC18" s="3080"/>
    </row>
    <row r="19" spans="2:29">
      <c r="B19" s="3057" t="s">
        <v>3239</v>
      </c>
      <c r="C19" s="3085">
        <v>5</v>
      </c>
      <c r="D19" s="3086">
        <v>13778.11</v>
      </c>
      <c r="E19" s="3057" t="s">
        <v>1521</v>
      </c>
      <c r="F19" s="3057">
        <v>0</v>
      </c>
      <c r="G19" s="3057">
        <v>0</v>
      </c>
      <c r="H19" s="3057">
        <v>0</v>
      </c>
      <c r="I19" s="3057"/>
      <c r="J19" s="3057">
        <v>8041.58</v>
      </c>
      <c r="K19" s="3258"/>
      <c r="L19" s="3057" t="s">
        <v>1521</v>
      </c>
      <c r="M19" s="3057">
        <v>0</v>
      </c>
      <c r="N19" s="3057" t="s">
        <v>1521</v>
      </c>
      <c r="O19" s="3057">
        <v>0</v>
      </c>
      <c r="P19" s="3057">
        <v>0</v>
      </c>
      <c r="Q19" s="3057">
        <v>0</v>
      </c>
      <c r="R19" s="3057">
        <f t="shared" si="0"/>
        <v>0</v>
      </c>
      <c r="S19" s="3057">
        <f t="shared" si="1"/>
        <v>8041.58</v>
      </c>
      <c r="T19" s="3057" t="s">
        <v>1521</v>
      </c>
      <c r="U19" s="3057" t="s">
        <v>1521</v>
      </c>
      <c r="V19" s="3089">
        <f>浙商产业园!AA18</f>
        <v>13843.22</v>
      </c>
      <c r="W19" s="1268"/>
      <c r="X19" s="3293"/>
      <c r="Y19" s="3293"/>
      <c r="Z19" s="3290"/>
      <c r="AA19" s="3290"/>
      <c r="AB19" s="3290"/>
      <c r="AC19" s="3080"/>
    </row>
    <row r="20" spans="2:29">
      <c r="B20" s="3057" t="s">
        <v>3240</v>
      </c>
      <c r="C20" s="3085">
        <v>5</v>
      </c>
      <c r="D20" s="3086">
        <v>13544.88</v>
      </c>
      <c r="E20" s="3057" t="s">
        <v>1521</v>
      </c>
      <c r="F20" s="3057">
        <v>0</v>
      </c>
      <c r="G20" s="3057">
        <v>0</v>
      </c>
      <c r="H20" s="3057">
        <v>0</v>
      </c>
      <c r="I20" s="3057"/>
      <c r="J20" s="3057">
        <v>8914.77</v>
      </c>
      <c r="K20" s="3258"/>
      <c r="L20" s="3057" t="s">
        <v>1521</v>
      </c>
      <c r="M20" s="3057">
        <v>0</v>
      </c>
      <c r="N20" s="3057" t="s">
        <v>1521</v>
      </c>
      <c r="O20" s="3057">
        <v>0</v>
      </c>
      <c r="P20" s="3057">
        <v>0</v>
      </c>
      <c r="Q20" s="3057">
        <v>0</v>
      </c>
      <c r="R20" s="3057">
        <f t="shared" si="0"/>
        <v>0</v>
      </c>
      <c r="S20" s="3057">
        <f t="shared" si="1"/>
        <v>8914.77</v>
      </c>
      <c r="T20" s="3057" t="s">
        <v>1521</v>
      </c>
      <c r="U20" s="3057" t="s">
        <v>1521</v>
      </c>
      <c r="V20" s="3089">
        <f>浙商产业园!AA19</f>
        <v>13843.22</v>
      </c>
      <c r="W20" s="1268"/>
      <c r="X20" s="3293"/>
      <c r="Y20" s="3293"/>
      <c r="Z20" s="3290"/>
      <c r="AA20" s="3290"/>
      <c r="AB20" s="3290"/>
      <c r="AC20" s="3080"/>
    </row>
    <row r="21" spans="2:29">
      <c r="B21" s="3057" t="s">
        <v>3241</v>
      </c>
      <c r="C21" s="3085">
        <v>5</v>
      </c>
      <c r="D21" s="3086">
        <v>13778.11</v>
      </c>
      <c r="E21" s="3057" t="s">
        <v>1521</v>
      </c>
      <c r="F21" s="3057">
        <v>0</v>
      </c>
      <c r="G21" s="3057">
        <v>0</v>
      </c>
      <c r="H21" s="3057">
        <v>0</v>
      </c>
      <c r="I21" s="3057"/>
      <c r="J21" s="3057">
        <v>8894.7199999999993</v>
      </c>
      <c r="K21" s="3258"/>
      <c r="L21" s="3057" t="s">
        <v>1521</v>
      </c>
      <c r="M21" s="3057">
        <v>0</v>
      </c>
      <c r="N21" s="3057" t="s">
        <v>1521</v>
      </c>
      <c r="O21" s="3057">
        <v>0</v>
      </c>
      <c r="P21" s="3057">
        <v>0</v>
      </c>
      <c r="Q21" s="3057">
        <v>0</v>
      </c>
      <c r="R21" s="3057">
        <f t="shared" si="0"/>
        <v>0</v>
      </c>
      <c r="S21" s="3057">
        <f t="shared" si="1"/>
        <v>8894.7199999999993</v>
      </c>
      <c r="T21" s="3057" t="s">
        <v>1521</v>
      </c>
      <c r="U21" s="3057" t="s">
        <v>1521</v>
      </c>
      <c r="V21" s="3089">
        <f>浙商产业园!AA20</f>
        <v>13843.22</v>
      </c>
      <c r="W21" s="1268"/>
      <c r="X21" s="3293"/>
      <c r="Y21" s="3293"/>
      <c r="Z21" s="3290"/>
      <c r="AA21" s="3290"/>
      <c r="AB21" s="3290"/>
      <c r="AC21" s="3080"/>
    </row>
    <row r="22" spans="2:29">
      <c r="B22" s="3057" t="s">
        <v>3242</v>
      </c>
      <c r="C22" s="3085">
        <v>5</v>
      </c>
      <c r="D22" s="3086">
        <v>13778.11</v>
      </c>
      <c r="E22" s="3057" t="s">
        <v>1521</v>
      </c>
      <c r="F22" s="3057">
        <v>0</v>
      </c>
      <c r="G22" s="3057">
        <v>0</v>
      </c>
      <c r="H22" s="3057">
        <v>0</v>
      </c>
      <c r="I22" s="3057"/>
      <c r="J22" s="3057">
        <v>13778.11</v>
      </c>
      <c r="K22" s="3258"/>
      <c r="L22" s="3057" t="s">
        <v>1521</v>
      </c>
      <c r="M22" s="3057">
        <v>0</v>
      </c>
      <c r="N22" s="3057" t="s">
        <v>1521</v>
      </c>
      <c r="O22" s="3057">
        <v>0</v>
      </c>
      <c r="P22" s="3057">
        <v>0</v>
      </c>
      <c r="Q22" s="3057">
        <v>0</v>
      </c>
      <c r="R22" s="3057">
        <f t="shared" si="0"/>
        <v>0</v>
      </c>
      <c r="S22" s="3057">
        <f t="shared" si="1"/>
        <v>13778.11</v>
      </c>
      <c r="T22" s="3057" t="s">
        <v>1521</v>
      </c>
      <c r="U22" s="3057" t="s">
        <v>1521</v>
      </c>
      <c r="V22" s="3089">
        <f>浙商产业园!AA21</f>
        <v>13843.22</v>
      </c>
      <c r="W22" s="1268"/>
      <c r="X22" s="3293"/>
      <c r="Y22" s="3293"/>
      <c r="Z22" s="3290"/>
      <c r="AA22" s="3290"/>
      <c r="AB22" s="3290"/>
      <c r="AC22" s="3080"/>
    </row>
    <row r="23" spans="2:29">
      <c r="B23" s="3057" t="s">
        <v>3243</v>
      </c>
      <c r="C23" s="3085">
        <v>5</v>
      </c>
      <c r="D23" s="3086">
        <v>13544.78</v>
      </c>
      <c r="E23" s="3057" t="s">
        <v>1521</v>
      </c>
      <c r="F23" s="3057">
        <v>0</v>
      </c>
      <c r="G23" s="3057">
        <v>0</v>
      </c>
      <c r="H23" s="3057">
        <v>0</v>
      </c>
      <c r="I23" s="3057"/>
      <c r="J23" s="3057">
        <v>13544.78</v>
      </c>
      <c r="K23" s="3258"/>
      <c r="L23" s="3057" t="s">
        <v>1521</v>
      </c>
      <c r="M23" s="3057">
        <v>0</v>
      </c>
      <c r="N23" s="3057" t="s">
        <v>1521</v>
      </c>
      <c r="O23" s="3057">
        <v>0</v>
      </c>
      <c r="P23" s="3057">
        <v>0</v>
      </c>
      <c r="Q23" s="3057">
        <v>0</v>
      </c>
      <c r="R23" s="3057">
        <f t="shared" si="0"/>
        <v>0</v>
      </c>
      <c r="S23" s="3057">
        <f t="shared" si="1"/>
        <v>13544.78</v>
      </c>
      <c r="T23" s="3057" t="s">
        <v>1521</v>
      </c>
      <c r="U23" s="3057" t="s">
        <v>1521</v>
      </c>
      <c r="V23" s="3089">
        <f>浙商产业园!AA22</f>
        <v>13843.22</v>
      </c>
      <c r="W23" s="1268"/>
      <c r="X23" s="3293"/>
      <c r="Y23" s="3293"/>
      <c r="Z23" s="3290"/>
      <c r="AA23" s="3290"/>
      <c r="AB23" s="3290"/>
      <c r="AC23" s="3080"/>
    </row>
    <row r="24" spans="2:29">
      <c r="B24" s="3057" t="s">
        <v>3244</v>
      </c>
      <c r="C24" s="3085">
        <v>5</v>
      </c>
      <c r="D24" s="3086">
        <v>16498.2</v>
      </c>
      <c r="E24" s="3057" t="s">
        <v>1521</v>
      </c>
      <c r="F24" s="3057">
        <v>0</v>
      </c>
      <c r="G24" s="3057">
        <v>0</v>
      </c>
      <c r="H24" s="3057">
        <v>0</v>
      </c>
      <c r="I24" s="3057"/>
      <c r="J24" s="3057">
        <v>16498.2</v>
      </c>
      <c r="K24" s="3258"/>
      <c r="L24" s="3057" t="s">
        <v>1521</v>
      </c>
      <c r="M24" s="3057">
        <v>0</v>
      </c>
      <c r="N24" s="3057" t="s">
        <v>1521</v>
      </c>
      <c r="O24" s="3057">
        <v>0</v>
      </c>
      <c r="P24" s="3057">
        <v>0</v>
      </c>
      <c r="Q24" s="3057">
        <v>0</v>
      </c>
      <c r="R24" s="3057">
        <f t="shared" si="0"/>
        <v>0</v>
      </c>
      <c r="S24" s="3057">
        <f t="shared" si="1"/>
        <v>16498.2</v>
      </c>
      <c r="T24" s="3057" t="s">
        <v>1521</v>
      </c>
      <c r="U24" s="3057" t="s">
        <v>1521</v>
      </c>
      <c r="V24" s="3089">
        <f>浙商产业园!AA23</f>
        <v>16561.22</v>
      </c>
      <c r="W24" s="1268"/>
      <c r="X24" s="3293"/>
      <c r="Y24" s="3293"/>
      <c r="Z24" s="3290"/>
      <c r="AA24" s="3290"/>
      <c r="AB24" s="3290"/>
      <c r="AC24" s="3080"/>
    </row>
    <row r="25" spans="2:29" ht="27">
      <c r="B25" s="3081" t="s">
        <v>3245</v>
      </c>
      <c r="C25" s="3081">
        <f>SUM(C15:C24)</f>
        <v>49</v>
      </c>
      <c r="D25" s="3081">
        <f>SUM(D7:D13)</f>
        <v>98453.680000000008</v>
      </c>
      <c r="E25" s="3054" t="s">
        <v>1521</v>
      </c>
      <c r="F25" s="3054">
        <v>0</v>
      </c>
      <c r="G25" s="3054">
        <v>0</v>
      </c>
      <c r="H25" s="3054">
        <v>0</v>
      </c>
      <c r="I25" s="3054"/>
      <c r="J25" s="3054">
        <f>SUM(J15:J24)</f>
        <v>105014.47</v>
      </c>
      <c r="K25" s="3087">
        <v>126326.11</v>
      </c>
      <c r="L25" s="3054" t="s">
        <v>1521</v>
      </c>
      <c r="M25" s="3054">
        <v>0</v>
      </c>
      <c r="N25" s="3054" t="s">
        <v>1521</v>
      </c>
      <c r="O25" s="3054">
        <v>0</v>
      </c>
      <c r="P25" s="3054">
        <v>0</v>
      </c>
      <c r="Q25" s="3054">
        <v>0</v>
      </c>
      <c r="R25" s="3054">
        <f t="shared" si="0"/>
        <v>0</v>
      </c>
      <c r="S25" s="3054">
        <f t="shared" si="1"/>
        <v>105014.47</v>
      </c>
      <c r="T25" s="3054" t="s">
        <v>1521</v>
      </c>
      <c r="U25" s="3054" t="s">
        <v>1521</v>
      </c>
      <c r="V25" s="3090">
        <f>浙商产业园!AA24</f>
        <v>126326.11</v>
      </c>
      <c r="W25" s="3083"/>
      <c r="X25" s="3084"/>
      <c r="Y25" s="3084"/>
      <c r="Z25" s="3291"/>
      <c r="AA25" s="3291"/>
      <c r="AB25" s="3291"/>
      <c r="AC25" s="3080"/>
    </row>
    <row r="26" spans="2:29">
      <c r="B26" s="3303" t="s">
        <v>3029</v>
      </c>
      <c r="C26" s="3304"/>
      <c r="D26" s="3304"/>
      <c r="E26" s="3305"/>
      <c r="F26" s="3304"/>
      <c r="G26" s="3304"/>
      <c r="H26" s="3304"/>
      <c r="I26" s="3304"/>
      <c r="J26" s="3304"/>
      <c r="K26" s="3304"/>
      <c r="L26" s="3304"/>
      <c r="M26" s="3304"/>
      <c r="N26" s="3304"/>
      <c r="O26" s="3304"/>
      <c r="P26" s="3304"/>
      <c r="Q26" s="3304"/>
      <c r="R26" s="3304"/>
      <c r="S26" s="3304"/>
      <c r="T26" s="3304"/>
      <c r="U26" s="3304"/>
      <c r="V26" s="3304"/>
      <c r="W26" s="3304"/>
      <c r="X26" s="3304"/>
      <c r="Y26" s="3304"/>
      <c r="Z26" s="3304"/>
      <c r="AA26" s="3088"/>
      <c r="AB26" s="3088"/>
      <c r="AC26" s="3080"/>
    </row>
    <row r="27" spans="2:29">
      <c r="B27" s="3088"/>
      <c r="C27" s="3088"/>
      <c r="D27" s="3088"/>
      <c r="E27" s="3088"/>
      <c r="F27" s="3088"/>
      <c r="G27" s="3088"/>
      <c r="H27" s="3088"/>
      <c r="I27" s="3088"/>
      <c r="J27" s="3088"/>
      <c r="K27" s="3088"/>
      <c r="L27" s="3088"/>
      <c r="M27" s="3088"/>
      <c r="N27" s="3088"/>
      <c r="O27" s="3088"/>
      <c r="P27" s="3088"/>
      <c r="Q27" s="3088"/>
      <c r="R27" s="3088"/>
      <c r="S27" s="3088"/>
      <c r="T27" s="3088"/>
      <c r="U27" s="3088"/>
      <c r="V27" s="3088"/>
      <c r="W27" s="3088"/>
      <c r="X27" s="3088"/>
      <c r="Y27" s="3088"/>
      <c r="Z27" s="3088"/>
      <c r="AA27" s="3088"/>
      <c r="AB27" s="3088"/>
      <c r="AC27" s="3080"/>
    </row>
    <row r="28" spans="2:29">
      <c r="B28" s="3110" t="s">
        <v>3287</v>
      </c>
      <c r="C28" s="3088"/>
      <c r="D28" s="3088"/>
      <c r="E28" s="3088"/>
      <c r="F28" s="3088"/>
      <c r="G28" s="3088"/>
      <c r="H28" s="3088"/>
      <c r="I28" s="3088"/>
      <c r="J28" s="3088"/>
      <c r="K28" s="3088"/>
      <c r="L28" s="3088"/>
      <c r="M28" s="3088"/>
      <c r="N28" s="3088"/>
      <c r="O28" s="3088"/>
      <c r="P28" s="3088"/>
      <c r="Q28" s="3088"/>
      <c r="R28" s="3088"/>
      <c r="S28" s="3088"/>
      <c r="T28" s="3088"/>
      <c r="U28" s="3088"/>
      <c r="V28" s="3088"/>
      <c r="W28" s="3088"/>
      <c r="X28" s="3088"/>
      <c r="Y28" s="3088"/>
      <c r="Z28" s="3088"/>
      <c r="AA28" s="3088"/>
      <c r="AB28" s="3088"/>
      <c r="AC28" s="3080"/>
    </row>
    <row r="32" spans="2:29">
      <c r="B32" s="3138" t="s">
        <v>3303</v>
      </c>
    </row>
    <row r="33" spans="2:4" ht="15">
      <c r="B33" s="3136" t="s">
        <v>2105</v>
      </c>
      <c r="C33" s="3136" t="s">
        <v>3317</v>
      </c>
      <c r="D33" s="3135" t="s">
        <v>1504</v>
      </c>
    </row>
    <row r="34" spans="2:4" ht="33">
      <c r="B34" s="3142">
        <v>7</v>
      </c>
      <c r="C34" s="3142" t="s">
        <v>3322</v>
      </c>
      <c r="D34" s="3135">
        <v>124750.55</v>
      </c>
    </row>
    <row r="35" spans="2:4" ht="33">
      <c r="B35" s="3142">
        <v>8</v>
      </c>
      <c r="C35" s="3142" t="s">
        <v>3323</v>
      </c>
      <c r="D35" s="3135">
        <v>98453.68</v>
      </c>
    </row>
  </sheetData>
  <mergeCells count="39">
    <mergeCell ref="B26:Z26"/>
    <mergeCell ref="V5:V6"/>
    <mergeCell ref="Z15:AA25"/>
    <mergeCell ref="AB15:AB25"/>
    <mergeCell ref="X16:Y16"/>
    <mergeCell ref="X17:Y17"/>
    <mergeCell ref="X18:Y18"/>
    <mergeCell ref="X19:Y19"/>
    <mergeCell ref="X20:Y20"/>
    <mergeCell ref="X21:Y21"/>
    <mergeCell ref="X22:Y22"/>
    <mergeCell ref="X23:Y23"/>
    <mergeCell ref="X10:Y10"/>
    <mergeCell ref="X11:Y11"/>
    <mergeCell ref="X12:Y12"/>
    <mergeCell ref="X13:Y13"/>
    <mergeCell ref="K15:K24"/>
    <mergeCell ref="X15:Y15"/>
    <mergeCell ref="X24:Y24"/>
    <mergeCell ref="W5:W6"/>
    <mergeCell ref="X5:Y6"/>
    <mergeCell ref="K7:K13"/>
    <mergeCell ref="X7:Y7"/>
    <mergeCell ref="Z7:AA14"/>
    <mergeCell ref="AB7:AB14"/>
    <mergeCell ref="X8:Y8"/>
    <mergeCell ref="X9:Y9"/>
    <mergeCell ref="B4:AB4"/>
    <mergeCell ref="B5:B6"/>
    <mergeCell ref="C5:C6"/>
    <mergeCell ref="D5:D6"/>
    <mergeCell ref="E5:E6"/>
    <mergeCell ref="F5:H5"/>
    <mergeCell ref="I5:L5"/>
    <mergeCell ref="M5:Q5"/>
    <mergeCell ref="R5:S5"/>
    <mergeCell ref="T5:U5"/>
    <mergeCell ref="Z5:AA6"/>
    <mergeCell ref="AB5:AB6"/>
  </mergeCells>
  <phoneticPr fontId="225"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Z48"/>
  <sheetViews>
    <sheetView topLeftCell="A13" zoomScale="85" zoomScaleNormal="85" workbookViewId="0">
      <selection activeCell="B44" sqref="B44"/>
    </sheetView>
  </sheetViews>
  <sheetFormatPr defaultRowHeight="13.5"/>
  <cols>
    <col min="6" max="6" width="11.75" customWidth="1"/>
    <col min="7" max="9" width="9" customWidth="1"/>
    <col min="12" max="12" width="13.125" customWidth="1"/>
    <col min="14" max="22" width="9" customWidth="1"/>
    <col min="23" max="23" width="18.625" customWidth="1"/>
    <col min="24" max="24" width="35.375" customWidth="1"/>
  </cols>
  <sheetData>
    <row r="1" spans="2:26">
      <c r="B1" s="3315" t="s">
        <v>2989</v>
      </c>
      <c r="C1" s="3315"/>
      <c r="D1" s="3315"/>
      <c r="E1" s="3315"/>
      <c r="F1" s="3315"/>
      <c r="G1" s="3315"/>
      <c r="H1" s="3315"/>
      <c r="I1" s="3315"/>
      <c r="J1" s="3315"/>
      <c r="K1" s="3315"/>
      <c r="L1" s="3315"/>
      <c r="M1" s="3315"/>
      <c r="N1" s="3315"/>
      <c r="O1" s="3315"/>
      <c r="P1" s="3315"/>
      <c r="Q1" s="3315"/>
      <c r="R1" s="3315"/>
      <c r="S1" s="3315"/>
      <c r="T1" s="3315"/>
      <c r="U1" s="3315"/>
      <c r="V1" s="3315"/>
      <c r="W1" s="3315"/>
      <c r="X1" s="3315"/>
      <c r="Y1" s="3315"/>
      <c r="Z1" s="3315"/>
    </row>
    <row r="2" spans="2:26">
      <c r="B2" s="3302" t="s">
        <v>1486</v>
      </c>
      <c r="C2" s="3310" t="s">
        <v>1484</v>
      </c>
      <c r="D2" s="3317" t="s">
        <v>1488</v>
      </c>
      <c r="E2" s="3317" t="s">
        <v>1489</v>
      </c>
      <c r="F2" s="3317" t="s">
        <v>1490</v>
      </c>
      <c r="G2" s="3317" t="s">
        <v>1491</v>
      </c>
      <c r="H2" s="3317"/>
      <c r="I2" s="3317"/>
      <c r="J2" s="3317" t="s">
        <v>1492</v>
      </c>
      <c r="K2" s="3317"/>
      <c r="L2" s="3317"/>
      <c r="M2" s="3317"/>
      <c r="N2" s="3317" t="s">
        <v>1493</v>
      </c>
      <c r="O2" s="3317"/>
      <c r="P2" s="3317"/>
      <c r="Q2" s="3317"/>
      <c r="R2" s="3317"/>
      <c r="S2" s="3317" t="s">
        <v>1494</v>
      </c>
      <c r="T2" s="3317"/>
      <c r="U2" s="3317" t="s">
        <v>1495</v>
      </c>
      <c r="V2" s="3317"/>
      <c r="W2" s="3060"/>
      <c r="X2" s="3319" t="s">
        <v>1497</v>
      </c>
      <c r="Y2" s="3261" t="s">
        <v>1499</v>
      </c>
      <c r="Z2" s="3261"/>
    </row>
    <row r="3" spans="2:26" ht="36">
      <c r="B3" s="3302"/>
      <c r="C3" s="3316"/>
      <c r="D3" s="3318"/>
      <c r="E3" s="3318"/>
      <c r="F3" s="3318"/>
      <c r="G3" s="3035" t="s">
        <v>1500</v>
      </c>
      <c r="H3" s="3035" t="s">
        <v>1501</v>
      </c>
      <c r="I3" s="3035" t="s">
        <v>1502</v>
      </c>
      <c r="J3" s="3035" t="s">
        <v>1503</v>
      </c>
      <c r="K3" s="3035" t="s">
        <v>1504</v>
      </c>
      <c r="L3" s="3035" t="s">
        <v>1505</v>
      </c>
      <c r="M3" s="3035" t="s">
        <v>1506</v>
      </c>
      <c r="N3" s="3035" t="s">
        <v>1507</v>
      </c>
      <c r="O3" s="3035" t="s">
        <v>1508</v>
      </c>
      <c r="P3" s="3035" t="s">
        <v>1509</v>
      </c>
      <c r="Q3" s="3036" t="s">
        <v>1510</v>
      </c>
      <c r="R3" s="3035" t="s">
        <v>1511</v>
      </c>
      <c r="S3" s="3035" t="s">
        <v>1512</v>
      </c>
      <c r="T3" s="3035" t="s">
        <v>1513</v>
      </c>
      <c r="U3" s="3035" t="s">
        <v>1514</v>
      </c>
      <c r="V3" s="3035" t="s">
        <v>1515</v>
      </c>
      <c r="W3" s="3062" t="s">
        <v>3083</v>
      </c>
      <c r="X3" s="3320"/>
      <c r="Y3" s="3262"/>
      <c r="Z3" s="3262"/>
    </row>
    <row r="4" spans="2:26">
      <c r="B4" s="3302" t="s">
        <v>2990</v>
      </c>
      <c r="C4" s="3037" t="s">
        <v>1879</v>
      </c>
      <c r="D4" s="3038">
        <v>149</v>
      </c>
      <c r="E4" s="3039">
        <v>11461.16</v>
      </c>
      <c r="F4" s="3037">
        <v>11461.16</v>
      </c>
      <c r="G4" s="3037">
        <v>92</v>
      </c>
      <c r="H4" s="3037">
        <v>7040.5</v>
      </c>
      <c r="I4" s="3037">
        <v>3630</v>
      </c>
      <c r="J4" s="3037">
        <v>57</v>
      </c>
      <c r="K4" s="3037">
        <v>4420.66</v>
      </c>
      <c r="L4" s="3308">
        <v>159474.88</v>
      </c>
      <c r="M4" s="3037">
        <v>4420.66</v>
      </c>
      <c r="N4" s="3037">
        <v>57</v>
      </c>
      <c r="O4" s="3037">
        <v>0</v>
      </c>
      <c r="P4" s="3037">
        <v>4420.66</v>
      </c>
      <c r="Q4" s="3037">
        <v>1629172</v>
      </c>
      <c r="R4" s="3037">
        <f>ROUND(Q4/P4,0)</f>
        <v>369</v>
      </c>
      <c r="S4" s="3037">
        <v>0</v>
      </c>
      <c r="T4" s="3037">
        <v>0</v>
      </c>
      <c r="U4" s="3037" t="s">
        <v>1521</v>
      </c>
      <c r="V4" s="3037" t="s">
        <v>1521</v>
      </c>
      <c r="W4" s="3037">
        <f>仓储A、B、C区!J8</f>
        <v>11911.76</v>
      </c>
      <c r="X4" s="3037"/>
      <c r="Y4" s="3311" t="s">
        <v>2991</v>
      </c>
      <c r="Z4" s="3277"/>
    </row>
    <row r="5" spans="2:26">
      <c r="B5" s="3302"/>
      <c r="C5" s="3037" t="s">
        <v>1896</v>
      </c>
      <c r="D5" s="3038">
        <v>140</v>
      </c>
      <c r="E5" s="3039">
        <v>11413.57</v>
      </c>
      <c r="F5" s="3037">
        <v>11413.57</v>
      </c>
      <c r="G5" s="3037">
        <v>109</v>
      </c>
      <c r="H5" s="3037">
        <v>8880.02</v>
      </c>
      <c r="I5" s="3037">
        <v>4012</v>
      </c>
      <c r="J5" s="3037">
        <v>31</v>
      </c>
      <c r="K5" s="3037">
        <v>2533.5500000000002</v>
      </c>
      <c r="L5" s="3309"/>
      <c r="M5" s="3037">
        <v>2533.5500000000002</v>
      </c>
      <c r="N5" s="3037">
        <v>31</v>
      </c>
      <c r="O5" s="3037">
        <v>0</v>
      </c>
      <c r="P5" s="3037">
        <v>2533.5500000000002</v>
      </c>
      <c r="Q5" s="3037">
        <v>380284</v>
      </c>
      <c r="R5" s="3037">
        <f t="shared" ref="R5:R30" si="0">ROUND(Q5/P5,0)</f>
        <v>150</v>
      </c>
      <c r="S5" s="3037">
        <v>0</v>
      </c>
      <c r="T5" s="3037">
        <v>0</v>
      </c>
      <c r="U5" s="3037" t="s">
        <v>1521</v>
      </c>
      <c r="V5" s="3037" t="s">
        <v>1521</v>
      </c>
      <c r="W5" s="3037">
        <f>仓储A、B、C区!J9</f>
        <v>11629.16</v>
      </c>
      <c r="X5" s="3037"/>
      <c r="Y5" s="3277"/>
      <c r="Z5" s="3277"/>
    </row>
    <row r="6" spans="2:26">
      <c r="B6" s="3302"/>
      <c r="C6" s="3037" t="s">
        <v>1902</v>
      </c>
      <c r="D6" s="3038">
        <v>139</v>
      </c>
      <c r="E6" s="3039">
        <v>11220.73</v>
      </c>
      <c r="F6" s="3037">
        <v>11413.62</v>
      </c>
      <c r="G6" s="3037">
        <v>81</v>
      </c>
      <c r="H6" s="3037">
        <v>6559.29</v>
      </c>
      <c r="I6" s="3037">
        <v>3952</v>
      </c>
      <c r="J6" s="3037">
        <v>58</v>
      </c>
      <c r="K6" s="3037">
        <v>4661.4399999999996</v>
      </c>
      <c r="L6" s="3309"/>
      <c r="M6" s="3037">
        <v>4661.4399999999996</v>
      </c>
      <c r="N6" s="3037">
        <v>58</v>
      </c>
      <c r="O6" s="3037">
        <v>0</v>
      </c>
      <c r="P6" s="3037">
        <v>4661.4399999999996</v>
      </c>
      <c r="Q6" s="3037">
        <v>744373</v>
      </c>
      <c r="R6" s="3037">
        <f t="shared" si="0"/>
        <v>160</v>
      </c>
      <c r="S6" s="3037">
        <v>0</v>
      </c>
      <c r="T6" s="3037">
        <v>0</v>
      </c>
      <c r="U6" s="3037" t="s">
        <v>1521</v>
      </c>
      <c r="V6" s="3037" t="s">
        <v>1521</v>
      </c>
      <c r="W6" s="3037">
        <f>仓储A、B、C区!J10</f>
        <v>11629.16</v>
      </c>
      <c r="X6" s="3040" t="s">
        <v>2992</v>
      </c>
      <c r="Y6" s="3277"/>
      <c r="Z6" s="3277"/>
    </row>
    <row r="7" spans="2:26">
      <c r="B7" s="3302"/>
      <c r="C7" s="3037" t="s">
        <v>1906</v>
      </c>
      <c r="D7" s="3038">
        <v>149</v>
      </c>
      <c r="E7" s="3039">
        <v>11696.36</v>
      </c>
      <c r="F7" s="3037">
        <v>11696.36</v>
      </c>
      <c r="G7" s="3037">
        <v>127</v>
      </c>
      <c r="H7" s="3037">
        <v>9883.06</v>
      </c>
      <c r="I7" s="3037">
        <v>3662</v>
      </c>
      <c r="J7" s="3037">
        <v>22</v>
      </c>
      <c r="K7" s="3037">
        <v>1813.3</v>
      </c>
      <c r="L7" s="3309"/>
      <c r="M7" s="3037">
        <v>1813.3</v>
      </c>
      <c r="N7" s="3037">
        <v>21</v>
      </c>
      <c r="O7" s="3037">
        <v>0</v>
      </c>
      <c r="P7" s="3037">
        <v>1684.66</v>
      </c>
      <c r="Q7" s="3037">
        <v>477324</v>
      </c>
      <c r="R7" s="3037">
        <f t="shared" si="0"/>
        <v>283</v>
      </c>
      <c r="S7" s="3037">
        <v>1</v>
      </c>
      <c r="T7" s="3037">
        <v>128.64000000000101</v>
      </c>
      <c r="U7" s="3037" t="s">
        <v>1521</v>
      </c>
      <c r="V7" s="3037" t="s">
        <v>1521</v>
      </c>
      <c r="W7" s="3037">
        <f>仓储A、B、C区!J11</f>
        <v>11911.76</v>
      </c>
      <c r="X7" s="3037"/>
      <c r="Y7" s="3277"/>
      <c r="Z7" s="3277"/>
    </row>
    <row r="8" spans="2:26">
      <c r="B8" s="3302"/>
      <c r="C8" s="3037" t="s">
        <v>2993</v>
      </c>
      <c r="D8" s="3038">
        <v>102</v>
      </c>
      <c r="E8" s="3039">
        <v>8041.58</v>
      </c>
      <c r="F8" s="3037">
        <v>8041.58</v>
      </c>
      <c r="G8" s="3037">
        <v>78</v>
      </c>
      <c r="H8" s="3037">
        <v>6091.23</v>
      </c>
      <c r="I8" s="3037">
        <v>3790</v>
      </c>
      <c r="J8" s="3037">
        <v>24</v>
      </c>
      <c r="K8" s="3037">
        <v>1950.35</v>
      </c>
      <c r="L8" s="3309"/>
      <c r="M8" s="3037">
        <v>1950.35</v>
      </c>
      <c r="N8" s="3037">
        <v>24</v>
      </c>
      <c r="O8" s="3037">
        <v>0</v>
      </c>
      <c r="P8" s="3037">
        <v>1950.35</v>
      </c>
      <c r="Q8" s="3037">
        <v>412560</v>
      </c>
      <c r="R8" s="3037">
        <f t="shared" si="0"/>
        <v>212</v>
      </c>
      <c r="S8" s="3037">
        <v>0</v>
      </c>
      <c r="T8" s="3037">
        <v>0</v>
      </c>
      <c r="U8" s="3037" t="s">
        <v>1521</v>
      </c>
      <c r="V8" s="3037" t="s">
        <v>1521</v>
      </c>
      <c r="W8" s="3037">
        <f>仓储A、B、C区!J12</f>
        <v>8072.02</v>
      </c>
      <c r="X8" s="3037"/>
      <c r="Y8" s="3277"/>
      <c r="Z8" s="3277"/>
    </row>
    <row r="9" spans="2:26">
      <c r="B9" s="3302"/>
      <c r="C9" s="3037" t="s">
        <v>2994</v>
      </c>
      <c r="D9" s="3038">
        <v>106</v>
      </c>
      <c r="E9" s="3039">
        <v>8914.77</v>
      </c>
      <c r="F9" s="3037">
        <v>8914.77</v>
      </c>
      <c r="G9" s="3037">
        <v>92</v>
      </c>
      <c r="H9" s="3037">
        <v>7661.8</v>
      </c>
      <c r="I9" s="3037">
        <v>3741</v>
      </c>
      <c r="J9" s="3037">
        <v>14</v>
      </c>
      <c r="K9" s="3037">
        <v>1252.97</v>
      </c>
      <c r="L9" s="3309"/>
      <c r="M9" s="3037">
        <v>1252.97</v>
      </c>
      <c r="N9" s="3037">
        <v>14</v>
      </c>
      <c r="O9" s="3037">
        <v>0</v>
      </c>
      <c r="P9" s="3037">
        <v>1252.97</v>
      </c>
      <c r="Q9" s="3037">
        <v>317016</v>
      </c>
      <c r="R9" s="3037">
        <f t="shared" si="0"/>
        <v>253</v>
      </c>
      <c r="S9" s="3037">
        <v>0</v>
      </c>
      <c r="T9" s="3037">
        <v>0</v>
      </c>
      <c r="U9" s="3037" t="s">
        <v>1521</v>
      </c>
      <c r="V9" s="3037" t="s">
        <v>1521</v>
      </c>
      <c r="W9" s="3037">
        <f>仓储A、B、C区!J13</f>
        <v>9029.4599999999991</v>
      </c>
      <c r="X9" s="3037"/>
      <c r="Y9" s="3277"/>
      <c r="Z9" s="3277"/>
    </row>
    <row r="10" spans="2:26">
      <c r="B10" s="3302"/>
      <c r="C10" s="3037" t="s">
        <v>2995</v>
      </c>
      <c r="D10" s="3038">
        <v>106</v>
      </c>
      <c r="E10" s="3039">
        <v>8894.7199999999993</v>
      </c>
      <c r="F10" s="3037">
        <v>8894.7199999999993</v>
      </c>
      <c r="G10" s="3037">
        <v>106</v>
      </c>
      <c r="H10" s="3037">
        <v>8894.7199999999993</v>
      </c>
      <c r="I10" s="3037">
        <v>4060</v>
      </c>
      <c r="J10" s="3037">
        <v>0</v>
      </c>
      <c r="K10" s="3037">
        <v>0</v>
      </c>
      <c r="L10" s="3309"/>
      <c r="M10" s="3037">
        <v>0</v>
      </c>
      <c r="N10" s="3037">
        <v>0</v>
      </c>
      <c r="O10" s="3037">
        <v>0</v>
      </c>
      <c r="P10" s="3037">
        <v>0</v>
      </c>
      <c r="Q10" s="3037">
        <v>0</v>
      </c>
      <c r="R10" s="3037">
        <v>0</v>
      </c>
      <c r="S10" s="3037">
        <v>0</v>
      </c>
      <c r="T10" s="3037">
        <v>0</v>
      </c>
      <c r="U10" s="3037" t="s">
        <v>1521</v>
      </c>
      <c r="V10" s="3037" t="s">
        <v>1521</v>
      </c>
      <c r="W10" s="3037">
        <f>仓储A、B、C区!J14</f>
        <v>9085.58</v>
      </c>
      <c r="X10" s="3037"/>
      <c r="Y10" s="3277"/>
      <c r="Z10" s="3277"/>
    </row>
    <row r="11" spans="2:26">
      <c r="B11" s="3302"/>
      <c r="C11" s="3037" t="s">
        <v>2996</v>
      </c>
      <c r="D11" s="3038">
        <v>217</v>
      </c>
      <c r="E11" s="3039">
        <v>18262.57</v>
      </c>
      <c r="F11" s="3041">
        <v>18262.57</v>
      </c>
      <c r="G11" s="3037">
        <v>155</v>
      </c>
      <c r="H11" s="3037">
        <v>13094.91</v>
      </c>
      <c r="I11" s="3037">
        <v>3863</v>
      </c>
      <c r="J11" s="3037">
        <v>62</v>
      </c>
      <c r="K11" s="3037">
        <v>5167.66</v>
      </c>
      <c r="L11" s="3309"/>
      <c r="M11" s="3037">
        <v>5167.66</v>
      </c>
      <c r="N11" s="3037">
        <v>62</v>
      </c>
      <c r="O11" s="3037">
        <v>0</v>
      </c>
      <c r="P11" s="3037">
        <v>5167.66</v>
      </c>
      <c r="Q11" s="3037">
        <v>1273475</v>
      </c>
      <c r="R11" s="3037">
        <f t="shared" si="0"/>
        <v>246</v>
      </c>
      <c r="S11" s="3037">
        <v>0</v>
      </c>
      <c r="T11" s="3037">
        <v>0</v>
      </c>
      <c r="U11" s="3037" t="s">
        <v>1521</v>
      </c>
      <c r="V11" s="3037" t="s">
        <v>1521</v>
      </c>
      <c r="W11" s="3037">
        <f>仓储A、B、C区!J15</f>
        <v>18765.39</v>
      </c>
      <c r="X11" s="3037"/>
      <c r="Y11" s="3277"/>
      <c r="Z11" s="3277"/>
    </row>
    <row r="12" spans="2:26">
      <c r="B12" s="3302"/>
      <c r="C12" s="3037" t="s">
        <v>2997</v>
      </c>
      <c r="D12" s="3038">
        <v>218</v>
      </c>
      <c r="E12" s="3039">
        <v>18435.34</v>
      </c>
      <c r="F12" s="3037">
        <v>18435.34</v>
      </c>
      <c r="G12" s="3037">
        <v>94</v>
      </c>
      <c r="H12" s="3037">
        <v>7954.03</v>
      </c>
      <c r="I12" s="3037">
        <v>4250</v>
      </c>
      <c r="J12" s="3037">
        <v>124</v>
      </c>
      <c r="K12" s="3037">
        <v>10481.31</v>
      </c>
      <c r="L12" s="3309"/>
      <c r="M12" s="3037">
        <v>10481.31</v>
      </c>
      <c r="N12" s="3037">
        <v>122</v>
      </c>
      <c r="O12" s="3037">
        <v>0</v>
      </c>
      <c r="P12" s="3037">
        <v>10322.99</v>
      </c>
      <c r="Q12" s="3037">
        <v>1968053</v>
      </c>
      <c r="R12" s="3037">
        <f t="shared" si="0"/>
        <v>191</v>
      </c>
      <c r="S12" s="3037">
        <v>2</v>
      </c>
      <c r="T12" s="3037">
        <v>158.319999999998</v>
      </c>
      <c r="U12" s="3037" t="s">
        <v>1521</v>
      </c>
      <c r="V12" s="3037" t="s">
        <v>1521</v>
      </c>
      <c r="W12" s="3037">
        <f>仓储A、B、C区!J16</f>
        <v>18765.39</v>
      </c>
      <c r="X12" s="3037"/>
      <c r="Y12" s="3277"/>
      <c r="Z12" s="3277"/>
    </row>
    <row r="13" spans="2:26">
      <c r="B13" s="3302"/>
      <c r="C13" s="3037" t="s">
        <v>2998</v>
      </c>
      <c r="D13" s="3038">
        <v>218</v>
      </c>
      <c r="E13" s="3039">
        <v>18435.34</v>
      </c>
      <c r="F13" s="3037">
        <v>18435.34</v>
      </c>
      <c r="G13" s="3037">
        <v>57</v>
      </c>
      <c r="H13" s="3037">
        <v>4954.34</v>
      </c>
      <c r="I13" s="3037">
        <v>4613</v>
      </c>
      <c r="J13" s="3037">
        <v>161</v>
      </c>
      <c r="K13" s="3037">
        <v>13481</v>
      </c>
      <c r="L13" s="3309"/>
      <c r="M13" s="3037">
        <v>13481</v>
      </c>
      <c r="N13" s="3037">
        <v>161</v>
      </c>
      <c r="O13" s="3037">
        <v>0</v>
      </c>
      <c r="P13" s="3037">
        <v>13481</v>
      </c>
      <c r="Q13" s="3037">
        <v>2472101</v>
      </c>
      <c r="R13" s="3037">
        <f t="shared" si="0"/>
        <v>183</v>
      </c>
      <c r="S13" s="3037">
        <v>0</v>
      </c>
      <c r="T13" s="3037">
        <v>0</v>
      </c>
      <c r="U13" s="3037" t="s">
        <v>1521</v>
      </c>
      <c r="V13" s="3037" t="s">
        <v>1521</v>
      </c>
      <c r="W13" s="3037">
        <f>仓储A、B、C区!J17</f>
        <v>18765.39</v>
      </c>
      <c r="X13" s="3037"/>
      <c r="Y13" s="3277"/>
      <c r="Z13" s="3277"/>
    </row>
    <row r="14" spans="2:26">
      <c r="B14" s="3302"/>
      <c r="C14" s="3037" t="s">
        <v>2999</v>
      </c>
      <c r="D14" s="3038">
        <v>68</v>
      </c>
      <c r="E14" s="3039">
        <v>6029.41</v>
      </c>
      <c r="F14" s="3037">
        <v>6029.41</v>
      </c>
      <c r="G14" s="3037">
        <v>68</v>
      </c>
      <c r="H14" s="3037">
        <v>6029.41</v>
      </c>
      <c r="I14" s="3037">
        <v>4355</v>
      </c>
      <c r="J14" s="3037">
        <v>0</v>
      </c>
      <c r="K14" s="3037">
        <v>0</v>
      </c>
      <c r="L14" s="3309"/>
      <c r="M14" s="3037">
        <v>0</v>
      </c>
      <c r="N14" s="3037">
        <v>0</v>
      </c>
      <c r="O14" s="3037">
        <v>0</v>
      </c>
      <c r="P14" s="3037">
        <v>0</v>
      </c>
      <c r="Q14" s="3037">
        <v>0</v>
      </c>
      <c r="R14" s="3037">
        <v>0</v>
      </c>
      <c r="S14" s="3037">
        <v>0</v>
      </c>
      <c r="T14" s="3037">
        <v>0</v>
      </c>
      <c r="U14" s="3037" t="s">
        <v>1521</v>
      </c>
      <c r="V14" s="3037" t="s">
        <v>1521</v>
      </c>
      <c r="W14" s="3037">
        <f>仓储A、B、C区!J18</f>
        <v>6086.29</v>
      </c>
      <c r="X14" s="3037"/>
      <c r="Y14" s="3277"/>
      <c r="Z14" s="3277"/>
    </row>
    <row r="15" spans="2:26" ht="15.75" customHeight="1">
      <c r="B15" s="3302"/>
      <c r="C15" s="3037" t="s">
        <v>3000</v>
      </c>
      <c r="D15" s="3038">
        <v>149</v>
      </c>
      <c r="E15" s="3039">
        <v>11696.36</v>
      </c>
      <c r="F15" s="3037">
        <v>11696.36</v>
      </c>
      <c r="G15" s="3037">
        <v>129</v>
      </c>
      <c r="H15" s="3037">
        <v>10039.02</v>
      </c>
      <c r="I15" s="3037">
        <v>3680</v>
      </c>
      <c r="J15" s="3037">
        <v>20</v>
      </c>
      <c r="K15" s="3037">
        <v>1657.34</v>
      </c>
      <c r="L15" s="3309"/>
      <c r="M15" s="3037">
        <v>1657.34</v>
      </c>
      <c r="N15" s="3037">
        <v>20</v>
      </c>
      <c r="O15" s="3037">
        <v>0</v>
      </c>
      <c r="P15" s="3037">
        <v>1657.34</v>
      </c>
      <c r="Q15" s="3037">
        <v>430182</v>
      </c>
      <c r="R15" s="3037">
        <f t="shared" si="0"/>
        <v>260</v>
      </c>
      <c r="S15" s="3037">
        <v>0</v>
      </c>
      <c r="T15" s="3037">
        <v>0</v>
      </c>
      <c r="U15" s="3037" t="s">
        <v>1521</v>
      </c>
      <c r="V15" s="3037" t="s">
        <v>1521</v>
      </c>
      <c r="W15" s="3037">
        <f>仓储A、B、C区!J19</f>
        <v>11911.76</v>
      </c>
      <c r="X15" s="3037"/>
      <c r="Y15" s="3277"/>
      <c r="Z15" s="3277"/>
    </row>
    <row r="16" spans="2:26">
      <c r="B16" s="3302"/>
      <c r="C16" s="3037" t="s">
        <v>3001</v>
      </c>
      <c r="D16" s="3038">
        <v>149</v>
      </c>
      <c r="E16" s="3039">
        <v>11696.36</v>
      </c>
      <c r="F16" s="3037">
        <v>11696.36</v>
      </c>
      <c r="G16" s="3037">
        <v>122</v>
      </c>
      <c r="H16" s="3037">
        <v>9596.49</v>
      </c>
      <c r="I16" s="3037">
        <v>3699</v>
      </c>
      <c r="J16" s="3037">
        <v>27</v>
      </c>
      <c r="K16" s="3037">
        <v>2099.87</v>
      </c>
      <c r="L16" s="3310"/>
      <c r="M16" s="3037">
        <v>2099.87</v>
      </c>
      <c r="N16" s="3037">
        <v>27</v>
      </c>
      <c r="O16" s="3037">
        <v>0</v>
      </c>
      <c r="P16" s="3037">
        <v>2099.87</v>
      </c>
      <c r="Q16" s="3037">
        <v>363932</v>
      </c>
      <c r="R16" s="3037">
        <f t="shared" si="0"/>
        <v>173</v>
      </c>
      <c r="S16" s="3037">
        <v>0</v>
      </c>
      <c r="T16" s="3037">
        <v>0</v>
      </c>
      <c r="U16" s="3037" t="s">
        <v>1521</v>
      </c>
      <c r="V16" s="3037" t="s">
        <v>1521</v>
      </c>
      <c r="W16" s="3037">
        <f>仓储A、B、C区!J20</f>
        <v>11911.76</v>
      </c>
      <c r="X16" s="3037"/>
      <c r="Y16" s="3277"/>
      <c r="Z16" s="3277"/>
    </row>
    <row r="17" spans="2:26">
      <c r="B17" s="3258"/>
      <c r="C17" s="3042" t="s">
        <v>3002</v>
      </c>
      <c r="D17" s="3043">
        <f>SUM(D4:D16)</f>
        <v>1910</v>
      </c>
      <c r="E17" s="3043">
        <f>SUM(E4:E16)</f>
        <v>156198.26999999996</v>
      </c>
      <c r="F17" s="3042">
        <f>SUM(F4:F16)</f>
        <v>156391.15999999997</v>
      </c>
      <c r="G17" s="3042">
        <v>1310</v>
      </c>
      <c r="H17" s="3042">
        <v>106678.82</v>
      </c>
      <c r="I17" s="3042">
        <v>3910</v>
      </c>
      <c r="J17" s="3042">
        <v>600</v>
      </c>
      <c r="K17" s="3042">
        <v>49519.449999999903</v>
      </c>
      <c r="L17" s="3044">
        <v>159474.88</v>
      </c>
      <c r="M17" s="3042">
        <f>SUM(M4:M16)</f>
        <v>49519.45</v>
      </c>
      <c r="N17" s="3042">
        <v>597</v>
      </c>
      <c r="O17" s="3042">
        <v>0</v>
      </c>
      <c r="P17" s="3042">
        <v>49232.49</v>
      </c>
      <c r="Q17" s="3042">
        <f>SUM(Q4:Q16)</f>
        <v>10468472</v>
      </c>
      <c r="R17" s="3042">
        <f t="shared" si="0"/>
        <v>213</v>
      </c>
      <c r="S17" s="3042">
        <v>3</v>
      </c>
      <c r="T17" s="3042">
        <v>286.95999999999901</v>
      </c>
      <c r="U17" s="3042" t="s">
        <v>1521</v>
      </c>
      <c r="V17" s="3042" t="s">
        <v>1521</v>
      </c>
      <c r="W17" s="3042">
        <f>仓储A、B、C区!J21</f>
        <v>159474.88</v>
      </c>
      <c r="X17" s="3042"/>
      <c r="Y17" s="3277"/>
      <c r="Z17" s="3277"/>
    </row>
    <row r="18" spans="2:26">
      <c r="B18" s="3302" t="s">
        <v>3003</v>
      </c>
      <c r="C18" s="3037" t="s">
        <v>3004</v>
      </c>
      <c r="D18" s="3037">
        <v>133</v>
      </c>
      <c r="E18" s="3045">
        <v>12362.27</v>
      </c>
      <c r="F18" s="3037">
        <v>12362.27</v>
      </c>
      <c r="G18" s="3037">
        <v>54</v>
      </c>
      <c r="H18" s="3037">
        <v>5022.96</v>
      </c>
      <c r="I18" s="3037">
        <v>4103</v>
      </c>
      <c r="J18" s="3037">
        <v>79</v>
      </c>
      <c r="K18" s="3037">
        <v>7339.31</v>
      </c>
      <c r="L18" s="3308">
        <v>187937.86</v>
      </c>
      <c r="M18" s="3037">
        <v>7339.31</v>
      </c>
      <c r="N18" s="3037">
        <v>79</v>
      </c>
      <c r="O18" s="3037">
        <v>0</v>
      </c>
      <c r="P18" s="3037">
        <v>7339.31</v>
      </c>
      <c r="Q18" s="3037">
        <v>7538085.3333333302</v>
      </c>
      <c r="R18" s="3037">
        <f t="shared" si="0"/>
        <v>1027</v>
      </c>
      <c r="S18" s="3037">
        <v>0</v>
      </c>
      <c r="T18" s="3037">
        <v>0</v>
      </c>
      <c r="U18" s="3037" t="s">
        <v>1521</v>
      </c>
      <c r="V18" s="3037" t="s">
        <v>1521</v>
      </c>
      <c r="W18" s="3037">
        <f>仓储A、B、C区!AN24</f>
        <v>12362.27</v>
      </c>
      <c r="X18" s="3037"/>
      <c r="Y18" s="3311" t="s">
        <v>3005</v>
      </c>
      <c r="Z18" s="3277"/>
    </row>
    <row r="19" spans="2:26">
      <c r="B19" s="3302"/>
      <c r="C19" s="3037" t="s">
        <v>3006</v>
      </c>
      <c r="D19" s="3037">
        <v>213</v>
      </c>
      <c r="E19" s="3045">
        <v>18442.37</v>
      </c>
      <c r="F19" s="3037">
        <v>18442.37</v>
      </c>
      <c r="G19" s="3037">
        <v>74</v>
      </c>
      <c r="H19" s="3037">
        <v>6294.95</v>
      </c>
      <c r="I19" s="3037">
        <v>5350</v>
      </c>
      <c r="J19" s="3037">
        <v>139</v>
      </c>
      <c r="K19" s="3037">
        <v>12147.42</v>
      </c>
      <c r="L19" s="3309"/>
      <c r="M19" s="3037">
        <v>12147.42</v>
      </c>
      <c r="N19" s="3037">
        <v>127</v>
      </c>
      <c r="O19" s="3037">
        <v>0</v>
      </c>
      <c r="P19" s="3037">
        <v>11014.39</v>
      </c>
      <c r="Q19" s="3037">
        <v>2806262</v>
      </c>
      <c r="R19" s="3037">
        <f t="shared" si="0"/>
        <v>255</v>
      </c>
      <c r="S19" s="3037">
        <v>12</v>
      </c>
      <c r="T19" s="3037">
        <v>1133.03</v>
      </c>
      <c r="U19" s="3037" t="s">
        <v>1521</v>
      </c>
      <c r="V19" s="3037" t="s">
        <v>1521</v>
      </c>
      <c r="W19" s="3037">
        <f>仓储A、B、C区!AN25</f>
        <v>18442.37</v>
      </c>
      <c r="X19" s="3037"/>
      <c r="Y19" s="3277"/>
      <c r="Z19" s="3277"/>
    </row>
    <row r="20" spans="2:26">
      <c r="B20" s="3302"/>
      <c r="C20" s="3037" t="s">
        <v>3007</v>
      </c>
      <c r="D20" s="3037">
        <v>200</v>
      </c>
      <c r="E20" s="3045">
        <v>17617.689999999999</v>
      </c>
      <c r="F20" s="3037">
        <v>17617.689999999999</v>
      </c>
      <c r="G20" s="3037">
        <v>0</v>
      </c>
      <c r="H20" s="3037">
        <v>0</v>
      </c>
      <c r="I20" s="3037">
        <v>0</v>
      </c>
      <c r="J20" s="3037">
        <v>200</v>
      </c>
      <c r="K20" s="3037">
        <v>17617.689999999999</v>
      </c>
      <c r="L20" s="3309"/>
      <c r="M20" s="3037">
        <v>17617.689999999999</v>
      </c>
      <c r="N20" s="3037">
        <v>199</v>
      </c>
      <c r="O20" s="3037">
        <v>0</v>
      </c>
      <c r="P20" s="3037">
        <v>17539.57</v>
      </c>
      <c r="Q20" s="3037">
        <v>2457179</v>
      </c>
      <c r="R20" s="3037">
        <f t="shared" si="0"/>
        <v>140</v>
      </c>
      <c r="S20" s="3037">
        <v>1</v>
      </c>
      <c r="T20" s="3037">
        <v>78.120000000002605</v>
      </c>
      <c r="U20" s="3037" t="s">
        <v>1521</v>
      </c>
      <c r="V20" s="3037" t="s">
        <v>1521</v>
      </c>
      <c r="W20" s="3037">
        <f>仓储A、B、C区!AN26</f>
        <v>17617.689999999999</v>
      </c>
      <c r="X20" s="3037"/>
      <c r="Y20" s="3277"/>
      <c r="Z20" s="3277"/>
    </row>
    <row r="21" spans="2:26">
      <c r="B21" s="3302"/>
      <c r="C21" s="3037" t="s">
        <v>3008</v>
      </c>
      <c r="D21" s="3037">
        <v>216</v>
      </c>
      <c r="E21" s="3045">
        <v>18442.37</v>
      </c>
      <c r="F21" s="3037">
        <v>18442.37</v>
      </c>
      <c r="G21" s="3037">
        <v>14</v>
      </c>
      <c r="H21" s="3037">
        <v>1109</v>
      </c>
      <c r="I21" s="3037">
        <v>8986</v>
      </c>
      <c r="J21" s="3037">
        <v>202</v>
      </c>
      <c r="K21" s="3037">
        <v>17333.37</v>
      </c>
      <c r="L21" s="3309"/>
      <c r="M21" s="3037">
        <v>17333.37</v>
      </c>
      <c r="N21" s="3037">
        <v>188</v>
      </c>
      <c r="O21" s="3037">
        <v>0</v>
      </c>
      <c r="P21" s="3037">
        <v>16177.39</v>
      </c>
      <c r="Q21" s="3037">
        <v>3562526</v>
      </c>
      <c r="R21" s="3037">
        <f t="shared" si="0"/>
        <v>220</v>
      </c>
      <c r="S21" s="3037">
        <v>14</v>
      </c>
      <c r="T21" s="3037">
        <v>1155.98</v>
      </c>
      <c r="U21" s="3037" t="s">
        <v>1521</v>
      </c>
      <c r="V21" s="3037" t="s">
        <v>1521</v>
      </c>
      <c r="W21" s="3037">
        <f>仓储A、B、C区!AN27</f>
        <v>18442.37</v>
      </c>
      <c r="X21" s="3037"/>
      <c r="Y21" s="3277"/>
      <c r="Z21" s="3277"/>
    </row>
    <row r="22" spans="2:26">
      <c r="B22" s="3302"/>
      <c r="C22" s="3037" t="s">
        <v>3009</v>
      </c>
      <c r="D22" s="3037">
        <v>216</v>
      </c>
      <c r="E22" s="3045">
        <v>18442.150000000001</v>
      </c>
      <c r="F22" s="3037">
        <v>18442.150000000001</v>
      </c>
      <c r="G22" s="3037">
        <v>0</v>
      </c>
      <c r="H22" s="3037">
        <v>0</v>
      </c>
      <c r="I22" s="3037">
        <v>0</v>
      </c>
      <c r="J22" s="3037">
        <v>216</v>
      </c>
      <c r="K22" s="3037">
        <v>18442.150000000001</v>
      </c>
      <c r="L22" s="3309"/>
      <c r="M22" s="3037">
        <v>18442.150000000001</v>
      </c>
      <c r="N22" s="3037">
        <v>179</v>
      </c>
      <c r="O22" s="3037">
        <v>0</v>
      </c>
      <c r="P22" s="3037">
        <v>15299.14</v>
      </c>
      <c r="Q22" s="3037">
        <v>3923750</v>
      </c>
      <c r="R22" s="3037">
        <f t="shared" si="0"/>
        <v>256</v>
      </c>
      <c r="S22" s="3037">
        <v>37</v>
      </c>
      <c r="T22" s="3037">
        <v>3143.01</v>
      </c>
      <c r="U22" s="3037" t="s">
        <v>1521</v>
      </c>
      <c r="V22" s="3037" t="s">
        <v>1521</v>
      </c>
      <c r="W22" s="3037">
        <f>仓储A、B、C区!AN28</f>
        <v>18442.150000000001</v>
      </c>
      <c r="X22" s="3037"/>
      <c r="Y22" s="3277"/>
      <c r="Z22" s="3277"/>
    </row>
    <row r="23" spans="2:26">
      <c r="B23" s="3302"/>
      <c r="C23" s="3037" t="s">
        <v>3010</v>
      </c>
      <c r="D23" s="3037">
        <v>216</v>
      </c>
      <c r="E23" s="3045">
        <v>18442.37</v>
      </c>
      <c r="F23" s="3037">
        <v>18442.37</v>
      </c>
      <c r="G23" s="3037">
        <v>2</v>
      </c>
      <c r="H23" s="3037">
        <v>156.04</v>
      </c>
      <c r="I23" s="3037">
        <v>8558</v>
      </c>
      <c r="J23" s="3037">
        <v>214</v>
      </c>
      <c r="K23" s="3037">
        <v>18286.330000000002</v>
      </c>
      <c r="L23" s="3309"/>
      <c r="M23" s="3037">
        <v>18286.330000000002</v>
      </c>
      <c r="N23" s="3037">
        <v>196</v>
      </c>
      <c r="O23" s="3037">
        <v>0</v>
      </c>
      <c r="P23" s="3037">
        <v>16742.07</v>
      </c>
      <c r="Q23" s="3037">
        <v>3397389</v>
      </c>
      <c r="R23" s="3037">
        <f t="shared" si="0"/>
        <v>203</v>
      </c>
      <c r="S23" s="3037">
        <v>18</v>
      </c>
      <c r="T23" s="3037">
        <v>1544.26</v>
      </c>
      <c r="U23" s="3037" t="s">
        <v>1521</v>
      </c>
      <c r="V23" s="3037" t="s">
        <v>1521</v>
      </c>
      <c r="W23" s="3037">
        <f>仓储A、B、C区!AN29</f>
        <v>18442.37</v>
      </c>
      <c r="X23" s="3037"/>
      <c r="Y23" s="3277"/>
      <c r="Z23" s="3277"/>
    </row>
    <row r="24" spans="2:26">
      <c r="B24" s="3302"/>
      <c r="C24" s="3037" t="s">
        <v>3011</v>
      </c>
      <c r="D24" s="3037">
        <v>42</v>
      </c>
      <c r="E24" s="3045">
        <v>7027.54</v>
      </c>
      <c r="F24" s="3037">
        <v>7027.54</v>
      </c>
      <c r="G24" s="3037">
        <v>42</v>
      </c>
      <c r="H24" s="3037">
        <v>7027.54</v>
      </c>
      <c r="I24" s="3037">
        <v>4333</v>
      </c>
      <c r="J24" s="3037">
        <v>0</v>
      </c>
      <c r="K24" s="3037">
        <v>0</v>
      </c>
      <c r="L24" s="3309"/>
      <c r="M24" s="3037">
        <v>0</v>
      </c>
      <c r="N24" s="3037">
        <v>0</v>
      </c>
      <c r="O24" s="3037">
        <v>0</v>
      </c>
      <c r="P24" s="3037">
        <v>0</v>
      </c>
      <c r="Q24" s="3037">
        <v>0</v>
      </c>
      <c r="R24" s="3037">
        <v>0</v>
      </c>
      <c r="S24" s="3037">
        <v>0</v>
      </c>
      <c r="T24" s="3037">
        <v>0</v>
      </c>
      <c r="U24" s="3037" t="s">
        <v>1521</v>
      </c>
      <c r="V24" s="3037" t="s">
        <v>1521</v>
      </c>
      <c r="W24" s="3037">
        <f>仓储A、B、C区!AN30</f>
        <v>7027.54</v>
      </c>
      <c r="X24" s="3037"/>
      <c r="Y24" s="3277"/>
      <c r="Z24" s="3277"/>
    </row>
    <row r="25" spans="2:26">
      <c r="B25" s="3302"/>
      <c r="C25" s="3037" t="s">
        <v>3012</v>
      </c>
      <c r="D25" s="3037">
        <v>213</v>
      </c>
      <c r="E25" s="3045">
        <v>18442.39</v>
      </c>
      <c r="F25" s="3037">
        <v>18442.39</v>
      </c>
      <c r="G25" s="3037">
        <v>0</v>
      </c>
      <c r="H25" s="3037">
        <v>0</v>
      </c>
      <c r="I25" s="3037">
        <v>0</v>
      </c>
      <c r="J25" s="3037">
        <v>213</v>
      </c>
      <c r="K25" s="3037">
        <v>18442.39</v>
      </c>
      <c r="L25" s="3309"/>
      <c r="M25" s="3037">
        <v>18442.39</v>
      </c>
      <c r="N25" s="3037">
        <v>168</v>
      </c>
      <c r="O25" s="3037">
        <v>0</v>
      </c>
      <c r="P25" s="3037">
        <v>14668.4</v>
      </c>
      <c r="Q25" s="3037">
        <v>2239525.5</v>
      </c>
      <c r="R25" s="3037">
        <f t="shared" si="0"/>
        <v>153</v>
      </c>
      <c r="S25" s="3037">
        <v>45</v>
      </c>
      <c r="T25" s="3037">
        <v>3773.99</v>
      </c>
      <c r="U25" s="3037" t="s">
        <v>1521</v>
      </c>
      <c r="V25" s="3037" t="s">
        <v>1521</v>
      </c>
      <c r="W25" s="3037">
        <f>仓储A、B、C区!AN31</f>
        <v>18442.39</v>
      </c>
      <c r="X25" s="3037"/>
      <c r="Y25" s="3277"/>
      <c r="Z25" s="3277"/>
    </row>
    <row r="26" spans="2:26">
      <c r="B26" s="3302"/>
      <c r="C26" s="3037" t="s">
        <v>3013</v>
      </c>
      <c r="D26" s="3037">
        <v>211</v>
      </c>
      <c r="E26" s="3045">
        <v>18135.939999999999</v>
      </c>
      <c r="F26" s="3037">
        <v>18135.939999999999</v>
      </c>
      <c r="G26" s="3037">
        <v>0</v>
      </c>
      <c r="H26" s="3037">
        <v>0</v>
      </c>
      <c r="I26" s="3037">
        <v>0</v>
      </c>
      <c r="J26" s="3037">
        <v>211</v>
      </c>
      <c r="K26" s="3037">
        <v>18135.939999999999</v>
      </c>
      <c r="L26" s="3309"/>
      <c r="M26" s="3037">
        <v>18135.939999999999</v>
      </c>
      <c r="N26" s="3037">
        <v>175</v>
      </c>
      <c r="O26" s="3037">
        <v>0</v>
      </c>
      <c r="P26" s="3037">
        <v>15043.9</v>
      </c>
      <c r="Q26" s="3037">
        <v>2964192</v>
      </c>
      <c r="R26" s="3037">
        <f t="shared" si="0"/>
        <v>197</v>
      </c>
      <c r="S26" s="3037">
        <v>36</v>
      </c>
      <c r="T26" s="3037">
        <v>3092.04</v>
      </c>
      <c r="U26" s="3037" t="s">
        <v>1521</v>
      </c>
      <c r="V26" s="3037" t="s">
        <v>1521</v>
      </c>
      <c r="W26" s="3037">
        <f>仓储A、B、C区!AN32</f>
        <v>18135.939999999999</v>
      </c>
      <c r="X26" s="3037"/>
      <c r="Y26" s="3277"/>
      <c r="Z26" s="3277"/>
    </row>
    <row r="27" spans="2:26">
      <c r="B27" s="3302"/>
      <c r="C27" s="3037" t="s">
        <v>3014</v>
      </c>
      <c r="D27" s="3037">
        <v>213</v>
      </c>
      <c r="E27" s="3045">
        <v>18446.72</v>
      </c>
      <c r="F27" s="3037">
        <v>18446.72</v>
      </c>
      <c r="G27" s="3037">
        <v>2</v>
      </c>
      <c r="H27" s="3037">
        <v>165.18</v>
      </c>
      <c r="I27" s="3037">
        <v>4129</v>
      </c>
      <c r="J27" s="3037">
        <v>211</v>
      </c>
      <c r="K27" s="3037">
        <v>18281.54</v>
      </c>
      <c r="L27" s="3309"/>
      <c r="M27" s="3037">
        <v>18281.54</v>
      </c>
      <c r="N27" s="3037">
        <v>206</v>
      </c>
      <c r="O27" s="3037">
        <v>0</v>
      </c>
      <c r="P27" s="3037">
        <v>17873.14</v>
      </c>
      <c r="Q27" s="3037">
        <v>3854439</v>
      </c>
      <c r="R27" s="3037">
        <f t="shared" si="0"/>
        <v>216</v>
      </c>
      <c r="S27" s="3037">
        <v>5</v>
      </c>
      <c r="T27" s="3037">
        <v>408.4</v>
      </c>
      <c r="U27" s="3037" t="s">
        <v>1521</v>
      </c>
      <c r="V27" s="3037" t="s">
        <v>1521</v>
      </c>
      <c r="W27" s="3037">
        <f>仓储A、B、C区!AN33</f>
        <v>18446.72</v>
      </c>
      <c r="X27" s="3037"/>
      <c r="Y27" s="3277"/>
      <c r="Z27" s="3277"/>
    </row>
    <row r="28" spans="2:26">
      <c r="B28" s="3302"/>
      <c r="C28" s="3037" t="s">
        <v>3015</v>
      </c>
      <c r="D28" s="3037">
        <v>213</v>
      </c>
      <c r="E28" s="3045">
        <v>18442.78</v>
      </c>
      <c r="F28" s="3037">
        <v>18442.78</v>
      </c>
      <c r="G28" s="3037">
        <v>2</v>
      </c>
      <c r="H28" s="3037">
        <v>163.37</v>
      </c>
      <c r="I28" s="3037">
        <v>4387</v>
      </c>
      <c r="J28" s="3037">
        <v>211</v>
      </c>
      <c r="K28" s="3037">
        <v>18279.41</v>
      </c>
      <c r="L28" s="3310"/>
      <c r="M28" s="3037">
        <v>18279.41</v>
      </c>
      <c r="N28" s="3037">
        <v>172</v>
      </c>
      <c r="O28" s="3037">
        <v>0</v>
      </c>
      <c r="P28" s="3037">
        <v>14800.59</v>
      </c>
      <c r="Q28" s="3037">
        <v>3391325</v>
      </c>
      <c r="R28" s="3037">
        <f t="shared" si="0"/>
        <v>229</v>
      </c>
      <c r="S28" s="3037">
        <v>39</v>
      </c>
      <c r="T28" s="3037">
        <v>3478.82</v>
      </c>
      <c r="U28" s="3037" t="s">
        <v>1521</v>
      </c>
      <c r="V28" s="3037" t="s">
        <v>1521</v>
      </c>
      <c r="W28" s="3037">
        <f>仓储A、B、C区!AN34</f>
        <v>18442.78</v>
      </c>
      <c r="X28" s="3037"/>
      <c r="Y28" s="3277"/>
      <c r="Z28" s="3277"/>
    </row>
    <row r="29" spans="2:26">
      <c r="B29" s="3258"/>
      <c r="C29" s="3042" t="s">
        <v>3016</v>
      </c>
      <c r="D29" s="3042">
        <f>SUM(D18:D28)</f>
        <v>2086</v>
      </c>
      <c r="E29" s="3042">
        <f>SUM(E18:E28)</f>
        <v>184244.59</v>
      </c>
      <c r="F29" s="3042">
        <f>SUM(F18:F28)</f>
        <v>184244.59</v>
      </c>
      <c r="G29" s="3042">
        <v>190</v>
      </c>
      <c r="H29" s="3042">
        <v>19939.04</v>
      </c>
      <c r="I29" s="3042">
        <v>4887</v>
      </c>
      <c r="J29" s="3042">
        <v>1896</v>
      </c>
      <c r="K29" s="3042">
        <v>164305.54999999999</v>
      </c>
      <c r="L29" s="3044">
        <v>187937.86</v>
      </c>
      <c r="M29" s="3042">
        <f>SUM(M18:M28)</f>
        <v>164305.55000000002</v>
      </c>
      <c r="N29" s="3042">
        <v>1689</v>
      </c>
      <c r="O29" s="3042">
        <v>0</v>
      </c>
      <c r="P29" s="3042">
        <v>146497.9</v>
      </c>
      <c r="Q29" s="3042">
        <f>Q28+Q27+Q26+Q25+Q24+Q23+Q22+Q21+Q20+Q19+Q18</f>
        <v>36134672.833333328</v>
      </c>
      <c r="R29" s="3042">
        <f t="shared" si="0"/>
        <v>247</v>
      </c>
      <c r="S29" s="3042">
        <v>207</v>
      </c>
      <c r="T29" s="3042">
        <v>17807.650000000001</v>
      </c>
      <c r="U29" s="3042" t="s">
        <v>1521</v>
      </c>
      <c r="V29" s="3042" t="s">
        <v>1521</v>
      </c>
      <c r="W29" s="3042">
        <f>仓储A、B、C区!AN35</f>
        <v>184244.59</v>
      </c>
      <c r="X29" s="3042"/>
      <c r="Y29" s="3277"/>
      <c r="Z29" s="3277"/>
    </row>
    <row r="30" spans="2:26">
      <c r="B30" s="3058"/>
      <c r="C30" s="3046" t="s">
        <v>3017</v>
      </c>
      <c r="D30" s="3046">
        <f>D17+D29</f>
        <v>3996</v>
      </c>
      <c r="E30" s="3046">
        <f>E17+E29</f>
        <v>340442.86</v>
      </c>
      <c r="F30" s="3046">
        <f>F17+F29</f>
        <v>340635.75</v>
      </c>
      <c r="G30" s="3046">
        <v>1500</v>
      </c>
      <c r="H30" s="3046">
        <v>126617.86</v>
      </c>
      <c r="I30" s="3046">
        <v>4064</v>
      </c>
      <c r="J30" s="3046">
        <v>2496</v>
      </c>
      <c r="K30" s="3046">
        <v>213825</v>
      </c>
      <c r="L30" s="3046"/>
      <c r="M30" s="3046">
        <v>213825</v>
      </c>
      <c r="N30" s="3046">
        <v>2286</v>
      </c>
      <c r="O30" s="3046">
        <v>0</v>
      </c>
      <c r="P30" s="3046">
        <v>195730.39</v>
      </c>
      <c r="Q30" s="3046">
        <f>Q29+Q17</f>
        <v>46603144.833333328</v>
      </c>
      <c r="R30" s="3046">
        <f t="shared" si="0"/>
        <v>238</v>
      </c>
      <c r="S30" s="3046">
        <v>210</v>
      </c>
      <c r="T30" s="3046">
        <v>18094.61</v>
      </c>
      <c r="U30" s="3046" t="s">
        <v>1521</v>
      </c>
      <c r="V30" s="3046" t="s">
        <v>1521</v>
      </c>
      <c r="W30" s="3046"/>
      <c r="X30" s="3046"/>
      <c r="Y30" s="3047"/>
      <c r="Z30" s="3047"/>
    </row>
    <row r="31" spans="2:26" ht="27">
      <c r="B31" s="3258" t="s">
        <v>3018</v>
      </c>
      <c r="C31" s="3037" t="s">
        <v>3019</v>
      </c>
      <c r="D31" s="3048">
        <v>755</v>
      </c>
      <c r="E31" s="3048">
        <v>43997.24</v>
      </c>
      <c r="F31" s="3037" t="s">
        <v>1521</v>
      </c>
      <c r="G31" s="3037">
        <v>0</v>
      </c>
      <c r="H31" s="3037">
        <v>0</v>
      </c>
      <c r="I31" s="3037">
        <v>0</v>
      </c>
      <c r="J31" s="3048">
        <v>755</v>
      </c>
      <c r="K31" s="3048">
        <v>43997.24</v>
      </c>
      <c r="L31" s="3308">
        <v>116413.72</v>
      </c>
      <c r="M31" s="3037" t="s">
        <v>1521</v>
      </c>
      <c r="N31" s="3037">
        <v>0</v>
      </c>
      <c r="O31" s="3037" t="s">
        <v>1521</v>
      </c>
      <c r="P31" s="3037">
        <v>0</v>
      </c>
      <c r="Q31" s="3037">
        <v>0</v>
      </c>
      <c r="R31" s="3037">
        <v>0</v>
      </c>
      <c r="S31" s="3048">
        <v>755</v>
      </c>
      <c r="T31" s="3048">
        <v>43997.24</v>
      </c>
      <c r="U31" s="3048">
        <v>43997.24</v>
      </c>
      <c r="V31" s="3037" t="s">
        <v>1521</v>
      </c>
      <c r="W31" s="3061">
        <f>SUM(仓储A、B、C区!J40:J43)</f>
        <v>53126.479999999996</v>
      </c>
      <c r="X31" s="3049" t="s">
        <v>3020</v>
      </c>
      <c r="Y31" s="3311" t="s">
        <v>3021</v>
      </c>
      <c r="Z31" s="3277"/>
    </row>
    <row r="32" spans="2:26">
      <c r="B32" s="3258"/>
      <c r="C32" s="3037" t="s">
        <v>3022</v>
      </c>
      <c r="D32" s="3037">
        <v>119</v>
      </c>
      <c r="E32" s="3037">
        <v>15397.01</v>
      </c>
      <c r="F32" s="3037" t="s">
        <v>1521</v>
      </c>
      <c r="G32" s="3037">
        <v>0</v>
      </c>
      <c r="H32" s="3037">
        <v>0</v>
      </c>
      <c r="I32" s="3037">
        <v>0</v>
      </c>
      <c r="J32" s="3037">
        <v>119</v>
      </c>
      <c r="K32" s="3037">
        <v>15397.01</v>
      </c>
      <c r="L32" s="3309"/>
      <c r="M32" s="3308">
        <v>63287.24</v>
      </c>
      <c r="N32" s="3037">
        <v>40</v>
      </c>
      <c r="O32" s="3037" t="s">
        <v>1521</v>
      </c>
      <c r="P32" s="3037">
        <v>6354.32</v>
      </c>
      <c r="Q32" s="3037">
        <v>0</v>
      </c>
      <c r="R32" s="3037">
        <v>0</v>
      </c>
      <c r="S32" s="3037">
        <v>79</v>
      </c>
      <c r="T32" s="3037">
        <v>9042.69</v>
      </c>
      <c r="U32" s="3037">
        <v>14892.15</v>
      </c>
      <c r="V32" s="3037" t="s">
        <v>1521</v>
      </c>
      <c r="W32" s="3037">
        <f>仓储A、B、C区!W40</f>
        <v>15821.81</v>
      </c>
      <c r="X32" s="3037" t="s">
        <v>3023</v>
      </c>
      <c r="Y32" s="3277"/>
      <c r="Z32" s="3277"/>
    </row>
    <row r="33" spans="2:26">
      <c r="B33" s="3258"/>
      <c r="C33" s="3037" t="s">
        <v>3024</v>
      </c>
      <c r="D33" s="3037">
        <v>120</v>
      </c>
      <c r="E33" s="3037">
        <v>15444.41</v>
      </c>
      <c r="F33" s="3037" t="s">
        <v>1521</v>
      </c>
      <c r="G33" s="3037">
        <v>0</v>
      </c>
      <c r="H33" s="3037">
        <v>0</v>
      </c>
      <c r="I33" s="3037">
        <v>0</v>
      </c>
      <c r="J33" s="3037">
        <v>120</v>
      </c>
      <c r="K33" s="3037">
        <v>15444.41</v>
      </c>
      <c r="L33" s="3309"/>
      <c r="M33" s="3309"/>
      <c r="N33" s="3037">
        <v>19</v>
      </c>
      <c r="O33" s="3037" t="s">
        <v>1521</v>
      </c>
      <c r="P33" s="3037">
        <v>3100.04</v>
      </c>
      <c r="Q33" s="3037">
        <v>0</v>
      </c>
      <c r="R33" s="3037">
        <v>0</v>
      </c>
      <c r="S33" s="3037">
        <v>101</v>
      </c>
      <c r="T33" s="3037">
        <v>12344.37</v>
      </c>
      <c r="U33" s="3037">
        <v>15444.41</v>
      </c>
      <c r="V33" s="3037" t="s">
        <v>1521</v>
      </c>
      <c r="W33" s="3037">
        <f>仓储A、B、C区!W41</f>
        <v>15821.81</v>
      </c>
      <c r="X33" s="3040" t="s">
        <v>3025</v>
      </c>
      <c r="Y33" s="3277"/>
      <c r="Z33" s="3277"/>
    </row>
    <row r="34" spans="2:26">
      <c r="B34" s="3258"/>
      <c r="C34" s="3037" t="s">
        <v>3026</v>
      </c>
      <c r="D34" s="3037">
        <v>107</v>
      </c>
      <c r="E34" s="3037">
        <v>14694.43</v>
      </c>
      <c r="F34" s="3037" t="s">
        <v>1521</v>
      </c>
      <c r="G34" s="3037">
        <v>0</v>
      </c>
      <c r="H34" s="3037">
        <v>0</v>
      </c>
      <c r="I34" s="3037">
        <v>0</v>
      </c>
      <c r="J34" s="3037">
        <v>107</v>
      </c>
      <c r="K34" s="3037">
        <v>14694.43</v>
      </c>
      <c r="L34" s="3309"/>
      <c r="M34" s="3309"/>
      <c r="N34" s="3037">
        <v>0</v>
      </c>
      <c r="O34" s="3037" t="s">
        <v>1521</v>
      </c>
      <c r="P34" s="3037">
        <v>0</v>
      </c>
      <c r="Q34" s="3037">
        <v>0</v>
      </c>
      <c r="R34" s="3037">
        <v>0</v>
      </c>
      <c r="S34" s="3037">
        <v>107</v>
      </c>
      <c r="T34" s="3037">
        <v>14694.43</v>
      </c>
      <c r="U34" s="3037">
        <v>14694.43</v>
      </c>
      <c r="V34" s="3037" t="s">
        <v>1521</v>
      </c>
      <c r="W34" s="3037">
        <f>仓储A、B、C区!W42</f>
        <v>15821.81</v>
      </c>
      <c r="X34" s="3037"/>
      <c r="Y34" s="3277"/>
      <c r="Z34" s="3277"/>
    </row>
    <row r="35" spans="2:26">
      <c r="B35" s="3258"/>
      <c r="C35" s="3037" t="s">
        <v>3027</v>
      </c>
      <c r="D35" s="3037">
        <v>120</v>
      </c>
      <c r="E35" s="3037">
        <v>15444.41</v>
      </c>
      <c r="F35" s="3037" t="s">
        <v>1521</v>
      </c>
      <c r="G35" s="3037">
        <v>0</v>
      </c>
      <c r="H35" s="3037">
        <v>0</v>
      </c>
      <c r="I35" s="3037">
        <v>0</v>
      </c>
      <c r="J35" s="3037">
        <v>120</v>
      </c>
      <c r="K35" s="3037">
        <v>15444.41</v>
      </c>
      <c r="L35" s="3310"/>
      <c r="M35" s="3310"/>
      <c r="N35" s="3037">
        <v>0</v>
      </c>
      <c r="O35" s="3037" t="s">
        <v>1521</v>
      </c>
      <c r="P35" s="3037">
        <v>0</v>
      </c>
      <c r="Q35" s="3037">
        <v>0</v>
      </c>
      <c r="R35" s="3037">
        <v>0</v>
      </c>
      <c r="S35" s="3037">
        <v>120</v>
      </c>
      <c r="T35" s="3037">
        <v>15444.41</v>
      </c>
      <c r="U35" s="3037">
        <v>15444.41</v>
      </c>
      <c r="V35" s="3037" t="s">
        <v>1521</v>
      </c>
      <c r="W35" s="3037">
        <f>仓储A、B、C区!W43</f>
        <v>15821.81</v>
      </c>
      <c r="X35" s="3037"/>
      <c r="Y35" s="3277"/>
      <c r="Z35" s="3277"/>
    </row>
    <row r="36" spans="2:26">
      <c r="B36" s="3258"/>
      <c r="C36" s="3050" t="s">
        <v>3028</v>
      </c>
      <c r="D36" s="3051">
        <f>SUM(D32:D35)</f>
        <v>466</v>
      </c>
      <c r="E36" s="3051">
        <f>SUM(E31:E35)</f>
        <v>104977.5</v>
      </c>
      <c r="F36" s="3051" t="s">
        <v>1521</v>
      </c>
      <c r="G36" s="3051">
        <v>0</v>
      </c>
      <c r="H36" s="3051">
        <v>0</v>
      </c>
      <c r="I36" s="3051">
        <v>0</v>
      </c>
      <c r="J36" s="3051">
        <v>459</v>
      </c>
      <c r="K36" s="3051">
        <v>60475.4</v>
      </c>
      <c r="L36" s="3052">
        <v>116413.72</v>
      </c>
      <c r="M36" s="3051">
        <f>M32</f>
        <v>63287.24</v>
      </c>
      <c r="N36" s="3051">
        <v>59</v>
      </c>
      <c r="O36" s="3051" t="s">
        <v>1521</v>
      </c>
      <c r="P36" s="3051">
        <v>9454.36</v>
      </c>
      <c r="Q36" s="3051">
        <v>0</v>
      </c>
      <c r="R36" s="3051">
        <v>0</v>
      </c>
      <c r="S36" s="3051">
        <v>400</v>
      </c>
      <c r="T36" s="3051">
        <v>51021.04</v>
      </c>
      <c r="U36" s="3051">
        <f>SUM(U31:U35)</f>
        <v>104472.64000000001</v>
      </c>
      <c r="V36" s="3051" t="s">
        <v>1521</v>
      </c>
      <c r="W36" s="3051">
        <f>仓储A、B、C区!W44</f>
        <v>63287.24</v>
      </c>
      <c r="X36" s="3051"/>
      <c r="Y36" s="3277"/>
      <c r="Z36" s="3277"/>
    </row>
    <row r="37" spans="2:26">
      <c r="B37" s="3059"/>
      <c r="C37" s="3303" t="s">
        <v>3029</v>
      </c>
      <c r="D37" s="3303"/>
      <c r="E37" s="3303"/>
      <c r="F37" s="3303"/>
      <c r="G37" s="3303"/>
      <c r="H37" s="3303"/>
      <c r="I37" s="3303"/>
      <c r="J37" s="3303"/>
      <c r="K37" s="3303"/>
      <c r="L37" s="3303"/>
      <c r="M37" s="3303"/>
      <c r="N37" s="3303"/>
      <c r="O37" s="3303"/>
      <c r="P37" s="3303"/>
      <c r="Q37" s="3303"/>
      <c r="R37" s="3303"/>
      <c r="S37" s="3303"/>
      <c r="T37" s="3303"/>
      <c r="U37" s="3303"/>
      <c r="V37" s="3303"/>
      <c r="W37" s="3303"/>
      <c r="X37" s="3303"/>
      <c r="Y37" s="3053"/>
      <c r="Z37" s="3053"/>
    </row>
    <row r="38" spans="2:26">
      <c r="B38" s="3059"/>
      <c r="C38" s="3054" t="s">
        <v>3030</v>
      </c>
      <c r="D38" s="3054"/>
      <c r="E38" s="3054"/>
      <c r="F38" s="3054"/>
      <c r="G38" s="3054"/>
      <c r="H38" s="3054"/>
      <c r="I38" s="3054"/>
      <c r="J38" s="3054">
        <f>J17+J29+J36</f>
        <v>2955</v>
      </c>
      <c r="K38" s="3054">
        <f>K17+K29+K36</f>
        <v>274300.39999999991</v>
      </c>
      <c r="L38" s="3055"/>
      <c r="M38" s="3054">
        <f>M17+M29+M36</f>
        <v>277112.24</v>
      </c>
      <c r="N38" s="3041"/>
      <c r="O38" s="3041"/>
      <c r="P38" s="3041"/>
      <c r="Q38" s="3041"/>
      <c r="R38" s="3041"/>
      <c r="S38" s="3041"/>
      <c r="T38" s="3041"/>
      <c r="U38" s="3041"/>
      <c r="V38" s="3041"/>
      <c r="W38" s="3041"/>
      <c r="X38" s="3041"/>
      <c r="Y38" s="3047"/>
      <c r="Z38" s="3047"/>
    </row>
    <row r="41" spans="2:26">
      <c r="B41" s="3110" t="s">
        <v>3286</v>
      </c>
    </row>
    <row r="44" spans="2:26">
      <c r="B44" s="3138" t="s">
        <v>3303</v>
      </c>
    </row>
    <row r="45" spans="2:26" ht="15">
      <c r="B45" s="3136" t="s">
        <v>2105</v>
      </c>
      <c r="C45" s="3136" t="s">
        <v>3317</v>
      </c>
      <c r="D45" s="3136" t="s">
        <v>3318</v>
      </c>
      <c r="E45" s="3136" t="s">
        <v>1487</v>
      </c>
      <c r="F45" s="3137" t="s">
        <v>3319</v>
      </c>
    </row>
    <row r="46" spans="2:26" ht="16.5">
      <c r="B46" s="3134">
        <v>14</v>
      </c>
      <c r="C46" s="3134" t="s">
        <v>3313</v>
      </c>
      <c r="D46" s="3312" t="s">
        <v>3314</v>
      </c>
      <c r="E46" s="3134"/>
      <c r="F46" s="3135">
        <v>49519.45</v>
      </c>
    </row>
    <row r="47" spans="2:26" ht="16.5">
      <c r="B47" s="3134">
        <v>15</v>
      </c>
      <c r="C47" s="3134" t="s">
        <v>3315</v>
      </c>
      <c r="D47" s="3313"/>
      <c r="E47" s="3134"/>
      <c r="F47" s="3135">
        <v>164305.54999999999</v>
      </c>
    </row>
    <row r="48" spans="2:26" ht="16.5">
      <c r="B48" s="3134">
        <v>16</v>
      </c>
      <c r="C48" s="3134" t="s">
        <v>3316</v>
      </c>
      <c r="D48" s="3314"/>
      <c r="E48" s="3134"/>
      <c r="F48" s="3135">
        <v>111603.16</v>
      </c>
    </row>
  </sheetData>
  <mergeCells count="25">
    <mergeCell ref="B1:Z1"/>
    <mergeCell ref="B2:B3"/>
    <mergeCell ref="C2:C3"/>
    <mergeCell ref="D2:D3"/>
    <mergeCell ref="E2:E3"/>
    <mergeCell ref="F2:F3"/>
    <mergeCell ref="G2:I2"/>
    <mergeCell ref="J2:M2"/>
    <mergeCell ref="N2:R2"/>
    <mergeCell ref="S2:T2"/>
    <mergeCell ref="U2:V2"/>
    <mergeCell ref="X2:X3"/>
    <mergeCell ref="Y2:Z3"/>
    <mergeCell ref="B31:B36"/>
    <mergeCell ref="L31:L35"/>
    <mergeCell ref="Y31:Z36"/>
    <mergeCell ref="M32:M35"/>
    <mergeCell ref="D46:D48"/>
    <mergeCell ref="C37:X37"/>
    <mergeCell ref="B4:B17"/>
    <mergeCell ref="L4:L16"/>
    <mergeCell ref="B18:B29"/>
    <mergeCell ref="L18:L28"/>
    <mergeCell ref="Y18:Z29"/>
    <mergeCell ref="Y4:Z17"/>
  </mergeCells>
  <phoneticPr fontId="225" type="noConversion"/>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78"/>
  <sheetViews>
    <sheetView zoomScaleNormal="100" workbookViewId="0">
      <pane xSplit="11" ySplit="3" topLeftCell="L139" activePane="bottomRight" state="frozen"/>
      <selection pane="topRight"/>
      <selection pane="bottomLeft"/>
      <selection pane="bottomRight" activeCell="C146" sqref="C146"/>
    </sheetView>
  </sheetViews>
  <sheetFormatPr defaultColWidth="9" defaultRowHeight="13.5"/>
  <cols>
    <col min="4" max="10" width="9" hidden="1" customWidth="1"/>
    <col min="13" max="13" width="11" customWidth="1"/>
    <col min="15" max="24" width="9" hidden="1" customWidth="1"/>
    <col min="25" max="26" width="9" customWidth="1"/>
    <col min="27" max="27" width="31" customWidth="1"/>
  </cols>
  <sheetData>
    <row r="1" spans="1:31" ht="22.5">
      <c r="A1" s="3321" t="s">
        <v>1483</v>
      </c>
      <c r="B1" s="3322"/>
      <c r="C1" s="3322"/>
      <c r="D1" s="3322"/>
      <c r="E1" s="3322"/>
      <c r="F1" s="3322"/>
      <c r="G1" s="3322"/>
      <c r="H1" s="3322"/>
      <c r="I1" s="3322"/>
      <c r="J1" s="3322"/>
      <c r="K1" s="3322"/>
      <c r="L1" s="3322"/>
      <c r="M1" s="3322"/>
      <c r="N1" s="3322"/>
      <c r="O1" s="3322"/>
      <c r="P1" s="3322"/>
      <c r="Q1" s="3322"/>
      <c r="R1" s="3322"/>
      <c r="S1" s="3322"/>
      <c r="T1" s="3322"/>
      <c r="U1" s="3322"/>
      <c r="V1" s="3322"/>
      <c r="W1" s="3322"/>
      <c r="X1" s="3322"/>
      <c r="Y1" s="3322"/>
      <c r="Z1" s="3322"/>
      <c r="AA1" s="3322"/>
      <c r="AB1" s="3322"/>
      <c r="AC1" s="3322"/>
      <c r="AD1" s="3322"/>
      <c r="AE1" s="3322"/>
    </row>
    <row r="2" spans="1:31">
      <c r="A2" s="3257" t="s">
        <v>1484</v>
      </c>
      <c r="B2" s="3257" t="s">
        <v>1485</v>
      </c>
      <c r="C2" s="3261" t="s">
        <v>1486</v>
      </c>
      <c r="D2" s="3261" t="s">
        <v>1487</v>
      </c>
      <c r="E2" s="3261" t="s">
        <v>1488</v>
      </c>
      <c r="F2" s="3261" t="s">
        <v>1489</v>
      </c>
      <c r="G2" s="3261" t="s">
        <v>1490</v>
      </c>
      <c r="H2" s="3261" t="s">
        <v>1491</v>
      </c>
      <c r="I2" s="3261"/>
      <c r="J2" s="3261"/>
      <c r="K2" s="3261" t="s">
        <v>1492</v>
      </c>
      <c r="L2" s="3261"/>
      <c r="M2" s="3261"/>
      <c r="N2" s="3261"/>
      <c r="O2" s="3261" t="s">
        <v>1493</v>
      </c>
      <c r="P2" s="3261"/>
      <c r="Q2" s="3261"/>
      <c r="R2" s="3261"/>
      <c r="S2" s="3261"/>
      <c r="T2" s="1249"/>
      <c r="U2" s="3261" t="s">
        <v>1494</v>
      </c>
      <c r="V2" s="3261"/>
      <c r="W2" s="3261" t="s">
        <v>1495</v>
      </c>
      <c r="X2" s="3261"/>
      <c r="Y2" s="3323" t="s">
        <v>1496</v>
      </c>
      <c r="Z2" s="3324"/>
      <c r="AA2" s="3329" t="s">
        <v>1497</v>
      </c>
      <c r="AB2" s="3261" t="s">
        <v>1498</v>
      </c>
      <c r="AC2" s="3261"/>
      <c r="AD2" s="3261" t="s">
        <v>1499</v>
      </c>
      <c r="AE2" s="3261"/>
    </row>
    <row r="3" spans="1:31" ht="27">
      <c r="A3" s="3336"/>
      <c r="B3" s="3336"/>
      <c r="C3" s="3262"/>
      <c r="D3" s="3262"/>
      <c r="E3" s="3262"/>
      <c r="F3" s="3262"/>
      <c r="G3" s="3262"/>
      <c r="H3" s="1250" t="s">
        <v>1500</v>
      </c>
      <c r="I3" s="1250" t="s">
        <v>1501</v>
      </c>
      <c r="J3" s="1250" t="s">
        <v>1502</v>
      </c>
      <c r="K3" s="1250" t="s">
        <v>1503</v>
      </c>
      <c r="L3" s="1250" t="s">
        <v>1504</v>
      </c>
      <c r="M3" s="1250" t="s">
        <v>1505</v>
      </c>
      <c r="N3" s="1250" t="s">
        <v>1506</v>
      </c>
      <c r="O3" s="1250" t="s">
        <v>1507</v>
      </c>
      <c r="P3" s="1250" t="s">
        <v>1508</v>
      </c>
      <c r="Q3" s="1250" t="s">
        <v>1509</v>
      </c>
      <c r="R3" s="1250" t="s">
        <v>1510</v>
      </c>
      <c r="S3" s="1250" t="s">
        <v>1511</v>
      </c>
      <c r="T3" s="1250"/>
      <c r="U3" s="1250" t="s">
        <v>1512</v>
      </c>
      <c r="V3" s="1250" t="s">
        <v>1513</v>
      </c>
      <c r="W3" s="1250" t="s">
        <v>1514</v>
      </c>
      <c r="X3" s="1250" t="s">
        <v>1515</v>
      </c>
      <c r="Y3" s="1250" t="s">
        <v>1264</v>
      </c>
      <c r="Z3" s="1250" t="s">
        <v>1516</v>
      </c>
      <c r="AA3" s="3328"/>
      <c r="AB3" s="3262"/>
      <c r="AC3" s="3262"/>
      <c r="AD3" s="3262"/>
      <c r="AE3" s="3262"/>
    </row>
    <row r="4" spans="1:31" ht="37.5">
      <c r="A4" s="3332" t="s">
        <v>1517</v>
      </c>
      <c r="B4" s="3332" t="s">
        <v>1518</v>
      </c>
      <c r="C4" s="1252" t="s">
        <v>1519</v>
      </c>
      <c r="D4" s="1250" t="s">
        <v>1520</v>
      </c>
      <c r="E4" s="1253">
        <v>380</v>
      </c>
      <c r="F4" s="1254">
        <v>18432.57</v>
      </c>
      <c r="G4" s="3327">
        <v>293239.87</v>
      </c>
      <c r="H4" s="1250">
        <v>354</v>
      </c>
      <c r="I4" s="1250">
        <v>16738.12</v>
      </c>
      <c r="J4" s="1261">
        <v>17759.0926579568</v>
      </c>
      <c r="K4" s="1262">
        <v>26</v>
      </c>
      <c r="L4" s="1262">
        <v>1694.45</v>
      </c>
      <c r="M4" s="3343">
        <v>293393.90999999997</v>
      </c>
      <c r="N4" s="1262">
        <v>1694.45</v>
      </c>
      <c r="O4" s="1250">
        <v>1</v>
      </c>
      <c r="P4" s="3328">
        <v>35</v>
      </c>
      <c r="Q4" s="1250">
        <v>57.639999999999901</v>
      </c>
      <c r="R4" s="1250">
        <v>303648</v>
      </c>
      <c r="S4" s="1262">
        <f t="shared" ref="S4:S36" si="0">ROUND(R4/Q4,0)</f>
        <v>5268</v>
      </c>
      <c r="T4" s="1262">
        <f t="shared" ref="T4:T67" si="1">S4/12</f>
        <v>439</v>
      </c>
      <c r="U4" s="1262">
        <f t="shared" ref="U4:U67" si="2">K4-O4</f>
        <v>25</v>
      </c>
      <c r="V4" s="1262">
        <f t="shared" ref="V4:V67" si="3">L4-Q4</f>
        <v>1636.81</v>
      </c>
      <c r="W4" s="1253" t="s">
        <v>1521</v>
      </c>
      <c r="X4" s="1253" t="s">
        <v>1521</v>
      </c>
      <c r="Y4" s="1253">
        <f>'1-6#不动产权证'!D3</f>
        <v>29</v>
      </c>
      <c r="Z4" s="1253">
        <f>'1-6#不动产权证'!M3</f>
        <v>1856.62</v>
      </c>
      <c r="AA4" s="1271" t="s">
        <v>1522</v>
      </c>
      <c r="AB4" s="3337" t="s">
        <v>1523</v>
      </c>
      <c r="AC4" s="3337"/>
      <c r="AD4" s="3337" t="s">
        <v>1524</v>
      </c>
      <c r="AE4" s="3337"/>
    </row>
    <row r="5" spans="1:31">
      <c r="A5" s="3332"/>
      <c r="B5" s="3332"/>
      <c r="C5" s="1252" t="s">
        <v>1525</v>
      </c>
      <c r="D5" s="1250" t="s">
        <v>1520</v>
      </c>
      <c r="E5" s="1253">
        <v>441</v>
      </c>
      <c r="F5" s="1254">
        <v>20818.95</v>
      </c>
      <c r="G5" s="3327"/>
      <c r="H5" s="1250">
        <v>426</v>
      </c>
      <c r="I5" s="1250">
        <v>19694.53</v>
      </c>
      <c r="J5" s="1261">
        <v>18706.205580940499</v>
      </c>
      <c r="K5" s="1262">
        <v>15</v>
      </c>
      <c r="L5" s="1262">
        <v>1124.42</v>
      </c>
      <c r="M5" s="3343"/>
      <c r="N5" s="1262">
        <v>1124.42</v>
      </c>
      <c r="O5" s="1262">
        <v>12</v>
      </c>
      <c r="P5" s="3328"/>
      <c r="Q5" s="1262">
        <v>874.37</v>
      </c>
      <c r="R5" s="1268">
        <v>1294673</v>
      </c>
      <c r="S5" s="1262">
        <f t="shared" si="0"/>
        <v>1481</v>
      </c>
      <c r="T5" s="1262">
        <f t="shared" si="1"/>
        <v>123.416666666667</v>
      </c>
      <c r="U5" s="1262">
        <f t="shared" si="2"/>
        <v>3</v>
      </c>
      <c r="V5" s="1262">
        <f t="shared" si="3"/>
        <v>250.05</v>
      </c>
      <c r="W5" s="1253" t="s">
        <v>1521</v>
      </c>
      <c r="X5" s="1253" t="s">
        <v>1521</v>
      </c>
      <c r="Y5" s="1253">
        <f>'1-6#不动产权证'!D4</f>
        <v>15</v>
      </c>
      <c r="Z5" s="1253">
        <f>'1-6#不动产权证'!M4</f>
        <v>1124.42</v>
      </c>
      <c r="AA5" s="1251"/>
      <c r="AB5" s="3337"/>
      <c r="AC5" s="3337"/>
      <c r="AD5" s="3337"/>
      <c r="AE5" s="3337"/>
    </row>
    <row r="6" spans="1:31">
      <c r="A6" s="3332"/>
      <c r="B6" s="3332"/>
      <c r="C6" s="1252" t="s">
        <v>1526</v>
      </c>
      <c r="D6" s="1250" t="s">
        <v>1520</v>
      </c>
      <c r="E6" s="1253">
        <v>359</v>
      </c>
      <c r="F6" s="1254">
        <v>16897.13</v>
      </c>
      <c r="G6" s="3327"/>
      <c r="H6" s="1250">
        <v>343</v>
      </c>
      <c r="I6" s="1250">
        <v>15933.48</v>
      </c>
      <c r="J6" s="1261">
        <v>16739.468276861</v>
      </c>
      <c r="K6" s="1262">
        <v>16</v>
      </c>
      <c r="L6" s="1262">
        <v>963.650000000001</v>
      </c>
      <c r="M6" s="3343"/>
      <c r="N6" s="1262">
        <v>963.650000000001</v>
      </c>
      <c r="O6" s="1262">
        <v>13</v>
      </c>
      <c r="P6" s="3328"/>
      <c r="Q6" s="1262">
        <v>808.86</v>
      </c>
      <c r="R6" s="1268">
        <v>2347580</v>
      </c>
      <c r="S6" s="1262">
        <f t="shared" si="0"/>
        <v>2902</v>
      </c>
      <c r="T6" s="1262">
        <f t="shared" si="1"/>
        <v>241.833333333333</v>
      </c>
      <c r="U6" s="1262">
        <f t="shared" si="2"/>
        <v>3</v>
      </c>
      <c r="V6" s="1262">
        <f t="shared" si="3"/>
        <v>154.79000000000099</v>
      </c>
      <c r="W6" s="1253" t="s">
        <v>1521</v>
      </c>
      <c r="X6" s="1253" t="s">
        <v>1521</v>
      </c>
      <c r="Y6" s="1253">
        <f>'1-6#不动产权证'!D5</f>
        <v>16</v>
      </c>
      <c r="Z6" s="1253">
        <f>'1-6#不动产权证'!M5</f>
        <v>920.67</v>
      </c>
      <c r="AA6" s="1251"/>
      <c r="AB6" s="3337"/>
      <c r="AC6" s="3337"/>
      <c r="AD6" s="3337"/>
      <c r="AE6" s="3337"/>
    </row>
    <row r="7" spans="1:31">
      <c r="A7" s="3332"/>
      <c r="B7" s="3332"/>
      <c r="C7" s="1252" t="s">
        <v>1527</v>
      </c>
      <c r="D7" s="1250" t="s">
        <v>1520</v>
      </c>
      <c r="E7" s="1253">
        <v>357</v>
      </c>
      <c r="F7" s="1254">
        <v>16174.44</v>
      </c>
      <c r="G7" s="3327"/>
      <c r="H7" s="1250">
        <v>348</v>
      </c>
      <c r="I7" s="1250">
        <v>15634.81</v>
      </c>
      <c r="J7" s="1261">
        <v>17720.434018705699</v>
      </c>
      <c r="K7" s="1253">
        <v>9</v>
      </c>
      <c r="L7" s="1253">
        <v>539.63</v>
      </c>
      <c r="M7" s="3343"/>
      <c r="N7" s="1253">
        <v>539.63</v>
      </c>
      <c r="O7" s="1253">
        <v>9</v>
      </c>
      <c r="P7" s="3328"/>
      <c r="Q7" s="1253">
        <v>539.63</v>
      </c>
      <c r="R7" s="1268">
        <v>1856250</v>
      </c>
      <c r="S7" s="1262">
        <f t="shared" si="0"/>
        <v>3440</v>
      </c>
      <c r="T7" s="1262">
        <f t="shared" si="1"/>
        <v>286.66666666666703</v>
      </c>
      <c r="U7" s="1262">
        <f t="shared" si="2"/>
        <v>0</v>
      </c>
      <c r="V7" s="1262">
        <f t="shared" si="3"/>
        <v>0</v>
      </c>
      <c r="W7" s="1253" t="s">
        <v>1521</v>
      </c>
      <c r="X7" s="1253" t="s">
        <v>1521</v>
      </c>
      <c r="Y7" s="1253">
        <f>'1-6#不动产权证'!D6</f>
        <v>9</v>
      </c>
      <c r="Z7" s="1253">
        <f>'1-6#不动产权证'!M6</f>
        <v>539.63</v>
      </c>
      <c r="AA7" s="1251"/>
      <c r="AB7" s="3337"/>
      <c r="AC7" s="3337"/>
      <c r="AD7" s="3337"/>
      <c r="AE7" s="3337"/>
    </row>
    <row r="8" spans="1:31">
      <c r="A8" s="3332"/>
      <c r="B8" s="3333"/>
      <c r="C8" s="3325" t="s">
        <v>1528</v>
      </c>
      <c r="D8" s="3326"/>
      <c r="E8" s="1257">
        <f t="shared" ref="E8:I8" si="4">SUM(E4:E7)</f>
        <v>1537</v>
      </c>
      <c r="F8" s="1257">
        <f t="shared" si="4"/>
        <v>72323.09</v>
      </c>
      <c r="G8" s="3327"/>
      <c r="H8" s="1257">
        <f t="shared" si="4"/>
        <v>1471</v>
      </c>
      <c r="I8" s="1257">
        <f t="shared" si="4"/>
        <v>68000.94</v>
      </c>
      <c r="J8" s="1263">
        <v>17785.5975667395</v>
      </c>
      <c r="K8" s="1264">
        <v>66</v>
      </c>
      <c r="L8" s="1264">
        <v>4322.1499999999996</v>
      </c>
      <c r="M8" s="3343"/>
      <c r="N8" s="1264">
        <v>4322.1499999999996</v>
      </c>
      <c r="O8" s="1264">
        <v>35</v>
      </c>
      <c r="P8" s="1264"/>
      <c r="Q8" s="1264">
        <v>2280.5</v>
      </c>
      <c r="R8" s="1264">
        <f>R7+R6+R5+R4</f>
        <v>5802151</v>
      </c>
      <c r="S8" s="1256">
        <f t="shared" si="0"/>
        <v>2544</v>
      </c>
      <c r="T8" s="1262">
        <f t="shared" si="1"/>
        <v>212</v>
      </c>
      <c r="U8" s="1258">
        <f t="shared" si="2"/>
        <v>31</v>
      </c>
      <c r="V8" s="1258">
        <f t="shared" si="3"/>
        <v>2041.65</v>
      </c>
      <c r="W8" s="1264" t="s">
        <v>1521</v>
      </c>
      <c r="X8" s="1264" t="s">
        <v>1521</v>
      </c>
      <c r="Y8" s="1264">
        <f>SUM(Y4:Y7)</f>
        <v>69</v>
      </c>
      <c r="Z8" s="1264">
        <f>SUM(Z4:Z7)</f>
        <v>4441.34</v>
      </c>
      <c r="AA8" s="1255"/>
      <c r="AB8" s="3337"/>
      <c r="AC8" s="3337"/>
      <c r="AD8" s="3337"/>
      <c r="AE8" s="3337"/>
    </row>
    <row r="9" spans="1:31" ht="25.5">
      <c r="A9" s="3332"/>
      <c r="B9" s="3332" t="s">
        <v>1529</v>
      </c>
      <c r="C9" s="1252" t="s">
        <v>1519</v>
      </c>
      <c r="D9" s="1250" t="s">
        <v>1530</v>
      </c>
      <c r="E9" s="1253">
        <v>386</v>
      </c>
      <c r="F9" s="1254">
        <v>18919.66</v>
      </c>
      <c r="G9" s="3327"/>
      <c r="H9" s="1250">
        <v>283</v>
      </c>
      <c r="I9" s="1250">
        <v>13431.46</v>
      </c>
      <c r="J9" s="1261">
        <v>14710.1235457649</v>
      </c>
      <c r="K9" s="1253">
        <f t="shared" ref="K9:K72" si="5">E9-H9</f>
        <v>103</v>
      </c>
      <c r="L9" s="1253">
        <f t="shared" ref="L9:L72" si="6">F9-I9</f>
        <v>5488.2</v>
      </c>
      <c r="M9" s="3343"/>
      <c r="N9" s="1253">
        <v>5488.2</v>
      </c>
      <c r="O9" s="1253">
        <v>16</v>
      </c>
      <c r="P9" s="3328">
        <v>145</v>
      </c>
      <c r="Q9" s="1253">
        <v>874.36</v>
      </c>
      <c r="R9" s="1268">
        <v>1198347</v>
      </c>
      <c r="S9" s="1262">
        <f t="shared" si="0"/>
        <v>1371</v>
      </c>
      <c r="T9" s="1262">
        <f t="shared" si="1"/>
        <v>114.25</v>
      </c>
      <c r="U9" s="1262">
        <f t="shared" si="2"/>
        <v>87</v>
      </c>
      <c r="V9" s="1262">
        <f t="shared" si="3"/>
        <v>4613.84</v>
      </c>
      <c r="W9" s="1253" t="s">
        <v>1521</v>
      </c>
      <c r="X9" s="1253" t="s">
        <v>1521</v>
      </c>
      <c r="Y9" s="1253">
        <f>'1-6#不动产权证'!D7</f>
        <v>102</v>
      </c>
      <c r="Z9" s="1253">
        <f>'1-6#不动产权证'!M7</f>
        <v>5441.6</v>
      </c>
      <c r="AA9" s="1272" t="s">
        <v>1531</v>
      </c>
      <c r="AB9" s="3337"/>
      <c r="AC9" s="3337"/>
      <c r="AD9" s="3337"/>
      <c r="AE9" s="3337"/>
    </row>
    <row r="10" spans="1:31" ht="25.5">
      <c r="A10" s="3332"/>
      <c r="B10" s="3332"/>
      <c r="C10" s="1252" t="s">
        <v>1525</v>
      </c>
      <c r="D10" s="1250" t="s">
        <v>1530</v>
      </c>
      <c r="E10" s="1253">
        <v>441</v>
      </c>
      <c r="F10" s="1254">
        <v>21209.08</v>
      </c>
      <c r="G10" s="3327"/>
      <c r="H10" s="1250">
        <v>330</v>
      </c>
      <c r="I10" s="1250">
        <v>14907.02</v>
      </c>
      <c r="J10" s="1261">
        <v>15688.6001360433</v>
      </c>
      <c r="K10" s="1253">
        <f t="shared" si="5"/>
        <v>111</v>
      </c>
      <c r="L10" s="1253">
        <f t="shared" si="6"/>
        <v>6302.06</v>
      </c>
      <c r="M10" s="3343"/>
      <c r="N10" s="1253">
        <v>6302.06</v>
      </c>
      <c r="O10" s="1253">
        <v>54</v>
      </c>
      <c r="P10" s="3328"/>
      <c r="Q10" s="1253">
        <v>3085.44</v>
      </c>
      <c r="R10" s="1268">
        <v>911790</v>
      </c>
      <c r="S10" s="1262">
        <f t="shared" si="0"/>
        <v>296</v>
      </c>
      <c r="T10" s="1262">
        <f t="shared" si="1"/>
        <v>24.6666666666667</v>
      </c>
      <c r="U10" s="1262">
        <f t="shared" si="2"/>
        <v>57</v>
      </c>
      <c r="V10" s="1262">
        <f t="shared" si="3"/>
        <v>3216.62</v>
      </c>
      <c r="W10" s="1253" t="s">
        <v>1521</v>
      </c>
      <c r="X10" s="1253" t="s">
        <v>1521</v>
      </c>
      <c r="Y10" s="1253">
        <f>'1-6#不动产权证'!D8</f>
        <v>0</v>
      </c>
      <c r="Z10" s="1253">
        <f>'1-6#不动产权证'!M8</f>
        <v>0</v>
      </c>
      <c r="AA10" s="1272" t="s">
        <v>1532</v>
      </c>
      <c r="AB10" s="3337"/>
      <c r="AC10" s="3337"/>
      <c r="AD10" s="3337"/>
      <c r="AE10" s="3337"/>
    </row>
    <row r="11" spans="1:31">
      <c r="A11" s="3332"/>
      <c r="B11" s="3332"/>
      <c r="C11" s="1252" t="s">
        <v>1526</v>
      </c>
      <c r="D11" s="1250" t="s">
        <v>1530</v>
      </c>
      <c r="E11" s="1253">
        <v>360</v>
      </c>
      <c r="F11" s="1254">
        <v>17129.52</v>
      </c>
      <c r="G11" s="3327"/>
      <c r="H11" s="1250">
        <v>292</v>
      </c>
      <c r="I11" s="1250">
        <v>13398.64</v>
      </c>
      <c r="J11" s="1261">
        <v>16020.4354322528</v>
      </c>
      <c r="K11" s="1253">
        <f t="shared" si="5"/>
        <v>68</v>
      </c>
      <c r="L11" s="1253">
        <f t="shared" si="6"/>
        <v>3730.88</v>
      </c>
      <c r="M11" s="3343"/>
      <c r="N11" s="1253">
        <v>3730.88</v>
      </c>
      <c r="O11" s="1253">
        <v>55</v>
      </c>
      <c r="P11" s="3328"/>
      <c r="Q11" s="1253">
        <v>3114.8</v>
      </c>
      <c r="R11" s="1268">
        <v>4111256</v>
      </c>
      <c r="S11" s="1262">
        <f t="shared" si="0"/>
        <v>1320</v>
      </c>
      <c r="T11" s="1262">
        <f t="shared" si="1"/>
        <v>110</v>
      </c>
      <c r="U11" s="1262">
        <f t="shared" si="2"/>
        <v>13</v>
      </c>
      <c r="V11" s="1262">
        <f t="shared" si="3"/>
        <v>616.08000000000095</v>
      </c>
      <c r="W11" s="1253" t="s">
        <v>1521</v>
      </c>
      <c r="X11" s="1253" t="s">
        <v>1521</v>
      </c>
      <c r="Y11" s="1253">
        <f>'1-6#不动产权证'!D9</f>
        <v>69</v>
      </c>
      <c r="Z11" s="1253">
        <f>'1-6#不动产权证'!M9</f>
        <v>3785.48</v>
      </c>
      <c r="AA11" s="1251"/>
      <c r="AB11" s="3337"/>
      <c r="AC11" s="3337"/>
      <c r="AD11" s="3337"/>
      <c r="AE11" s="3337"/>
    </row>
    <row r="12" spans="1:31">
      <c r="A12" s="3332"/>
      <c r="B12" s="3332"/>
      <c r="C12" s="1252" t="s">
        <v>1527</v>
      </c>
      <c r="D12" s="1250" t="s">
        <v>1530</v>
      </c>
      <c r="E12" s="1253">
        <v>365</v>
      </c>
      <c r="F12" s="1254">
        <v>16684.189999999999</v>
      </c>
      <c r="G12" s="3327"/>
      <c r="H12" s="1250">
        <v>314</v>
      </c>
      <c r="I12" s="1250">
        <v>14005.77</v>
      </c>
      <c r="J12" s="1261">
        <v>17084.233426652001</v>
      </c>
      <c r="K12" s="1253">
        <f t="shared" si="5"/>
        <v>51</v>
      </c>
      <c r="L12" s="1253">
        <f t="shared" si="6"/>
        <v>2678.42</v>
      </c>
      <c r="M12" s="3343"/>
      <c r="N12" s="1253">
        <v>2678.42</v>
      </c>
      <c r="O12" s="1253">
        <v>24</v>
      </c>
      <c r="P12" s="3328"/>
      <c r="Q12" s="1253">
        <v>1367.9</v>
      </c>
      <c r="R12" s="1268">
        <v>2116007</v>
      </c>
      <c r="S12" s="1262">
        <f t="shared" si="0"/>
        <v>1547</v>
      </c>
      <c r="T12" s="1262">
        <f t="shared" si="1"/>
        <v>128.916666666667</v>
      </c>
      <c r="U12" s="1262">
        <f t="shared" si="2"/>
        <v>27</v>
      </c>
      <c r="V12" s="1262">
        <f t="shared" si="3"/>
        <v>1310.52</v>
      </c>
      <c r="W12" s="1253" t="s">
        <v>1521</v>
      </c>
      <c r="X12" s="1253" t="s">
        <v>1521</v>
      </c>
      <c r="Y12" s="1253">
        <f>'1-6#不动产权证'!D10</f>
        <v>51</v>
      </c>
      <c r="Z12" s="1253">
        <f>'1-6#不动产权证'!M10</f>
        <v>2678.42</v>
      </c>
      <c r="AA12" s="1251"/>
      <c r="AB12" s="3337"/>
      <c r="AC12" s="3337"/>
      <c r="AD12" s="3337"/>
      <c r="AE12" s="3337"/>
    </row>
    <row r="13" spans="1:31">
      <c r="A13" s="3332"/>
      <c r="B13" s="3333"/>
      <c r="C13" s="3325" t="s">
        <v>1533</v>
      </c>
      <c r="D13" s="3326"/>
      <c r="E13" s="1258">
        <f t="shared" ref="E13:I13" si="7">SUM(E9:E12)</f>
        <v>1552</v>
      </c>
      <c r="F13" s="1258">
        <f t="shared" si="7"/>
        <v>73942.45</v>
      </c>
      <c r="G13" s="3327"/>
      <c r="H13" s="1258">
        <f t="shared" si="7"/>
        <v>1219</v>
      </c>
      <c r="I13" s="1258">
        <f t="shared" si="7"/>
        <v>55742.89</v>
      </c>
      <c r="J13" s="1263">
        <v>15883.256196440499</v>
      </c>
      <c r="K13" s="1264">
        <f t="shared" si="5"/>
        <v>333</v>
      </c>
      <c r="L13" s="1264">
        <f t="shared" si="6"/>
        <v>18199.560000000001</v>
      </c>
      <c r="M13" s="3343"/>
      <c r="N13" s="1264">
        <v>18199.560000000001</v>
      </c>
      <c r="O13" s="1264">
        <v>149</v>
      </c>
      <c r="P13" s="1264"/>
      <c r="Q13" s="1264">
        <v>8442.5</v>
      </c>
      <c r="R13" s="1264">
        <f>SUM(R9:R12)</f>
        <v>8337400</v>
      </c>
      <c r="S13" s="1256">
        <f t="shared" si="0"/>
        <v>988</v>
      </c>
      <c r="T13" s="1262">
        <f t="shared" si="1"/>
        <v>82.3333333333333</v>
      </c>
      <c r="U13" s="1258">
        <f t="shared" si="2"/>
        <v>184</v>
      </c>
      <c r="V13" s="1258">
        <f t="shared" si="3"/>
        <v>9757.0600000000104</v>
      </c>
      <c r="W13" s="1264" t="s">
        <v>1521</v>
      </c>
      <c r="X13" s="1264" t="s">
        <v>1521</v>
      </c>
      <c r="Y13" s="1264">
        <f>SUM(Y9:Y12)</f>
        <v>222</v>
      </c>
      <c r="Z13" s="1264">
        <f>SUM(Z9:Z12)</f>
        <v>11905.5</v>
      </c>
      <c r="AA13" s="1255"/>
      <c r="AB13" s="3337"/>
      <c r="AC13" s="3337"/>
      <c r="AD13" s="3337"/>
      <c r="AE13" s="3337"/>
    </row>
    <row r="14" spans="1:31" ht="51">
      <c r="A14" s="3332"/>
      <c r="B14" s="3332" t="s">
        <v>1534</v>
      </c>
      <c r="C14" s="1252" t="s">
        <v>1519</v>
      </c>
      <c r="D14" s="1250" t="s">
        <v>1535</v>
      </c>
      <c r="E14" s="1253">
        <v>384</v>
      </c>
      <c r="F14" s="1254">
        <v>18863.39</v>
      </c>
      <c r="G14" s="3327"/>
      <c r="H14" s="1250">
        <v>98</v>
      </c>
      <c r="I14" s="1250">
        <v>3919.73</v>
      </c>
      <c r="J14" s="1261">
        <v>12885.704627614599</v>
      </c>
      <c r="K14" s="1253">
        <f t="shared" si="5"/>
        <v>286</v>
      </c>
      <c r="L14" s="1253">
        <f t="shared" si="6"/>
        <v>14943.66</v>
      </c>
      <c r="M14" s="3343"/>
      <c r="N14" s="1253">
        <v>14943.66</v>
      </c>
      <c r="O14" s="1253">
        <v>133</v>
      </c>
      <c r="P14" s="3328">
        <v>734</v>
      </c>
      <c r="Q14" s="1253">
        <v>7108.42</v>
      </c>
      <c r="R14" s="1268">
        <v>2551480</v>
      </c>
      <c r="S14" s="1262">
        <f t="shared" si="0"/>
        <v>359</v>
      </c>
      <c r="T14" s="1262">
        <f t="shared" si="1"/>
        <v>29.9166666666667</v>
      </c>
      <c r="U14" s="1262">
        <f t="shared" si="2"/>
        <v>153</v>
      </c>
      <c r="V14" s="1262">
        <f t="shared" si="3"/>
        <v>7835.24</v>
      </c>
      <c r="W14" s="1253" t="s">
        <v>1521</v>
      </c>
      <c r="X14" s="1253" t="s">
        <v>1521</v>
      </c>
      <c r="Y14" s="1253">
        <f>'1-6#不动产权证'!D11</f>
        <v>285</v>
      </c>
      <c r="Z14" s="1253">
        <f>'1-6#不动产权证'!M11</f>
        <v>14897.06</v>
      </c>
      <c r="AA14" s="1271" t="s">
        <v>1536</v>
      </c>
      <c r="AB14" s="3337"/>
      <c r="AC14" s="3337"/>
      <c r="AD14" s="3337"/>
      <c r="AE14" s="3337"/>
    </row>
    <row r="15" spans="1:31" ht="25.5">
      <c r="A15" s="3332"/>
      <c r="B15" s="3332"/>
      <c r="C15" s="1252" t="s">
        <v>1525</v>
      </c>
      <c r="D15" s="1250" t="s">
        <v>1537</v>
      </c>
      <c r="E15" s="1253">
        <v>439</v>
      </c>
      <c r="F15" s="1254">
        <v>21126.09</v>
      </c>
      <c r="G15" s="3327"/>
      <c r="H15" s="1250">
        <v>0</v>
      </c>
      <c r="I15" s="1250">
        <v>0</v>
      </c>
      <c r="J15" s="1261">
        <v>0</v>
      </c>
      <c r="K15" s="1253">
        <f t="shared" si="5"/>
        <v>439</v>
      </c>
      <c r="L15" s="1253">
        <f t="shared" si="6"/>
        <v>21126.09</v>
      </c>
      <c r="M15" s="3343"/>
      <c r="N15" s="1253">
        <v>21126.09</v>
      </c>
      <c r="O15" s="1253">
        <v>438</v>
      </c>
      <c r="P15" s="3328"/>
      <c r="Q15" s="1253">
        <v>21048.11</v>
      </c>
      <c r="R15" s="1268">
        <v>7695007</v>
      </c>
      <c r="S15" s="1262">
        <f t="shared" si="0"/>
        <v>366</v>
      </c>
      <c r="T15" s="1262">
        <f t="shared" si="1"/>
        <v>30.5</v>
      </c>
      <c r="U15" s="1262">
        <f t="shared" si="2"/>
        <v>1</v>
      </c>
      <c r="V15" s="1262">
        <f t="shared" si="3"/>
        <v>77.979999999999606</v>
      </c>
      <c r="W15" s="1253" t="s">
        <v>1521</v>
      </c>
      <c r="X15" s="1253" t="s">
        <v>1521</v>
      </c>
      <c r="Y15" s="1253">
        <f>'1-6#不动产权证'!D12</f>
        <v>438</v>
      </c>
      <c r="Z15" s="1253">
        <f>'1-6#不动产权证'!M12</f>
        <v>21048.11</v>
      </c>
      <c r="AA15" s="1272" t="s">
        <v>1538</v>
      </c>
      <c r="AB15" s="3337"/>
      <c r="AC15" s="3337"/>
      <c r="AD15" s="3337"/>
      <c r="AE15" s="3337"/>
    </row>
    <row r="16" spans="1:31">
      <c r="A16" s="3332"/>
      <c r="B16" s="3332"/>
      <c r="C16" s="1252" t="s">
        <v>1526</v>
      </c>
      <c r="D16" s="1250" t="s">
        <v>1539</v>
      </c>
      <c r="E16" s="1253">
        <v>358</v>
      </c>
      <c r="F16" s="1254">
        <v>17022.330000000002</v>
      </c>
      <c r="G16" s="3327"/>
      <c r="H16" s="1250">
        <v>300</v>
      </c>
      <c r="I16" s="1250">
        <v>13819.33</v>
      </c>
      <c r="J16" s="1261">
        <v>14324.458494008</v>
      </c>
      <c r="K16" s="1253">
        <f t="shared" si="5"/>
        <v>58</v>
      </c>
      <c r="L16" s="1253">
        <f t="shared" si="6"/>
        <v>3203</v>
      </c>
      <c r="M16" s="3343"/>
      <c r="N16" s="1253">
        <v>3203</v>
      </c>
      <c r="O16" s="1253">
        <v>13</v>
      </c>
      <c r="P16" s="3328"/>
      <c r="Q16" s="1253">
        <v>717.85</v>
      </c>
      <c r="R16" s="1268">
        <v>754336</v>
      </c>
      <c r="S16" s="1262">
        <f t="shared" si="0"/>
        <v>1051</v>
      </c>
      <c r="T16" s="1262">
        <f t="shared" si="1"/>
        <v>87.5833333333333</v>
      </c>
      <c r="U16" s="1262">
        <f t="shared" si="2"/>
        <v>45</v>
      </c>
      <c r="V16" s="1262">
        <f t="shared" si="3"/>
        <v>2485.15</v>
      </c>
      <c r="W16" s="1253" t="s">
        <v>1521</v>
      </c>
      <c r="X16" s="1253" t="s">
        <v>1521</v>
      </c>
      <c r="Y16" s="1253">
        <f>'1-6#不动产权证'!D13</f>
        <v>0</v>
      </c>
      <c r="Z16" s="1253">
        <f>'1-6#不动产权证'!M13</f>
        <v>0</v>
      </c>
      <c r="AA16" s="1272" t="s">
        <v>1540</v>
      </c>
      <c r="AB16" s="3337"/>
      <c r="AC16" s="3337"/>
      <c r="AD16" s="3337"/>
      <c r="AE16" s="3337"/>
    </row>
    <row r="17" spans="1:31">
      <c r="A17" s="3332"/>
      <c r="B17" s="3332"/>
      <c r="C17" s="1252" t="s">
        <v>1527</v>
      </c>
      <c r="D17" s="1250" t="s">
        <v>1541</v>
      </c>
      <c r="E17" s="1253">
        <v>363</v>
      </c>
      <c r="F17" s="1254">
        <v>16579.93</v>
      </c>
      <c r="G17" s="3327"/>
      <c r="H17" s="1250">
        <v>0</v>
      </c>
      <c r="I17" s="1250">
        <v>0</v>
      </c>
      <c r="J17" s="1261">
        <v>0</v>
      </c>
      <c r="K17" s="1253">
        <f t="shared" si="5"/>
        <v>363</v>
      </c>
      <c r="L17" s="1253">
        <f t="shared" si="6"/>
        <v>16579.93</v>
      </c>
      <c r="M17" s="3343"/>
      <c r="N17" s="1253">
        <v>16579.93</v>
      </c>
      <c r="O17" s="1253">
        <v>179</v>
      </c>
      <c r="P17" s="3328"/>
      <c r="Q17" s="1253">
        <v>8310.8799999999992</v>
      </c>
      <c r="R17" s="1268">
        <v>3099463</v>
      </c>
      <c r="S17" s="1262">
        <f t="shared" si="0"/>
        <v>373</v>
      </c>
      <c r="T17" s="1262">
        <f t="shared" si="1"/>
        <v>31.0833333333333</v>
      </c>
      <c r="U17" s="1262">
        <f t="shared" si="2"/>
        <v>184</v>
      </c>
      <c r="V17" s="1262">
        <f t="shared" si="3"/>
        <v>8269.0499999999993</v>
      </c>
      <c r="W17" s="1253" t="s">
        <v>1521</v>
      </c>
      <c r="X17" s="1253" t="s">
        <v>1521</v>
      </c>
      <c r="Y17" s="1253">
        <f>'1-6#不动产权证'!D14</f>
        <v>363</v>
      </c>
      <c r="Z17" s="1253">
        <f>'1-6#不动产权证'!M14</f>
        <v>16579.93</v>
      </c>
      <c r="AA17" s="1272" t="s">
        <v>1542</v>
      </c>
      <c r="AB17" s="3337"/>
      <c r="AC17" s="3337"/>
      <c r="AD17" s="3337"/>
      <c r="AE17" s="3337"/>
    </row>
    <row r="18" spans="1:31">
      <c r="A18" s="3332"/>
      <c r="B18" s="3333"/>
      <c r="C18" s="3325" t="s">
        <v>1543</v>
      </c>
      <c r="D18" s="3326"/>
      <c r="E18" s="1258">
        <f t="shared" ref="E18:I18" si="8">SUM(E14:E17)</f>
        <v>1544</v>
      </c>
      <c r="F18" s="1258">
        <f t="shared" si="8"/>
        <v>73591.740000000005</v>
      </c>
      <c r="G18" s="3327"/>
      <c r="H18" s="1258">
        <f t="shared" si="8"/>
        <v>398</v>
      </c>
      <c r="I18" s="1258">
        <f t="shared" si="8"/>
        <v>17739.060000000001</v>
      </c>
      <c r="J18" s="1263">
        <v>14006.5427367628</v>
      </c>
      <c r="K18" s="1264">
        <f t="shared" si="5"/>
        <v>1146</v>
      </c>
      <c r="L18" s="1264">
        <f t="shared" si="6"/>
        <v>55852.68</v>
      </c>
      <c r="M18" s="3343"/>
      <c r="N18" s="1264">
        <v>55852.68</v>
      </c>
      <c r="O18" s="1264">
        <v>763</v>
      </c>
      <c r="P18" s="1264"/>
      <c r="Q18" s="1264">
        <v>37185.26</v>
      </c>
      <c r="R18" s="1264">
        <f>SUM(R14:R17)</f>
        <v>14100286</v>
      </c>
      <c r="S18" s="1256">
        <f t="shared" si="0"/>
        <v>379</v>
      </c>
      <c r="T18" s="1262">
        <f t="shared" si="1"/>
        <v>31.5833333333333</v>
      </c>
      <c r="U18" s="1258">
        <f t="shared" si="2"/>
        <v>383</v>
      </c>
      <c r="V18" s="1258">
        <f t="shared" si="3"/>
        <v>18667.419999999998</v>
      </c>
      <c r="W18" s="1264" t="s">
        <v>1521</v>
      </c>
      <c r="X18" s="1264" t="s">
        <v>1521</v>
      </c>
      <c r="Y18" s="1264">
        <f>SUM(Y14:Y17)</f>
        <v>1086</v>
      </c>
      <c r="Z18" s="1264">
        <f>SUM(Z14:Z17)</f>
        <v>52525.1</v>
      </c>
      <c r="AA18" s="1255"/>
      <c r="AB18" s="3337"/>
      <c r="AC18" s="3337"/>
      <c r="AD18" s="3337"/>
      <c r="AE18" s="3337"/>
    </row>
    <row r="19" spans="1:31" ht="50.25">
      <c r="A19" s="3332"/>
      <c r="B19" s="3332" t="s">
        <v>1544</v>
      </c>
      <c r="C19" s="1252" t="s">
        <v>1519</v>
      </c>
      <c r="D19" s="1250" t="s">
        <v>1545</v>
      </c>
      <c r="E19" s="1253">
        <v>382</v>
      </c>
      <c r="F19" s="1254">
        <v>18811.830000000002</v>
      </c>
      <c r="G19" s="3327"/>
      <c r="H19" s="1250">
        <v>242</v>
      </c>
      <c r="I19" s="1250">
        <v>11001.31</v>
      </c>
      <c r="J19" s="1261">
        <v>11000.3176894388</v>
      </c>
      <c r="K19" s="1253">
        <f t="shared" si="5"/>
        <v>140</v>
      </c>
      <c r="L19" s="1253">
        <f t="shared" si="6"/>
        <v>7810.52</v>
      </c>
      <c r="M19" s="3343"/>
      <c r="N19" s="1253">
        <v>7810.52</v>
      </c>
      <c r="O19" s="1253">
        <v>73</v>
      </c>
      <c r="P19" s="3328">
        <v>174</v>
      </c>
      <c r="Q19" s="1253">
        <v>4049.25</v>
      </c>
      <c r="R19" s="1253">
        <v>190862</v>
      </c>
      <c r="S19" s="1262">
        <f t="shared" si="0"/>
        <v>47</v>
      </c>
      <c r="T19" s="1262">
        <f t="shared" si="1"/>
        <v>3.9166666666666701</v>
      </c>
      <c r="U19" s="1262">
        <f t="shared" si="2"/>
        <v>67</v>
      </c>
      <c r="V19" s="1262">
        <f t="shared" si="3"/>
        <v>3761.27</v>
      </c>
      <c r="W19" s="1253" t="s">
        <v>1521</v>
      </c>
      <c r="X19" s="1253" t="s">
        <v>1521</v>
      </c>
      <c r="Y19" s="1253">
        <f>'1-6#不动产权证'!D15</f>
        <v>140</v>
      </c>
      <c r="Z19" s="1253">
        <f>'1-6#不动产权证'!M15</f>
        <v>7821.56</v>
      </c>
      <c r="AA19" s="1272" t="s">
        <v>1546</v>
      </c>
      <c r="AB19" s="3337"/>
      <c r="AC19" s="3337"/>
      <c r="AD19" s="3337"/>
      <c r="AE19" s="3337"/>
    </row>
    <row r="20" spans="1:31" ht="25.5">
      <c r="A20" s="3332"/>
      <c r="B20" s="3332"/>
      <c r="C20" s="1252" t="s">
        <v>1525</v>
      </c>
      <c r="D20" s="1250" t="s">
        <v>1545</v>
      </c>
      <c r="E20" s="1253">
        <v>437</v>
      </c>
      <c r="F20" s="1254">
        <v>21017.439999999999</v>
      </c>
      <c r="G20" s="3327"/>
      <c r="H20" s="1250">
        <v>398</v>
      </c>
      <c r="I20" s="1250">
        <v>18640.72</v>
      </c>
      <c r="J20" s="1261">
        <v>8711.6256239029299</v>
      </c>
      <c r="K20" s="1253">
        <f t="shared" si="5"/>
        <v>39</v>
      </c>
      <c r="L20" s="1253">
        <f t="shared" si="6"/>
        <v>2376.7199999999998</v>
      </c>
      <c r="M20" s="3343"/>
      <c r="N20" s="1253">
        <v>2376.7199999999998</v>
      </c>
      <c r="O20" s="1253">
        <v>9</v>
      </c>
      <c r="P20" s="3328"/>
      <c r="Q20" s="1253">
        <v>519.05999999999995</v>
      </c>
      <c r="R20" s="1253">
        <v>434972</v>
      </c>
      <c r="S20" s="1262">
        <f t="shared" si="0"/>
        <v>838</v>
      </c>
      <c r="T20" s="1262">
        <f t="shared" si="1"/>
        <v>69.8333333333333</v>
      </c>
      <c r="U20" s="1262">
        <f t="shared" si="2"/>
        <v>30</v>
      </c>
      <c r="V20" s="1262">
        <f t="shared" si="3"/>
        <v>1857.66</v>
      </c>
      <c r="W20" s="1253" t="s">
        <v>1521</v>
      </c>
      <c r="X20" s="1253" t="s">
        <v>1521</v>
      </c>
      <c r="Y20" s="1253">
        <f>'1-6#不动产权证'!D16</f>
        <v>0</v>
      </c>
      <c r="Z20" s="1253">
        <f>'1-6#不动产权证'!M16</f>
        <v>0</v>
      </c>
      <c r="AA20" s="1272" t="s">
        <v>1547</v>
      </c>
      <c r="AB20" s="3337"/>
      <c r="AC20" s="3337"/>
      <c r="AD20" s="3337"/>
      <c r="AE20" s="3337"/>
    </row>
    <row r="21" spans="1:31">
      <c r="A21" s="3332"/>
      <c r="B21" s="3332"/>
      <c r="C21" s="1252" t="s">
        <v>1526</v>
      </c>
      <c r="D21" s="1250" t="s">
        <v>1545</v>
      </c>
      <c r="E21" s="1253">
        <v>359</v>
      </c>
      <c r="F21" s="1254">
        <v>16984.849999999999</v>
      </c>
      <c r="G21" s="3327"/>
      <c r="H21" s="1250">
        <v>290</v>
      </c>
      <c r="I21" s="1250">
        <v>13379.5</v>
      </c>
      <c r="J21" s="1261">
        <v>11224.117194214999</v>
      </c>
      <c r="K21" s="1253">
        <f t="shared" si="5"/>
        <v>69</v>
      </c>
      <c r="L21" s="1253">
        <f t="shared" si="6"/>
        <v>3605.35</v>
      </c>
      <c r="M21" s="3343"/>
      <c r="N21" s="1253">
        <v>3605.35</v>
      </c>
      <c r="O21" s="1253">
        <v>16</v>
      </c>
      <c r="P21" s="3328"/>
      <c r="Q21" s="1253">
        <v>811.87</v>
      </c>
      <c r="R21" s="1253">
        <v>725948</v>
      </c>
      <c r="S21" s="1262">
        <f t="shared" si="0"/>
        <v>894</v>
      </c>
      <c r="T21" s="1262">
        <f t="shared" si="1"/>
        <v>74.5</v>
      </c>
      <c r="U21" s="1262">
        <f t="shared" si="2"/>
        <v>53</v>
      </c>
      <c r="V21" s="1262">
        <f t="shared" si="3"/>
        <v>2793.48</v>
      </c>
      <c r="W21" s="1253" t="s">
        <v>1521</v>
      </c>
      <c r="X21" s="1253" t="s">
        <v>1521</v>
      </c>
      <c r="Y21" s="1253">
        <f>'1-6#不动产权证'!D17</f>
        <v>0</v>
      </c>
      <c r="Z21" s="1253">
        <f>'1-6#不动产权证'!M17</f>
        <v>0</v>
      </c>
      <c r="AA21" s="1251"/>
      <c r="AB21" s="3337"/>
      <c r="AC21" s="3337"/>
      <c r="AD21" s="3337"/>
      <c r="AE21" s="3337"/>
    </row>
    <row r="22" spans="1:31">
      <c r="A22" s="3332"/>
      <c r="B22" s="3332"/>
      <c r="C22" s="1252" t="s">
        <v>1527</v>
      </c>
      <c r="D22" s="1250" t="s">
        <v>1545</v>
      </c>
      <c r="E22" s="1253">
        <v>357</v>
      </c>
      <c r="F22" s="1254">
        <v>16492.580000000002</v>
      </c>
      <c r="G22" s="3327"/>
      <c r="H22" s="1250">
        <v>211</v>
      </c>
      <c r="I22" s="1250">
        <v>9250.61</v>
      </c>
      <c r="J22" s="1261">
        <v>12182.2120919593</v>
      </c>
      <c r="K22" s="1253">
        <f t="shared" si="5"/>
        <v>146</v>
      </c>
      <c r="L22" s="1253">
        <f t="shared" si="6"/>
        <v>7241.97</v>
      </c>
      <c r="M22" s="3343"/>
      <c r="N22" s="1253">
        <v>7241.97</v>
      </c>
      <c r="O22" s="1253">
        <v>84</v>
      </c>
      <c r="P22" s="3328"/>
      <c r="Q22" s="1253">
        <v>4185.3</v>
      </c>
      <c r="R22" s="1253">
        <v>3859859</v>
      </c>
      <c r="S22" s="1262">
        <f t="shared" si="0"/>
        <v>922</v>
      </c>
      <c r="T22" s="1262">
        <f t="shared" si="1"/>
        <v>76.8333333333333</v>
      </c>
      <c r="U22" s="1262">
        <f t="shared" si="2"/>
        <v>62</v>
      </c>
      <c r="V22" s="1262">
        <f t="shared" si="3"/>
        <v>3056.67</v>
      </c>
      <c r="W22" s="1253" t="s">
        <v>1521</v>
      </c>
      <c r="X22" s="1253" t="s">
        <v>1521</v>
      </c>
      <c r="Y22" s="1253">
        <f>'1-6#不动产权证'!D18</f>
        <v>152</v>
      </c>
      <c r="Z22" s="1253">
        <f>'1-6#不动产权证'!M18</f>
        <v>7577.54</v>
      </c>
      <c r="AA22" s="1251"/>
      <c r="AB22" s="3337"/>
      <c r="AC22" s="3337"/>
      <c r="AD22" s="3337"/>
      <c r="AE22" s="3337"/>
    </row>
    <row r="23" spans="1:31">
      <c r="A23" s="3332"/>
      <c r="B23" s="3333"/>
      <c r="C23" s="3325" t="s">
        <v>1548</v>
      </c>
      <c r="D23" s="3326"/>
      <c r="E23" s="1258">
        <f t="shared" ref="E23:I23" si="9">SUM(E19:E22)</f>
        <v>1535</v>
      </c>
      <c r="F23" s="1258">
        <f t="shared" si="9"/>
        <v>73306.7</v>
      </c>
      <c r="G23" s="3327"/>
      <c r="H23" s="1258">
        <f t="shared" si="9"/>
        <v>1141</v>
      </c>
      <c r="I23" s="1258">
        <f t="shared" si="9"/>
        <v>52272.14</v>
      </c>
      <c r="J23" s="1263">
        <v>10450.592763181299</v>
      </c>
      <c r="K23" s="1264">
        <f t="shared" si="5"/>
        <v>394</v>
      </c>
      <c r="L23" s="1264">
        <f t="shared" si="6"/>
        <v>21034.560000000001</v>
      </c>
      <c r="M23" s="3343"/>
      <c r="N23" s="1264">
        <v>21034.560000000001</v>
      </c>
      <c r="O23" s="1264">
        <v>182</v>
      </c>
      <c r="P23" s="1264"/>
      <c r="Q23" s="1264">
        <v>9565.48</v>
      </c>
      <c r="R23" s="1264">
        <f>SUM(R19:R22)</f>
        <v>5211641</v>
      </c>
      <c r="S23" s="1256">
        <f t="shared" si="0"/>
        <v>545</v>
      </c>
      <c r="T23" s="1262">
        <f t="shared" si="1"/>
        <v>45.4166666666667</v>
      </c>
      <c r="U23" s="1258">
        <f t="shared" si="2"/>
        <v>212</v>
      </c>
      <c r="V23" s="1258">
        <f t="shared" si="3"/>
        <v>11469.08</v>
      </c>
      <c r="W23" s="1264" t="s">
        <v>1521</v>
      </c>
      <c r="X23" s="1264" t="s">
        <v>1521</v>
      </c>
      <c r="Y23" s="1264">
        <f>SUM(Y19:Y22)</f>
        <v>292</v>
      </c>
      <c r="Z23" s="1264">
        <f>SUM(Z19:Z22)</f>
        <v>15399.1</v>
      </c>
      <c r="AA23" s="1255"/>
      <c r="AB23" s="3337"/>
      <c r="AC23" s="3337"/>
      <c r="AD23" s="3337"/>
      <c r="AE23" s="3337"/>
    </row>
    <row r="24" spans="1:31">
      <c r="A24" s="3330" t="s">
        <v>1549</v>
      </c>
      <c r="B24" s="3330"/>
      <c r="C24" s="3331"/>
      <c r="D24" s="3331"/>
      <c r="E24" s="1260">
        <f t="shared" ref="E24:I24" si="10">E8+E13+E18+E23</f>
        <v>6168</v>
      </c>
      <c r="F24" s="1260">
        <f t="shared" si="10"/>
        <v>293163.98</v>
      </c>
      <c r="G24" s="1259">
        <v>293239.87</v>
      </c>
      <c r="H24" s="1260">
        <f t="shared" si="10"/>
        <v>4229</v>
      </c>
      <c r="I24" s="1260">
        <f t="shared" si="10"/>
        <v>193755.03</v>
      </c>
      <c r="J24" s="1265">
        <v>14913.4384072506</v>
      </c>
      <c r="K24" s="1259">
        <f t="shared" si="5"/>
        <v>1939</v>
      </c>
      <c r="L24" s="1259">
        <f t="shared" si="6"/>
        <v>99408.950000000099</v>
      </c>
      <c r="M24" s="1266">
        <v>293393.90999999997</v>
      </c>
      <c r="N24" s="1259">
        <v>99408.95</v>
      </c>
      <c r="O24" s="1259">
        <v>1129</v>
      </c>
      <c r="P24" s="1259"/>
      <c r="Q24" s="1259">
        <v>57473.74</v>
      </c>
      <c r="R24" s="1259">
        <f>R23+R18+R13+R8</f>
        <v>33451478</v>
      </c>
      <c r="S24" s="1269">
        <f t="shared" si="0"/>
        <v>582</v>
      </c>
      <c r="T24" s="1262">
        <f t="shared" si="1"/>
        <v>48.5</v>
      </c>
      <c r="U24" s="1270">
        <f t="shared" si="2"/>
        <v>810</v>
      </c>
      <c r="V24" s="1270">
        <f t="shared" si="3"/>
        <v>41935.210000000101</v>
      </c>
      <c r="W24" s="1259" t="s">
        <v>1521</v>
      </c>
      <c r="X24" s="1259" t="s">
        <v>1521</v>
      </c>
      <c r="Y24" s="1259">
        <f>Y23+Y18+Y13+Y8</f>
        <v>1669</v>
      </c>
      <c r="Z24" s="1259">
        <f>Z23+Z18+Z13+Z8</f>
        <v>84271.039999999994</v>
      </c>
      <c r="AA24" s="1273"/>
      <c r="AB24" s="3337"/>
      <c r="AC24" s="3337"/>
      <c r="AD24" s="3337"/>
      <c r="AE24" s="3337"/>
    </row>
    <row r="25" spans="1:31">
      <c r="A25" s="3332" t="s">
        <v>1550</v>
      </c>
      <c r="B25" s="3332" t="s">
        <v>1518</v>
      </c>
      <c r="C25" s="1252" t="s">
        <v>1519</v>
      </c>
      <c r="D25" s="1250" t="s">
        <v>1551</v>
      </c>
      <c r="E25" s="1253">
        <v>285</v>
      </c>
      <c r="F25" s="1254">
        <v>15484.99</v>
      </c>
      <c r="G25" s="3328">
        <v>333865.40000000002</v>
      </c>
      <c r="H25" s="1250">
        <v>137</v>
      </c>
      <c r="I25" s="1250">
        <v>6734.8</v>
      </c>
      <c r="J25" s="1261">
        <v>22749.000712715999</v>
      </c>
      <c r="K25" s="1253">
        <f t="shared" si="5"/>
        <v>148</v>
      </c>
      <c r="L25" s="1253">
        <f t="shared" si="6"/>
        <v>8750.19</v>
      </c>
      <c r="M25" s="3328">
        <v>329140.40000000002</v>
      </c>
      <c r="N25" s="1253">
        <v>8750.19</v>
      </c>
      <c r="O25" s="1253">
        <v>62</v>
      </c>
      <c r="P25" s="3328">
        <v>107</v>
      </c>
      <c r="Q25" s="1253">
        <v>3524.33</v>
      </c>
      <c r="R25" s="1253">
        <v>4522845</v>
      </c>
      <c r="S25" s="1262">
        <f t="shared" si="0"/>
        <v>1283</v>
      </c>
      <c r="T25" s="1262">
        <f t="shared" si="1"/>
        <v>106.916666666667</v>
      </c>
      <c r="U25" s="1262">
        <f t="shared" si="2"/>
        <v>86</v>
      </c>
      <c r="V25" s="1262">
        <f t="shared" si="3"/>
        <v>5225.8599999999997</v>
      </c>
      <c r="W25" s="1253" t="s">
        <v>1521</v>
      </c>
      <c r="X25" s="1253" t="s">
        <v>1521</v>
      </c>
      <c r="Y25" s="1253">
        <f>'1-6#不动产权证'!D19</f>
        <v>158</v>
      </c>
      <c r="Z25" s="1253">
        <f>'1-6#不动产权证'!M19</f>
        <v>9278.7999999999993</v>
      </c>
      <c r="AA25" s="1251"/>
      <c r="AB25" s="3338" t="s">
        <v>1552</v>
      </c>
      <c r="AC25" s="3338"/>
      <c r="AD25" s="3338" t="s">
        <v>1553</v>
      </c>
      <c r="AE25" s="3338"/>
    </row>
    <row r="26" spans="1:31">
      <c r="A26" s="3332"/>
      <c r="B26" s="3332"/>
      <c r="C26" s="1252" t="s">
        <v>1525</v>
      </c>
      <c r="D26" s="1250" t="s">
        <v>1551</v>
      </c>
      <c r="E26" s="1253">
        <v>321</v>
      </c>
      <c r="F26" s="1254">
        <v>16740.61</v>
      </c>
      <c r="G26" s="3328"/>
      <c r="H26" s="1250">
        <v>100</v>
      </c>
      <c r="I26" s="1250">
        <v>4951.25</v>
      </c>
      <c r="J26" s="1261">
        <v>22588.615198182299</v>
      </c>
      <c r="K26" s="1253">
        <f t="shared" si="5"/>
        <v>221</v>
      </c>
      <c r="L26" s="1253">
        <f t="shared" si="6"/>
        <v>11789.36</v>
      </c>
      <c r="M26" s="3328"/>
      <c r="N26" s="1253">
        <v>11789.36</v>
      </c>
      <c r="O26" s="1253">
        <v>9</v>
      </c>
      <c r="P26" s="3328"/>
      <c r="Q26" s="1253">
        <v>490.3</v>
      </c>
      <c r="R26" s="1253">
        <v>941344</v>
      </c>
      <c r="S26" s="1262">
        <f t="shared" si="0"/>
        <v>1920</v>
      </c>
      <c r="T26" s="1262">
        <f t="shared" si="1"/>
        <v>160</v>
      </c>
      <c r="U26" s="1262">
        <f t="shared" si="2"/>
        <v>212</v>
      </c>
      <c r="V26" s="1262">
        <f t="shared" si="3"/>
        <v>11299.06</v>
      </c>
      <c r="W26" s="1253" t="s">
        <v>1521</v>
      </c>
      <c r="X26" s="1253" t="s">
        <v>1521</v>
      </c>
      <c r="Y26" s="1253">
        <f>'1-6#不动产权证'!D20</f>
        <v>224</v>
      </c>
      <c r="Z26" s="1253">
        <f>'1-6#不动产权证'!M20</f>
        <v>11957.49</v>
      </c>
      <c r="AA26" s="1271" t="s">
        <v>1554</v>
      </c>
      <c r="AB26" s="3338"/>
      <c r="AC26" s="3338"/>
      <c r="AD26" s="3338"/>
      <c r="AE26" s="3338"/>
    </row>
    <row r="27" spans="1:31">
      <c r="A27" s="3332"/>
      <c r="B27" s="3332"/>
      <c r="C27" s="1252" t="s">
        <v>1526</v>
      </c>
      <c r="D27" s="1250" t="s">
        <v>1551</v>
      </c>
      <c r="E27" s="1253">
        <v>347</v>
      </c>
      <c r="F27" s="1254">
        <v>16631.04</v>
      </c>
      <c r="G27" s="3328"/>
      <c r="H27" s="1250">
        <v>253</v>
      </c>
      <c r="I27" s="1250">
        <v>11766.95</v>
      </c>
      <c r="J27" s="1261">
        <v>20145.1188285834</v>
      </c>
      <c r="K27" s="1253">
        <f t="shared" si="5"/>
        <v>94</v>
      </c>
      <c r="L27" s="1253">
        <f t="shared" si="6"/>
        <v>4864.09</v>
      </c>
      <c r="M27" s="3328"/>
      <c r="N27" s="1253">
        <v>4864.09</v>
      </c>
      <c r="O27" s="1253">
        <v>16</v>
      </c>
      <c r="P27" s="3328"/>
      <c r="Q27" s="1253">
        <v>854.99</v>
      </c>
      <c r="R27" s="1253">
        <v>1188790</v>
      </c>
      <c r="S27" s="1262">
        <f t="shared" si="0"/>
        <v>1390</v>
      </c>
      <c r="T27" s="1262">
        <f t="shared" si="1"/>
        <v>115.833333333333</v>
      </c>
      <c r="U27" s="1262">
        <f t="shared" si="2"/>
        <v>78</v>
      </c>
      <c r="V27" s="1262">
        <f t="shared" si="3"/>
        <v>4009.1</v>
      </c>
      <c r="W27" s="1253" t="s">
        <v>1521</v>
      </c>
      <c r="X27" s="1253" t="s">
        <v>1521</v>
      </c>
      <c r="Y27" s="1253">
        <f>'1-6#不动产权证'!D21</f>
        <v>95</v>
      </c>
      <c r="Z27" s="1253">
        <f>'1-6#不动产权证'!M21</f>
        <v>4910.0600000000004</v>
      </c>
      <c r="AA27" s="1251"/>
      <c r="AB27" s="3338"/>
      <c r="AC27" s="3338"/>
      <c r="AD27" s="3338"/>
      <c r="AE27" s="3338"/>
    </row>
    <row r="28" spans="1:31">
      <c r="A28" s="3332"/>
      <c r="B28" s="3332"/>
      <c r="C28" s="1252" t="s">
        <v>1527</v>
      </c>
      <c r="D28" s="1250" t="s">
        <v>1551</v>
      </c>
      <c r="E28" s="1253">
        <v>302</v>
      </c>
      <c r="F28" s="1254">
        <v>14846.3</v>
      </c>
      <c r="G28" s="3328"/>
      <c r="H28" s="1250">
        <v>223</v>
      </c>
      <c r="I28" s="1250">
        <v>10191.34</v>
      </c>
      <c r="J28" s="1261">
        <v>18098.104370966001</v>
      </c>
      <c r="K28" s="1253">
        <f t="shared" si="5"/>
        <v>79</v>
      </c>
      <c r="L28" s="1253">
        <f t="shared" si="6"/>
        <v>4654.96</v>
      </c>
      <c r="M28" s="3328"/>
      <c r="N28" s="1253">
        <v>4654.96</v>
      </c>
      <c r="O28" s="1253">
        <v>4</v>
      </c>
      <c r="P28" s="3328"/>
      <c r="Q28" s="1253">
        <v>283.07</v>
      </c>
      <c r="R28" s="1253">
        <v>886576</v>
      </c>
      <c r="S28" s="1262">
        <f t="shared" si="0"/>
        <v>3132</v>
      </c>
      <c r="T28" s="1262">
        <f t="shared" si="1"/>
        <v>261</v>
      </c>
      <c r="U28" s="1262">
        <f t="shared" si="2"/>
        <v>75</v>
      </c>
      <c r="V28" s="1262">
        <f t="shared" si="3"/>
        <v>4371.8900000000003</v>
      </c>
      <c r="W28" s="1253" t="s">
        <v>1521</v>
      </c>
      <c r="X28" s="1253" t="s">
        <v>1521</v>
      </c>
      <c r="Y28" s="1253">
        <f>'1-6#不动产权证'!D22</f>
        <v>79</v>
      </c>
      <c r="Z28" s="1253">
        <f>'1-6#不动产权证'!M22</f>
        <v>4654.96</v>
      </c>
      <c r="AA28" s="1251"/>
      <c r="AB28" s="3338"/>
      <c r="AC28" s="3338"/>
      <c r="AD28" s="3338"/>
      <c r="AE28" s="3338"/>
    </row>
    <row r="29" spans="1:31">
      <c r="A29" s="3332"/>
      <c r="B29" s="3332"/>
      <c r="C29" s="1252" t="s">
        <v>1555</v>
      </c>
      <c r="D29" s="1250" t="s">
        <v>1551</v>
      </c>
      <c r="E29" s="1253">
        <v>201</v>
      </c>
      <c r="F29" s="1254">
        <v>9398.3799999999992</v>
      </c>
      <c r="G29" s="3328"/>
      <c r="H29" s="1250">
        <v>185</v>
      </c>
      <c r="I29" s="1250">
        <v>8551.99</v>
      </c>
      <c r="J29" s="1261">
        <v>21345.8350629503</v>
      </c>
      <c r="K29" s="1253">
        <f t="shared" si="5"/>
        <v>16</v>
      </c>
      <c r="L29" s="1253">
        <f t="shared" si="6"/>
        <v>846.38999999999896</v>
      </c>
      <c r="M29" s="3328"/>
      <c r="N29" s="1253">
        <v>846.38999999999896</v>
      </c>
      <c r="O29" s="1253">
        <v>11</v>
      </c>
      <c r="P29" s="3328"/>
      <c r="Q29" s="1253">
        <v>638.19000000000005</v>
      </c>
      <c r="R29" s="1253">
        <v>1934828</v>
      </c>
      <c r="S29" s="1262">
        <f t="shared" si="0"/>
        <v>3032</v>
      </c>
      <c r="T29" s="1262">
        <f t="shared" si="1"/>
        <v>252.666666666667</v>
      </c>
      <c r="U29" s="1262">
        <f t="shared" si="2"/>
        <v>5</v>
      </c>
      <c r="V29" s="1262">
        <f t="shared" si="3"/>
        <v>208.19999999999899</v>
      </c>
      <c r="W29" s="1253" t="s">
        <v>1521</v>
      </c>
      <c r="X29" s="1253" t="s">
        <v>1521</v>
      </c>
      <c r="Y29" s="1253">
        <f>'1-6#不动产权证'!D23</f>
        <v>18</v>
      </c>
      <c r="Z29" s="1253">
        <f>'1-6#不动产权证'!M23</f>
        <v>936.08</v>
      </c>
      <c r="AA29" s="1251"/>
      <c r="AB29" s="3338"/>
      <c r="AC29" s="3338"/>
      <c r="AD29" s="3338"/>
      <c r="AE29" s="3338"/>
    </row>
    <row r="30" spans="1:31">
      <c r="A30" s="3332"/>
      <c r="B30" s="3332"/>
      <c r="C30" s="1252" t="s">
        <v>1556</v>
      </c>
      <c r="D30" s="1250" t="s">
        <v>1551</v>
      </c>
      <c r="E30" s="1253">
        <v>183</v>
      </c>
      <c r="F30" s="1254">
        <v>9338.75</v>
      </c>
      <c r="G30" s="3328"/>
      <c r="H30" s="1250">
        <v>112</v>
      </c>
      <c r="I30" s="1250">
        <v>5078.84</v>
      </c>
      <c r="J30" s="1261">
        <v>22103.044789755098</v>
      </c>
      <c r="K30" s="1253">
        <f t="shared" si="5"/>
        <v>71</v>
      </c>
      <c r="L30" s="1253">
        <f t="shared" si="6"/>
        <v>4259.91</v>
      </c>
      <c r="M30" s="3328"/>
      <c r="N30" s="1253">
        <v>4259.91</v>
      </c>
      <c r="O30" s="1253">
        <v>5</v>
      </c>
      <c r="P30" s="3328"/>
      <c r="Q30" s="1253">
        <v>347.48999999999899</v>
      </c>
      <c r="R30" s="1253">
        <v>911333</v>
      </c>
      <c r="S30" s="1262">
        <f t="shared" si="0"/>
        <v>2623</v>
      </c>
      <c r="T30" s="1262">
        <f t="shared" si="1"/>
        <v>218.583333333333</v>
      </c>
      <c r="U30" s="1262">
        <f t="shared" si="2"/>
        <v>66</v>
      </c>
      <c r="V30" s="1262">
        <f t="shared" si="3"/>
        <v>3912.42</v>
      </c>
      <c r="W30" s="1253" t="s">
        <v>1521</v>
      </c>
      <c r="X30" s="1253" t="s">
        <v>1521</v>
      </c>
      <c r="Y30" s="1253">
        <f>'1-6#不动产权证'!D24</f>
        <v>71</v>
      </c>
      <c r="Z30" s="1253">
        <f>'1-6#不动产权证'!M24</f>
        <v>4259.91</v>
      </c>
      <c r="AA30" s="1251"/>
      <c r="AB30" s="3338"/>
      <c r="AC30" s="3338"/>
      <c r="AD30" s="3338"/>
      <c r="AE30" s="3338"/>
    </row>
    <row r="31" spans="1:31">
      <c r="A31" s="3332"/>
      <c r="B31" s="3333"/>
      <c r="C31" s="3325" t="s">
        <v>1528</v>
      </c>
      <c r="D31" s="3326"/>
      <c r="E31" s="1257">
        <f t="shared" ref="E31:I31" si="11">SUM(E25:E30)</f>
        <v>1639</v>
      </c>
      <c r="F31" s="1257">
        <f t="shared" si="11"/>
        <v>82440.070000000007</v>
      </c>
      <c r="G31" s="3328"/>
      <c r="H31" s="1257">
        <f t="shared" si="11"/>
        <v>1010</v>
      </c>
      <c r="I31" s="1257">
        <f t="shared" si="11"/>
        <v>47275.17</v>
      </c>
      <c r="J31" s="1263">
        <v>20758.245565272398</v>
      </c>
      <c r="K31" s="1264">
        <f t="shared" si="5"/>
        <v>629</v>
      </c>
      <c r="L31" s="1264">
        <f t="shared" si="6"/>
        <v>35164.9</v>
      </c>
      <c r="M31" s="3328"/>
      <c r="N31" s="1264">
        <v>35164.9</v>
      </c>
      <c r="O31" s="1264">
        <v>107</v>
      </c>
      <c r="P31" s="1264"/>
      <c r="Q31" s="1264">
        <v>6138.37</v>
      </c>
      <c r="R31" s="1264">
        <f>R30+R29+R28+R27+R26+R25</f>
        <v>10385716</v>
      </c>
      <c r="S31" s="1256">
        <f t="shared" si="0"/>
        <v>1692</v>
      </c>
      <c r="T31" s="1262">
        <f t="shared" si="1"/>
        <v>141</v>
      </c>
      <c r="U31" s="1258">
        <f t="shared" si="2"/>
        <v>522</v>
      </c>
      <c r="V31" s="1258">
        <f t="shared" si="3"/>
        <v>29026.53</v>
      </c>
      <c r="W31" s="1264" t="s">
        <v>1521</v>
      </c>
      <c r="X31" s="1264" t="s">
        <v>1521</v>
      </c>
      <c r="Y31" s="1264">
        <f>SUM(Y25:Y30)</f>
        <v>645</v>
      </c>
      <c r="Z31" s="1264">
        <f>SUM(Z25:Z30)</f>
        <v>35997.300000000003</v>
      </c>
      <c r="AA31" s="1255"/>
      <c r="AB31" s="3338"/>
      <c r="AC31" s="3338"/>
      <c r="AD31" s="3338"/>
      <c r="AE31" s="3338"/>
    </row>
    <row r="32" spans="1:31" ht="25.5">
      <c r="A32" s="3332"/>
      <c r="B32" s="3332" t="s">
        <v>1529</v>
      </c>
      <c r="C32" s="1252" t="s">
        <v>1519</v>
      </c>
      <c r="D32" s="1250" t="s">
        <v>1557</v>
      </c>
      <c r="E32" s="1253">
        <v>291</v>
      </c>
      <c r="F32" s="1254">
        <v>15827.49</v>
      </c>
      <c r="G32" s="3328"/>
      <c r="H32" s="1250">
        <v>0</v>
      </c>
      <c r="I32" s="1250">
        <v>0</v>
      </c>
      <c r="J32" s="1261">
        <v>0</v>
      </c>
      <c r="K32" s="1253">
        <f t="shared" si="5"/>
        <v>291</v>
      </c>
      <c r="L32" s="1253">
        <f t="shared" si="6"/>
        <v>15827.49</v>
      </c>
      <c r="M32" s="3328"/>
      <c r="N32" s="1253">
        <v>15827.49</v>
      </c>
      <c r="O32" s="1253">
        <v>255</v>
      </c>
      <c r="P32" s="3328">
        <v>560</v>
      </c>
      <c r="Q32" s="1253">
        <v>13950.76</v>
      </c>
      <c r="R32" s="1253">
        <v>4449764</v>
      </c>
      <c r="S32" s="1262">
        <f t="shared" si="0"/>
        <v>319</v>
      </c>
      <c r="T32" s="1262">
        <f t="shared" si="1"/>
        <v>26.5833333333333</v>
      </c>
      <c r="U32" s="1262">
        <f t="shared" si="2"/>
        <v>36</v>
      </c>
      <c r="V32" s="1262">
        <f t="shared" si="3"/>
        <v>1876.73</v>
      </c>
      <c r="W32" s="1253" t="s">
        <v>1521</v>
      </c>
      <c r="X32" s="1253" t="s">
        <v>1521</v>
      </c>
      <c r="Y32" s="1253">
        <f>'1-6#不动产权证'!D25</f>
        <v>290</v>
      </c>
      <c r="Z32" s="1253">
        <f>'1-6#不动产权证'!M25</f>
        <v>15772.23</v>
      </c>
      <c r="AA32" s="1272" t="s">
        <v>1558</v>
      </c>
      <c r="AB32" s="3338"/>
      <c r="AC32" s="3338"/>
      <c r="AD32" s="3338"/>
      <c r="AE32" s="3338"/>
    </row>
    <row r="33" spans="1:31" ht="25.5">
      <c r="A33" s="3332"/>
      <c r="B33" s="3332"/>
      <c r="C33" s="1252" t="s">
        <v>1525</v>
      </c>
      <c r="D33" s="1250" t="s">
        <v>1557</v>
      </c>
      <c r="E33" s="1253">
        <v>325</v>
      </c>
      <c r="F33" s="1254">
        <v>17154.560000000001</v>
      </c>
      <c r="G33" s="3328"/>
      <c r="H33" s="1250">
        <v>0</v>
      </c>
      <c r="I33" s="1250">
        <v>0</v>
      </c>
      <c r="J33" s="1261">
        <v>0</v>
      </c>
      <c r="K33" s="1253">
        <f t="shared" si="5"/>
        <v>325</v>
      </c>
      <c r="L33" s="1253">
        <f t="shared" si="6"/>
        <v>17154.560000000001</v>
      </c>
      <c r="M33" s="3328"/>
      <c r="N33" s="1253">
        <v>17154.560000000001</v>
      </c>
      <c r="O33" s="1253">
        <v>170</v>
      </c>
      <c r="P33" s="3328"/>
      <c r="Q33" s="1253">
        <v>9225.81</v>
      </c>
      <c r="R33" s="1253">
        <v>2910744</v>
      </c>
      <c r="S33" s="1262">
        <f t="shared" si="0"/>
        <v>316</v>
      </c>
      <c r="T33" s="1262">
        <f t="shared" si="1"/>
        <v>26.3333333333333</v>
      </c>
      <c r="U33" s="1262">
        <f t="shared" si="2"/>
        <v>155</v>
      </c>
      <c r="V33" s="1262">
        <f t="shared" si="3"/>
        <v>7928.75</v>
      </c>
      <c r="W33" s="1253" t="s">
        <v>1521</v>
      </c>
      <c r="X33" s="1253" t="s">
        <v>1521</v>
      </c>
      <c r="Y33" s="1253">
        <f>'1-6#不动产权证'!D26</f>
        <v>324</v>
      </c>
      <c r="Z33" s="1253">
        <f>'1-6#不动产权证'!M26</f>
        <v>17105.72</v>
      </c>
      <c r="AA33" s="1272" t="s">
        <v>1559</v>
      </c>
      <c r="AB33" s="3338"/>
      <c r="AC33" s="3338"/>
      <c r="AD33" s="3338"/>
      <c r="AE33" s="3338"/>
    </row>
    <row r="34" spans="1:31">
      <c r="A34" s="3332"/>
      <c r="B34" s="3332"/>
      <c r="C34" s="1252" t="s">
        <v>1526</v>
      </c>
      <c r="D34" s="1250" t="s">
        <v>1560</v>
      </c>
      <c r="E34" s="1253">
        <v>347</v>
      </c>
      <c r="F34" s="1254">
        <v>17020.48</v>
      </c>
      <c r="G34" s="3328"/>
      <c r="H34" s="1250">
        <v>89</v>
      </c>
      <c r="I34" s="1250">
        <v>3644.88</v>
      </c>
      <c r="J34" s="1261">
        <v>14243.8028138101</v>
      </c>
      <c r="K34" s="1253">
        <f t="shared" si="5"/>
        <v>258</v>
      </c>
      <c r="L34" s="1253">
        <f t="shared" si="6"/>
        <v>13375.6</v>
      </c>
      <c r="M34" s="3328"/>
      <c r="N34" s="1253">
        <v>13375.6</v>
      </c>
      <c r="O34" s="1253">
        <v>30</v>
      </c>
      <c r="P34" s="3328"/>
      <c r="Q34" s="1253">
        <v>1333.61</v>
      </c>
      <c r="R34" s="1253">
        <v>1489945</v>
      </c>
      <c r="S34" s="1262">
        <f t="shared" si="0"/>
        <v>1117</v>
      </c>
      <c r="T34" s="1262">
        <f t="shared" si="1"/>
        <v>93.0833333333333</v>
      </c>
      <c r="U34" s="1262">
        <f t="shared" si="2"/>
        <v>228</v>
      </c>
      <c r="V34" s="1262">
        <f t="shared" si="3"/>
        <v>12041.99</v>
      </c>
      <c r="W34" s="1253" t="s">
        <v>1521</v>
      </c>
      <c r="X34" s="1253" t="s">
        <v>1521</v>
      </c>
      <c r="Y34" s="1253">
        <f>'1-6#不动产权证'!D27</f>
        <v>258</v>
      </c>
      <c r="Z34" s="1253">
        <f>'1-6#不动产权证'!M27</f>
        <v>13375.6</v>
      </c>
      <c r="AA34" s="1251"/>
      <c r="AB34" s="3338"/>
      <c r="AC34" s="3338"/>
      <c r="AD34" s="3338"/>
      <c r="AE34" s="3338"/>
    </row>
    <row r="35" spans="1:31">
      <c r="A35" s="3332"/>
      <c r="B35" s="3332"/>
      <c r="C35" s="1252" t="s">
        <v>1527</v>
      </c>
      <c r="D35" s="1250" t="s">
        <v>1561</v>
      </c>
      <c r="E35" s="1253">
        <v>308</v>
      </c>
      <c r="F35" s="1254">
        <v>15213.16</v>
      </c>
      <c r="G35" s="3328"/>
      <c r="H35" s="1250">
        <v>195</v>
      </c>
      <c r="I35" s="1250">
        <v>8921.48</v>
      </c>
      <c r="J35" s="1261">
        <v>15179.0173827661</v>
      </c>
      <c r="K35" s="1253">
        <f t="shared" si="5"/>
        <v>113</v>
      </c>
      <c r="L35" s="1253">
        <f t="shared" si="6"/>
        <v>6291.68</v>
      </c>
      <c r="M35" s="3328"/>
      <c r="N35" s="1253">
        <v>6291.68</v>
      </c>
      <c r="O35" s="1253">
        <v>55</v>
      </c>
      <c r="P35" s="3328"/>
      <c r="Q35" s="1253">
        <v>2995.04</v>
      </c>
      <c r="R35" s="1253">
        <v>3727389</v>
      </c>
      <c r="S35" s="1262">
        <f t="shared" si="0"/>
        <v>1245</v>
      </c>
      <c r="T35" s="1262">
        <f t="shared" si="1"/>
        <v>103.75</v>
      </c>
      <c r="U35" s="1262">
        <f t="shared" si="2"/>
        <v>58</v>
      </c>
      <c r="V35" s="1262">
        <f t="shared" si="3"/>
        <v>3296.64</v>
      </c>
      <c r="W35" s="1253" t="s">
        <v>1521</v>
      </c>
      <c r="X35" s="1253" t="s">
        <v>1521</v>
      </c>
      <c r="Y35" s="1253">
        <f>'1-6#不动产权证'!D28</f>
        <v>0</v>
      </c>
      <c r="Z35" s="1253">
        <f>'1-6#不动产权证'!M28</f>
        <v>0</v>
      </c>
      <c r="AA35" s="1251"/>
      <c r="AB35" s="3338"/>
      <c r="AC35" s="3338"/>
      <c r="AD35" s="3338"/>
      <c r="AE35" s="3338"/>
    </row>
    <row r="36" spans="1:31">
      <c r="A36" s="3332"/>
      <c r="B36" s="3332"/>
      <c r="C36" s="1252" t="s">
        <v>1555</v>
      </c>
      <c r="D36" s="1250" t="s">
        <v>1562</v>
      </c>
      <c r="E36" s="1253">
        <v>203</v>
      </c>
      <c r="F36" s="1254">
        <v>9601.9599999999991</v>
      </c>
      <c r="G36" s="3328"/>
      <c r="H36" s="1250">
        <v>0</v>
      </c>
      <c r="I36" s="1250">
        <v>0</v>
      </c>
      <c r="J36" s="1261">
        <v>0</v>
      </c>
      <c r="K36" s="1253">
        <f t="shared" si="5"/>
        <v>203</v>
      </c>
      <c r="L36" s="1253">
        <f t="shared" si="6"/>
        <v>9601.9599999999991</v>
      </c>
      <c r="M36" s="3328"/>
      <c r="N36" s="1253">
        <v>9601.9599999999991</v>
      </c>
      <c r="O36" s="1253">
        <v>50</v>
      </c>
      <c r="P36" s="3328"/>
      <c r="Q36" s="1253">
        <v>2370.84</v>
      </c>
      <c r="R36" s="1253">
        <v>2533352</v>
      </c>
      <c r="S36" s="1262">
        <f t="shared" si="0"/>
        <v>1069</v>
      </c>
      <c r="T36" s="1262">
        <f t="shared" si="1"/>
        <v>89.0833333333333</v>
      </c>
      <c r="U36" s="1262">
        <f t="shared" si="2"/>
        <v>153</v>
      </c>
      <c r="V36" s="1262">
        <f t="shared" si="3"/>
        <v>7231.12</v>
      </c>
      <c r="W36" s="1253" t="s">
        <v>1521</v>
      </c>
      <c r="X36" s="1253" t="s">
        <v>1521</v>
      </c>
      <c r="Y36" s="1253">
        <f>'1-6#不动产权证'!D29</f>
        <v>0</v>
      </c>
      <c r="Z36" s="1253">
        <f>'1-6#不动产权证'!M29</f>
        <v>0</v>
      </c>
      <c r="AA36" s="1251"/>
      <c r="AB36" s="3338"/>
      <c r="AC36" s="3338"/>
      <c r="AD36" s="3338"/>
      <c r="AE36" s="3338"/>
    </row>
    <row r="37" spans="1:31">
      <c r="A37" s="3332"/>
      <c r="B37" s="3332"/>
      <c r="C37" s="1252" t="s">
        <v>1556</v>
      </c>
      <c r="D37" s="1250" t="s">
        <v>1563</v>
      </c>
      <c r="E37" s="1253">
        <v>182</v>
      </c>
      <c r="F37" s="1254">
        <v>9435.7000000000007</v>
      </c>
      <c r="G37" s="3328"/>
      <c r="H37" s="1250">
        <v>0</v>
      </c>
      <c r="I37" s="1250">
        <v>0</v>
      </c>
      <c r="J37" s="1261">
        <v>0</v>
      </c>
      <c r="K37" s="1253">
        <f t="shared" si="5"/>
        <v>182</v>
      </c>
      <c r="L37" s="1253">
        <f t="shared" si="6"/>
        <v>9435.7000000000007</v>
      </c>
      <c r="M37" s="3328"/>
      <c r="N37" s="1253">
        <v>9435.7000000000007</v>
      </c>
      <c r="O37" s="1253">
        <v>0</v>
      </c>
      <c r="P37" s="3328"/>
      <c r="Q37" s="1253">
        <v>0</v>
      </c>
      <c r="R37" s="1253">
        <v>0</v>
      </c>
      <c r="S37" s="1262">
        <v>0</v>
      </c>
      <c r="T37" s="1262">
        <f t="shared" si="1"/>
        <v>0</v>
      </c>
      <c r="U37" s="1262">
        <f t="shared" si="2"/>
        <v>182</v>
      </c>
      <c r="V37" s="1262">
        <f t="shared" si="3"/>
        <v>9435.7000000000007</v>
      </c>
      <c r="W37" s="1253" t="s">
        <v>1521</v>
      </c>
      <c r="X37" s="1253" t="s">
        <v>1521</v>
      </c>
      <c r="Y37" s="1253">
        <f>'1-6#不动产权证'!D30</f>
        <v>182</v>
      </c>
      <c r="Z37" s="1253">
        <f>'1-6#不动产权证'!M30</f>
        <v>9435.7000000000007</v>
      </c>
      <c r="AA37" s="1251"/>
      <c r="AB37" s="3338"/>
      <c r="AC37" s="3338"/>
      <c r="AD37" s="3338"/>
      <c r="AE37" s="3338"/>
    </row>
    <row r="38" spans="1:31">
      <c r="A38" s="3332"/>
      <c r="B38" s="3333"/>
      <c r="C38" s="3325" t="s">
        <v>1533</v>
      </c>
      <c r="D38" s="3326"/>
      <c r="E38" s="1258">
        <f t="shared" ref="E38:I38" si="12">SUM(E32:E37)</f>
        <v>1656</v>
      </c>
      <c r="F38" s="1258">
        <f t="shared" si="12"/>
        <v>84253.35</v>
      </c>
      <c r="G38" s="3328"/>
      <c r="H38" s="1258">
        <f t="shared" si="12"/>
        <v>284</v>
      </c>
      <c r="I38" s="1258">
        <f t="shared" si="12"/>
        <v>12566.36</v>
      </c>
      <c r="J38" s="1263">
        <v>14907.7578550989</v>
      </c>
      <c r="K38" s="1264">
        <f t="shared" si="5"/>
        <v>1372</v>
      </c>
      <c r="L38" s="1264">
        <f t="shared" si="6"/>
        <v>71686.990000000005</v>
      </c>
      <c r="M38" s="3328"/>
      <c r="N38" s="1264">
        <v>71686.990000000005</v>
      </c>
      <c r="O38" s="1264">
        <v>560</v>
      </c>
      <c r="P38" s="1264"/>
      <c r="Q38" s="1264">
        <v>29876.06</v>
      </c>
      <c r="R38" s="1264">
        <f>R37+R36+R35+R34+R33+R32</f>
        <v>15111194</v>
      </c>
      <c r="S38" s="1256">
        <f t="shared" ref="S38:S40" si="13">ROUND(R38/Q38,0)</f>
        <v>506</v>
      </c>
      <c r="T38" s="1262">
        <f t="shared" si="1"/>
        <v>42.1666666666667</v>
      </c>
      <c r="U38" s="1258">
        <f t="shared" si="2"/>
        <v>812</v>
      </c>
      <c r="V38" s="1258">
        <f t="shared" si="3"/>
        <v>41810.93</v>
      </c>
      <c r="W38" s="1264" t="s">
        <v>1521</v>
      </c>
      <c r="X38" s="1264" t="s">
        <v>1521</v>
      </c>
      <c r="Y38" s="1264">
        <f>SUM(Y32:Y37)</f>
        <v>1054</v>
      </c>
      <c r="Z38" s="1264">
        <f>SUM(Z32:Z37)</f>
        <v>55689.25</v>
      </c>
      <c r="AA38" s="1255"/>
      <c r="AB38" s="3338"/>
      <c r="AC38" s="3338"/>
      <c r="AD38" s="3338"/>
      <c r="AE38" s="3338"/>
    </row>
    <row r="39" spans="1:31" ht="25.5">
      <c r="A39" s="3332"/>
      <c r="B39" s="3332" t="s">
        <v>1534</v>
      </c>
      <c r="C39" s="1252" t="s">
        <v>1519</v>
      </c>
      <c r="D39" s="1250" t="s">
        <v>1564</v>
      </c>
      <c r="E39" s="1253">
        <v>291</v>
      </c>
      <c r="F39" s="1254">
        <v>15751.12</v>
      </c>
      <c r="G39" s="3328"/>
      <c r="H39" s="1250">
        <v>0</v>
      </c>
      <c r="I39" s="1250">
        <v>0</v>
      </c>
      <c r="J39" s="1261">
        <v>0</v>
      </c>
      <c r="K39" s="1253">
        <f t="shared" si="5"/>
        <v>291</v>
      </c>
      <c r="L39" s="1253">
        <f t="shared" si="6"/>
        <v>15751.12</v>
      </c>
      <c r="M39" s="3328"/>
      <c r="N39" s="1253">
        <v>15751.12</v>
      </c>
      <c r="O39" s="1253">
        <v>171</v>
      </c>
      <c r="P39" s="3328">
        <v>177</v>
      </c>
      <c r="Q39" s="1253">
        <v>8683.7099999999991</v>
      </c>
      <c r="R39" s="1253">
        <v>3748116</v>
      </c>
      <c r="S39" s="1262">
        <f t="shared" si="13"/>
        <v>432</v>
      </c>
      <c r="T39" s="1262">
        <f t="shared" si="1"/>
        <v>36</v>
      </c>
      <c r="U39" s="1262">
        <f t="shared" si="2"/>
        <v>120</v>
      </c>
      <c r="V39" s="1262">
        <f t="shared" si="3"/>
        <v>7067.41</v>
      </c>
      <c r="W39" s="1253" t="s">
        <v>1521</v>
      </c>
      <c r="X39" s="1253" t="s">
        <v>1521</v>
      </c>
      <c r="Y39" s="1253">
        <f>'1-6#不动产权证'!D31</f>
        <v>290</v>
      </c>
      <c r="Z39" s="1253">
        <f>'1-6#不动产权证'!M31</f>
        <v>15695.86</v>
      </c>
      <c r="AA39" s="1272" t="s">
        <v>1565</v>
      </c>
      <c r="AB39" s="3338"/>
      <c r="AC39" s="3338"/>
      <c r="AD39" s="3338"/>
      <c r="AE39" s="3338"/>
    </row>
    <row r="40" spans="1:31" ht="51">
      <c r="A40" s="3332"/>
      <c r="B40" s="3332"/>
      <c r="C40" s="1252" t="s">
        <v>1525</v>
      </c>
      <c r="D40" s="1250" t="s">
        <v>1566</v>
      </c>
      <c r="E40" s="1253">
        <v>323</v>
      </c>
      <c r="F40" s="1254">
        <v>17068.28</v>
      </c>
      <c r="G40" s="3328"/>
      <c r="H40" s="1250">
        <v>4</v>
      </c>
      <c r="I40" s="1250">
        <v>151.41999999999999</v>
      </c>
      <c r="J40" s="1261">
        <v>10672.8503500198</v>
      </c>
      <c r="K40" s="1253">
        <f t="shared" si="5"/>
        <v>319</v>
      </c>
      <c r="L40" s="1253">
        <f t="shared" si="6"/>
        <v>16916.86</v>
      </c>
      <c r="M40" s="3328"/>
      <c r="N40" s="1253">
        <v>16916.86</v>
      </c>
      <c r="O40" s="1253">
        <v>2</v>
      </c>
      <c r="P40" s="3328"/>
      <c r="Q40" s="1253">
        <v>72.959999999999994</v>
      </c>
      <c r="R40" s="1253">
        <v>79235</v>
      </c>
      <c r="S40" s="1262">
        <f t="shared" si="13"/>
        <v>1086</v>
      </c>
      <c r="T40" s="1262">
        <f t="shared" si="1"/>
        <v>90.5</v>
      </c>
      <c r="U40" s="1262">
        <f t="shared" si="2"/>
        <v>317</v>
      </c>
      <c r="V40" s="1262">
        <f t="shared" si="3"/>
        <v>16843.900000000001</v>
      </c>
      <c r="W40" s="1253" t="s">
        <v>1521</v>
      </c>
      <c r="X40" s="1253" t="s">
        <v>1521</v>
      </c>
      <c r="Y40" s="1253">
        <f>'1-6#不动产权证'!D32</f>
        <v>318</v>
      </c>
      <c r="Z40" s="1253">
        <f>'1-6#不动产权证'!M32</f>
        <v>16868.02</v>
      </c>
      <c r="AA40" s="1272" t="s">
        <v>1567</v>
      </c>
      <c r="AB40" s="3338"/>
      <c r="AC40" s="3338"/>
      <c r="AD40" s="3338"/>
      <c r="AE40" s="3338"/>
    </row>
    <row r="41" spans="1:31">
      <c r="A41" s="3332"/>
      <c r="B41" s="3332"/>
      <c r="C41" s="1252" t="s">
        <v>1526</v>
      </c>
      <c r="D41" s="1250" t="s">
        <v>1568</v>
      </c>
      <c r="E41" s="1253">
        <v>347</v>
      </c>
      <c r="F41" s="1254">
        <v>16938.55</v>
      </c>
      <c r="G41" s="3328"/>
      <c r="H41" s="1250">
        <v>347</v>
      </c>
      <c r="I41" s="1250">
        <v>16938.55</v>
      </c>
      <c r="J41" s="1261">
        <v>12246.264349663899</v>
      </c>
      <c r="K41" s="1253">
        <f t="shared" si="5"/>
        <v>0</v>
      </c>
      <c r="L41" s="1253">
        <f t="shared" si="6"/>
        <v>0</v>
      </c>
      <c r="M41" s="3328"/>
      <c r="N41" s="1253">
        <v>0</v>
      </c>
      <c r="O41" s="1253">
        <v>0</v>
      </c>
      <c r="P41" s="3328"/>
      <c r="Q41" s="1253">
        <v>0</v>
      </c>
      <c r="R41" s="1253">
        <v>0</v>
      </c>
      <c r="S41" s="1262">
        <v>0</v>
      </c>
      <c r="T41" s="1262">
        <f t="shared" si="1"/>
        <v>0</v>
      </c>
      <c r="U41" s="1262">
        <f t="shared" si="2"/>
        <v>0</v>
      </c>
      <c r="V41" s="1262">
        <f t="shared" si="3"/>
        <v>0</v>
      </c>
      <c r="W41" s="1253" t="s">
        <v>1521</v>
      </c>
      <c r="X41" s="1253" t="s">
        <v>1521</v>
      </c>
      <c r="Y41" s="1253">
        <f>'1-6#不动产权证'!D33</f>
        <v>0</v>
      </c>
      <c r="Z41" s="1253">
        <f>'1-6#不动产权证'!M33</f>
        <v>0</v>
      </c>
      <c r="AA41" s="1251"/>
      <c r="AB41" s="3338"/>
      <c r="AC41" s="3338"/>
      <c r="AD41" s="3338"/>
      <c r="AE41" s="3338"/>
    </row>
    <row r="42" spans="1:31" ht="27">
      <c r="A42" s="3332"/>
      <c r="B42" s="3332"/>
      <c r="C42" s="1252" t="s">
        <v>1527</v>
      </c>
      <c r="D42" s="1250" t="s">
        <v>1569</v>
      </c>
      <c r="E42" s="1253">
        <v>306</v>
      </c>
      <c r="F42" s="1254">
        <v>15142.46</v>
      </c>
      <c r="G42" s="3328"/>
      <c r="H42" s="1250">
        <v>299</v>
      </c>
      <c r="I42" s="1250">
        <v>14864.8</v>
      </c>
      <c r="J42" s="1261">
        <v>12291.584548732601</v>
      </c>
      <c r="K42" s="1253">
        <f t="shared" si="5"/>
        <v>7</v>
      </c>
      <c r="L42" s="1253">
        <f t="shared" si="6"/>
        <v>277.66000000000003</v>
      </c>
      <c r="M42" s="3328"/>
      <c r="N42" s="1253">
        <v>277.66000000000003</v>
      </c>
      <c r="O42" s="1253">
        <v>4</v>
      </c>
      <c r="P42" s="3328"/>
      <c r="Q42" s="1253">
        <v>147.61000000000001</v>
      </c>
      <c r="R42" s="1253">
        <v>103374</v>
      </c>
      <c r="S42" s="1262">
        <f t="shared" ref="S42:S50" si="14">ROUND(R42/Q42,0)</f>
        <v>700</v>
      </c>
      <c r="T42" s="1262">
        <f t="shared" si="1"/>
        <v>58.3333333333333</v>
      </c>
      <c r="U42" s="1262">
        <f t="shared" si="2"/>
        <v>3</v>
      </c>
      <c r="V42" s="1262">
        <f t="shared" si="3"/>
        <v>130.05000000000001</v>
      </c>
      <c r="W42" s="1253" t="s">
        <v>1521</v>
      </c>
      <c r="X42" s="1253" t="s">
        <v>1521</v>
      </c>
      <c r="Y42" s="1253">
        <f>'1-6#不动产权证'!D34</f>
        <v>8</v>
      </c>
      <c r="Z42" s="1253">
        <f>'1-6#不动产权证'!M34</f>
        <v>334.41</v>
      </c>
      <c r="AA42" s="1271" t="s">
        <v>1570</v>
      </c>
      <c r="AB42" s="3338"/>
      <c r="AC42" s="3338"/>
      <c r="AD42" s="3338"/>
      <c r="AE42" s="3338"/>
    </row>
    <row r="43" spans="1:31">
      <c r="A43" s="3332"/>
      <c r="B43" s="3332"/>
      <c r="C43" s="1252" t="s">
        <v>1555</v>
      </c>
      <c r="D43" s="1250" t="s">
        <v>1568</v>
      </c>
      <c r="E43" s="1253">
        <v>202</v>
      </c>
      <c r="F43" s="1254">
        <v>9530.5</v>
      </c>
      <c r="G43" s="3328"/>
      <c r="H43" s="1250">
        <v>202</v>
      </c>
      <c r="I43" s="1250">
        <v>9530.5</v>
      </c>
      <c r="J43" s="1261">
        <v>12246.217617124001</v>
      </c>
      <c r="K43" s="1253">
        <f t="shared" si="5"/>
        <v>0</v>
      </c>
      <c r="L43" s="1253">
        <f t="shared" si="6"/>
        <v>0</v>
      </c>
      <c r="M43" s="3328"/>
      <c r="N43" s="1253">
        <v>0</v>
      </c>
      <c r="O43" s="1253">
        <v>0</v>
      </c>
      <c r="P43" s="3328"/>
      <c r="Q43" s="1253">
        <v>0</v>
      </c>
      <c r="R43" s="1253">
        <v>0</v>
      </c>
      <c r="S43" s="1253">
        <v>0</v>
      </c>
      <c r="T43" s="1262">
        <f t="shared" si="1"/>
        <v>0</v>
      </c>
      <c r="U43" s="1262">
        <f t="shared" si="2"/>
        <v>0</v>
      </c>
      <c r="V43" s="1262">
        <f t="shared" si="3"/>
        <v>0</v>
      </c>
      <c r="W43" s="1253" t="s">
        <v>1521</v>
      </c>
      <c r="X43" s="1253" t="s">
        <v>1521</v>
      </c>
      <c r="Y43" s="1253">
        <f>'1-6#不动产权证'!D35</f>
        <v>0</v>
      </c>
      <c r="Z43" s="1253">
        <f>'1-6#不动产权证'!M35</f>
        <v>0</v>
      </c>
      <c r="AA43" s="1251"/>
      <c r="AB43" s="3338"/>
      <c r="AC43" s="3338"/>
      <c r="AD43" s="3338"/>
      <c r="AE43" s="3338"/>
    </row>
    <row r="44" spans="1:31">
      <c r="A44" s="3332"/>
      <c r="B44" s="3332"/>
      <c r="C44" s="1252" t="s">
        <v>1556</v>
      </c>
      <c r="D44" s="1250" t="s">
        <v>1568</v>
      </c>
      <c r="E44" s="1253">
        <v>183</v>
      </c>
      <c r="F44" s="1254">
        <v>9384.08</v>
      </c>
      <c r="G44" s="3328"/>
      <c r="H44" s="1250">
        <v>183</v>
      </c>
      <c r="I44" s="1250">
        <v>9384.08</v>
      </c>
      <c r="J44" s="1261">
        <v>12246.1444275837</v>
      </c>
      <c r="K44" s="1253">
        <f t="shared" si="5"/>
        <v>0</v>
      </c>
      <c r="L44" s="1253">
        <f t="shared" si="6"/>
        <v>0</v>
      </c>
      <c r="M44" s="3328"/>
      <c r="N44" s="1253">
        <v>0</v>
      </c>
      <c r="O44" s="1253">
        <v>0</v>
      </c>
      <c r="P44" s="3328"/>
      <c r="Q44" s="1253">
        <v>0</v>
      </c>
      <c r="R44" s="1253">
        <v>0</v>
      </c>
      <c r="S44" s="1253">
        <v>0</v>
      </c>
      <c r="T44" s="1262">
        <f t="shared" si="1"/>
        <v>0</v>
      </c>
      <c r="U44" s="1262">
        <f t="shared" si="2"/>
        <v>0</v>
      </c>
      <c r="V44" s="1262">
        <f t="shared" si="3"/>
        <v>0</v>
      </c>
      <c r="W44" s="1253" t="s">
        <v>1521</v>
      </c>
      <c r="X44" s="1253" t="s">
        <v>1521</v>
      </c>
      <c r="Y44" s="1253">
        <f>'1-6#不动产权证'!D36</f>
        <v>0</v>
      </c>
      <c r="Z44" s="1253">
        <f>'1-6#不动产权证'!M36</f>
        <v>0</v>
      </c>
      <c r="AA44" s="1251"/>
      <c r="AB44" s="3338"/>
      <c r="AC44" s="3338"/>
      <c r="AD44" s="3338"/>
      <c r="AE44" s="3338"/>
    </row>
    <row r="45" spans="1:31">
      <c r="A45" s="3332"/>
      <c r="B45" s="3333"/>
      <c r="C45" s="3325" t="s">
        <v>1543</v>
      </c>
      <c r="D45" s="3326"/>
      <c r="E45" s="1258">
        <f t="shared" ref="E45:I45" si="15">SUM(E39:E44)</f>
        <v>1652</v>
      </c>
      <c r="F45" s="1258">
        <f t="shared" si="15"/>
        <v>83814.990000000005</v>
      </c>
      <c r="G45" s="3328"/>
      <c r="H45" s="1258">
        <f t="shared" si="15"/>
        <v>1035</v>
      </c>
      <c r="I45" s="1258">
        <f t="shared" si="15"/>
        <v>50869.35</v>
      </c>
      <c r="J45" s="1263">
        <v>12254.7932301081</v>
      </c>
      <c r="K45" s="1264">
        <f t="shared" si="5"/>
        <v>617</v>
      </c>
      <c r="L45" s="1264">
        <f t="shared" si="6"/>
        <v>32945.64</v>
      </c>
      <c r="M45" s="3328"/>
      <c r="N45" s="1264">
        <v>32945.64</v>
      </c>
      <c r="O45" s="1264">
        <v>177</v>
      </c>
      <c r="P45" s="1264"/>
      <c r="Q45" s="1264">
        <v>8904.2800000000007</v>
      </c>
      <c r="R45" s="1264">
        <f>R44+R43+R42+R41+R40+R39</f>
        <v>3930725</v>
      </c>
      <c r="S45" s="1256">
        <f t="shared" si="14"/>
        <v>441</v>
      </c>
      <c r="T45" s="1262">
        <f t="shared" si="1"/>
        <v>36.75</v>
      </c>
      <c r="U45" s="1258">
        <f t="shared" si="2"/>
        <v>440</v>
      </c>
      <c r="V45" s="1258">
        <f t="shared" si="3"/>
        <v>24041.360000000001</v>
      </c>
      <c r="W45" s="1264" t="s">
        <v>1521</v>
      </c>
      <c r="X45" s="1264" t="s">
        <v>1521</v>
      </c>
      <c r="Y45" s="1264">
        <f>Y44+Y43+Y42+Y41+Y40+Y39</f>
        <v>616</v>
      </c>
      <c r="Z45" s="1264">
        <f>Z44+Z43+Z42+Z41+Z40+Z39</f>
        <v>32898.29</v>
      </c>
      <c r="AA45" s="1255"/>
      <c r="AB45" s="3338"/>
      <c r="AC45" s="3338"/>
      <c r="AD45" s="3338"/>
      <c r="AE45" s="3338"/>
    </row>
    <row r="46" spans="1:31" ht="25.5">
      <c r="A46" s="3332"/>
      <c r="B46" s="3332" t="s">
        <v>1544</v>
      </c>
      <c r="C46" s="1252" t="s">
        <v>1519</v>
      </c>
      <c r="D46" s="1250" t="s">
        <v>1571</v>
      </c>
      <c r="E46" s="1253">
        <v>292</v>
      </c>
      <c r="F46" s="1254">
        <v>15655.57</v>
      </c>
      <c r="G46" s="3328"/>
      <c r="H46" s="1250">
        <v>108</v>
      </c>
      <c r="I46" s="1250">
        <v>5047.08</v>
      </c>
      <c r="J46" s="1261">
        <v>13175.960357275901</v>
      </c>
      <c r="K46" s="1253">
        <f t="shared" si="5"/>
        <v>184</v>
      </c>
      <c r="L46" s="1253">
        <f t="shared" si="6"/>
        <v>10608.49</v>
      </c>
      <c r="M46" s="3328"/>
      <c r="N46" s="1253">
        <v>10608.49</v>
      </c>
      <c r="O46" s="1253">
        <v>116</v>
      </c>
      <c r="P46" s="3328">
        <v>360</v>
      </c>
      <c r="Q46" s="1253">
        <v>6468.12</v>
      </c>
      <c r="R46" s="1253">
        <v>5505811</v>
      </c>
      <c r="S46" s="1262">
        <f t="shared" si="14"/>
        <v>851</v>
      </c>
      <c r="T46" s="1262">
        <f t="shared" si="1"/>
        <v>70.9166666666667</v>
      </c>
      <c r="U46" s="1262">
        <f t="shared" si="2"/>
        <v>68</v>
      </c>
      <c r="V46" s="1262">
        <f t="shared" si="3"/>
        <v>4140.37</v>
      </c>
      <c r="W46" s="1253" t="s">
        <v>1521</v>
      </c>
      <c r="X46" s="1253" t="s">
        <v>1521</v>
      </c>
      <c r="Y46" s="1253">
        <f>'1-6#不动产权证'!D37</f>
        <v>197</v>
      </c>
      <c r="Z46" s="1253">
        <f>'1-6#不动产权证'!M37</f>
        <v>11234.36</v>
      </c>
      <c r="AA46" s="1272" t="s">
        <v>1572</v>
      </c>
      <c r="AB46" s="3338"/>
      <c r="AC46" s="3338"/>
      <c r="AD46" s="3338"/>
      <c r="AE46" s="3338"/>
    </row>
    <row r="47" spans="1:31" ht="27">
      <c r="A47" s="3332"/>
      <c r="B47" s="3332"/>
      <c r="C47" s="1252" t="s">
        <v>1525</v>
      </c>
      <c r="D47" s="1250" t="s">
        <v>1573</v>
      </c>
      <c r="E47" s="1253">
        <v>320</v>
      </c>
      <c r="F47" s="1254">
        <v>16934.919999999998</v>
      </c>
      <c r="G47" s="3328"/>
      <c r="H47" s="1250">
        <v>97</v>
      </c>
      <c r="I47" s="1250">
        <v>4579.1499999999996</v>
      </c>
      <c r="J47" s="1261">
        <v>12350.2152146141</v>
      </c>
      <c r="K47" s="1253">
        <f t="shared" si="5"/>
        <v>223</v>
      </c>
      <c r="L47" s="1253">
        <f t="shared" si="6"/>
        <v>12355.77</v>
      </c>
      <c r="M47" s="3328"/>
      <c r="N47" s="1253">
        <v>12355.77</v>
      </c>
      <c r="O47" s="1253">
        <v>98</v>
      </c>
      <c r="P47" s="3328"/>
      <c r="Q47" s="1253">
        <v>5246</v>
      </c>
      <c r="R47" s="1253">
        <v>5074885</v>
      </c>
      <c r="S47" s="1262">
        <f t="shared" si="14"/>
        <v>967</v>
      </c>
      <c r="T47" s="1262">
        <f t="shared" si="1"/>
        <v>80.5833333333333</v>
      </c>
      <c r="U47" s="1262">
        <f t="shared" si="2"/>
        <v>125</v>
      </c>
      <c r="V47" s="1262">
        <f t="shared" si="3"/>
        <v>7109.77</v>
      </c>
      <c r="W47" s="1253" t="s">
        <v>1521</v>
      </c>
      <c r="X47" s="1253" t="s">
        <v>1521</v>
      </c>
      <c r="Y47" s="1253">
        <f>'1-6#不动产权证'!D38</f>
        <v>227</v>
      </c>
      <c r="Z47" s="1253">
        <f>'1-6#不动产权证'!M38</f>
        <v>12612.32</v>
      </c>
      <c r="AA47" s="1272" t="s">
        <v>1574</v>
      </c>
      <c r="AB47" s="3338"/>
      <c r="AC47" s="3338"/>
      <c r="AD47" s="3338"/>
      <c r="AE47" s="3338"/>
    </row>
    <row r="48" spans="1:31" ht="27">
      <c r="A48" s="3332"/>
      <c r="B48" s="3332"/>
      <c r="C48" s="1252" t="s">
        <v>1526</v>
      </c>
      <c r="D48" s="1250" t="s">
        <v>1575</v>
      </c>
      <c r="E48" s="1253">
        <v>346</v>
      </c>
      <c r="F48" s="1254">
        <v>16861.47</v>
      </c>
      <c r="G48" s="3328"/>
      <c r="H48" s="1250">
        <v>287</v>
      </c>
      <c r="I48" s="1250">
        <v>14121.05</v>
      </c>
      <c r="J48" s="1261">
        <v>12580.3973500554</v>
      </c>
      <c r="K48" s="1253">
        <f t="shared" si="5"/>
        <v>59</v>
      </c>
      <c r="L48" s="1253">
        <f t="shared" si="6"/>
        <v>2740.42</v>
      </c>
      <c r="M48" s="3328"/>
      <c r="N48" s="1253">
        <v>2740.42</v>
      </c>
      <c r="O48" s="1253">
        <v>54</v>
      </c>
      <c r="P48" s="3328"/>
      <c r="Q48" s="1253">
        <v>2502.62</v>
      </c>
      <c r="R48" s="1253">
        <v>2533096</v>
      </c>
      <c r="S48" s="1262">
        <f t="shared" si="14"/>
        <v>1012</v>
      </c>
      <c r="T48" s="1262">
        <f t="shared" si="1"/>
        <v>84.3333333333333</v>
      </c>
      <c r="U48" s="1262">
        <f t="shared" si="2"/>
        <v>5</v>
      </c>
      <c r="V48" s="1262">
        <f t="shared" si="3"/>
        <v>237.800000000002</v>
      </c>
      <c r="W48" s="1253" t="s">
        <v>1521</v>
      </c>
      <c r="X48" s="1253" t="s">
        <v>1521</v>
      </c>
      <c r="Y48" s="1253">
        <f>'1-6#不动产权证'!D39</f>
        <v>119</v>
      </c>
      <c r="Z48" s="1253">
        <f>'1-6#不动产权证'!M39</f>
        <v>5837.03</v>
      </c>
      <c r="AA48" s="1272"/>
      <c r="AB48" s="3338"/>
      <c r="AC48" s="3338"/>
      <c r="AD48" s="3338"/>
      <c r="AE48" s="3338"/>
    </row>
    <row r="49" spans="1:31" ht="27">
      <c r="A49" s="3332"/>
      <c r="B49" s="3332"/>
      <c r="C49" s="1252" t="s">
        <v>1527</v>
      </c>
      <c r="D49" s="1250" t="s">
        <v>1576</v>
      </c>
      <c r="E49" s="1253">
        <v>303</v>
      </c>
      <c r="F49" s="1254">
        <v>15064.64</v>
      </c>
      <c r="G49" s="3328"/>
      <c r="H49" s="1250">
        <v>239</v>
      </c>
      <c r="I49" s="1250">
        <v>11185.31</v>
      </c>
      <c r="J49" s="1261">
        <v>11187.174964305899</v>
      </c>
      <c r="K49" s="1253">
        <f t="shared" si="5"/>
        <v>64</v>
      </c>
      <c r="L49" s="1253">
        <f t="shared" si="6"/>
        <v>3879.33</v>
      </c>
      <c r="M49" s="3328"/>
      <c r="N49" s="1253">
        <v>3879.33</v>
      </c>
      <c r="O49" s="1253">
        <v>41</v>
      </c>
      <c r="P49" s="3328"/>
      <c r="Q49" s="1253">
        <v>2425.8200000000002</v>
      </c>
      <c r="R49" s="1253">
        <v>2384932</v>
      </c>
      <c r="S49" s="1262">
        <f t="shared" si="14"/>
        <v>983</v>
      </c>
      <c r="T49" s="1262">
        <f t="shared" si="1"/>
        <v>81.9166666666667</v>
      </c>
      <c r="U49" s="1262">
        <f t="shared" si="2"/>
        <v>23</v>
      </c>
      <c r="V49" s="1262">
        <f t="shared" si="3"/>
        <v>1453.51</v>
      </c>
      <c r="W49" s="1253" t="s">
        <v>1521</v>
      </c>
      <c r="X49" s="1253" t="s">
        <v>1521</v>
      </c>
      <c r="Y49" s="1253">
        <f>'1-6#不动产权证'!D40</f>
        <v>79</v>
      </c>
      <c r="Z49" s="1253">
        <f>'1-6#不动产权证'!M40</f>
        <v>4732.6899999999996</v>
      </c>
      <c r="AA49" s="1251"/>
      <c r="AB49" s="3338"/>
      <c r="AC49" s="3338"/>
      <c r="AD49" s="3338"/>
      <c r="AE49" s="3338"/>
    </row>
    <row r="50" spans="1:31">
      <c r="A50" s="3332"/>
      <c r="B50" s="3332"/>
      <c r="C50" s="1252" t="s">
        <v>1555</v>
      </c>
      <c r="D50" s="1250" t="s">
        <v>1577</v>
      </c>
      <c r="E50" s="1253">
        <v>197</v>
      </c>
      <c r="F50" s="1254">
        <v>9483</v>
      </c>
      <c r="G50" s="3328"/>
      <c r="H50" s="1250">
        <v>125</v>
      </c>
      <c r="I50" s="1250">
        <v>5670.08</v>
      </c>
      <c r="J50" s="1261">
        <v>12501.0488388171</v>
      </c>
      <c r="K50" s="1253">
        <f t="shared" si="5"/>
        <v>72</v>
      </c>
      <c r="L50" s="1253">
        <f t="shared" si="6"/>
        <v>3812.92</v>
      </c>
      <c r="M50" s="3328"/>
      <c r="N50" s="1253">
        <v>3812.92</v>
      </c>
      <c r="O50" s="1253">
        <v>51</v>
      </c>
      <c r="P50" s="3328"/>
      <c r="Q50" s="1253">
        <v>2640.77</v>
      </c>
      <c r="R50" s="1253">
        <v>2446737</v>
      </c>
      <c r="S50" s="1262">
        <f t="shared" si="14"/>
        <v>927</v>
      </c>
      <c r="T50" s="1262">
        <f t="shared" si="1"/>
        <v>77.25</v>
      </c>
      <c r="U50" s="1262">
        <f t="shared" si="2"/>
        <v>21</v>
      </c>
      <c r="V50" s="1262">
        <f t="shared" si="3"/>
        <v>1172.1500000000001</v>
      </c>
      <c r="W50" s="1253" t="s">
        <v>1521</v>
      </c>
      <c r="X50" s="1253" t="s">
        <v>1521</v>
      </c>
      <c r="Y50" s="1253">
        <f>'1-6#不动产权证'!D41</f>
        <v>75</v>
      </c>
      <c r="Z50" s="1253">
        <f>'1-6#不动产权证'!M41</f>
        <v>3961.54</v>
      </c>
      <c r="AA50" s="1251"/>
      <c r="AB50" s="3338"/>
      <c r="AC50" s="3338"/>
      <c r="AD50" s="3338"/>
      <c r="AE50" s="3338"/>
    </row>
    <row r="51" spans="1:31">
      <c r="A51" s="3332"/>
      <c r="B51" s="3332"/>
      <c r="C51" s="1252" t="s">
        <v>1556</v>
      </c>
      <c r="D51" s="1250" t="s">
        <v>1568</v>
      </c>
      <c r="E51" s="1253">
        <v>182</v>
      </c>
      <c r="F51" s="1254">
        <v>9357.39</v>
      </c>
      <c r="G51" s="3328"/>
      <c r="H51" s="1250">
        <v>182</v>
      </c>
      <c r="I51" s="1250">
        <v>9357.39</v>
      </c>
      <c r="J51" s="1261">
        <v>10991.6407246038</v>
      </c>
      <c r="K51" s="1253">
        <f t="shared" si="5"/>
        <v>0</v>
      </c>
      <c r="L51" s="1253">
        <f t="shared" si="6"/>
        <v>0</v>
      </c>
      <c r="M51" s="3328"/>
      <c r="N51" s="1253">
        <v>0</v>
      </c>
      <c r="O51" s="1253">
        <v>0</v>
      </c>
      <c r="P51" s="3328"/>
      <c r="Q51" s="1253">
        <v>0</v>
      </c>
      <c r="R51" s="1253">
        <v>0</v>
      </c>
      <c r="S51" s="1253">
        <v>0</v>
      </c>
      <c r="T51" s="1262">
        <f t="shared" si="1"/>
        <v>0</v>
      </c>
      <c r="U51" s="1262">
        <f t="shared" si="2"/>
        <v>0</v>
      </c>
      <c r="V51" s="1262">
        <f t="shared" si="3"/>
        <v>0</v>
      </c>
      <c r="W51" s="1253" t="s">
        <v>1521</v>
      </c>
      <c r="X51" s="1253" t="s">
        <v>1521</v>
      </c>
      <c r="Y51" s="1253">
        <f>'1-6#不动产权证'!D42</f>
        <v>0</v>
      </c>
      <c r="Z51" s="1253">
        <f>'1-6#不动产权证'!M42</f>
        <v>0</v>
      </c>
      <c r="AA51" s="1251"/>
      <c r="AB51" s="3338"/>
      <c r="AC51" s="3338"/>
      <c r="AD51" s="3338"/>
      <c r="AE51" s="3338"/>
    </row>
    <row r="52" spans="1:31">
      <c r="A52" s="3332"/>
      <c r="B52" s="3333"/>
      <c r="C52" s="3325" t="s">
        <v>1548</v>
      </c>
      <c r="D52" s="3326"/>
      <c r="E52" s="1258">
        <f t="shared" ref="E52:I52" si="16">SUM(E46:E51)</f>
        <v>1640</v>
      </c>
      <c r="F52" s="1258">
        <f t="shared" si="16"/>
        <v>83356.990000000005</v>
      </c>
      <c r="G52" s="3328"/>
      <c r="H52" s="1258">
        <f t="shared" si="16"/>
        <v>1038</v>
      </c>
      <c r="I52" s="1258">
        <f t="shared" si="16"/>
        <v>49960.06</v>
      </c>
      <c r="J52" s="1263">
        <v>12000.9677730571</v>
      </c>
      <c r="K52" s="1264">
        <f t="shared" si="5"/>
        <v>602</v>
      </c>
      <c r="L52" s="1264">
        <f t="shared" si="6"/>
        <v>33396.93</v>
      </c>
      <c r="M52" s="3328"/>
      <c r="N52" s="1264">
        <v>33396.93</v>
      </c>
      <c r="O52" s="1264">
        <v>360</v>
      </c>
      <c r="P52" s="1264"/>
      <c r="Q52" s="1264">
        <v>19283.330000000002</v>
      </c>
      <c r="R52" s="1264">
        <f>R51+R50+R49+R48+R47+R46</f>
        <v>17945461</v>
      </c>
      <c r="S52" s="1256">
        <f t="shared" ref="S52:S55" si="17">ROUND(R52/Q52,0)</f>
        <v>931</v>
      </c>
      <c r="T52" s="1262">
        <f t="shared" si="1"/>
        <v>77.5833333333333</v>
      </c>
      <c r="U52" s="1258">
        <f t="shared" si="2"/>
        <v>242</v>
      </c>
      <c r="V52" s="1258">
        <f t="shared" si="3"/>
        <v>14113.6</v>
      </c>
      <c r="W52" s="1264" t="s">
        <v>1521</v>
      </c>
      <c r="X52" s="1264" t="s">
        <v>1521</v>
      </c>
      <c r="Y52" s="1264">
        <f>Y46+Y47+Y48+Y49+Y50+Y51</f>
        <v>697</v>
      </c>
      <c r="Z52" s="1264">
        <f>Z46+Z47+Z48+Z49+Z50+Z51</f>
        <v>38377.94</v>
      </c>
      <c r="AA52" s="1255"/>
      <c r="AB52" s="3338"/>
      <c r="AC52" s="3338"/>
      <c r="AD52" s="3338"/>
      <c r="AE52" s="3338"/>
    </row>
    <row r="53" spans="1:31">
      <c r="A53" s="3330" t="s">
        <v>1578</v>
      </c>
      <c r="B53" s="3330"/>
      <c r="C53" s="3331"/>
      <c r="D53" s="3331"/>
      <c r="E53" s="1260">
        <f t="shared" ref="E53:I53" si="18">E31+E38+E45+E52</f>
        <v>6587</v>
      </c>
      <c r="F53" s="1260">
        <f t="shared" si="18"/>
        <v>333865.40000000002</v>
      </c>
      <c r="G53" s="1259">
        <v>333865.40000000002</v>
      </c>
      <c r="H53" s="1260">
        <f t="shared" si="18"/>
        <v>3367</v>
      </c>
      <c r="I53" s="1260">
        <f t="shared" si="18"/>
        <v>160670.94</v>
      </c>
      <c r="J53" s="1265">
        <v>14885.3817373571</v>
      </c>
      <c r="K53" s="1259">
        <f t="shared" si="5"/>
        <v>3220</v>
      </c>
      <c r="L53" s="1259">
        <f t="shared" si="6"/>
        <v>173194.46</v>
      </c>
      <c r="M53" s="1267">
        <v>329140.40000000002</v>
      </c>
      <c r="N53" s="1259">
        <v>173194.46</v>
      </c>
      <c r="O53" s="1259">
        <v>1204</v>
      </c>
      <c r="P53" s="1259"/>
      <c r="Q53" s="1259">
        <v>64202.04</v>
      </c>
      <c r="R53" s="1259">
        <f>R52+R45+R38+R31</f>
        <v>47373096</v>
      </c>
      <c r="S53" s="1269">
        <f t="shared" si="17"/>
        <v>738</v>
      </c>
      <c r="T53" s="1262">
        <f t="shared" si="1"/>
        <v>61.5</v>
      </c>
      <c r="U53" s="1270">
        <f t="shared" si="2"/>
        <v>2016</v>
      </c>
      <c r="V53" s="1270">
        <f t="shared" si="3"/>
        <v>108992.42</v>
      </c>
      <c r="W53" s="1259" t="s">
        <v>1521</v>
      </c>
      <c r="X53" s="1259" t="s">
        <v>1521</v>
      </c>
      <c r="Y53" s="1259">
        <f>Y52+Y45+Y38+Y31</f>
        <v>3012</v>
      </c>
      <c r="Z53" s="1259">
        <f>Z52+Z45+Z38+Z31</f>
        <v>162962.78</v>
      </c>
      <c r="AA53" s="1273"/>
      <c r="AB53" s="3338"/>
      <c r="AC53" s="3338"/>
      <c r="AD53" s="3338"/>
      <c r="AE53" s="3338"/>
    </row>
    <row r="54" spans="1:31" ht="24">
      <c r="A54" s="3332" t="s">
        <v>1579</v>
      </c>
      <c r="B54" s="3332" t="s">
        <v>1518</v>
      </c>
      <c r="C54" s="1252" t="s">
        <v>1519</v>
      </c>
      <c r="D54" s="1250" t="s">
        <v>1520</v>
      </c>
      <c r="E54" s="1253">
        <v>314</v>
      </c>
      <c r="F54" s="1254">
        <v>15233.28</v>
      </c>
      <c r="G54" s="3328">
        <v>249083.26</v>
      </c>
      <c r="H54" s="1250">
        <v>277</v>
      </c>
      <c r="I54" s="1250">
        <v>13009.57</v>
      </c>
      <c r="J54" s="1261">
        <v>17598.044132127401</v>
      </c>
      <c r="K54" s="1253">
        <f t="shared" si="5"/>
        <v>37</v>
      </c>
      <c r="L54" s="1253">
        <f t="shared" si="6"/>
        <v>2223.71</v>
      </c>
      <c r="M54" s="3328">
        <v>247192.16</v>
      </c>
      <c r="N54" s="1253">
        <v>2207.98</v>
      </c>
      <c r="O54" s="1253">
        <v>10</v>
      </c>
      <c r="P54" s="3328">
        <v>13</v>
      </c>
      <c r="Q54" s="1253">
        <v>448.89</v>
      </c>
      <c r="R54" s="1253">
        <v>1403534</v>
      </c>
      <c r="S54" s="1262">
        <f t="shared" si="17"/>
        <v>3127</v>
      </c>
      <c r="T54" s="1262">
        <f t="shared" si="1"/>
        <v>260.58333333333297</v>
      </c>
      <c r="U54" s="1262">
        <f t="shared" si="2"/>
        <v>27</v>
      </c>
      <c r="V54" s="1262">
        <f t="shared" si="3"/>
        <v>1774.82</v>
      </c>
      <c r="W54" s="1253" t="s">
        <v>1521</v>
      </c>
      <c r="X54" s="1253" t="s">
        <v>1521</v>
      </c>
      <c r="Y54" s="1253"/>
      <c r="Z54" s="1253"/>
      <c r="AA54" s="1271" t="s">
        <v>1580</v>
      </c>
      <c r="AB54" s="3338" t="s">
        <v>1581</v>
      </c>
      <c r="AC54" s="3338"/>
      <c r="AD54" s="3338" t="s">
        <v>1582</v>
      </c>
      <c r="AE54" s="3338"/>
    </row>
    <row r="55" spans="1:31">
      <c r="A55" s="3332"/>
      <c r="B55" s="3332"/>
      <c r="C55" s="1252" t="s">
        <v>1525</v>
      </c>
      <c r="D55" s="1250" t="s">
        <v>1520</v>
      </c>
      <c r="E55" s="1253">
        <v>182</v>
      </c>
      <c r="F55" s="1254">
        <v>9165.9699999999993</v>
      </c>
      <c r="G55" s="3328"/>
      <c r="H55" s="1250">
        <v>171</v>
      </c>
      <c r="I55" s="1250">
        <v>8489.25</v>
      </c>
      <c r="J55" s="1261">
        <v>17262.101716877201</v>
      </c>
      <c r="K55" s="1253">
        <f t="shared" si="5"/>
        <v>11</v>
      </c>
      <c r="L55" s="1253">
        <f t="shared" si="6"/>
        <v>676.719999999999</v>
      </c>
      <c r="M55" s="3328"/>
      <c r="N55" s="1253">
        <v>676.719999999999</v>
      </c>
      <c r="O55" s="1253">
        <v>1</v>
      </c>
      <c r="P55" s="3328"/>
      <c r="Q55" s="1253">
        <v>61.73</v>
      </c>
      <c r="R55" s="1253">
        <v>145930</v>
      </c>
      <c r="S55" s="1262">
        <f t="shared" si="17"/>
        <v>2364</v>
      </c>
      <c r="T55" s="1262">
        <f t="shared" si="1"/>
        <v>197</v>
      </c>
      <c r="U55" s="1262">
        <f t="shared" si="2"/>
        <v>10</v>
      </c>
      <c r="V55" s="1262">
        <f t="shared" si="3"/>
        <v>614.98999999999899</v>
      </c>
      <c r="W55" s="1253" t="s">
        <v>1521</v>
      </c>
      <c r="X55" s="1253" t="s">
        <v>1521</v>
      </c>
      <c r="Y55" s="1253"/>
      <c r="Z55" s="1253"/>
      <c r="AA55" s="1251"/>
      <c r="AB55" s="3338"/>
      <c r="AC55" s="3338"/>
      <c r="AD55" s="3338"/>
      <c r="AE55" s="3338"/>
    </row>
    <row r="56" spans="1:31">
      <c r="A56" s="3332"/>
      <c r="B56" s="3332"/>
      <c r="C56" s="1252" t="s">
        <v>1526</v>
      </c>
      <c r="D56" s="1250" t="s">
        <v>1520</v>
      </c>
      <c r="E56" s="1253">
        <v>349</v>
      </c>
      <c r="F56" s="1254">
        <v>17579.53</v>
      </c>
      <c r="G56" s="3328"/>
      <c r="H56" s="1250">
        <v>318</v>
      </c>
      <c r="I56" s="1250">
        <v>15361.74</v>
      </c>
      <c r="J56" s="1261">
        <v>16585.357973771199</v>
      </c>
      <c r="K56" s="1253">
        <f t="shared" si="5"/>
        <v>31</v>
      </c>
      <c r="L56" s="1253">
        <f t="shared" si="6"/>
        <v>2217.79</v>
      </c>
      <c r="M56" s="3328"/>
      <c r="N56" s="1253">
        <v>2217.79</v>
      </c>
      <c r="O56" s="1253">
        <v>0</v>
      </c>
      <c r="P56" s="3328"/>
      <c r="Q56" s="1253">
        <v>0</v>
      </c>
      <c r="R56" s="1253">
        <v>0</v>
      </c>
      <c r="S56" s="1262">
        <v>0</v>
      </c>
      <c r="T56" s="1262">
        <f t="shared" si="1"/>
        <v>0</v>
      </c>
      <c r="U56" s="1262">
        <f t="shared" si="2"/>
        <v>31</v>
      </c>
      <c r="V56" s="1262">
        <f t="shared" si="3"/>
        <v>2217.79</v>
      </c>
      <c r="W56" s="1253" t="s">
        <v>1521</v>
      </c>
      <c r="X56" s="1253" t="s">
        <v>1521</v>
      </c>
      <c r="Y56" s="1253"/>
      <c r="Z56" s="1253"/>
      <c r="AA56" s="1272"/>
      <c r="AB56" s="3338"/>
      <c r="AC56" s="3338"/>
      <c r="AD56" s="3338"/>
      <c r="AE56" s="3338"/>
    </row>
    <row r="57" spans="1:31" ht="60">
      <c r="A57" s="3332"/>
      <c r="B57" s="3332"/>
      <c r="C57" s="1252" t="s">
        <v>1527</v>
      </c>
      <c r="D57" s="1250" t="s">
        <v>1520</v>
      </c>
      <c r="E57" s="1253">
        <v>401</v>
      </c>
      <c r="F57" s="1254">
        <v>19406.48</v>
      </c>
      <c r="G57" s="3328"/>
      <c r="H57" s="1250">
        <v>338</v>
      </c>
      <c r="I57" s="1250">
        <v>15717.29</v>
      </c>
      <c r="J57" s="1261">
        <v>18242.438804654001</v>
      </c>
      <c r="K57" s="1253">
        <f t="shared" si="5"/>
        <v>63</v>
      </c>
      <c r="L57" s="1253">
        <f t="shared" si="6"/>
        <v>3689.19</v>
      </c>
      <c r="M57" s="3328"/>
      <c r="N57" s="1253">
        <v>3689.19</v>
      </c>
      <c r="O57" s="1253">
        <v>2</v>
      </c>
      <c r="P57" s="3328"/>
      <c r="Q57" s="1253">
        <v>108.33</v>
      </c>
      <c r="R57" s="1253">
        <v>0</v>
      </c>
      <c r="S57" s="1262">
        <v>0</v>
      </c>
      <c r="T57" s="1262">
        <f t="shared" si="1"/>
        <v>0</v>
      </c>
      <c r="U57" s="1262">
        <f t="shared" si="2"/>
        <v>61</v>
      </c>
      <c r="V57" s="1262">
        <f t="shared" si="3"/>
        <v>3580.86</v>
      </c>
      <c r="W57" s="1253" t="s">
        <v>1521</v>
      </c>
      <c r="X57" s="1253" t="s">
        <v>1521</v>
      </c>
      <c r="Y57" s="1253"/>
      <c r="Z57" s="1253"/>
      <c r="AA57" s="1271" t="s">
        <v>1583</v>
      </c>
      <c r="AB57" s="3338"/>
      <c r="AC57" s="3338"/>
      <c r="AD57" s="3338"/>
      <c r="AE57" s="3338"/>
    </row>
    <row r="58" spans="1:31">
      <c r="A58" s="3332"/>
      <c r="B58" s="3333"/>
      <c r="C58" s="3325" t="s">
        <v>1528</v>
      </c>
      <c r="D58" s="3326"/>
      <c r="E58" s="1257">
        <f t="shared" ref="E58:I58" si="19">SUM(E54:E57)</f>
        <v>1246</v>
      </c>
      <c r="F58" s="1257">
        <f t="shared" si="19"/>
        <v>61385.26</v>
      </c>
      <c r="G58" s="3328"/>
      <c r="H58" s="1257">
        <f t="shared" si="19"/>
        <v>1104</v>
      </c>
      <c r="I58" s="1257">
        <f t="shared" si="19"/>
        <v>52577.85</v>
      </c>
      <c r="J58" s="1263">
        <v>17440.5560896842</v>
      </c>
      <c r="K58" s="1264">
        <f t="shared" si="5"/>
        <v>142</v>
      </c>
      <c r="L58" s="1264">
        <f t="shared" si="6"/>
        <v>8807.41</v>
      </c>
      <c r="M58" s="3328"/>
      <c r="N58" s="1264">
        <v>8791.68</v>
      </c>
      <c r="O58" s="1264">
        <v>13</v>
      </c>
      <c r="P58" s="1264"/>
      <c r="Q58" s="1264">
        <v>618.95000000000005</v>
      </c>
      <c r="R58" s="1264">
        <f>R57+R56+R55+R54</f>
        <v>1549464</v>
      </c>
      <c r="S58" s="1256">
        <f t="shared" ref="S58:S84" si="20">ROUND(R58/Q58,0)</f>
        <v>2503</v>
      </c>
      <c r="T58" s="1262">
        <f t="shared" si="1"/>
        <v>208.583333333333</v>
      </c>
      <c r="U58" s="1258">
        <f t="shared" si="2"/>
        <v>129</v>
      </c>
      <c r="V58" s="1258">
        <f t="shared" si="3"/>
        <v>8188.46</v>
      </c>
      <c r="W58" s="1264" t="s">
        <v>1521</v>
      </c>
      <c r="X58" s="1264" t="s">
        <v>1521</v>
      </c>
      <c r="Y58" s="1264"/>
      <c r="Z58" s="1264"/>
      <c r="AA58" s="1255"/>
      <c r="AB58" s="3338"/>
      <c r="AC58" s="3338"/>
      <c r="AD58" s="3338"/>
      <c r="AE58" s="3338"/>
    </row>
    <row r="59" spans="1:31" ht="24">
      <c r="A59" s="3332"/>
      <c r="B59" s="3332" t="s">
        <v>1529</v>
      </c>
      <c r="C59" s="1252" t="s">
        <v>1519</v>
      </c>
      <c r="D59" s="1250" t="s">
        <v>1530</v>
      </c>
      <c r="E59" s="1253">
        <v>322</v>
      </c>
      <c r="F59" s="1254">
        <v>15836.32</v>
      </c>
      <c r="G59" s="3328"/>
      <c r="H59" s="1250">
        <v>259</v>
      </c>
      <c r="I59" s="1250">
        <v>12128.68</v>
      </c>
      <c r="J59" s="1261">
        <v>16901.5750271258</v>
      </c>
      <c r="K59" s="1253">
        <f t="shared" si="5"/>
        <v>63</v>
      </c>
      <c r="L59" s="1253">
        <f t="shared" si="6"/>
        <v>3707.64</v>
      </c>
      <c r="M59" s="3328"/>
      <c r="N59" s="1253">
        <v>3672.31</v>
      </c>
      <c r="O59" s="1253">
        <v>60</v>
      </c>
      <c r="P59" s="3328">
        <v>90</v>
      </c>
      <c r="Q59" s="1253">
        <v>3564.18</v>
      </c>
      <c r="R59" s="1253">
        <v>4560289</v>
      </c>
      <c r="S59" s="1262">
        <f t="shared" si="20"/>
        <v>1279</v>
      </c>
      <c r="T59" s="1262">
        <f t="shared" si="1"/>
        <v>106.583333333333</v>
      </c>
      <c r="U59" s="1262">
        <f t="shared" si="2"/>
        <v>3</v>
      </c>
      <c r="V59" s="1262">
        <f t="shared" si="3"/>
        <v>143.46</v>
      </c>
      <c r="W59" s="1253" t="s">
        <v>1521</v>
      </c>
      <c r="X59" s="1253" t="s">
        <v>1521</v>
      </c>
      <c r="Y59" s="1253"/>
      <c r="Z59" s="1253"/>
      <c r="AA59" s="1271" t="s">
        <v>1584</v>
      </c>
      <c r="AB59" s="3338"/>
      <c r="AC59" s="3338"/>
      <c r="AD59" s="3338"/>
      <c r="AE59" s="3338"/>
    </row>
    <row r="60" spans="1:31">
      <c r="A60" s="3332"/>
      <c r="B60" s="3332"/>
      <c r="C60" s="1252" t="s">
        <v>1525</v>
      </c>
      <c r="D60" s="1250" t="s">
        <v>1520</v>
      </c>
      <c r="E60" s="1253">
        <v>185</v>
      </c>
      <c r="F60" s="1254">
        <v>9438.3799999999992</v>
      </c>
      <c r="G60" s="3328"/>
      <c r="H60" s="1250">
        <v>131</v>
      </c>
      <c r="I60" s="1250">
        <v>6307.66</v>
      </c>
      <c r="J60" s="1261">
        <v>15877.422847775601</v>
      </c>
      <c r="K60" s="1253">
        <f t="shared" si="5"/>
        <v>54</v>
      </c>
      <c r="L60" s="1253">
        <f t="shared" si="6"/>
        <v>3130.72</v>
      </c>
      <c r="M60" s="3328"/>
      <c r="N60" s="1253">
        <v>3130.72</v>
      </c>
      <c r="O60" s="1253">
        <v>12</v>
      </c>
      <c r="P60" s="3328"/>
      <c r="Q60" s="1253">
        <v>704.54</v>
      </c>
      <c r="R60" s="1253">
        <v>409072</v>
      </c>
      <c r="S60" s="1262">
        <f t="shared" si="20"/>
        <v>581</v>
      </c>
      <c r="T60" s="1262">
        <f t="shared" si="1"/>
        <v>48.4166666666667</v>
      </c>
      <c r="U60" s="1262">
        <f t="shared" si="2"/>
        <v>42</v>
      </c>
      <c r="V60" s="1262">
        <f t="shared" si="3"/>
        <v>2426.1799999999998</v>
      </c>
      <c r="W60" s="1253" t="s">
        <v>1521</v>
      </c>
      <c r="X60" s="1253" t="s">
        <v>1521</v>
      </c>
      <c r="Y60" s="1253"/>
      <c r="Z60" s="1253"/>
      <c r="AA60" s="1251"/>
      <c r="AB60" s="3338"/>
      <c r="AC60" s="3338"/>
      <c r="AD60" s="3338"/>
      <c r="AE60" s="3338"/>
    </row>
    <row r="61" spans="1:31">
      <c r="A61" s="3332"/>
      <c r="B61" s="3332"/>
      <c r="C61" s="1252" t="s">
        <v>1526</v>
      </c>
      <c r="D61" s="1250" t="s">
        <v>1520</v>
      </c>
      <c r="E61" s="1253">
        <v>351</v>
      </c>
      <c r="F61" s="1254">
        <v>17881.400000000001</v>
      </c>
      <c r="G61" s="3328"/>
      <c r="H61" s="1250">
        <v>295</v>
      </c>
      <c r="I61" s="1250">
        <v>14085.66</v>
      </c>
      <c r="J61" s="1261">
        <v>16375.883274195199</v>
      </c>
      <c r="K61" s="1253">
        <f t="shared" si="5"/>
        <v>56</v>
      </c>
      <c r="L61" s="1253">
        <f t="shared" si="6"/>
        <v>3795.74</v>
      </c>
      <c r="M61" s="3328"/>
      <c r="N61" s="1253">
        <v>3795.74</v>
      </c>
      <c r="O61" s="1253">
        <v>8</v>
      </c>
      <c r="P61" s="3328"/>
      <c r="Q61" s="1253">
        <v>451.33</v>
      </c>
      <c r="R61" s="1253">
        <v>312681</v>
      </c>
      <c r="S61" s="1262">
        <f t="shared" si="20"/>
        <v>693</v>
      </c>
      <c r="T61" s="1262">
        <f t="shared" si="1"/>
        <v>57.75</v>
      </c>
      <c r="U61" s="1262">
        <f t="shared" si="2"/>
        <v>48</v>
      </c>
      <c r="V61" s="1262">
        <f t="shared" si="3"/>
        <v>3344.41</v>
      </c>
      <c r="W61" s="1253" t="s">
        <v>1521</v>
      </c>
      <c r="X61" s="1253" t="s">
        <v>1521</v>
      </c>
      <c r="Y61" s="1253"/>
      <c r="Z61" s="1253"/>
      <c r="AA61" s="1251"/>
      <c r="AB61" s="3338"/>
      <c r="AC61" s="3338"/>
      <c r="AD61" s="3338"/>
      <c r="AE61" s="3338"/>
    </row>
    <row r="62" spans="1:31">
      <c r="A62" s="3332"/>
      <c r="B62" s="3332"/>
      <c r="C62" s="1252" t="s">
        <v>1527</v>
      </c>
      <c r="D62" s="1250" t="s">
        <v>1520</v>
      </c>
      <c r="E62" s="1253">
        <v>405</v>
      </c>
      <c r="F62" s="1254">
        <v>19702.080000000002</v>
      </c>
      <c r="G62" s="3328"/>
      <c r="H62" s="1250">
        <v>301</v>
      </c>
      <c r="I62" s="1250">
        <v>13746.41</v>
      </c>
      <c r="J62" s="1261">
        <v>15371.536568456801</v>
      </c>
      <c r="K62" s="1253">
        <f t="shared" si="5"/>
        <v>104</v>
      </c>
      <c r="L62" s="1253">
        <f t="shared" si="6"/>
        <v>5955.67</v>
      </c>
      <c r="M62" s="3328"/>
      <c r="N62" s="1253">
        <v>5955.67</v>
      </c>
      <c r="O62" s="1253">
        <v>10</v>
      </c>
      <c r="P62" s="3328"/>
      <c r="Q62" s="1253">
        <v>561.33000000000004</v>
      </c>
      <c r="R62" s="1253">
        <v>460124</v>
      </c>
      <c r="S62" s="1262">
        <f t="shared" si="20"/>
        <v>820</v>
      </c>
      <c r="T62" s="1262">
        <f t="shared" si="1"/>
        <v>68.3333333333333</v>
      </c>
      <c r="U62" s="1262">
        <f t="shared" si="2"/>
        <v>94</v>
      </c>
      <c r="V62" s="1262">
        <f t="shared" si="3"/>
        <v>5394.34</v>
      </c>
      <c r="W62" s="1253" t="s">
        <v>1521</v>
      </c>
      <c r="X62" s="1253" t="s">
        <v>1521</v>
      </c>
      <c r="Y62" s="1253"/>
      <c r="Z62" s="1253"/>
      <c r="AA62" s="1251"/>
      <c r="AB62" s="3338"/>
      <c r="AC62" s="3338"/>
      <c r="AD62" s="3338"/>
      <c r="AE62" s="3338"/>
    </row>
    <row r="63" spans="1:31">
      <c r="A63" s="3332"/>
      <c r="B63" s="3333"/>
      <c r="C63" s="3325" t="s">
        <v>1533</v>
      </c>
      <c r="D63" s="3326"/>
      <c r="E63" s="1258">
        <f t="shared" ref="E63:I63" si="21">SUM(E59:E62)</f>
        <v>1263</v>
      </c>
      <c r="F63" s="1258">
        <f t="shared" si="21"/>
        <v>62858.18</v>
      </c>
      <c r="G63" s="3328"/>
      <c r="H63" s="1258">
        <f t="shared" si="21"/>
        <v>986</v>
      </c>
      <c r="I63" s="1258">
        <f t="shared" si="21"/>
        <v>46268.41</v>
      </c>
      <c r="J63" s="1263">
        <v>16147.340010171099</v>
      </c>
      <c r="K63" s="1264">
        <f t="shared" si="5"/>
        <v>277</v>
      </c>
      <c r="L63" s="1264">
        <f t="shared" si="6"/>
        <v>16589.77</v>
      </c>
      <c r="M63" s="3328"/>
      <c r="N63" s="1264">
        <v>16554.439999999999</v>
      </c>
      <c r="O63" s="1264">
        <v>90</v>
      </c>
      <c r="P63" s="1264"/>
      <c r="Q63" s="1264">
        <v>5281.38</v>
      </c>
      <c r="R63" s="1264">
        <f>R62+R61+R60+R59</f>
        <v>5742166</v>
      </c>
      <c r="S63" s="1256">
        <f t="shared" si="20"/>
        <v>1087</v>
      </c>
      <c r="T63" s="1262">
        <f t="shared" si="1"/>
        <v>90.5833333333333</v>
      </c>
      <c r="U63" s="1258">
        <f t="shared" si="2"/>
        <v>187</v>
      </c>
      <c r="V63" s="1258">
        <f t="shared" si="3"/>
        <v>11308.39</v>
      </c>
      <c r="W63" s="1264" t="s">
        <v>1521</v>
      </c>
      <c r="X63" s="1264" t="s">
        <v>1521</v>
      </c>
      <c r="Y63" s="1264"/>
      <c r="Z63" s="1264"/>
      <c r="AA63" s="1255"/>
      <c r="AB63" s="3338"/>
      <c r="AC63" s="3338"/>
      <c r="AD63" s="3338"/>
      <c r="AE63" s="3338"/>
    </row>
    <row r="64" spans="1:31" ht="36">
      <c r="A64" s="3332"/>
      <c r="B64" s="3332" t="s">
        <v>1534</v>
      </c>
      <c r="C64" s="1252" t="s">
        <v>1519</v>
      </c>
      <c r="D64" s="1250" t="s">
        <v>1539</v>
      </c>
      <c r="E64" s="1253">
        <v>321</v>
      </c>
      <c r="F64" s="1254">
        <f>15768.14</f>
        <v>15768.14</v>
      </c>
      <c r="G64" s="3328"/>
      <c r="H64" s="1250">
        <v>275</v>
      </c>
      <c r="I64" s="1250">
        <v>13085.79</v>
      </c>
      <c r="J64" s="1261">
        <v>13734.8724838164</v>
      </c>
      <c r="K64" s="1253">
        <f t="shared" si="5"/>
        <v>46</v>
      </c>
      <c r="L64" s="1253">
        <f t="shared" si="6"/>
        <v>2682.35</v>
      </c>
      <c r="M64" s="3328"/>
      <c r="N64" s="1253">
        <v>2659.96</v>
      </c>
      <c r="O64" s="1253">
        <v>41</v>
      </c>
      <c r="P64" s="3328">
        <v>123</v>
      </c>
      <c r="Q64" s="1253">
        <v>2466.33</v>
      </c>
      <c r="R64" s="1253">
        <v>2701774</v>
      </c>
      <c r="S64" s="1262">
        <f t="shared" si="20"/>
        <v>1095</v>
      </c>
      <c r="T64" s="1262">
        <f t="shared" si="1"/>
        <v>91.25</v>
      </c>
      <c r="U64" s="1262">
        <f t="shared" si="2"/>
        <v>5</v>
      </c>
      <c r="V64" s="1262">
        <f t="shared" si="3"/>
        <v>216.01999999999899</v>
      </c>
      <c r="W64" s="1253" t="s">
        <v>1521</v>
      </c>
      <c r="X64" s="1253" t="s">
        <v>1521</v>
      </c>
      <c r="Y64" s="1253"/>
      <c r="Z64" s="1253"/>
      <c r="AA64" s="1271" t="s">
        <v>1585</v>
      </c>
      <c r="AB64" s="3338"/>
      <c r="AC64" s="3338"/>
      <c r="AD64" s="3338"/>
      <c r="AE64" s="3338"/>
    </row>
    <row r="65" spans="1:31">
      <c r="A65" s="3332"/>
      <c r="B65" s="3332"/>
      <c r="C65" s="1252" t="s">
        <v>1525</v>
      </c>
      <c r="D65" s="1250" t="s">
        <v>1539</v>
      </c>
      <c r="E65" s="1253">
        <v>184</v>
      </c>
      <c r="F65" s="1254">
        <v>9392.61</v>
      </c>
      <c r="G65" s="3328"/>
      <c r="H65" s="1250">
        <v>159</v>
      </c>
      <c r="I65" s="1250">
        <v>7842.92</v>
      </c>
      <c r="J65" s="1261">
        <v>14266.577754203799</v>
      </c>
      <c r="K65" s="1253">
        <f t="shared" si="5"/>
        <v>25</v>
      </c>
      <c r="L65" s="1253">
        <f t="shared" si="6"/>
        <v>1549.69</v>
      </c>
      <c r="M65" s="3328"/>
      <c r="N65" s="1253">
        <v>1549.69</v>
      </c>
      <c r="O65" s="1253">
        <v>24</v>
      </c>
      <c r="P65" s="3328"/>
      <c r="Q65" s="1253">
        <v>1498.18</v>
      </c>
      <c r="R65" s="1253">
        <v>1725761</v>
      </c>
      <c r="S65" s="1262">
        <f t="shared" si="20"/>
        <v>1152</v>
      </c>
      <c r="T65" s="1262">
        <f t="shared" si="1"/>
        <v>96</v>
      </c>
      <c r="U65" s="1262">
        <f t="shared" si="2"/>
        <v>1</v>
      </c>
      <c r="V65" s="1262">
        <f t="shared" si="3"/>
        <v>51.510000000000403</v>
      </c>
      <c r="W65" s="1253" t="s">
        <v>1521</v>
      </c>
      <c r="X65" s="1253" t="s">
        <v>1521</v>
      </c>
      <c r="Y65" s="1253"/>
      <c r="Z65" s="1253"/>
      <c r="AA65" s="1251"/>
      <c r="AB65" s="3338"/>
      <c r="AC65" s="3338"/>
      <c r="AD65" s="3338"/>
      <c r="AE65" s="3338"/>
    </row>
    <row r="66" spans="1:31">
      <c r="A66" s="3332"/>
      <c r="B66" s="3332"/>
      <c r="C66" s="1252" t="s">
        <v>1526</v>
      </c>
      <c r="D66" s="1250" t="s">
        <v>1539</v>
      </c>
      <c r="E66" s="1253">
        <v>351</v>
      </c>
      <c r="F66" s="1254">
        <v>17809.919999999998</v>
      </c>
      <c r="G66" s="3328"/>
      <c r="H66" s="1250">
        <v>284</v>
      </c>
      <c r="I66" s="1250">
        <v>13347.73</v>
      </c>
      <c r="J66" s="1261">
        <v>13787.082672484399</v>
      </c>
      <c r="K66" s="1253">
        <f t="shared" si="5"/>
        <v>67</v>
      </c>
      <c r="L66" s="1253">
        <f t="shared" si="6"/>
        <v>4462.1899999999996</v>
      </c>
      <c r="M66" s="3328"/>
      <c r="N66" s="1253">
        <v>4462.1899999999996</v>
      </c>
      <c r="O66" s="1253">
        <v>31</v>
      </c>
      <c r="P66" s="3328"/>
      <c r="Q66" s="1253">
        <v>2060.42</v>
      </c>
      <c r="R66" s="1253">
        <v>2152697</v>
      </c>
      <c r="S66" s="1262">
        <f t="shared" si="20"/>
        <v>1045</v>
      </c>
      <c r="T66" s="1262">
        <f t="shared" si="1"/>
        <v>87.0833333333333</v>
      </c>
      <c r="U66" s="1262">
        <f t="shared" si="2"/>
        <v>36</v>
      </c>
      <c r="V66" s="1262">
        <f t="shared" si="3"/>
        <v>2401.77</v>
      </c>
      <c r="W66" s="1253" t="s">
        <v>1521</v>
      </c>
      <c r="X66" s="1253" t="s">
        <v>1521</v>
      </c>
      <c r="Y66" s="1253"/>
      <c r="Z66" s="1253"/>
      <c r="AA66" s="1251"/>
      <c r="AB66" s="3338"/>
      <c r="AC66" s="3338"/>
      <c r="AD66" s="3338"/>
      <c r="AE66" s="3338"/>
    </row>
    <row r="67" spans="1:31">
      <c r="A67" s="3332"/>
      <c r="B67" s="3332"/>
      <c r="C67" s="1252" t="s">
        <v>1527</v>
      </c>
      <c r="D67" s="1250" t="s">
        <v>1539</v>
      </c>
      <c r="E67" s="1253">
        <v>405</v>
      </c>
      <c r="F67" s="1254">
        <v>19623.009999999998</v>
      </c>
      <c r="G67" s="3328"/>
      <c r="H67" s="1250">
        <v>362</v>
      </c>
      <c r="I67" s="1250">
        <v>17025.28</v>
      </c>
      <c r="J67" s="1261">
        <v>13346.823958255</v>
      </c>
      <c r="K67" s="1253">
        <f t="shared" si="5"/>
        <v>43</v>
      </c>
      <c r="L67" s="1253">
        <f t="shared" si="6"/>
        <v>2597.73</v>
      </c>
      <c r="M67" s="3328"/>
      <c r="N67" s="1253">
        <v>2597.73</v>
      </c>
      <c r="O67" s="1253">
        <v>31</v>
      </c>
      <c r="P67" s="3328"/>
      <c r="Q67" s="1253">
        <v>1861.66</v>
      </c>
      <c r="R67" s="1253">
        <v>1816214</v>
      </c>
      <c r="S67" s="1262">
        <f t="shared" si="20"/>
        <v>976</v>
      </c>
      <c r="T67" s="1262">
        <f t="shared" si="1"/>
        <v>81.3333333333333</v>
      </c>
      <c r="U67" s="1262">
        <f t="shared" si="2"/>
        <v>12</v>
      </c>
      <c r="V67" s="1262">
        <f t="shared" si="3"/>
        <v>736.06999999999903</v>
      </c>
      <c r="W67" s="1253" t="s">
        <v>1521</v>
      </c>
      <c r="X67" s="1253" t="s">
        <v>1521</v>
      </c>
      <c r="Y67" s="1253"/>
      <c r="Z67" s="1253"/>
      <c r="AA67" s="1251"/>
      <c r="AB67" s="3338"/>
      <c r="AC67" s="3338"/>
      <c r="AD67" s="3338"/>
      <c r="AE67" s="3338"/>
    </row>
    <row r="68" spans="1:31">
      <c r="A68" s="3332"/>
      <c r="B68" s="3333"/>
      <c r="C68" s="3325" t="s">
        <v>1543</v>
      </c>
      <c r="D68" s="3326"/>
      <c r="E68" s="1258">
        <f t="shared" ref="E68:I68" si="22">SUM(E64:E67)</f>
        <v>1261</v>
      </c>
      <c r="F68" s="1258">
        <f t="shared" si="22"/>
        <v>62593.68</v>
      </c>
      <c r="G68" s="3328"/>
      <c r="H68" s="1258">
        <f t="shared" si="22"/>
        <v>1080</v>
      </c>
      <c r="I68" s="1258">
        <f t="shared" si="22"/>
        <v>51301.72</v>
      </c>
      <c r="J68" s="1263">
        <v>13700.962794229899</v>
      </c>
      <c r="K68" s="1264">
        <f t="shared" si="5"/>
        <v>181</v>
      </c>
      <c r="L68" s="1264">
        <f t="shared" si="6"/>
        <v>11291.96</v>
      </c>
      <c r="M68" s="3328"/>
      <c r="N68" s="1264">
        <v>11269.57</v>
      </c>
      <c r="O68" s="1264">
        <v>127</v>
      </c>
      <c r="P68" s="1264"/>
      <c r="Q68" s="1264">
        <v>7886.59</v>
      </c>
      <c r="R68" s="1264">
        <f>R67+R66+R65+R64</f>
        <v>8396446</v>
      </c>
      <c r="S68" s="1256">
        <f t="shared" si="20"/>
        <v>1065</v>
      </c>
      <c r="T68" s="1262">
        <f t="shared" ref="T68:T128" si="23">S68/12</f>
        <v>88.75</v>
      </c>
      <c r="U68" s="1258">
        <f t="shared" ref="U68:U129" si="24">K68-O68</f>
        <v>54</v>
      </c>
      <c r="V68" s="1258">
        <f t="shared" ref="V68:V129" si="25">L68-Q68</f>
        <v>3405.3699999999899</v>
      </c>
      <c r="W68" s="1264" t="s">
        <v>1521</v>
      </c>
      <c r="X68" s="1264" t="s">
        <v>1521</v>
      </c>
      <c r="Y68" s="1264"/>
      <c r="Z68" s="1264"/>
      <c r="AA68" s="1255"/>
      <c r="AB68" s="3338"/>
      <c r="AC68" s="3338"/>
      <c r="AD68" s="3338"/>
      <c r="AE68" s="3338"/>
    </row>
    <row r="69" spans="1:31">
      <c r="A69" s="3332"/>
      <c r="B69" s="3332" t="s">
        <v>1544</v>
      </c>
      <c r="C69" s="1252" t="s">
        <v>1519</v>
      </c>
      <c r="D69" s="1250" t="s">
        <v>1586</v>
      </c>
      <c r="E69" s="1253">
        <v>321</v>
      </c>
      <c r="F69" s="1254">
        <v>15650.71</v>
      </c>
      <c r="G69" s="3328"/>
      <c r="H69" s="1250">
        <v>69</v>
      </c>
      <c r="I69" s="1250">
        <v>2799.08</v>
      </c>
      <c r="J69" s="1261">
        <v>11573.9264329708</v>
      </c>
      <c r="K69" s="1253">
        <f t="shared" si="5"/>
        <v>252</v>
      </c>
      <c r="L69" s="1253">
        <f t="shared" si="6"/>
        <v>12851.63</v>
      </c>
      <c r="M69" s="3328"/>
      <c r="N69" s="1253">
        <v>12851.63</v>
      </c>
      <c r="O69" s="1253">
        <v>86</v>
      </c>
      <c r="P69" s="3328">
        <v>448</v>
      </c>
      <c r="Q69" s="1253">
        <v>3992.58</v>
      </c>
      <c r="R69" s="1253">
        <v>2594102</v>
      </c>
      <c r="S69" s="1262">
        <f t="shared" si="20"/>
        <v>650</v>
      </c>
      <c r="T69" s="1262">
        <f t="shared" si="23"/>
        <v>54.1666666666667</v>
      </c>
      <c r="U69" s="1262">
        <f t="shared" si="24"/>
        <v>166</v>
      </c>
      <c r="V69" s="1262">
        <f t="shared" si="25"/>
        <v>8859.0499999999993</v>
      </c>
      <c r="W69" s="1253" t="s">
        <v>1521</v>
      </c>
      <c r="X69" s="1253" t="s">
        <v>1521</v>
      </c>
      <c r="Y69" s="1253">
        <f>'1-6#不动产权证'!D55</f>
        <v>252</v>
      </c>
      <c r="Z69" s="1253">
        <f>'1-6#不动产权证'!M55</f>
        <v>12851.63</v>
      </c>
      <c r="AA69" s="1251"/>
      <c r="AB69" s="3338"/>
      <c r="AC69" s="3338"/>
      <c r="AD69" s="3338"/>
      <c r="AE69" s="3338"/>
    </row>
    <row r="70" spans="1:31">
      <c r="A70" s="3332"/>
      <c r="B70" s="3332"/>
      <c r="C70" s="1252" t="s">
        <v>1525</v>
      </c>
      <c r="D70" s="1250" t="s">
        <v>1586</v>
      </c>
      <c r="E70" s="1253">
        <v>184</v>
      </c>
      <c r="F70" s="1254">
        <v>9352.0499999999993</v>
      </c>
      <c r="G70" s="3328"/>
      <c r="H70" s="1250">
        <v>52</v>
      </c>
      <c r="I70" s="1250">
        <v>2324.88</v>
      </c>
      <c r="J70" s="1261">
        <v>13311.3102611748</v>
      </c>
      <c r="K70" s="1253">
        <f t="shared" si="5"/>
        <v>132</v>
      </c>
      <c r="L70" s="1253">
        <f t="shared" si="6"/>
        <v>7027.17</v>
      </c>
      <c r="M70" s="3328"/>
      <c r="N70" s="1253">
        <v>7027.17</v>
      </c>
      <c r="O70" s="1253">
        <v>132</v>
      </c>
      <c r="P70" s="3328"/>
      <c r="Q70" s="1253">
        <v>7027.17</v>
      </c>
      <c r="R70" s="1253">
        <v>3835039</v>
      </c>
      <c r="S70" s="1262">
        <f t="shared" si="20"/>
        <v>546</v>
      </c>
      <c r="T70" s="1262">
        <f t="shared" si="23"/>
        <v>45.5</v>
      </c>
      <c r="U70" s="1262">
        <f t="shared" si="24"/>
        <v>0</v>
      </c>
      <c r="V70" s="1262">
        <f t="shared" si="25"/>
        <v>0</v>
      </c>
      <c r="W70" s="1253" t="s">
        <v>1521</v>
      </c>
      <c r="X70" s="1253" t="s">
        <v>1521</v>
      </c>
      <c r="Y70" s="1253">
        <f>'1-6#不动产权证'!D56</f>
        <v>150</v>
      </c>
      <c r="Z70" s="1253">
        <f>'1-6#不动产权证'!M56</f>
        <v>7811.67</v>
      </c>
      <c r="AA70" s="1251"/>
      <c r="AB70" s="3338"/>
      <c r="AC70" s="3338"/>
      <c r="AD70" s="3338"/>
      <c r="AE70" s="3338"/>
    </row>
    <row r="71" spans="1:31">
      <c r="A71" s="3332"/>
      <c r="B71" s="3332"/>
      <c r="C71" s="1252" t="s">
        <v>1526</v>
      </c>
      <c r="D71" s="1250" t="s">
        <v>1587</v>
      </c>
      <c r="E71" s="1253">
        <v>350</v>
      </c>
      <c r="F71" s="1254">
        <v>17721.53</v>
      </c>
      <c r="G71" s="3328"/>
      <c r="H71" s="1250">
        <v>216</v>
      </c>
      <c r="I71" s="1250">
        <v>10138.9</v>
      </c>
      <c r="J71" s="1261">
        <v>11668.2709169634</v>
      </c>
      <c r="K71" s="1253">
        <f t="shared" si="5"/>
        <v>134</v>
      </c>
      <c r="L71" s="1253">
        <f t="shared" si="6"/>
        <v>7582.63</v>
      </c>
      <c r="M71" s="3328"/>
      <c r="N71" s="1253">
        <v>7582.63</v>
      </c>
      <c r="O71" s="1253">
        <v>90</v>
      </c>
      <c r="P71" s="3328"/>
      <c r="Q71" s="1253">
        <v>4772.22</v>
      </c>
      <c r="R71" s="1253">
        <v>2906940</v>
      </c>
      <c r="S71" s="1262">
        <f t="shared" si="20"/>
        <v>609</v>
      </c>
      <c r="T71" s="1262">
        <f t="shared" si="23"/>
        <v>50.75</v>
      </c>
      <c r="U71" s="1262">
        <f t="shared" si="24"/>
        <v>44</v>
      </c>
      <c r="V71" s="1262">
        <f t="shared" si="25"/>
        <v>2810.41</v>
      </c>
      <c r="W71" s="1253" t="s">
        <v>1521</v>
      </c>
      <c r="X71" s="1253" t="s">
        <v>1521</v>
      </c>
      <c r="Y71" s="1253">
        <f>'1-6#不动产权证'!D57</f>
        <v>143</v>
      </c>
      <c r="Z71" s="1253">
        <f>'1-6#不动产权证'!M57</f>
        <v>8129.67</v>
      </c>
      <c r="AA71" s="1251"/>
      <c r="AB71" s="3338"/>
      <c r="AC71" s="3338"/>
      <c r="AD71" s="3338"/>
      <c r="AE71" s="3338"/>
    </row>
    <row r="72" spans="1:31">
      <c r="A72" s="3332"/>
      <c r="B72" s="3332"/>
      <c r="C72" s="1252" t="s">
        <v>1527</v>
      </c>
      <c r="D72" s="1250" t="s">
        <v>1587</v>
      </c>
      <c r="E72" s="1253">
        <v>406</v>
      </c>
      <c r="F72" s="1254">
        <v>19534.82</v>
      </c>
      <c r="G72" s="3328"/>
      <c r="H72" s="1250">
        <v>146</v>
      </c>
      <c r="I72" s="1250">
        <v>6589.36</v>
      </c>
      <c r="J72" s="1261">
        <v>13197.5033994197</v>
      </c>
      <c r="K72" s="1253">
        <f t="shared" si="5"/>
        <v>260</v>
      </c>
      <c r="L72" s="1253">
        <f t="shared" si="6"/>
        <v>12945.46</v>
      </c>
      <c r="M72" s="3328"/>
      <c r="N72" s="1253">
        <v>12945.46</v>
      </c>
      <c r="O72" s="1253">
        <v>161</v>
      </c>
      <c r="P72" s="3328"/>
      <c r="Q72" s="1253">
        <v>7670.61</v>
      </c>
      <c r="R72" s="1253">
        <v>7593766</v>
      </c>
      <c r="S72" s="1262">
        <f t="shared" si="20"/>
        <v>990</v>
      </c>
      <c r="T72" s="1262">
        <f t="shared" si="23"/>
        <v>82.5</v>
      </c>
      <c r="U72" s="1262">
        <f t="shared" si="24"/>
        <v>99</v>
      </c>
      <c r="V72" s="1262">
        <f t="shared" si="25"/>
        <v>5274.85</v>
      </c>
      <c r="W72" s="1253" t="s">
        <v>1521</v>
      </c>
      <c r="X72" s="1253" t="s">
        <v>1521</v>
      </c>
      <c r="Y72" s="1253">
        <f>'1-6#不动产权证'!D58</f>
        <v>264</v>
      </c>
      <c r="Z72" s="1253">
        <f>'1-6#不动产权证'!M58</f>
        <v>13198.48</v>
      </c>
      <c r="AA72" s="1251"/>
      <c r="AB72" s="3338"/>
      <c r="AC72" s="3338"/>
      <c r="AD72" s="3338"/>
      <c r="AE72" s="3338"/>
    </row>
    <row r="73" spans="1:31">
      <c r="A73" s="3332"/>
      <c r="B73" s="3333"/>
      <c r="C73" s="3325" t="s">
        <v>1548</v>
      </c>
      <c r="D73" s="3326"/>
      <c r="E73" s="1258">
        <f t="shared" ref="E73:I73" si="26">SUM(E69:E72)</f>
        <v>1261</v>
      </c>
      <c r="F73" s="1258">
        <f t="shared" si="26"/>
        <v>62259.11</v>
      </c>
      <c r="G73" s="3328"/>
      <c r="H73" s="1258">
        <f t="shared" si="26"/>
        <v>483</v>
      </c>
      <c r="I73" s="1258">
        <f t="shared" si="26"/>
        <v>21852.22</v>
      </c>
      <c r="J73" s="1263">
        <v>12292.1185124441</v>
      </c>
      <c r="K73" s="1264">
        <f>E73-H73</f>
        <v>778</v>
      </c>
      <c r="L73" s="1264">
        <f>F73-I73</f>
        <v>40406.89</v>
      </c>
      <c r="M73" s="3328"/>
      <c r="N73" s="1264">
        <v>40406.89</v>
      </c>
      <c r="O73" s="1264">
        <v>469</v>
      </c>
      <c r="P73" s="1264"/>
      <c r="Q73" s="1264">
        <v>23462.58</v>
      </c>
      <c r="R73" s="1264">
        <f>R72+R71+R70+R69</f>
        <v>16929847</v>
      </c>
      <c r="S73" s="1256">
        <f t="shared" si="20"/>
        <v>722</v>
      </c>
      <c r="T73" s="1262">
        <f t="shared" si="23"/>
        <v>60.1666666666667</v>
      </c>
      <c r="U73" s="1258">
        <f t="shared" si="24"/>
        <v>309</v>
      </c>
      <c r="V73" s="1258">
        <f t="shared" si="25"/>
        <v>16944.310000000001</v>
      </c>
      <c r="W73" s="1264" t="s">
        <v>1521</v>
      </c>
      <c r="X73" s="1264" t="s">
        <v>1521</v>
      </c>
      <c r="Y73" s="1264">
        <f>SUM(Y69:Y72)</f>
        <v>809</v>
      </c>
      <c r="Z73" s="1264">
        <f>SUM(Z69:Z72)</f>
        <v>41991.45</v>
      </c>
      <c r="AA73" s="1255"/>
      <c r="AB73" s="3338"/>
      <c r="AC73" s="3338"/>
      <c r="AD73" s="3338"/>
      <c r="AE73" s="3338"/>
    </row>
    <row r="74" spans="1:31">
      <c r="A74" s="3330" t="s">
        <v>1588</v>
      </c>
      <c r="B74" s="3330"/>
      <c r="C74" s="3331"/>
      <c r="D74" s="3331"/>
      <c r="E74" s="1260">
        <f t="shared" ref="E74:I74" si="27">E58+E63+E68+E73</f>
        <v>5031</v>
      </c>
      <c r="F74" s="1260">
        <f t="shared" si="27"/>
        <v>249096.23</v>
      </c>
      <c r="G74" s="1259">
        <v>249083.26</v>
      </c>
      <c r="H74" s="1260">
        <f t="shared" si="27"/>
        <v>3653</v>
      </c>
      <c r="I74" s="1260">
        <f t="shared" si="27"/>
        <v>172000.2</v>
      </c>
      <c r="J74" s="1265">
        <v>15323.189885825699</v>
      </c>
      <c r="K74" s="1259">
        <f>E74-H74</f>
        <v>1378</v>
      </c>
      <c r="L74" s="1259">
        <f>F74-I74</f>
        <v>77096.03</v>
      </c>
      <c r="M74" s="1267">
        <v>247192.16</v>
      </c>
      <c r="N74" s="1259">
        <v>77022.58</v>
      </c>
      <c r="O74" s="1259">
        <v>699</v>
      </c>
      <c r="P74" s="1259"/>
      <c r="Q74" s="1259">
        <v>37249.5</v>
      </c>
      <c r="R74" s="1259">
        <f>R73+R68+R63+R58</f>
        <v>32617923</v>
      </c>
      <c r="S74" s="1269">
        <f t="shared" si="20"/>
        <v>876</v>
      </c>
      <c r="T74" s="1262">
        <f t="shared" si="23"/>
        <v>73</v>
      </c>
      <c r="U74" s="1270">
        <f t="shared" si="24"/>
        <v>679</v>
      </c>
      <c r="V74" s="1270">
        <f t="shared" si="25"/>
        <v>39846.53</v>
      </c>
      <c r="W74" s="1259" t="s">
        <v>1521</v>
      </c>
      <c r="X74" s="1259" t="s">
        <v>1521</v>
      </c>
      <c r="Y74" s="1259"/>
      <c r="Z74" s="1259"/>
      <c r="AA74" s="1273"/>
      <c r="AB74" s="3338"/>
      <c r="AC74" s="3338"/>
      <c r="AD74" s="3338"/>
      <c r="AE74" s="3338"/>
    </row>
    <row r="75" spans="1:31">
      <c r="A75" s="3332" t="s">
        <v>1589</v>
      </c>
      <c r="B75" s="3332" t="s">
        <v>1518</v>
      </c>
      <c r="C75" s="1252" t="s">
        <v>1519</v>
      </c>
      <c r="D75" s="1253" t="s">
        <v>1590</v>
      </c>
      <c r="E75" s="1253">
        <v>146</v>
      </c>
      <c r="F75" s="1254">
        <v>10938.94</v>
      </c>
      <c r="G75" s="3328">
        <v>219524.17</v>
      </c>
      <c r="H75" s="1253">
        <v>99</v>
      </c>
      <c r="I75" s="1253">
        <v>7150.54</v>
      </c>
      <c r="J75" s="1261">
        <v>19244.486989793801</v>
      </c>
      <c r="K75" s="1253">
        <v>47</v>
      </c>
      <c r="L75" s="1253">
        <v>3788.4</v>
      </c>
      <c r="M75" s="3328">
        <v>218996.25</v>
      </c>
      <c r="N75" s="1253">
        <v>3788.4</v>
      </c>
      <c r="O75" s="1253">
        <v>44</v>
      </c>
      <c r="P75" s="3328">
        <v>86</v>
      </c>
      <c r="Q75" s="1253">
        <v>3525.52</v>
      </c>
      <c r="R75" s="1253">
        <v>2938668.43</v>
      </c>
      <c r="S75" s="1262">
        <f t="shared" si="20"/>
        <v>834</v>
      </c>
      <c r="T75" s="1262">
        <f t="shared" si="23"/>
        <v>69.5</v>
      </c>
      <c r="U75" s="1262">
        <f t="shared" si="24"/>
        <v>3</v>
      </c>
      <c r="V75" s="1262">
        <f t="shared" si="25"/>
        <v>262.88</v>
      </c>
      <c r="W75" s="1253" t="s">
        <v>1521</v>
      </c>
      <c r="X75" s="1253" t="s">
        <v>1521</v>
      </c>
      <c r="Y75" s="1253">
        <f>'1-6#不动产权证'!D59</f>
        <v>40</v>
      </c>
      <c r="Z75" s="1253">
        <f>'1-6#不动产权证'!M59</f>
        <v>3220.06</v>
      </c>
      <c r="AA75" s="1251"/>
      <c r="AB75" s="3338" t="s">
        <v>1591</v>
      </c>
      <c r="AC75" s="3338"/>
      <c r="AD75" s="3338" t="s">
        <v>1592</v>
      </c>
      <c r="AE75" s="3338"/>
    </row>
    <row r="76" spans="1:31">
      <c r="A76" s="3332"/>
      <c r="B76" s="3332"/>
      <c r="C76" s="1252" t="s">
        <v>1525</v>
      </c>
      <c r="D76" s="1253" t="s">
        <v>1590</v>
      </c>
      <c r="E76" s="1253">
        <v>201</v>
      </c>
      <c r="F76" s="1254">
        <v>15718.52</v>
      </c>
      <c r="G76" s="3328"/>
      <c r="H76" s="1253">
        <v>162</v>
      </c>
      <c r="I76" s="1253">
        <v>12195.54</v>
      </c>
      <c r="J76" s="1261">
        <v>15984.7750079127</v>
      </c>
      <c r="K76" s="1253">
        <v>39</v>
      </c>
      <c r="L76" s="1253">
        <v>3522.98</v>
      </c>
      <c r="M76" s="3328"/>
      <c r="N76" s="1253">
        <v>3522.98</v>
      </c>
      <c r="O76" s="1253">
        <v>6</v>
      </c>
      <c r="P76" s="3328"/>
      <c r="Q76" s="1253">
        <v>498.75</v>
      </c>
      <c r="R76" s="1253">
        <v>335232</v>
      </c>
      <c r="S76" s="1262">
        <f t="shared" si="20"/>
        <v>672</v>
      </c>
      <c r="T76" s="1262">
        <f t="shared" si="23"/>
        <v>56</v>
      </c>
      <c r="U76" s="1262">
        <f t="shared" si="24"/>
        <v>33</v>
      </c>
      <c r="V76" s="1262">
        <f t="shared" si="25"/>
        <v>3024.23</v>
      </c>
      <c r="W76" s="1253" t="s">
        <v>1521</v>
      </c>
      <c r="X76" s="1253" t="s">
        <v>1521</v>
      </c>
      <c r="Y76" s="1253">
        <f>'1-6#不动产权证'!D60</f>
        <v>39</v>
      </c>
      <c r="Z76" s="1253" t="str">
        <f>'1-6#不动产权证'!M60</f>
        <v>面积不清</v>
      </c>
      <c r="AA76" s="1251"/>
      <c r="AB76" s="3338"/>
      <c r="AC76" s="3338"/>
      <c r="AD76" s="3338"/>
      <c r="AE76" s="3338"/>
    </row>
    <row r="77" spans="1:31">
      <c r="A77" s="3332"/>
      <c r="B77" s="3332"/>
      <c r="C77" s="1252" t="s">
        <v>1526</v>
      </c>
      <c r="D77" s="1253" t="s">
        <v>1590</v>
      </c>
      <c r="E77" s="1253">
        <v>148</v>
      </c>
      <c r="F77" s="1254">
        <v>11304.45</v>
      </c>
      <c r="G77" s="3328"/>
      <c r="H77" s="1253">
        <v>69</v>
      </c>
      <c r="I77" s="1253">
        <v>5003.54</v>
      </c>
      <c r="J77" s="1261">
        <v>20942.523693225201</v>
      </c>
      <c r="K77" s="1253">
        <v>79</v>
      </c>
      <c r="L77" s="1253">
        <v>6300.91</v>
      </c>
      <c r="M77" s="3328"/>
      <c r="N77" s="1253">
        <v>6300.91</v>
      </c>
      <c r="O77" s="1253">
        <v>46</v>
      </c>
      <c r="P77" s="3328"/>
      <c r="Q77" s="1253">
        <v>3695.49</v>
      </c>
      <c r="R77" s="1253">
        <v>2929922</v>
      </c>
      <c r="S77" s="1262">
        <f t="shared" si="20"/>
        <v>793</v>
      </c>
      <c r="T77" s="1262">
        <f t="shared" si="23"/>
        <v>66.0833333333333</v>
      </c>
      <c r="U77" s="1262">
        <f t="shared" si="24"/>
        <v>33</v>
      </c>
      <c r="V77" s="1262">
        <f t="shared" si="25"/>
        <v>2605.42</v>
      </c>
      <c r="W77" s="1253" t="s">
        <v>1521</v>
      </c>
      <c r="X77" s="1253" t="s">
        <v>1521</v>
      </c>
      <c r="Y77" s="1253">
        <f>'1-6#不动产权证'!D61</f>
        <v>80</v>
      </c>
      <c r="Z77" s="1253">
        <f>'1-6#不动产权证'!M61</f>
        <v>6426.04</v>
      </c>
      <c r="AA77" s="1251"/>
      <c r="AB77" s="3338"/>
      <c r="AC77" s="3338"/>
      <c r="AD77" s="3338"/>
      <c r="AE77" s="3338"/>
    </row>
    <row r="78" spans="1:31">
      <c r="A78" s="3332"/>
      <c r="B78" s="3332"/>
      <c r="C78" s="1252" t="s">
        <v>1527</v>
      </c>
      <c r="D78" s="1253" t="s">
        <v>1590</v>
      </c>
      <c r="E78" s="1253">
        <v>223</v>
      </c>
      <c r="F78" s="1254">
        <v>17112.580000000002</v>
      </c>
      <c r="G78" s="3328"/>
      <c r="H78" s="1253">
        <v>107</v>
      </c>
      <c r="I78" s="1253">
        <v>7899.96</v>
      </c>
      <c r="J78" s="1261">
        <v>15998.1222689735</v>
      </c>
      <c r="K78" s="1253">
        <v>116</v>
      </c>
      <c r="L78" s="1253">
        <v>9212.6200000000008</v>
      </c>
      <c r="M78" s="3328"/>
      <c r="N78" s="1253">
        <v>9212.6200000000008</v>
      </c>
      <c r="O78" s="1253">
        <v>13</v>
      </c>
      <c r="P78" s="3328"/>
      <c r="Q78" s="1253">
        <v>1010.27</v>
      </c>
      <c r="R78" s="1253">
        <v>204322</v>
      </c>
      <c r="S78" s="1262">
        <f t="shared" si="20"/>
        <v>202</v>
      </c>
      <c r="T78" s="1262">
        <f t="shared" si="23"/>
        <v>16.8333333333333</v>
      </c>
      <c r="U78" s="1262">
        <f t="shared" si="24"/>
        <v>103</v>
      </c>
      <c r="V78" s="1262">
        <f t="shared" si="25"/>
        <v>8202.35</v>
      </c>
      <c r="W78" s="1253" t="s">
        <v>1521</v>
      </c>
      <c r="X78" s="1253" t="s">
        <v>1521</v>
      </c>
      <c r="Y78" s="1253">
        <f>'1-6#不动产权证'!D62</f>
        <v>115</v>
      </c>
      <c r="Z78" s="1253">
        <f>'1-6#不动产权证'!M62</f>
        <v>9167.32</v>
      </c>
      <c r="AA78" s="1251"/>
      <c r="AB78" s="3338"/>
      <c r="AC78" s="3338"/>
      <c r="AD78" s="3338"/>
      <c r="AE78" s="3338"/>
    </row>
    <row r="79" spans="1:31">
      <c r="A79" s="3332"/>
      <c r="B79" s="3333"/>
      <c r="C79" s="3325" t="s">
        <v>1528</v>
      </c>
      <c r="D79" s="3326"/>
      <c r="E79" s="1257">
        <f t="shared" ref="E79:I79" si="28">SUM(E75:E78)</f>
        <v>718</v>
      </c>
      <c r="F79" s="1257">
        <f t="shared" si="28"/>
        <v>55074.49</v>
      </c>
      <c r="G79" s="3328"/>
      <c r="H79" s="1257">
        <f t="shared" si="28"/>
        <v>437</v>
      </c>
      <c r="I79" s="1257">
        <f t="shared" si="28"/>
        <v>32249.58</v>
      </c>
      <c r="J79" s="1263">
        <v>17480.0018480861</v>
      </c>
      <c r="K79" s="1264">
        <v>281</v>
      </c>
      <c r="L79" s="1264">
        <v>22824.91</v>
      </c>
      <c r="M79" s="3328"/>
      <c r="N79" s="1264">
        <v>22824.91</v>
      </c>
      <c r="O79" s="1264">
        <v>109</v>
      </c>
      <c r="P79" s="1264"/>
      <c r="Q79" s="1264">
        <v>8730.0300000000007</v>
      </c>
      <c r="R79" s="1264">
        <f>R78+R77+R76+R75</f>
        <v>6408144.4299999997</v>
      </c>
      <c r="S79" s="1256">
        <f t="shared" si="20"/>
        <v>734</v>
      </c>
      <c r="T79" s="1262">
        <f t="shared" si="23"/>
        <v>61.1666666666667</v>
      </c>
      <c r="U79" s="1258">
        <f t="shared" si="24"/>
        <v>172</v>
      </c>
      <c r="V79" s="1258">
        <f t="shared" si="25"/>
        <v>14094.88</v>
      </c>
      <c r="W79" s="1264" t="s">
        <v>1521</v>
      </c>
      <c r="X79" s="1264" t="s">
        <v>1521</v>
      </c>
      <c r="Y79" s="1264">
        <f>SUM(Y75:Y78)</f>
        <v>274</v>
      </c>
      <c r="Z79" s="1264">
        <f>SUM(Z75:Z78)</f>
        <v>18813.419999999998</v>
      </c>
      <c r="AA79" s="1255"/>
      <c r="AB79" s="3338"/>
      <c r="AC79" s="3338"/>
      <c r="AD79" s="3338"/>
      <c r="AE79" s="3338"/>
    </row>
    <row r="80" spans="1:31">
      <c r="A80" s="3332"/>
      <c r="B80" s="3332" t="s">
        <v>1529</v>
      </c>
      <c r="C80" s="1252" t="s">
        <v>1519</v>
      </c>
      <c r="D80" s="1253" t="s">
        <v>1593</v>
      </c>
      <c r="E80" s="1253">
        <v>151</v>
      </c>
      <c r="F80" s="1254">
        <v>11103.09</v>
      </c>
      <c r="G80" s="3328"/>
      <c r="H80" s="1253">
        <v>29</v>
      </c>
      <c r="I80" s="1253">
        <v>1864.85</v>
      </c>
      <c r="J80" s="1261">
        <v>14793.916937019099</v>
      </c>
      <c r="K80" s="1253">
        <v>122</v>
      </c>
      <c r="L80" s="1253">
        <v>9238.24</v>
      </c>
      <c r="M80" s="3328"/>
      <c r="N80" s="1253">
        <v>9238.24</v>
      </c>
      <c r="O80" s="1253">
        <v>72</v>
      </c>
      <c r="P80" s="3328">
        <v>223</v>
      </c>
      <c r="Q80" s="1253">
        <v>5255.94</v>
      </c>
      <c r="R80" s="1253">
        <v>1286133</v>
      </c>
      <c r="S80" s="1262">
        <f t="shared" si="20"/>
        <v>245</v>
      </c>
      <c r="T80" s="1262">
        <f t="shared" si="23"/>
        <v>20.4166666666667</v>
      </c>
      <c r="U80" s="1262">
        <f t="shared" si="24"/>
        <v>50</v>
      </c>
      <c r="V80" s="1262">
        <f t="shared" si="25"/>
        <v>3982.3</v>
      </c>
      <c r="W80" s="1253" t="s">
        <v>1521</v>
      </c>
      <c r="X80" s="1253" t="s">
        <v>1521</v>
      </c>
      <c r="Y80" s="1253">
        <f>'1-6#不动产权证'!D63</f>
        <v>125</v>
      </c>
      <c r="Z80" s="1253">
        <f>'1-6#不动产权证'!M63</f>
        <v>9499.4699999999993</v>
      </c>
      <c r="AA80" s="1251"/>
      <c r="AB80" s="3338"/>
      <c r="AC80" s="3338"/>
      <c r="AD80" s="3338"/>
      <c r="AE80" s="3338"/>
    </row>
    <row r="81" spans="1:31" ht="61.5">
      <c r="A81" s="3332"/>
      <c r="B81" s="3332"/>
      <c r="C81" s="1252" t="s">
        <v>1525</v>
      </c>
      <c r="D81" s="1253" t="s">
        <v>1593</v>
      </c>
      <c r="E81" s="1253">
        <v>202</v>
      </c>
      <c r="F81" s="1254">
        <v>15993.02</v>
      </c>
      <c r="G81" s="3328"/>
      <c r="H81" s="1253">
        <v>103</v>
      </c>
      <c r="I81" s="1253">
        <v>7517.55</v>
      </c>
      <c r="J81" s="1261">
        <v>11539.3182619337</v>
      </c>
      <c r="K81" s="1253">
        <v>99</v>
      </c>
      <c r="L81" s="1253">
        <v>8475.4699999999993</v>
      </c>
      <c r="M81" s="3328"/>
      <c r="N81" s="1253">
        <v>8475.4699999999993</v>
      </c>
      <c r="O81" s="1253">
        <v>1</v>
      </c>
      <c r="P81" s="3328"/>
      <c r="Q81" s="1253">
        <v>70.28</v>
      </c>
      <c r="R81" s="1253">
        <v>39672</v>
      </c>
      <c r="S81" s="1262">
        <f t="shared" si="20"/>
        <v>564</v>
      </c>
      <c r="T81" s="1262">
        <f t="shared" si="23"/>
        <v>47</v>
      </c>
      <c r="U81" s="1262">
        <f t="shared" si="24"/>
        <v>98</v>
      </c>
      <c r="V81" s="1262">
        <f t="shared" si="25"/>
        <v>8405.19</v>
      </c>
      <c r="W81" s="1253" t="s">
        <v>1521</v>
      </c>
      <c r="X81" s="1253" t="s">
        <v>1521</v>
      </c>
      <c r="Y81" s="1253">
        <f>'1-6#不动产权证'!D64</f>
        <v>0</v>
      </c>
      <c r="Z81" s="1253">
        <f>'1-6#不动产权证'!M64</f>
        <v>0</v>
      </c>
      <c r="AA81" s="1271" t="s">
        <v>1594</v>
      </c>
      <c r="AB81" s="3338"/>
      <c r="AC81" s="3338"/>
      <c r="AD81" s="3338"/>
      <c r="AE81" s="3338"/>
    </row>
    <row r="82" spans="1:31">
      <c r="A82" s="3332"/>
      <c r="B82" s="3332"/>
      <c r="C82" s="1252" t="s">
        <v>1526</v>
      </c>
      <c r="D82" s="1253" t="s">
        <v>1593</v>
      </c>
      <c r="E82" s="1253">
        <v>152</v>
      </c>
      <c r="F82" s="1254">
        <v>11480.43</v>
      </c>
      <c r="G82" s="3328"/>
      <c r="H82" s="1253">
        <v>23</v>
      </c>
      <c r="I82" s="1253">
        <v>1775.09</v>
      </c>
      <c r="J82" s="1261">
        <v>18574.936482093901</v>
      </c>
      <c r="K82" s="1253">
        <v>129</v>
      </c>
      <c r="L82" s="1253">
        <v>9705.34</v>
      </c>
      <c r="M82" s="3328"/>
      <c r="N82" s="1253">
        <v>9705.34</v>
      </c>
      <c r="O82" s="1253">
        <v>60</v>
      </c>
      <c r="P82" s="3328"/>
      <c r="Q82" s="1253">
        <v>4518.47</v>
      </c>
      <c r="R82" s="1253">
        <v>660331</v>
      </c>
      <c r="S82" s="1262">
        <f t="shared" si="20"/>
        <v>146</v>
      </c>
      <c r="T82" s="1262">
        <f t="shared" si="23"/>
        <v>12.1666666666667</v>
      </c>
      <c r="U82" s="1262">
        <f t="shared" si="24"/>
        <v>69</v>
      </c>
      <c r="V82" s="1262">
        <f t="shared" si="25"/>
        <v>5186.87</v>
      </c>
      <c r="W82" s="1253" t="s">
        <v>1521</v>
      </c>
      <c r="X82" s="1253" t="s">
        <v>1521</v>
      </c>
      <c r="Y82" s="1253">
        <f>'1-6#不动产权证'!D65</f>
        <v>0</v>
      </c>
      <c r="Z82" s="1253">
        <f>'1-6#不动产权证'!M65</f>
        <v>0</v>
      </c>
      <c r="AA82" s="1251"/>
      <c r="AB82" s="3338"/>
      <c r="AC82" s="3338"/>
      <c r="AD82" s="3338"/>
      <c r="AE82" s="3338"/>
    </row>
    <row r="83" spans="1:31">
      <c r="A83" s="3332"/>
      <c r="B83" s="3332"/>
      <c r="C83" s="1252" t="s">
        <v>1527</v>
      </c>
      <c r="D83" s="1253" t="s">
        <v>1593</v>
      </c>
      <c r="E83" s="1253">
        <v>216</v>
      </c>
      <c r="F83" s="1254">
        <v>16502.54</v>
      </c>
      <c r="G83" s="3328"/>
      <c r="H83" s="1253">
        <v>0</v>
      </c>
      <c r="I83" s="1253">
        <v>0</v>
      </c>
      <c r="J83" s="1261">
        <v>0</v>
      </c>
      <c r="K83" s="1253">
        <v>216</v>
      </c>
      <c r="L83" s="1253">
        <v>16502.54</v>
      </c>
      <c r="M83" s="3328"/>
      <c r="N83" s="1253">
        <v>16502.54</v>
      </c>
      <c r="O83" s="1253">
        <v>140</v>
      </c>
      <c r="P83" s="3328"/>
      <c r="Q83" s="1253">
        <v>10521.92</v>
      </c>
      <c r="R83" s="1253">
        <v>6173976</v>
      </c>
      <c r="S83" s="1262">
        <f t="shared" si="20"/>
        <v>587</v>
      </c>
      <c r="T83" s="1262">
        <f t="shared" si="23"/>
        <v>48.9166666666667</v>
      </c>
      <c r="U83" s="1262">
        <f t="shared" si="24"/>
        <v>76</v>
      </c>
      <c r="V83" s="1262">
        <f t="shared" si="25"/>
        <v>5980.62</v>
      </c>
      <c r="W83" s="1253" t="s">
        <v>1521</v>
      </c>
      <c r="X83" s="1253" t="s">
        <v>1521</v>
      </c>
      <c r="Y83" s="1253">
        <f>'1-6#不动产权证'!D66</f>
        <v>215</v>
      </c>
      <c r="Z83" s="1253">
        <f>'1-6#不动产权证'!M66</f>
        <v>16450.41</v>
      </c>
      <c r="AA83" s="1271"/>
      <c r="AB83" s="3338"/>
      <c r="AC83" s="3338"/>
      <c r="AD83" s="3338"/>
      <c r="AE83" s="3338"/>
    </row>
    <row r="84" spans="1:31">
      <c r="A84" s="3332"/>
      <c r="B84" s="3333"/>
      <c r="C84" s="3325" t="s">
        <v>1533</v>
      </c>
      <c r="D84" s="3326"/>
      <c r="E84" s="1258">
        <f t="shared" ref="E84:I84" si="29">SUM(E80:E83)</f>
        <v>721</v>
      </c>
      <c r="F84" s="1258">
        <f t="shared" si="29"/>
        <v>55079.08</v>
      </c>
      <c r="G84" s="3328"/>
      <c r="H84" s="1258">
        <f t="shared" si="29"/>
        <v>155</v>
      </c>
      <c r="I84" s="1258">
        <f t="shared" si="29"/>
        <v>11157.49</v>
      </c>
      <c r="J84" s="1263">
        <v>13202.6129532717</v>
      </c>
      <c r="K84" s="1264">
        <v>566</v>
      </c>
      <c r="L84" s="1264">
        <v>43921.59</v>
      </c>
      <c r="M84" s="3328"/>
      <c r="N84" s="1264">
        <v>43921.59</v>
      </c>
      <c r="O84" s="1264">
        <v>273</v>
      </c>
      <c r="P84" s="1264"/>
      <c r="Q84" s="1264">
        <v>20366.61</v>
      </c>
      <c r="R84" s="1264">
        <f>R83+R82+R81+R80</f>
        <v>8160112</v>
      </c>
      <c r="S84" s="1256">
        <f t="shared" si="20"/>
        <v>401</v>
      </c>
      <c r="T84" s="1262">
        <f t="shared" si="23"/>
        <v>33.4166666666667</v>
      </c>
      <c r="U84" s="1258">
        <f t="shared" si="24"/>
        <v>293</v>
      </c>
      <c r="V84" s="1258">
        <f t="shared" si="25"/>
        <v>23554.98</v>
      </c>
      <c r="W84" s="1264" t="s">
        <v>1521</v>
      </c>
      <c r="X84" s="1264" t="s">
        <v>1521</v>
      </c>
      <c r="Y84" s="1264">
        <f>SUM(Y80:Y83)</f>
        <v>340</v>
      </c>
      <c r="Z84" s="1264">
        <f>SUM(Z80:Z83)</f>
        <v>25949.88</v>
      </c>
      <c r="AA84" s="1255"/>
      <c r="AB84" s="3338"/>
      <c r="AC84" s="3338"/>
      <c r="AD84" s="3338"/>
      <c r="AE84" s="3338"/>
    </row>
    <row r="85" spans="1:31">
      <c r="A85" s="3332"/>
      <c r="B85" s="3332" t="s">
        <v>1534</v>
      </c>
      <c r="C85" s="1252" t="s">
        <v>1519</v>
      </c>
      <c r="D85" s="1250" t="s">
        <v>1568</v>
      </c>
      <c r="E85" s="1253">
        <v>151</v>
      </c>
      <c r="F85" s="1254">
        <v>11044.06</v>
      </c>
      <c r="G85" s="3328"/>
      <c r="H85" s="1253">
        <v>151</v>
      </c>
      <c r="I85" s="1253">
        <v>11044.06</v>
      </c>
      <c r="J85" s="1261">
        <v>9948.4535578401392</v>
      </c>
      <c r="K85" s="1253">
        <v>0</v>
      </c>
      <c r="L85" s="1253">
        <v>0</v>
      </c>
      <c r="M85" s="3328"/>
      <c r="N85" s="1253">
        <v>0</v>
      </c>
      <c r="O85" s="1253">
        <v>0</v>
      </c>
      <c r="P85" s="3328">
        <v>198</v>
      </c>
      <c r="Q85" s="1253">
        <v>0</v>
      </c>
      <c r="R85" s="1253">
        <v>0</v>
      </c>
      <c r="S85" s="1262">
        <v>0</v>
      </c>
      <c r="T85" s="1262">
        <f t="shared" si="23"/>
        <v>0</v>
      </c>
      <c r="U85" s="1262">
        <f t="shared" si="24"/>
        <v>0</v>
      </c>
      <c r="V85" s="1262">
        <f t="shared" si="25"/>
        <v>0</v>
      </c>
      <c r="W85" s="1253" t="s">
        <v>1521</v>
      </c>
      <c r="X85" s="1253" t="s">
        <v>1521</v>
      </c>
      <c r="Y85" s="1253">
        <f>'1-6#不动产权证'!D67</f>
        <v>0</v>
      </c>
      <c r="Z85" s="1253">
        <f>'1-6#不动产权证'!M67</f>
        <v>0</v>
      </c>
      <c r="AA85" s="1251"/>
      <c r="AB85" s="3338"/>
      <c r="AC85" s="3338"/>
      <c r="AD85" s="3338"/>
      <c r="AE85" s="3338"/>
    </row>
    <row r="86" spans="1:31" ht="25.5">
      <c r="A86" s="3332"/>
      <c r="B86" s="3332"/>
      <c r="C86" s="1252" t="s">
        <v>1525</v>
      </c>
      <c r="D86" s="1253" t="s">
        <v>1595</v>
      </c>
      <c r="E86" s="1253">
        <v>202</v>
      </c>
      <c r="F86" s="1254">
        <v>15910.54</v>
      </c>
      <c r="G86" s="3328"/>
      <c r="H86" s="1253">
        <v>74</v>
      </c>
      <c r="I86" s="1253">
        <v>5412.04</v>
      </c>
      <c r="J86" s="1261">
        <v>11182.956149621999</v>
      </c>
      <c r="K86" s="1253">
        <v>128</v>
      </c>
      <c r="L86" s="1253">
        <v>10498.5</v>
      </c>
      <c r="M86" s="3328"/>
      <c r="N86" s="1253">
        <v>10498.5</v>
      </c>
      <c r="O86" s="1253">
        <v>74</v>
      </c>
      <c r="P86" s="3328"/>
      <c r="Q86" s="1253">
        <v>6060.84</v>
      </c>
      <c r="R86" s="1253">
        <v>1213308</v>
      </c>
      <c r="S86" s="1262">
        <f t="shared" ref="S86:S89" si="30">ROUND(R86/Q86,0)</f>
        <v>200</v>
      </c>
      <c r="T86" s="1262">
        <f t="shared" si="23"/>
        <v>16.6666666666667</v>
      </c>
      <c r="U86" s="1262">
        <f t="shared" si="24"/>
        <v>54</v>
      </c>
      <c r="V86" s="1262">
        <f t="shared" si="25"/>
        <v>4437.66</v>
      </c>
      <c r="W86" s="1253" t="s">
        <v>1521</v>
      </c>
      <c r="X86" s="1253" t="s">
        <v>1521</v>
      </c>
      <c r="Y86" s="1253">
        <f>'1-6#不动产权证'!D68</f>
        <v>0</v>
      </c>
      <c r="Z86" s="1253">
        <f>'1-6#不动产权证'!M68</f>
        <v>0</v>
      </c>
      <c r="AA86" s="1271" t="s">
        <v>1596</v>
      </c>
      <c r="AB86" s="3338"/>
      <c r="AC86" s="3338"/>
      <c r="AD86" s="3338"/>
      <c r="AE86" s="3338"/>
    </row>
    <row r="87" spans="1:31">
      <c r="A87" s="3332"/>
      <c r="B87" s="3332"/>
      <c r="C87" s="1252" t="s">
        <v>1526</v>
      </c>
      <c r="D87" s="1250" t="s">
        <v>1568</v>
      </c>
      <c r="E87" s="1253">
        <v>152</v>
      </c>
      <c r="F87" s="1254">
        <v>11432.94</v>
      </c>
      <c r="G87" s="3328"/>
      <c r="H87" s="1253">
        <v>152</v>
      </c>
      <c r="I87" s="1253">
        <v>11432.94</v>
      </c>
      <c r="J87" s="1261">
        <v>9948.4452817910205</v>
      </c>
      <c r="K87" s="1253">
        <v>0</v>
      </c>
      <c r="L87" s="1253">
        <v>0</v>
      </c>
      <c r="M87" s="3328"/>
      <c r="N87" s="1253">
        <v>0</v>
      </c>
      <c r="O87" s="1253">
        <v>0</v>
      </c>
      <c r="P87" s="3328"/>
      <c r="Q87" s="1253">
        <v>0</v>
      </c>
      <c r="R87" s="1253">
        <v>0</v>
      </c>
      <c r="S87" s="1262">
        <v>0</v>
      </c>
      <c r="T87" s="1262">
        <f t="shared" si="23"/>
        <v>0</v>
      </c>
      <c r="U87" s="1262">
        <f t="shared" si="24"/>
        <v>0</v>
      </c>
      <c r="V87" s="1262">
        <f t="shared" si="25"/>
        <v>0</v>
      </c>
      <c r="W87" s="1253" t="s">
        <v>1521</v>
      </c>
      <c r="X87" s="1253" t="s">
        <v>1521</v>
      </c>
      <c r="Y87" s="1253">
        <f>'1-6#不动产权证'!D69</f>
        <v>0</v>
      </c>
      <c r="Z87" s="1253">
        <f>'1-6#不动产权证'!M69</f>
        <v>0</v>
      </c>
      <c r="AA87" s="1251"/>
      <c r="AB87" s="3338"/>
      <c r="AC87" s="3338"/>
      <c r="AD87" s="3338"/>
      <c r="AE87" s="3338"/>
    </row>
    <row r="88" spans="1:31">
      <c r="A88" s="3332"/>
      <c r="B88" s="3332"/>
      <c r="C88" s="1252" t="s">
        <v>1527</v>
      </c>
      <c r="D88" s="1253" t="s">
        <v>1595</v>
      </c>
      <c r="E88" s="1253">
        <v>215</v>
      </c>
      <c r="F88" s="1254">
        <v>16449.55</v>
      </c>
      <c r="G88" s="3328"/>
      <c r="H88" s="1253">
        <v>42</v>
      </c>
      <c r="I88" s="1253">
        <v>3059.03</v>
      </c>
      <c r="J88" s="1261">
        <v>14205.9806539982</v>
      </c>
      <c r="K88" s="1253">
        <v>173</v>
      </c>
      <c r="L88" s="1253">
        <v>13390.52</v>
      </c>
      <c r="M88" s="3328"/>
      <c r="N88" s="1253">
        <v>13390.52</v>
      </c>
      <c r="O88" s="1253">
        <v>125</v>
      </c>
      <c r="P88" s="3328"/>
      <c r="Q88" s="1253">
        <v>9406.94</v>
      </c>
      <c r="R88" s="1253">
        <v>4051707</v>
      </c>
      <c r="S88" s="1262">
        <f t="shared" si="30"/>
        <v>431</v>
      </c>
      <c r="T88" s="1262">
        <f t="shared" si="23"/>
        <v>35.9166666666667</v>
      </c>
      <c r="U88" s="1262">
        <f t="shared" si="24"/>
        <v>48</v>
      </c>
      <c r="V88" s="1262">
        <f t="shared" si="25"/>
        <v>3983.58</v>
      </c>
      <c r="W88" s="1253" t="s">
        <v>1521</v>
      </c>
      <c r="X88" s="1253" t="s">
        <v>1521</v>
      </c>
      <c r="Y88" s="1253">
        <f>'1-6#不动产权证'!D70</f>
        <v>0</v>
      </c>
      <c r="Z88" s="1253">
        <f>'1-6#不动产权证'!M70</f>
        <v>0</v>
      </c>
      <c r="AA88" s="1251"/>
      <c r="AB88" s="3338"/>
      <c r="AC88" s="3338"/>
      <c r="AD88" s="3338"/>
      <c r="AE88" s="3338"/>
    </row>
    <row r="89" spans="1:31">
      <c r="A89" s="3332"/>
      <c r="B89" s="3333"/>
      <c r="C89" s="3325" t="s">
        <v>1543</v>
      </c>
      <c r="D89" s="3326"/>
      <c r="E89" s="1258">
        <f t="shared" ref="E89:I89" si="31">SUM(E85:E88)</f>
        <v>720</v>
      </c>
      <c r="F89" s="1258">
        <f t="shared" si="31"/>
        <v>54837.09</v>
      </c>
      <c r="G89" s="3328"/>
      <c r="H89" s="1258">
        <f t="shared" si="31"/>
        <v>419</v>
      </c>
      <c r="I89" s="1258">
        <f t="shared" si="31"/>
        <v>30948.07</v>
      </c>
      <c r="J89" s="1263">
        <v>10585.1648584225</v>
      </c>
      <c r="K89" s="1264">
        <v>301</v>
      </c>
      <c r="L89" s="1264">
        <v>23889.02</v>
      </c>
      <c r="M89" s="3328"/>
      <c r="N89" s="1264">
        <v>23889.02</v>
      </c>
      <c r="O89" s="1264">
        <v>199</v>
      </c>
      <c r="P89" s="1264"/>
      <c r="Q89" s="1264">
        <v>15467.78</v>
      </c>
      <c r="R89" s="1264">
        <f>R88+R87+R86+R85</f>
        <v>5265015</v>
      </c>
      <c r="S89" s="1256">
        <f t="shared" si="30"/>
        <v>340</v>
      </c>
      <c r="T89" s="1262">
        <f t="shared" si="23"/>
        <v>28.3333333333333</v>
      </c>
      <c r="U89" s="1258">
        <f t="shared" si="24"/>
        <v>102</v>
      </c>
      <c r="V89" s="1258">
        <f t="shared" si="25"/>
        <v>8421.24</v>
      </c>
      <c r="W89" s="1264" t="s">
        <v>1521</v>
      </c>
      <c r="X89" s="1264" t="s">
        <v>1521</v>
      </c>
      <c r="Y89" s="1264"/>
      <c r="Z89" s="1264"/>
      <c r="AA89" s="1255"/>
      <c r="AB89" s="3338"/>
      <c r="AC89" s="3338"/>
      <c r="AD89" s="3338"/>
      <c r="AE89" s="3338"/>
    </row>
    <row r="90" spans="1:31">
      <c r="A90" s="3332"/>
      <c r="B90" s="3332" t="s">
        <v>1544</v>
      </c>
      <c r="C90" s="1252" t="s">
        <v>1519</v>
      </c>
      <c r="D90" s="1250" t="s">
        <v>1568</v>
      </c>
      <c r="E90" s="1253">
        <v>151</v>
      </c>
      <c r="F90" s="1254">
        <v>10978.6</v>
      </c>
      <c r="G90" s="3328"/>
      <c r="H90" s="1253">
        <v>151</v>
      </c>
      <c r="I90" s="1253">
        <v>10978.6</v>
      </c>
      <c r="J90" s="1261">
        <v>9641.9653689905808</v>
      </c>
      <c r="K90" s="1253">
        <v>0</v>
      </c>
      <c r="L90" s="1253">
        <v>0</v>
      </c>
      <c r="M90" s="3328"/>
      <c r="N90" s="1253">
        <v>0</v>
      </c>
      <c r="O90" s="1253">
        <v>0</v>
      </c>
      <c r="P90" s="3328">
        <v>178</v>
      </c>
      <c r="Q90" s="1253">
        <v>0</v>
      </c>
      <c r="R90" s="1253">
        <v>0</v>
      </c>
      <c r="S90" s="1262">
        <v>0</v>
      </c>
      <c r="T90" s="1262">
        <f t="shared" si="23"/>
        <v>0</v>
      </c>
      <c r="U90" s="1262">
        <f t="shared" si="24"/>
        <v>0</v>
      </c>
      <c r="V90" s="1262">
        <f t="shared" si="25"/>
        <v>0</v>
      </c>
      <c r="W90" s="1253" t="s">
        <v>1521</v>
      </c>
      <c r="X90" s="1253" t="s">
        <v>1521</v>
      </c>
      <c r="Y90" s="1253">
        <f>'1-6#不动产权证'!D71</f>
        <v>0</v>
      </c>
      <c r="Z90" s="1253">
        <f>'1-6#不动产权证'!M71</f>
        <v>0</v>
      </c>
      <c r="AA90" s="1251"/>
      <c r="AB90" s="3338"/>
      <c r="AC90" s="3338"/>
      <c r="AD90" s="3338"/>
      <c r="AE90" s="3338"/>
    </row>
    <row r="91" spans="1:31">
      <c r="A91" s="3332"/>
      <c r="B91" s="3332"/>
      <c r="C91" s="1252" t="s">
        <v>1525</v>
      </c>
      <c r="D91" s="1253" t="s">
        <v>1597</v>
      </c>
      <c r="E91" s="1253">
        <v>202</v>
      </c>
      <c r="F91" s="1254">
        <v>15838.56</v>
      </c>
      <c r="G91" s="3328"/>
      <c r="H91" s="1253">
        <v>138</v>
      </c>
      <c r="I91" s="1253">
        <v>10131.540000000001</v>
      </c>
      <c r="J91" s="1261">
        <v>8187.9811953562703</v>
      </c>
      <c r="K91" s="1253">
        <v>64</v>
      </c>
      <c r="L91" s="1253">
        <v>5707.02</v>
      </c>
      <c r="M91" s="3328"/>
      <c r="N91" s="1253">
        <v>5707.02</v>
      </c>
      <c r="O91" s="1253">
        <v>63</v>
      </c>
      <c r="P91" s="3328"/>
      <c r="Q91" s="1253">
        <v>5643.67</v>
      </c>
      <c r="R91" s="1253">
        <v>1622705</v>
      </c>
      <c r="S91" s="1262">
        <f t="shared" ref="S91:S98" si="32">ROUND(R91/Q91,0)</f>
        <v>288</v>
      </c>
      <c r="T91" s="1262">
        <f t="shared" si="23"/>
        <v>24</v>
      </c>
      <c r="U91" s="1262">
        <f t="shared" si="24"/>
        <v>1</v>
      </c>
      <c r="V91" s="1262">
        <f t="shared" si="25"/>
        <v>63.350000000000399</v>
      </c>
      <c r="W91" s="1253" t="s">
        <v>1521</v>
      </c>
      <c r="X91" s="1253" t="s">
        <v>1521</v>
      </c>
      <c r="Y91" s="1253">
        <f>'1-6#不动产权证'!D72</f>
        <v>51</v>
      </c>
      <c r="Z91" s="1253">
        <f>'1-6#不动产权证'!M72</f>
        <v>4671.2</v>
      </c>
      <c r="AA91" s="1251"/>
      <c r="AB91" s="3338"/>
      <c r="AC91" s="3338"/>
      <c r="AD91" s="3338"/>
      <c r="AE91" s="3338"/>
    </row>
    <row r="92" spans="1:31">
      <c r="A92" s="3332"/>
      <c r="B92" s="3332"/>
      <c r="C92" s="1252" t="s">
        <v>1526</v>
      </c>
      <c r="D92" s="1250" t="s">
        <v>1568</v>
      </c>
      <c r="E92" s="1253">
        <v>152</v>
      </c>
      <c r="F92" s="1254">
        <v>11362.92</v>
      </c>
      <c r="G92" s="3328"/>
      <c r="H92" s="1253">
        <v>152</v>
      </c>
      <c r="I92" s="1253">
        <v>11362.92</v>
      </c>
      <c r="J92" s="1261">
        <v>9643.5042225061698</v>
      </c>
      <c r="K92" s="1253">
        <v>0</v>
      </c>
      <c r="L92" s="1253">
        <v>0</v>
      </c>
      <c r="M92" s="3328"/>
      <c r="N92" s="1253">
        <v>0</v>
      </c>
      <c r="O92" s="1253">
        <v>0</v>
      </c>
      <c r="P92" s="3328"/>
      <c r="Q92" s="1253">
        <v>0</v>
      </c>
      <c r="R92" s="1253">
        <v>0</v>
      </c>
      <c r="S92" s="1262">
        <v>0</v>
      </c>
      <c r="T92" s="1262">
        <f t="shared" si="23"/>
        <v>0</v>
      </c>
      <c r="U92" s="1262">
        <f t="shared" si="24"/>
        <v>0</v>
      </c>
      <c r="V92" s="1262">
        <f t="shared" si="25"/>
        <v>0</v>
      </c>
      <c r="W92" s="1253" t="s">
        <v>1521</v>
      </c>
      <c r="X92" s="1253" t="s">
        <v>1521</v>
      </c>
      <c r="Y92" s="1253">
        <f>'1-6#不动产权证'!D73</f>
        <v>0</v>
      </c>
      <c r="Z92" s="1253">
        <f>'1-6#不动产权证'!M73</f>
        <v>0</v>
      </c>
      <c r="AA92" s="1251"/>
      <c r="AB92" s="3338"/>
      <c r="AC92" s="3338"/>
      <c r="AD92" s="3338"/>
      <c r="AE92" s="3338"/>
    </row>
    <row r="93" spans="1:31" ht="25.5">
      <c r="A93" s="3332"/>
      <c r="B93" s="3332"/>
      <c r="C93" s="1252" t="s">
        <v>1527</v>
      </c>
      <c r="D93" s="1253" t="s">
        <v>1597</v>
      </c>
      <c r="E93" s="1253">
        <v>215</v>
      </c>
      <c r="F93" s="1254">
        <v>16353.43</v>
      </c>
      <c r="G93" s="3328"/>
      <c r="H93" s="1253">
        <v>63</v>
      </c>
      <c r="I93" s="1253">
        <v>4697.7</v>
      </c>
      <c r="J93" s="1261">
        <v>10535.3406986398</v>
      </c>
      <c r="K93" s="1253">
        <v>152</v>
      </c>
      <c r="L93" s="1253">
        <v>11655.73</v>
      </c>
      <c r="M93" s="3328"/>
      <c r="N93" s="1253">
        <v>11655.73</v>
      </c>
      <c r="O93" s="1253">
        <v>119</v>
      </c>
      <c r="P93" s="3328"/>
      <c r="Q93" s="1253">
        <v>8883.33</v>
      </c>
      <c r="R93" s="1253">
        <v>1155984</v>
      </c>
      <c r="S93" s="1262">
        <f t="shared" si="32"/>
        <v>130</v>
      </c>
      <c r="T93" s="1262">
        <f t="shared" si="23"/>
        <v>10.8333333333333</v>
      </c>
      <c r="U93" s="1262">
        <f t="shared" si="24"/>
        <v>33</v>
      </c>
      <c r="V93" s="1262">
        <f t="shared" si="25"/>
        <v>2772.4</v>
      </c>
      <c r="W93" s="1253" t="s">
        <v>1521</v>
      </c>
      <c r="X93" s="1253" t="s">
        <v>1521</v>
      </c>
      <c r="Y93" s="1253">
        <f>'1-6#不动产权证'!D74</f>
        <v>0</v>
      </c>
      <c r="Z93" s="1253">
        <f>'1-6#不动产权证'!M74</f>
        <v>0</v>
      </c>
      <c r="AA93" s="1271" t="s">
        <v>1598</v>
      </c>
      <c r="AB93" s="3338"/>
      <c r="AC93" s="3338"/>
      <c r="AD93" s="3338"/>
      <c r="AE93" s="3338"/>
    </row>
    <row r="94" spans="1:31">
      <c r="A94" s="3332"/>
      <c r="B94" s="3333"/>
      <c r="C94" s="3325" t="s">
        <v>1548</v>
      </c>
      <c r="D94" s="3326"/>
      <c r="E94" s="1258">
        <f t="shared" ref="E94:I94" si="33">SUM(E90:E93)</f>
        <v>720</v>
      </c>
      <c r="F94" s="1258">
        <f t="shared" si="33"/>
        <v>54533.51</v>
      </c>
      <c r="G94" s="3328"/>
      <c r="H94" s="1258">
        <f t="shared" si="33"/>
        <v>504</v>
      </c>
      <c r="I94" s="1258">
        <f t="shared" si="33"/>
        <v>37170.76</v>
      </c>
      <c r="J94" s="1263">
        <v>9359.0332024419095</v>
      </c>
      <c r="K94" s="1264">
        <v>216</v>
      </c>
      <c r="L94" s="1264">
        <v>17362.75</v>
      </c>
      <c r="M94" s="3328"/>
      <c r="N94" s="1264">
        <v>17362.75</v>
      </c>
      <c r="O94" s="1264">
        <v>182</v>
      </c>
      <c r="P94" s="1264"/>
      <c r="Q94" s="1264">
        <v>14527</v>
      </c>
      <c r="R94" s="1264">
        <f>R93+R92+R91+R90</f>
        <v>2778689</v>
      </c>
      <c r="S94" s="1256">
        <f t="shared" si="32"/>
        <v>191</v>
      </c>
      <c r="T94" s="1262">
        <f t="shared" si="23"/>
        <v>15.9166666666667</v>
      </c>
      <c r="U94" s="1258">
        <f t="shared" si="24"/>
        <v>34</v>
      </c>
      <c r="V94" s="1258">
        <f t="shared" si="25"/>
        <v>2835.75</v>
      </c>
      <c r="W94" s="1264" t="s">
        <v>1521</v>
      </c>
      <c r="X94" s="1264" t="s">
        <v>1521</v>
      </c>
      <c r="Y94" s="1264"/>
      <c r="Z94" s="1264"/>
      <c r="AA94" s="1255"/>
      <c r="AB94" s="3338"/>
      <c r="AC94" s="3338"/>
      <c r="AD94" s="3338"/>
      <c r="AE94" s="3338"/>
    </row>
    <row r="95" spans="1:31">
      <c r="A95" s="3330" t="s">
        <v>1599</v>
      </c>
      <c r="B95" s="3330"/>
      <c r="C95" s="3331"/>
      <c r="D95" s="3331"/>
      <c r="E95" s="1260">
        <f t="shared" ref="E95:I95" si="34">E79+E84+E89+E94</f>
        <v>2879</v>
      </c>
      <c r="F95" s="1260">
        <f t="shared" si="34"/>
        <v>219524.17</v>
      </c>
      <c r="G95" s="1259">
        <v>219524.17</v>
      </c>
      <c r="H95" s="1260">
        <f t="shared" si="34"/>
        <v>1515</v>
      </c>
      <c r="I95" s="1260">
        <f t="shared" si="34"/>
        <v>111525.9</v>
      </c>
      <c r="J95" s="1265">
        <v>12432.1215072015</v>
      </c>
      <c r="K95" s="1259">
        <v>1364</v>
      </c>
      <c r="L95" s="1259">
        <v>107998.27</v>
      </c>
      <c r="M95" s="1267">
        <v>218996.25</v>
      </c>
      <c r="N95" s="1259">
        <v>107998.27</v>
      </c>
      <c r="O95" s="1259">
        <v>763</v>
      </c>
      <c r="P95" s="1259"/>
      <c r="Q95" s="1259">
        <v>59091.42</v>
      </c>
      <c r="R95" s="1259">
        <f>R94+R89+R84+R79</f>
        <v>22611960.43</v>
      </c>
      <c r="S95" s="1269">
        <f t="shared" si="32"/>
        <v>383</v>
      </c>
      <c r="T95" s="1262">
        <f t="shared" si="23"/>
        <v>31.9166666666667</v>
      </c>
      <c r="U95" s="1270">
        <f t="shared" si="24"/>
        <v>601</v>
      </c>
      <c r="V95" s="1270">
        <f t="shared" si="25"/>
        <v>48906.85</v>
      </c>
      <c r="W95" s="1259" t="s">
        <v>1521</v>
      </c>
      <c r="X95" s="1259" t="s">
        <v>1521</v>
      </c>
      <c r="Y95" s="1259"/>
      <c r="Z95" s="1259"/>
      <c r="AA95" s="1273"/>
      <c r="AB95" s="3338"/>
      <c r="AC95" s="3338"/>
      <c r="AD95" s="3338"/>
      <c r="AE95" s="3338"/>
    </row>
    <row r="96" spans="1:31">
      <c r="A96" s="3332" t="s">
        <v>1600</v>
      </c>
      <c r="B96" s="3332" t="s">
        <v>1518</v>
      </c>
      <c r="C96" s="1252" t="s">
        <v>1519</v>
      </c>
      <c r="D96" s="1253" t="s">
        <v>1601</v>
      </c>
      <c r="E96" s="1274">
        <v>237</v>
      </c>
      <c r="F96" s="1275">
        <v>12186.21</v>
      </c>
      <c r="G96" s="3328">
        <v>171613.37</v>
      </c>
      <c r="H96" s="1253">
        <v>186</v>
      </c>
      <c r="I96" s="1253">
        <v>8840.68</v>
      </c>
      <c r="J96" s="1261">
        <v>16589.046091477099</v>
      </c>
      <c r="K96" s="1253">
        <v>51</v>
      </c>
      <c r="L96" s="1253">
        <v>3345.53</v>
      </c>
      <c r="M96" s="3328">
        <v>168385.98</v>
      </c>
      <c r="N96" s="1253">
        <v>3345.53</v>
      </c>
      <c r="O96" s="1253">
        <v>18</v>
      </c>
      <c r="P96" s="3328">
        <v>83</v>
      </c>
      <c r="Q96" s="1253">
        <v>1181.04</v>
      </c>
      <c r="R96" s="1253">
        <v>438185</v>
      </c>
      <c r="S96" s="1256">
        <f t="shared" si="32"/>
        <v>371</v>
      </c>
      <c r="T96" s="1262">
        <f t="shared" si="23"/>
        <v>30.9166666666667</v>
      </c>
      <c r="U96" s="1262">
        <f t="shared" si="24"/>
        <v>33</v>
      </c>
      <c r="V96" s="1262">
        <f t="shared" si="25"/>
        <v>2164.4899999999998</v>
      </c>
      <c r="W96" s="1253" t="s">
        <v>1521</v>
      </c>
      <c r="X96" s="1253" t="s">
        <v>1521</v>
      </c>
      <c r="Y96" s="1253"/>
      <c r="Z96" s="1253"/>
      <c r="AA96" s="1251"/>
      <c r="AB96" s="3338" t="s">
        <v>1602</v>
      </c>
      <c r="AC96" s="3338"/>
      <c r="AD96" s="3338" t="s">
        <v>1603</v>
      </c>
      <c r="AE96" s="3338"/>
    </row>
    <row r="97" spans="1:31">
      <c r="A97" s="3332"/>
      <c r="B97" s="3332"/>
      <c r="C97" s="1252" t="s">
        <v>1525</v>
      </c>
      <c r="D97" s="1253" t="s">
        <v>1604</v>
      </c>
      <c r="E97" s="1274">
        <v>242</v>
      </c>
      <c r="F97" s="1275">
        <v>12489.83</v>
      </c>
      <c r="G97" s="3328"/>
      <c r="H97" s="1253">
        <v>172</v>
      </c>
      <c r="I97" s="1253">
        <v>8466.8799999999992</v>
      </c>
      <c r="J97" s="1261">
        <v>17430.048376733801</v>
      </c>
      <c r="K97" s="1253">
        <v>70</v>
      </c>
      <c r="L97" s="1253">
        <v>4022.95</v>
      </c>
      <c r="M97" s="3328"/>
      <c r="N97" s="1253">
        <v>4022.95</v>
      </c>
      <c r="O97" s="1253">
        <v>57</v>
      </c>
      <c r="P97" s="3328"/>
      <c r="Q97" s="1253">
        <v>3387.17</v>
      </c>
      <c r="R97" s="1253">
        <v>1286266</v>
      </c>
      <c r="S97" s="1256">
        <f t="shared" si="32"/>
        <v>380</v>
      </c>
      <c r="T97" s="1262">
        <f t="shared" si="23"/>
        <v>31.6666666666667</v>
      </c>
      <c r="U97" s="1262">
        <f t="shared" si="24"/>
        <v>13</v>
      </c>
      <c r="V97" s="1262">
        <f t="shared" si="25"/>
        <v>635.78</v>
      </c>
      <c r="W97" s="1253" t="s">
        <v>1521</v>
      </c>
      <c r="X97" s="1253" t="s">
        <v>1521</v>
      </c>
      <c r="Y97" s="1253"/>
      <c r="Z97" s="1253"/>
      <c r="AA97" s="1251"/>
      <c r="AB97" s="3338"/>
      <c r="AC97" s="3338"/>
      <c r="AD97" s="3338"/>
      <c r="AE97" s="3338"/>
    </row>
    <row r="98" spans="1:31">
      <c r="A98" s="3332"/>
      <c r="B98" s="3332"/>
      <c r="C98" s="1252" t="s">
        <v>1526</v>
      </c>
      <c r="D98" s="1253" t="s">
        <v>1605</v>
      </c>
      <c r="E98" s="1274">
        <v>173</v>
      </c>
      <c r="F98" s="1275">
        <v>9676.2800000000007</v>
      </c>
      <c r="G98" s="3328"/>
      <c r="H98" s="1253">
        <v>116</v>
      </c>
      <c r="I98" s="1253">
        <v>5987.67</v>
      </c>
      <c r="J98" s="1261">
        <v>18408.158599254799</v>
      </c>
      <c r="K98" s="1253">
        <v>57</v>
      </c>
      <c r="L98" s="1253">
        <v>3688.61</v>
      </c>
      <c r="M98" s="3328"/>
      <c r="N98" s="1253">
        <v>3688.61</v>
      </c>
      <c r="O98" s="1253">
        <v>11</v>
      </c>
      <c r="P98" s="3328"/>
      <c r="Q98" s="1253">
        <v>854.26</v>
      </c>
      <c r="R98" s="1253">
        <v>424022</v>
      </c>
      <c r="S98" s="1256">
        <f t="shared" si="32"/>
        <v>496</v>
      </c>
      <c r="T98" s="1262">
        <f t="shared" si="23"/>
        <v>41.3333333333333</v>
      </c>
      <c r="U98" s="1262">
        <f t="shared" si="24"/>
        <v>46</v>
      </c>
      <c r="V98" s="1262">
        <f t="shared" si="25"/>
        <v>2834.35</v>
      </c>
      <c r="W98" s="1253" t="s">
        <v>1521</v>
      </c>
      <c r="X98" s="1253" t="s">
        <v>1521</v>
      </c>
      <c r="Y98" s="1253"/>
      <c r="Z98" s="1253"/>
      <c r="AA98" s="1271" t="s">
        <v>1606</v>
      </c>
      <c r="AB98" s="3338"/>
      <c r="AC98" s="3338"/>
      <c r="AD98" s="3338"/>
      <c r="AE98" s="3338"/>
    </row>
    <row r="99" spans="1:31" ht="24">
      <c r="A99" s="3332"/>
      <c r="B99" s="3332"/>
      <c r="C99" s="1252" t="s">
        <v>1527</v>
      </c>
      <c r="D99" s="1250" t="s">
        <v>1568</v>
      </c>
      <c r="E99" s="1274">
        <v>91</v>
      </c>
      <c r="F99" s="1275">
        <v>8242.3799999999992</v>
      </c>
      <c r="G99" s="3328"/>
      <c r="H99" s="1253">
        <v>91</v>
      </c>
      <c r="I99" s="1253">
        <v>8242.3799999999992</v>
      </c>
      <c r="J99" s="1261">
        <v>16939.043698543399</v>
      </c>
      <c r="K99" s="1253">
        <v>0</v>
      </c>
      <c r="L99" s="1253">
        <v>0</v>
      </c>
      <c r="M99" s="3328"/>
      <c r="N99" s="1253">
        <v>0</v>
      </c>
      <c r="O99" s="1253">
        <v>0</v>
      </c>
      <c r="P99" s="3328"/>
      <c r="Q99" s="1253">
        <v>0</v>
      </c>
      <c r="R99" s="1253">
        <v>0</v>
      </c>
      <c r="S99" s="1253">
        <v>0</v>
      </c>
      <c r="T99" s="1262">
        <f t="shared" si="23"/>
        <v>0</v>
      </c>
      <c r="U99" s="1262">
        <f t="shared" si="24"/>
        <v>0</v>
      </c>
      <c r="V99" s="1262">
        <f t="shared" si="25"/>
        <v>0</v>
      </c>
      <c r="W99" s="1253" t="s">
        <v>1521</v>
      </c>
      <c r="X99" s="1253" t="s">
        <v>1521</v>
      </c>
      <c r="Y99" s="1253"/>
      <c r="Z99" s="1253"/>
      <c r="AA99" s="1271" t="s">
        <v>1607</v>
      </c>
      <c r="AB99" s="3338"/>
      <c r="AC99" s="3338"/>
      <c r="AD99" s="3338"/>
      <c r="AE99" s="3338"/>
    </row>
    <row r="100" spans="1:31">
      <c r="A100" s="3332"/>
      <c r="B100" s="3333"/>
      <c r="C100" s="3325" t="s">
        <v>1528</v>
      </c>
      <c r="D100" s="3326"/>
      <c r="E100" s="1257">
        <f t="shared" ref="E100:I100" si="35">SUM(E96:E99)</f>
        <v>743</v>
      </c>
      <c r="F100" s="1257">
        <f t="shared" si="35"/>
        <v>42594.7</v>
      </c>
      <c r="G100" s="3328"/>
      <c r="H100" s="1257">
        <f t="shared" si="35"/>
        <v>565</v>
      </c>
      <c r="I100" s="1257">
        <f t="shared" si="35"/>
        <v>31537.61</v>
      </c>
      <c r="J100" s="1263">
        <v>17251.6747464377</v>
      </c>
      <c r="K100" s="1264">
        <v>178</v>
      </c>
      <c r="L100" s="1264">
        <v>11057.09</v>
      </c>
      <c r="M100" s="3328"/>
      <c r="N100" s="1264">
        <v>11057.09</v>
      </c>
      <c r="O100" s="1264">
        <v>86</v>
      </c>
      <c r="P100" s="1264"/>
      <c r="Q100" s="1264">
        <v>5422.47</v>
      </c>
      <c r="R100" s="1264">
        <f>R98+R97+R96</f>
        <v>2148473</v>
      </c>
      <c r="S100" s="1256">
        <f>ROUND(R100/Q100,0)</f>
        <v>396</v>
      </c>
      <c r="T100" s="1262">
        <f t="shared" si="23"/>
        <v>33</v>
      </c>
      <c r="U100" s="1258">
        <f t="shared" si="24"/>
        <v>92</v>
      </c>
      <c r="V100" s="1258">
        <f t="shared" si="25"/>
        <v>5634.62</v>
      </c>
      <c r="W100" s="1264" t="s">
        <v>1521</v>
      </c>
      <c r="X100" s="1264" t="s">
        <v>1521</v>
      </c>
      <c r="Y100" s="1264"/>
      <c r="Z100" s="1264"/>
      <c r="AA100" s="1255"/>
      <c r="AB100" s="3338"/>
      <c r="AC100" s="3338"/>
      <c r="AD100" s="3338"/>
      <c r="AE100" s="3338"/>
    </row>
    <row r="101" spans="1:31">
      <c r="A101" s="3332"/>
      <c r="B101" s="3332" t="s">
        <v>1529</v>
      </c>
      <c r="C101" s="1252" t="s">
        <v>1519</v>
      </c>
      <c r="D101" s="1250" t="s">
        <v>1568</v>
      </c>
      <c r="E101" s="1253">
        <v>147</v>
      </c>
      <c r="F101" s="1254">
        <v>12240.84</v>
      </c>
      <c r="G101" s="3328"/>
      <c r="H101" s="1253">
        <v>147</v>
      </c>
      <c r="I101" s="1253">
        <v>12240.84</v>
      </c>
      <c r="J101" s="1261">
        <v>11506.1811117537</v>
      </c>
      <c r="K101" s="1253">
        <v>0</v>
      </c>
      <c r="L101" s="1253">
        <v>0</v>
      </c>
      <c r="M101" s="3328"/>
      <c r="N101" s="1253">
        <v>0</v>
      </c>
      <c r="O101" s="1253">
        <v>0</v>
      </c>
      <c r="P101" s="3328">
        <v>0</v>
      </c>
      <c r="Q101" s="1253">
        <v>0</v>
      </c>
      <c r="R101" s="1253">
        <v>0</v>
      </c>
      <c r="S101" s="1253">
        <v>0</v>
      </c>
      <c r="T101" s="1262">
        <f t="shared" si="23"/>
        <v>0</v>
      </c>
      <c r="U101" s="1262">
        <f t="shared" si="24"/>
        <v>0</v>
      </c>
      <c r="V101" s="1262">
        <f t="shared" si="25"/>
        <v>0</v>
      </c>
      <c r="W101" s="1253" t="s">
        <v>1521</v>
      </c>
      <c r="X101" s="1253" t="s">
        <v>1521</v>
      </c>
      <c r="Y101" s="1253"/>
      <c r="Z101" s="1253"/>
      <c r="AA101" s="1251"/>
      <c r="AB101" s="3338"/>
      <c r="AC101" s="3338"/>
      <c r="AD101" s="3338"/>
      <c r="AE101" s="3338"/>
    </row>
    <row r="102" spans="1:31">
      <c r="A102" s="3332"/>
      <c r="B102" s="3332"/>
      <c r="C102" s="1252" t="s">
        <v>1525</v>
      </c>
      <c r="D102" s="1250" t="s">
        <v>1568</v>
      </c>
      <c r="E102" s="1253">
        <v>139</v>
      </c>
      <c r="F102" s="1254">
        <v>12558.74</v>
      </c>
      <c r="G102" s="3328"/>
      <c r="H102" s="1253">
        <v>139</v>
      </c>
      <c r="I102" s="1253">
        <v>12558.74</v>
      </c>
      <c r="J102" s="1261">
        <v>11506.180874833</v>
      </c>
      <c r="K102" s="1253">
        <v>0</v>
      </c>
      <c r="L102" s="1253">
        <v>0</v>
      </c>
      <c r="M102" s="3328"/>
      <c r="N102" s="1253">
        <v>0</v>
      </c>
      <c r="O102" s="1253">
        <v>0</v>
      </c>
      <c r="P102" s="3328"/>
      <c r="Q102" s="1253">
        <v>0</v>
      </c>
      <c r="R102" s="1253">
        <v>0</v>
      </c>
      <c r="S102" s="1253">
        <v>0</v>
      </c>
      <c r="T102" s="1262">
        <f t="shared" si="23"/>
        <v>0</v>
      </c>
      <c r="U102" s="1262">
        <f t="shared" si="24"/>
        <v>0</v>
      </c>
      <c r="V102" s="1262">
        <f t="shared" si="25"/>
        <v>0</v>
      </c>
      <c r="W102" s="1253" t="s">
        <v>1521</v>
      </c>
      <c r="X102" s="1253" t="s">
        <v>1521</v>
      </c>
      <c r="Y102" s="1253"/>
      <c r="Z102" s="1253"/>
      <c r="AA102" s="1251"/>
      <c r="AB102" s="3338"/>
      <c r="AC102" s="3338"/>
      <c r="AD102" s="3338"/>
      <c r="AE102" s="3338"/>
    </row>
    <row r="103" spans="1:31">
      <c r="A103" s="3332"/>
      <c r="B103" s="3332"/>
      <c r="C103" s="1252" t="s">
        <v>1526</v>
      </c>
      <c r="D103" s="1250" t="s">
        <v>1568</v>
      </c>
      <c r="E103" s="1253">
        <v>113</v>
      </c>
      <c r="F103" s="1254">
        <v>9960.4599999999991</v>
      </c>
      <c r="G103" s="3328"/>
      <c r="H103" s="1253">
        <v>113</v>
      </c>
      <c r="I103" s="1253">
        <v>9960.4599999999991</v>
      </c>
      <c r="J103" s="1261">
        <v>11506.180638243601</v>
      </c>
      <c r="K103" s="1253">
        <v>0</v>
      </c>
      <c r="L103" s="1253">
        <v>0</v>
      </c>
      <c r="M103" s="3328"/>
      <c r="N103" s="1253">
        <v>0</v>
      </c>
      <c r="O103" s="1253">
        <v>0</v>
      </c>
      <c r="P103" s="3328"/>
      <c r="Q103" s="1253">
        <v>0</v>
      </c>
      <c r="R103" s="1253">
        <v>0</v>
      </c>
      <c r="S103" s="1253">
        <v>0</v>
      </c>
      <c r="T103" s="1262">
        <f t="shared" si="23"/>
        <v>0</v>
      </c>
      <c r="U103" s="1262">
        <f t="shared" si="24"/>
        <v>0</v>
      </c>
      <c r="V103" s="1262">
        <f t="shared" si="25"/>
        <v>0</v>
      </c>
      <c r="W103" s="1253" t="s">
        <v>1521</v>
      </c>
      <c r="X103" s="1253" t="s">
        <v>1521</v>
      </c>
      <c r="Y103" s="1253"/>
      <c r="Z103" s="1253"/>
      <c r="AA103" s="1251"/>
      <c r="AB103" s="3338"/>
      <c r="AC103" s="3338"/>
      <c r="AD103" s="3338"/>
      <c r="AE103" s="3338"/>
    </row>
    <row r="104" spans="1:31">
      <c r="A104" s="3332"/>
      <c r="B104" s="3332"/>
      <c r="C104" s="1252" t="s">
        <v>1527</v>
      </c>
      <c r="D104" s="1250" t="s">
        <v>1568</v>
      </c>
      <c r="E104" s="1253">
        <v>85</v>
      </c>
      <c r="F104" s="1254">
        <v>8372.75</v>
      </c>
      <c r="G104" s="3328"/>
      <c r="H104" s="1253">
        <v>85</v>
      </c>
      <c r="I104" s="1253">
        <v>8372.75</v>
      </c>
      <c r="J104" s="1261">
        <v>11506.179690065999</v>
      </c>
      <c r="K104" s="1253">
        <v>0</v>
      </c>
      <c r="L104" s="1253">
        <v>0</v>
      </c>
      <c r="M104" s="3328"/>
      <c r="N104" s="1253">
        <v>0</v>
      </c>
      <c r="O104" s="1253">
        <v>0</v>
      </c>
      <c r="P104" s="3328"/>
      <c r="Q104" s="1253">
        <v>0</v>
      </c>
      <c r="R104" s="1253">
        <v>0</v>
      </c>
      <c r="S104" s="1253">
        <v>0</v>
      </c>
      <c r="T104" s="1262">
        <f t="shared" si="23"/>
        <v>0</v>
      </c>
      <c r="U104" s="1262">
        <f t="shared" si="24"/>
        <v>0</v>
      </c>
      <c r="V104" s="1262">
        <f t="shared" si="25"/>
        <v>0</v>
      </c>
      <c r="W104" s="1253" t="s">
        <v>1521</v>
      </c>
      <c r="X104" s="1253" t="s">
        <v>1521</v>
      </c>
      <c r="Y104" s="1253"/>
      <c r="Z104" s="1253"/>
      <c r="AA104" s="1251"/>
      <c r="AB104" s="3338"/>
      <c r="AC104" s="3338"/>
      <c r="AD104" s="3338"/>
      <c r="AE104" s="3338"/>
    </row>
    <row r="105" spans="1:31">
      <c r="A105" s="3332"/>
      <c r="B105" s="3333"/>
      <c r="C105" s="3325" t="s">
        <v>1533</v>
      </c>
      <c r="D105" s="3326"/>
      <c r="E105" s="1258">
        <f t="shared" ref="E105:I105" si="36">SUM(E101:E104)</f>
        <v>484</v>
      </c>
      <c r="F105" s="1258">
        <f t="shared" si="36"/>
        <v>43132.79</v>
      </c>
      <c r="G105" s="3328"/>
      <c r="H105" s="1258">
        <f t="shared" si="36"/>
        <v>484</v>
      </c>
      <c r="I105" s="1258">
        <f t="shared" si="36"/>
        <v>43132.79</v>
      </c>
      <c r="J105" s="1263">
        <v>11506.1806574534</v>
      </c>
      <c r="K105" s="1264">
        <v>0</v>
      </c>
      <c r="L105" s="1264">
        <v>0</v>
      </c>
      <c r="M105" s="3328"/>
      <c r="N105" s="1264">
        <v>0</v>
      </c>
      <c r="O105" s="1264">
        <v>0</v>
      </c>
      <c r="P105" s="1264"/>
      <c r="Q105" s="1264">
        <v>0</v>
      </c>
      <c r="R105" s="1264">
        <v>0</v>
      </c>
      <c r="S105" s="1264">
        <v>0</v>
      </c>
      <c r="T105" s="1262">
        <f t="shared" si="23"/>
        <v>0</v>
      </c>
      <c r="U105" s="1258">
        <f t="shared" si="24"/>
        <v>0</v>
      </c>
      <c r="V105" s="1258">
        <f t="shared" si="25"/>
        <v>0</v>
      </c>
      <c r="W105" s="1264" t="s">
        <v>1521</v>
      </c>
      <c r="X105" s="1264" t="s">
        <v>1521</v>
      </c>
      <c r="Y105" s="1264"/>
      <c r="Z105" s="1264"/>
      <c r="AA105" s="1255"/>
      <c r="AB105" s="3338"/>
      <c r="AC105" s="3338"/>
      <c r="AD105" s="3338"/>
      <c r="AE105" s="3338"/>
    </row>
    <row r="106" spans="1:31">
      <c r="A106" s="3332"/>
      <c r="B106" s="3332" t="s">
        <v>1534</v>
      </c>
      <c r="C106" s="1252" t="s">
        <v>1519</v>
      </c>
      <c r="D106" s="1250" t="s">
        <v>1568</v>
      </c>
      <c r="E106" s="1253">
        <v>147</v>
      </c>
      <c r="F106" s="1254">
        <v>12245.77</v>
      </c>
      <c r="G106" s="3328"/>
      <c r="H106" s="1253">
        <v>147</v>
      </c>
      <c r="I106" s="1253">
        <v>12245.77</v>
      </c>
      <c r="J106" s="1261">
        <v>9829.8795420785991</v>
      </c>
      <c r="K106" s="1253">
        <v>0</v>
      </c>
      <c r="L106" s="1253">
        <v>0</v>
      </c>
      <c r="M106" s="3328"/>
      <c r="N106" s="1253">
        <v>0</v>
      </c>
      <c r="O106" s="1253">
        <v>0</v>
      </c>
      <c r="P106" s="3328">
        <v>0</v>
      </c>
      <c r="Q106" s="1253">
        <v>0</v>
      </c>
      <c r="R106" s="1253">
        <v>0</v>
      </c>
      <c r="S106" s="1253">
        <v>0</v>
      </c>
      <c r="T106" s="1262">
        <f t="shared" si="23"/>
        <v>0</v>
      </c>
      <c r="U106" s="1262">
        <f t="shared" si="24"/>
        <v>0</v>
      </c>
      <c r="V106" s="1262">
        <f t="shared" si="25"/>
        <v>0</v>
      </c>
      <c r="W106" s="1253" t="s">
        <v>1521</v>
      </c>
      <c r="X106" s="1253" t="s">
        <v>1521</v>
      </c>
      <c r="Y106" s="1253"/>
      <c r="Z106" s="1253"/>
      <c r="AA106" s="1251"/>
      <c r="AB106" s="3338"/>
      <c r="AC106" s="3338"/>
      <c r="AD106" s="3338"/>
      <c r="AE106" s="3338"/>
    </row>
    <row r="107" spans="1:31">
      <c r="A107" s="3332"/>
      <c r="B107" s="3332"/>
      <c r="C107" s="1252" t="s">
        <v>1525</v>
      </c>
      <c r="D107" s="1250" t="s">
        <v>1568</v>
      </c>
      <c r="E107" s="1253">
        <v>139</v>
      </c>
      <c r="F107" s="1254">
        <v>12558.66</v>
      </c>
      <c r="G107" s="3328"/>
      <c r="H107" s="1253">
        <v>139</v>
      </c>
      <c r="I107" s="1253">
        <v>12558.66</v>
      </c>
      <c r="J107" s="1261">
        <v>9829.8800986729402</v>
      </c>
      <c r="K107" s="1253">
        <v>0</v>
      </c>
      <c r="L107" s="1253">
        <v>0</v>
      </c>
      <c r="M107" s="3328"/>
      <c r="N107" s="1253">
        <v>0</v>
      </c>
      <c r="O107" s="1253">
        <v>0</v>
      </c>
      <c r="P107" s="3328"/>
      <c r="Q107" s="1253">
        <v>0</v>
      </c>
      <c r="R107" s="1253">
        <v>0</v>
      </c>
      <c r="S107" s="1253">
        <v>0</v>
      </c>
      <c r="T107" s="1262">
        <f t="shared" si="23"/>
        <v>0</v>
      </c>
      <c r="U107" s="1262">
        <f t="shared" si="24"/>
        <v>0</v>
      </c>
      <c r="V107" s="1262">
        <f t="shared" si="25"/>
        <v>0</v>
      </c>
      <c r="W107" s="1253" t="s">
        <v>1521</v>
      </c>
      <c r="X107" s="1253" t="s">
        <v>1521</v>
      </c>
      <c r="Y107" s="1253"/>
      <c r="Z107" s="1253"/>
      <c r="AA107" s="1251"/>
      <c r="AB107" s="3338"/>
      <c r="AC107" s="3338"/>
      <c r="AD107" s="3338"/>
      <c r="AE107" s="3338"/>
    </row>
    <row r="108" spans="1:31">
      <c r="A108" s="3332"/>
      <c r="B108" s="3332"/>
      <c r="C108" s="1252" t="s">
        <v>1526</v>
      </c>
      <c r="D108" s="1250" t="s">
        <v>1568</v>
      </c>
      <c r="E108" s="1253">
        <v>113</v>
      </c>
      <c r="F108" s="1254">
        <v>9961.98</v>
      </c>
      <c r="G108" s="3328"/>
      <c r="H108" s="1253">
        <v>113</v>
      </c>
      <c r="I108" s="1253">
        <v>9961.98</v>
      </c>
      <c r="J108" s="1261">
        <v>9829.8797026293996</v>
      </c>
      <c r="K108" s="1253">
        <v>0</v>
      </c>
      <c r="L108" s="1253">
        <v>0</v>
      </c>
      <c r="M108" s="3328"/>
      <c r="N108" s="1253">
        <v>0</v>
      </c>
      <c r="O108" s="1253">
        <v>0</v>
      </c>
      <c r="P108" s="3328"/>
      <c r="Q108" s="1253">
        <v>0</v>
      </c>
      <c r="R108" s="1253">
        <v>0</v>
      </c>
      <c r="S108" s="1253">
        <v>0</v>
      </c>
      <c r="T108" s="1262">
        <f t="shared" si="23"/>
        <v>0</v>
      </c>
      <c r="U108" s="1262">
        <f t="shared" si="24"/>
        <v>0</v>
      </c>
      <c r="V108" s="1262">
        <f t="shared" si="25"/>
        <v>0</v>
      </c>
      <c r="W108" s="1253" t="s">
        <v>1521</v>
      </c>
      <c r="X108" s="1253" t="s">
        <v>1521</v>
      </c>
      <c r="Y108" s="1253"/>
      <c r="Z108" s="1253"/>
      <c r="AA108" s="1251"/>
      <c r="AB108" s="3338"/>
      <c r="AC108" s="3338"/>
      <c r="AD108" s="3338"/>
      <c r="AE108" s="3338"/>
    </row>
    <row r="109" spans="1:31">
      <c r="A109" s="3332"/>
      <c r="B109" s="3332"/>
      <c r="C109" s="1252" t="s">
        <v>1527</v>
      </c>
      <c r="D109" s="1250" t="s">
        <v>1568</v>
      </c>
      <c r="E109" s="1253">
        <v>85</v>
      </c>
      <c r="F109" s="1254">
        <v>8365.34</v>
      </c>
      <c r="G109" s="3328"/>
      <c r="H109" s="1253">
        <v>85</v>
      </c>
      <c r="I109" s="1253">
        <v>8365.34</v>
      </c>
      <c r="J109" s="1261">
        <v>9829.8797179791909</v>
      </c>
      <c r="K109" s="1253">
        <v>0</v>
      </c>
      <c r="L109" s="1253">
        <v>0</v>
      </c>
      <c r="M109" s="3328"/>
      <c r="N109" s="1253">
        <v>0</v>
      </c>
      <c r="O109" s="1253">
        <v>0</v>
      </c>
      <c r="P109" s="3328"/>
      <c r="Q109" s="1253">
        <v>0</v>
      </c>
      <c r="R109" s="1253">
        <v>0</v>
      </c>
      <c r="S109" s="1253">
        <v>0</v>
      </c>
      <c r="T109" s="1262">
        <f t="shared" si="23"/>
        <v>0</v>
      </c>
      <c r="U109" s="1262">
        <f t="shared" si="24"/>
        <v>0</v>
      </c>
      <c r="V109" s="1262">
        <f t="shared" si="25"/>
        <v>0</v>
      </c>
      <c r="W109" s="1253" t="s">
        <v>1521</v>
      </c>
      <c r="X109" s="1253" t="s">
        <v>1521</v>
      </c>
      <c r="Y109" s="1253"/>
      <c r="Z109" s="1253"/>
      <c r="AA109" s="1251"/>
      <c r="AB109" s="3338"/>
      <c r="AC109" s="3338"/>
      <c r="AD109" s="3338"/>
      <c r="AE109" s="3338"/>
    </row>
    <row r="110" spans="1:31">
      <c r="A110" s="3332"/>
      <c r="B110" s="3333"/>
      <c r="C110" s="3325" t="s">
        <v>1543</v>
      </c>
      <c r="D110" s="3326"/>
      <c r="E110" s="1258">
        <f t="shared" ref="E110:I110" si="37">SUM(E106:E109)</f>
        <v>484</v>
      </c>
      <c r="F110" s="1258">
        <f t="shared" si="37"/>
        <v>43131.75</v>
      </c>
      <c r="G110" s="3328"/>
      <c r="H110" s="1258">
        <f t="shared" si="37"/>
        <v>484</v>
      </c>
      <c r="I110" s="1258">
        <f t="shared" si="37"/>
        <v>43131.75</v>
      </c>
      <c r="J110" s="1263">
        <v>9829.8797753395102</v>
      </c>
      <c r="K110" s="1264">
        <v>0</v>
      </c>
      <c r="L110" s="1264">
        <v>0</v>
      </c>
      <c r="M110" s="3328"/>
      <c r="N110" s="1264">
        <v>0</v>
      </c>
      <c r="O110" s="1264">
        <v>0</v>
      </c>
      <c r="P110" s="1264"/>
      <c r="Q110" s="1264">
        <v>0</v>
      </c>
      <c r="R110" s="1264">
        <v>0</v>
      </c>
      <c r="S110" s="1264">
        <v>0</v>
      </c>
      <c r="T110" s="1262">
        <f t="shared" si="23"/>
        <v>0</v>
      </c>
      <c r="U110" s="1258">
        <f t="shared" si="24"/>
        <v>0</v>
      </c>
      <c r="V110" s="1258">
        <f t="shared" si="25"/>
        <v>0</v>
      </c>
      <c r="W110" s="1264" t="s">
        <v>1521</v>
      </c>
      <c r="X110" s="1264" t="s">
        <v>1521</v>
      </c>
      <c r="Y110" s="1264"/>
      <c r="Z110" s="1264"/>
      <c r="AA110" s="1255"/>
      <c r="AB110" s="3338"/>
      <c r="AC110" s="3338"/>
      <c r="AD110" s="3338"/>
      <c r="AE110" s="3338"/>
    </row>
    <row r="111" spans="1:31">
      <c r="A111" s="3332"/>
      <c r="B111" s="3332" t="s">
        <v>1544</v>
      </c>
      <c r="C111" s="1252" t="s">
        <v>1519</v>
      </c>
      <c r="D111" s="1250" t="s">
        <v>1568</v>
      </c>
      <c r="E111" s="1253">
        <v>147</v>
      </c>
      <c r="F111" s="1254">
        <v>12143.65</v>
      </c>
      <c r="G111" s="3328"/>
      <c r="H111" s="1253">
        <v>147</v>
      </c>
      <c r="I111" s="1253">
        <v>12143.65</v>
      </c>
      <c r="J111" s="1261">
        <v>9597.7598992065705</v>
      </c>
      <c r="K111" s="1253">
        <v>0</v>
      </c>
      <c r="L111" s="1253">
        <v>0</v>
      </c>
      <c r="M111" s="3328"/>
      <c r="N111" s="1253">
        <v>0</v>
      </c>
      <c r="O111" s="1253">
        <v>0</v>
      </c>
      <c r="P111" s="3328">
        <v>0</v>
      </c>
      <c r="Q111" s="1253">
        <v>0</v>
      </c>
      <c r="R111" s="1253">
        <v>0</v>
      </c>
      <c r="S111" s="1253">
        <v>0</v>
      </c>
      <c r="T111" s="1262">
        <f t="shared" si="23"/>
        <v>0</v>
      </c>
      <c r="U111" s="1262">
        <f t="shared" si="24"/>
        <v>0</v>
      </c>
      <c r="V111" s="1262">
        <f t="shared" si="25"/>
        <v>0</v>
      </c>
      <c r="W111" s="1253" t="s">
        <v>1521</v>
      </c>
      <c r="X111" s="1253" t="s">
        <v>1521</v>
      </c>
      <c r="Y111" s="1253"/>
      <c r="Z111" s="1253"/>
      <c r="AA111" s="1251"/>
      <c r="AB111" s="3338"/>
      <c r="AC111" s="3338"/>
      <c r="AD111" s="3338"/>
      <c r="AE111" s="3338"/>
    </row>
    <row r="112" spans="1:31">
      <c r="A112" s="3332"/>
      <c r="B112" s="3332"/>
      <c r="C112" s="1252" t="s">
        <v>1525</v>
      </c>
      <c r="D112" s="1250" t="s">
        <v>1568</v>
      </c>
      <c r="E112" s="1253">
        <v>139</v>
      </c>
      <c r="F112" s="1254">
        <v>12440.26</v>
      </c>
      <c r="G112" s="3328"/>
      <c r="H112" s="1253">
        <v>139</v>
      </c>
      <c r="I112" s="1253">
        <v>12440.26</v>
      </c>
      <c r="J112" s="1261">
        <v>9597.7600950462402</v>
      </c>
      <c r="K112" s="1253">
        <v>0</v>
      </c>
      <c r="L112" s="1253">
        <v>0</v>
      </c>
      <c r="M112" s="3328"/>
      <c r="N112" s="1253">
        <v>0</v>
      </c>
      <c r="O112" s="1253">
        <v>0</v>
      </c>
      <c r="P112" s="3328"/>
      <c r="Q112" s="1253">
        <v>0</v>
      </c>
      <c r="R112" s="1253">
        <v>0</v>
      </c>
      <c r="S112" s="1253">
        <v>0</v>
      </c>
      <c r="T112" s="1262">
        <f t="shared" si="23"/>
        <v>0</v>
      </c>
      <c r="U112" s="1262">
        <f t="shared" si="24"/>
        <v>0</v>
      </c>
      <c r="V112" s="1262">
        <f t="shared" si="25"/>
        <v>0</v>
      </c>
      <c r="W112" s="1253" t="s">
        <v>1521</v>
      </c>
      <c r="X112" s="1253" t="s">
        <v>1521</v>
      </c>
      <c r="Y112" s="1253"/>
      <c r="Z112" s="1253"/>
      <c r="AA112" s="1251"/>
      <c r="AB112" s="3338"/>
      <c r="AC112" s="3338"/>
      <c r="AD112" s="3338"/>
      <c r="AE112" s="3338"/>
    </row>
    <row r="113" spans="1:31">
      <c r="A113" s="3332"/>
      <c r="B113" s="3332"/>
      <c r="C113" s="1252" t="s">
        <v>1526</v>
      </c>
      <c r="D113" s="1250" t="s">
        <v>1568</v>
      </c>
      <c r="E113" s="1253">
        <v>113</v>
      </c>
      <c r="F113" s="1254">
        <v>9862.74</v>
      </c>
      <c r="G113" s="3328"/>
      <c r="H113" s="1253">
        <v>113</v>
      </c>
      <c r="I113" s="1253">
        <v>9862.74</v>
      </c>
      <c r="J113" s="1261">
        <v>9597.7595475496692</v>
      </c>
      <c r="K113" s="1253">
        <v>0</v>
      </c>
      <c r="L113" s="1253">
        <v>0</v>
      </c>
      <c r="M113" s="3328"/>
      <c r="N113" s="1253">
        <v>0</v>
      </c>
      <c r="O113" s="1253">
        <v>0</v>
      </c>
      <c r="P113" s="3328"/>
      <c r="Q113" s="1253">
        <v>0</v>
      </c>
      <c r="R113" s="1253">
        <v>0</v>
      </c>
      <c r="S113" s="1253">
        <v>0</v>
      </c>
      <c r="T113" s="1262">
        <f t="shared" si="23"/>
        <v>0</v>
      </c>
      <c r="U113" s="1262">
        <f t="shared" si="24"/>
        <v>0</v>
      </c>
      <c r="V113" s="1262">
        <f t="shared" si="25"/>
        <v>0</v>
      </c>
      <c r="W113" s="1253" t="s">
        <v>1521</v>
      </c>
      <c r="X113" s="1253" t="s">
        <v>1521</v>
      </c>
      <c r="Y113" s="1253"/>
      <c r="Z113" s="1253"/>
      <c r="AA113" s="1251"/>
      <c r="AB113" s="3338"/>
      <c r="AC113" s="3338"/>
      <c r="AD113" s="3338"/>
      <c r="AE113" s="3338"/>
    </row>
    <row r="114" spans="1:31">
      <c r="A114" s="3332"/>
      <c r="B114" s="3332"/>
      <c r="C114" s="1252" t="s">
        <v>1527</v>
      </c>
      <c r="D114" s="1250" t="s">
        <v>1568</v>
      </c>
      <c r="E114" s="1253">
        <v>85</v>
      </c>
      <c r="F114" s="1254">
        <v>8307.48</v>
      </c>
      <c r="G114" s="3328"/>
      <c r="H114" s="1253">
        <v>85</v>
      </c>
      <c r="I114" s="1253">
        <v>8307.48</v>
      </c>
      <c r="J114" s="1261">
        <v>9597.7598501591401</v>
      </c>
      <c r="K114" s="1253">
        <v>0</v>
      </c>
      <c r="L114" s="1253">
        <v>0</v>
      </c>
      <c r="M114" s="3328"/>
      <c r="N114" s="1253">
        <v>0</v>
      </c>
      <c r="O114" s="1253">
        <v>0</v>
      </c>
      <c r="P114" s="3328"/>
      <c r="Q114" s="1253">
        <v>0</v>
      </c>
      <c r="R114" s="1253">
        <v>0</v>
      </c>
      <c r="S114" s="1253">
        <v>0</v>
      </c>
      <c r="T114" s="1262">
        <f t="shared" si="23"/>
        <v>0</v>
      </c>
      <c r="U114" s="1262">
        <f t="shared" si="24"/>
        <v>0</v>
      </c>
      <c r="V114" s="1262">
        <f t="shared" si="25"/>
        <v>0</v>
      </c>
      <c r="W114" s="1253" t="s">
        <v>1521</v>
      </c>
      <c r="X114" s="1253" t="s">
        <v>1521</v>
      </c>
      <c r="Y114" s="1253"/>
      <c r="Z114" s="1253"/>
      <c r="AA114" s="1251"/>
      <c r="AB114" s="3338"/>
      <c r="AC114" s="3338"/>
      <c r="AD114" s="3338"/>
      <c r="AE114" s="3338"/>
    </row>
    <row r="115" spans="1:31">
      <c r="A115" s="3332"/>
      <c r="B115" s="3333"/>
      <c r="C115" s="3325" t="s">
        <v>1548</v>
      </c>
      <c r="D115" s="3326"/>
      <c r="E115" s="1258">
        <f t="shared" ref="E115:I115" si="38">SUM(E111:E114)</f>
        <v>484</v>
      </c>
      <c r="F115" s="1258">
        <f t="shared" si="38"/>
        <v>42754.13</v>
      </c>
      <c r="G115" s="3328"/>
      <c r="H115" s="1258">
        <f t="shared" si="38"/>
        <v>484</v>
      </c>
      <c r="I115" s="1258">
        <f t="shared" si="38"/>
        <v>42754.13</v>
      </c>
      <c r="J115" s="1263">
        <v>9597.7598655381298</v>
      </c>
      <c r="K115" s="1264">
        <v>0</v>
      </c>
      <c r="L115" s="1264">
        <v>0</v>
      </c>
      <c r="M115" s="3328"/>
      <c r="N115" s="1264">
        <v>0</v>
      </c>
      <c r="O115" s="1264">
        <v>0</v>
      </c>
      <c r="P115" s="1264"/>
      <c r="Q115" s="1264">
        <v>0</v>
      </c>
      <c r="R115" s="1264">
        <v>0</v>
      </c>
      <c r="S115" s="1264">
        <v>0</v>
      </c>
      <c r="T115" s="1262">
        <f t="shared" si="23"/>
        <v>0</v>
      </c>
      <c r="U115" s="1258">
        <f t="shared" si="24"/>
        <v>0</v>
      </c>
      <c r="V115" s="1258">
        <f t="shared" si="25"/>
        <v>0</v>
      </c>
      <c r="W115" s="1264" t="s">
        <v>1521</v>
      </c>
      <c r="X115" s="1264" t="s">
        <v>1521</v>
      </c>
      <c r="Y115" s="1264"/>
      <c r="Z115" s="1264"/>
      <c r="AA115" s="1255"/>
      <c r="AB115" s="3338"/>
      <c r="AC115" s="3338"/>
      <c r="AD115" s="3338"/>
      <c r="AE115" s="3338"/>
    </row>
    <row r="116" spans="1:31">
      <c r="A116" s="3330" t="s">
        <v>1608</v>
      </c>
      <c r="B116" s="3330"/>
      <c r="C116" s="3331"/>
      <c r="D116" s="3331"/>
      <c r="E116" s="1260">
        <f t="shared" ref="E116:I116" si="39">E100+E105+E110+E115</f>
        <v>2195</v>
      </c>
      <c r="F116" s="1260">
        <f t="shared" si="39"/>
        <v>171613.37</v>
      </c>
      <c r="G116" s="1259">
        <v>171613.37</v>
      </c>
      <c r="H116" s="1260">
        <f t="shared" si="39"/>
        <v>2017</v>
      </c>
      <c r="I116" s="1260">
        <f t="shared" si="39"/>
        <v>160556.28</v>
      </c>
      <c r="J116" s="1265">
        <v>11676.242461521901</v>
      </c>
      <c r="K116" s="1259">
        <v>178</v>
      </c>
      <c r="L116" s="1259">
        <v>11057.09</v>
      </c>
      <c r="M116" s="1267">
        <v>168385.98</v>
      </c>
      <c r="N116" s="1259">
        <v>11057.09</v>
      </c>
      <c r="O116" s="1259">
        <v>86</v>
      </c>
      <c r="P116" s="1259"/>
      <c r="Q116" s="1259">
        <v>5422.47</v>
      </c>
      <c r="R116" s="1259">
        <f>R115+R110+R105+R100</f>
        <v>2148473</v>
      </c>
      <c r="S116" s="1269">
        <f t="shared" ref="S116:S122" si="40">ROUND(R116/Q116,0)</f>
        <v>396</v>
      </c>
      <c r="T116" s="1262">
        <f t="shared" si="23"/>
        <v>33</v>
      </c>
      <c r="U116" s="1270">
        <f t="shared" si="24"/>
        <v>92</v>
      </c>
      <c r="V116" s="1270">
        <f t="shared" si="25"/>
        <v>5634.62</v>
      </c>
      <c r="W116" s="1259" t="s">
        <v>1521</v>
      </c>
      <c r="X116" s="1259" t="s">
        <v>1521</v>
      </c>
      <c r="Y116" s="1259"/>
      <c r="Z116" s="1259"/>
      <c r="AA116" s="1273"/>
      <c r="AB116" s="3338"/>
      <c r="AC116" s="3338"/>
      <c r="AD116" s="3338"/>
      <c r="AE116" s="3338"/>
    </row>
    <row r="117" spans="1:31" ht="81">
      <c r="A117" s="3332" t="s">
        <v>1609</v>
      </c>
      <c r="B117" s="3332" t="s">
        <v>1518</v>
      </c>
      <c r="C117" s="1252" t="s">
        <v>1519</v>
      </c>
      <c r="D117" s="1276" t="s">
        <v>1610</v>
      </c>
      <c r="E117" s="1253">
        <v>288</v>
      </c>
      <c r="F117" s="1253">
        <v>21952.080000000002</v>
      </c>
      <c r="G117" s="3328">
        <v>202439.84</v>
      </c>
      <c r="H117" s="1253">
        <v>201</v>
      </c>
      <c r="I117" s="1253">
        <v>15438.99</v>
      </c>
      <c r="J117" s="1261">
        <v>14870.616342131199</v>
      </c>
      <c r="K117" s="1253">
        <v>87</v>
      </c>
      <c r="L117" s="1253">
        <v>6513.09</v>
      </c>
      <c r="M117" s="3328">
        <v>200403.96</v>
      </c>
      <c r="N117" s="1253">
        <v>6513.09</v>
      </c>
      <c r="O117" s="1253">
        <v>87</v>
      </c>
      <c r="P117" s="3328">
        <v>186</v>
      </c>
      <c r="Q117" s="1253">
        <v>6513.09</v>
      </c>
      <c r="R117" s="1253">
        <v>2540839</v>
      </c>
      <c r="S117" s="1262">
        <f t="shared" si="40"/>
        <v>390</v>
      </c>
      <c r="T117" s="1262">
        <f t="shared" si="23"/>
        <v>32.5</v>
      </c>
      <c r="U117" s="1262">
        <f t="shared" si="24"/>
        <v>0</v>
      </c>
      <c r="V117" s="1262">
        <f t="shared" si="25"/>
        <v>0</v>
      </c>
      <c r="W117" s="1253" t="s">
        <v>1521</v>
      </c>
      <c r="X117" s="1253" t="s">
        <v>1521</v>
      </c>
      <c r="Y117" s="1253"/>
      <c r="Z117" s="1253"/>
      <c r="AA117" s="1251"/>
      <c r="AB117" s="3338" t="s">
        <v>1611</v>
      </c>
      <c r="AC117" s="3338"/>
      <c r="AD117" s="3338"/>
      <c r="AE117" s="3338"/>
    </row>
    <row r="118" spans="1:31" ht="81">
      <c r="A118" s="3332"/>
      <c r="B118" s="3332"/>
      <c r="C118" s="1252" t="s">
        <v>1525</v>
      </c>
      <c r="D118" s="1276" t="s">
        <v>1610</v>
      </c>
      <c r="E118" s="1253">
        <v>334</v>
      </c>
      <c r="F118" s="1253">
        <f>25934.17+108</f>
        <v>26042.17</v>
      </c>
      <c r="G118" s="3328"/>
      <c r="H118" s="1253">
        <v>187</v>
      </c>
      <c r="I118" s="1253">
        <v>14242.55</v>
      </c>
      <c r="J118" s="1261">
        <v>15374.879779253</v>
      </c>
      <c r="K118" s="1253">
        <v>147</v>
      </c>
      <c r="L118" s="1253">
        <v>11799.62</v>
      </c>
      <c r="M118" s="3328"/>
      <c r="N118" s="1253">
        <v>11691.62</v>
      </c>
      <c r="O118" s="1253">
        <v>147</v>
      </c>
      <c r="P118" s="3328"/>
      <c r="Q118" s="1253">
        <v>11799.62</v>
      </c>
      <c r="R118" s="1253">
        <v>4941408</v>
      </c>
      <c r="S118" s="1262">
        <f t="shared" si="40"/>
        <v>419</v>
      </c>
      <c r="T118" s="1262">
        <f t="shared" si="23"/>
        <v>34.9166666666667</v>
      </c>
      <c r="U118" s="1262">
        <f t="shared" si="24"/>
        <v>0</v>
      </c>
      <c r="V118" s="1262">
        <f t="shared" si="25"/>
        <v>0</v>
      </c>
      <c r="W118" s="1253" t="s">
        <v>1521</v>
      </c>
      <c r="X118" s="1253" t="s">
        <v>1521</v>
      </c>
      <c r="Y118" s="1253"/>
      <c r="Z118" s="1253"/>
      <c r="AA118" s="1272" t="s">
        <v>1612</v>
      </c>
      <c r="AB118" s="3338"/>
      <c r="AC118" s="3338"/>
      <c r="AD118" s="3338"/>
      <c r="AE118" s="3338"/>
    </row>
    <row r="119" spans="1:31">
      <c r="A119" s="3332"/>
      <c r="B119" s="3333"/>
      <c r="C119" s="3325" t="s">
        <v>1528</v>
      </c>
      <c r="D119" s="3326"/>
      <c r="E119" s="1257">
        <f t="shared" ref="E119:I119" si="41">SUM(E117:E118)</f>
        <v>622</v>
      </c>
      <c r="F119" s="1257">
        <f t="shared" si="41"/>
        <v>47994.25</v>
      </c>
      <c r="G119" s="3328"/>
      <c r="H119" s="1257">
        <f t="shared" si="41"/>
        <v>388</v>
      </c>
      <c r="I119" s="1257">
        <f t="shared" si="41"/>
        <v>29681.54</v>
      </c>
      <c r="J119" s="1263">
        <v>15112.5848254504</v>
      </c>
      <c r="K119" s="1264">
        <v>234</v>
      </c>
      <c r="L119" s="1264">
        <v>18312.71</v>
      </c>
      <c r="M119" s="3328"/>
      <c r="N119" s="1264">
        <v>18204.71</v>
      </c>
      <c r="O119" s="1264">
        <v>234</v>
      </c>
      <c r="P119" s="1264"/>
      <c r="Q119" s="1264">
        <v>18312.71</v>
      </c>
      <c r="R119" s="1264">
        <f>R118+R117</f>
        <v>7482247</v>
      </c>
      <c r="S119" s="1256">
        <f t="shared" si="40"/>
        <v>409</v>
      </c>
      <c r="T119" s="1262">
        <f t="shared" si="23"/>
        <v>34.0833333333333</v>
      </c>
      <c r="U119" s="1258">
        <f t="shared" si="24"/>
        <v>0</v>
      </c>
      <c r="V119" s="1258">
        <f t="shared" si="25"/>
        <v>0</v>
      </c>
      <c r="W119" s="1264" t="s">
        <v>1521</v>
      </c>
      <c r="X119" s="1264" t="s">
        <v>1521</v>
      </c>
      <c r="Y119" s="1264"/>
      <c r="Z119" s="1264"/>
      <c r="AA119" s="1255"/>
      <c r="AB119" s="3338"/>
      <c r="AC119" s="3338"/>
      <c r="AD119" s="3338"/>
      <c r="AE119" s="3338"/>
    </row>
    <row r="120" spans="1:31" ht="67.5">
      <c r="A120" s="3332"/>
      <c r="B120" s="3332" t="s">
        <v>1529</v>
      </c>
      <c r="C120" s="1252" t="s">
        <v>1519</v>
      </c>
      <c r="D120" s="1276" t="s">
        <v>1613</v>
      </c>
      <c r="E120" s="1253">
        <v>257</v>
      </c>
      <c r="F120" s="1253">
        <v>24073.95</v>
      </c>
      <c r="G120" s="3328"/>
      <c r="H120" s="1253">
        <v>41</v>
      </c>
      <c r="I120" s="1253">
        <v>3170.2</v>
      </c>
      <c r="J120" s="1261">
        <v>9336.4794019304809</v>
      </c>
      <c r="K120" s="1253">
        <v>216</v>
      </c>
      <c r="L120" s="1253">
        <v>20903.75</v>
      </c>
      <c r="M120" s="3328"/>
      <c r="N120" s="1253">
        <v>20903.75</v>
      </c>
      <c r="O120" s="1253">
        <v>216</v>
      </c>
      <c r="P120" s="3328">
        <v>336</v>
      </c>
      <c r="Q120" s="1253">
        <v>20903.75</v>
      </c>
      <c r="R120" s="1268">
        <v>4849131</v>
      </c>
      <c r="S120" s="1262">
        <f t="shared" si="40"/>
        <v>232</v>
      </c>
      <c r="T120" s="1262">
        <f t="shared" si="23"/>
        <v>19.3333333333333</v>
      </c>
      <c r="U120" s="1262">
        <f t="shared" si="24"/>
        <v>0</v>
      </c>
      <c r="V120" s="1262">
        <f t="shared" si="25"/>
        <v>0</v>
      </c>
      <c r="W120" s="1253" t="s">
        <v>1521</v>
      </c>
      <c r="X120" s="1253" t="s">
        <v>1521</v>
      </c>
      <c r="Y120" s="1253"/>
      <c r="Z120" s="1253"/>
      <c r="AA120" s="1251"/>
      <c r="AB120" s="3338"/>
      <c r="AC120" s="3338"/>
      <c r="AD120" s="3338"/>
      <c r="AE120" s="3338"/>
    </row>
    <row r="121" spans="1:31" ht="67.5">
      <c r="A121" s="3332"/>
      <c r="B121" s="3332"/>
      <c r="C121" s="1252" t="s">
        <v>1525</v>
      </c>
      <c r="D121" s="1276" t="s">
        <v>1613</v>
      </c>
      <c r="E121" s="1253">
        <v>279</v>
      </c>
      <c r="F121" s="1253">
        <v>27811.919999999998</v>
      </c>
      <c r="G121" s="3328"/>
      <c r="H121" s="1253">
        <v>8</v>
      </c>
      <c r="I121" s="1253">
        <v>657.98</v>
      </c>
      <c r="J121" s="1261">
        <v>8017.2877595063701</v>
      </c>
      <c r="K121" s="1253">
        <v>271</v>
      </c>
      <c r="L121" s="1253">
        <v>27153.94</v>
      </c>
      <c r="M121" s="3328"/>
      <c r="N121" s="1253">
        <v>27153.94</v>
      </c>
      <c r="O121" s="1253">
        <v>269</v>
      </c>
      <c r="P121" s="3328"/>
      <c r="Q121" s="1253">
        <v>26873.19</v>
      </c>
      <c r="R121" s="1268">
        <v>8013344</v>
      </c>
      <c r="S121" s="1262">
        <f t="shared" si="40"/>
        <v>298</v>
      </c>
      <c r="T121" s="1262">
        <f t="shared" si="23"/>
        <v>24.8333333333333</v>
      </c>
      <c r="U121" s="1262">
        <f t="shared" si="24"/>
        <v>2</v>
      </c>
      <c r="V121" s="1262">
        <f t="shared" si="25"/>
        <v>280.75</v>
      </c>
      <c r="W121" s="1253" t="s">
        <v>1521</v>
      </c>
      <c r="X121" s="1253" t="s">
        <v>1521</v>
      </c>
      <c r="Y121" s="1253"/>
      <c r="Z121" s="1253"/>
      <c r="AA121" s="1251"/>
      <c r="AB121" s="3338"/>
      <c r="AC121" s="3338"/>
      <c r="AD121" s="3338"/>
      <c r="AE121" s="3338"/>
    </row>
    <row r="122" spans="1:31">
      <c r="A122" s="3332"/>
      <c r="B122" s="3333"/>
      <c r="C122" s="3325" t="s">
        <v>1533</v>
      </c>
      <c r="D122" s="3326"/>
      <c r="E122" s="1258">
        <f t="shared" ref="E122:I122" si="42">SUM(E120:E121)</f>
        <v>536</v>
      </c>
      <c r="F122" s="1258">
        <f t="shared" si="42"/>
        <v>51885.87</v>
      </c>
      <c r="G122" s="3328"/>
      <c r="H122" s="1258">
        <f t="shared" si="42"/>
        <v>49</v>
      </c>
      <c r="I122" s="1258">
        <f t="shared" si="42"/>
        <v>3828.18</v>
      </c>
      <c r="J122" s="1263">
        <v>9109.7393539488803</v>
      </c>
      <c r="K122" s="1264">
        <v>487</v>
      </c>
      <c r="L122" s="1264">
        <v>48057.69</v>
      </c>
      <c r="M122" s="3328"/>
      <c r="N122" s="1264">
        <v>48057.69</v>
      </c>
      <c r="O122" s="1264">
        <v>485</v>
      </c>
      <c r="P122" s="1264"/>
      <c r="Q122" s="1264">
        <v>47776.94</v>
      </c>
      <c r="R122" s="1264">
        <f>R121+R120</f>
        <v>12862475</v>
      </c>
      <c r="S122" s="1256">
        <f t="shared" si="40"/>
        <v>269</v>
      </c>
      <c r="T122" s="1262">
        <f t="shared" si="23"/>
        <v>22.4166666666667</v>
      </c>
      <c r="U122" s="1258">
        <f t="shared" si="24"/>
        <v>2</v>
      </c>
      <c r="V122" s="1258">
        <f t="shared" si="25"/>
        <v>280.75</v>
      </c>
      <c r="W122" s="1264" t="s">
        <v>1521</v>
      </c>
      <c r="X122" s="1264" t="s">
        <v>1521</v>
      </c>
      <c r="Y122" s="1264"/>
      <c r="Z122" s="1264"/>
      <c r="AA122" s="1255"/>
      <c r="AB122" s="3338"/>
      <c r="AC122" s="3338"/>
      <c r="AD122" s="3338"/>
      <c r="AE122" s="3338"/>
    </row>
    <row r="123" spans="1:31" ht="94.5">
      <c r="A123" s="3332"/>
      <c r="B123" s="3332" t="s">
        <v>1534</v>
      </c>
      <c r="C123" s="1252" t="s">
        <v>1519</v>
      </c>
      <c r="D123" s="1276" t="s">
        <v>1614</v>
      </c>
      <c r="E123" s="1253">
        <v>258</v>
      </c>
      <c r="F123" s="1253">
        <v>24083.07</v>
      </c>
      <c r="G123" s="3328"/>
      <c r="H123" s="1253">
        <v>258</v>
      </c>
      <c r="I123" s="1253">
        <v>24083.07</v>
      </c>
      <c r="J123" s="1261">
        <v>8359.9987460070406</v>
      </c>
      <c r="K123" s="1253">
        <v>0</v>
      </c>
      <c r="L123" s="1253">
        <v>0</v>
      </c>
      <c r="M123" s="3328"/>
      <c r="N123" s="1253">
        <v>0</v>
      </c>
      <c r="O123" s="1253">
        <v>0</v>
      </c>
      <c r="P123" s="3328">
        <v>0</v>
      </c>
      <c r="Q123" s="1253">
        <v>0</v>
      </c>
      <c r="R123" s="1253">
        <v>0</v>
      </c>
      <c r="S123" s="1253">
        <v>0</v>
      </c>
      <c r="T123" s="1262">
        <f t="shared" si="23"/>
        <v>0</v>
      </c>
      <c r="U123" s="1262">
        <f t="shared" si="24"/>
        <v>0</v>
      </c>
      <c r="V123" s="1262">
        <f t="shared" si="25"/>
        <v>0</v>
      </c>
      <c r="W123" s="1253" t="s">
        <v>1521</v>
      </c>
      <c r="X123" s="1253" t="s">
        <v>1521</v>
      </c>
      <c r="Y123" s="1253"/>
      <c r="Z123" s="1253"/>
      <c r="AA123" s="1251"/>
      <c r="AB123" s="3338"/>
      <c r="AC123" s="3338"/>
      <c r="AD123" s="3338"/>
      <c r="AE123" s="3338"/>
    </row>
    <row r="124" spans="1:31" ht="94.5">
      <c r="A124" s="3332"/>
      <c r="B124" s="3332"/>
      <c r="C124" s="1252" t="s">
        <v>1525</v>
      </c>
      <c r="D124" s="1276" t="s">
        <v>1614</v>
      </c>
      <c r="E124" s="1253">
        <v>279</v>
      </c>
      <c r="F124" s="1253">
        <v>27689.91</v>
      </c>
      <c r="G124" s="3328"/>
      <c r="H124" s="1253">
        <v>279</v>
      </c>
      <c r="I124" s="1253">
        <v>27689.91</v>
      </c>
      <c r="J124" s="1261">
        <v>8359.9990032470396</v>
      </c>
      <c r="K124" s="1253">
        <v>0</v>
      </c>
      <c r="L124" s="1253">
        <v>0</v>
      </c>
      <c r="M124" s="3328"/>
      <c r="N124" s="1253">
        <v>0</v>
      </c>
      <c r="O124" s="1253">
        <v>0</v>
      </c>
      <c r="P124" s="3328"/>
      <c r="Q124" s="1253">
        <v>0</v>
      </c>
      <c r="R124" s="1253">
        <v>0</v>
      </c>
      <c r="S124" s="1253">
        <v>0</v>
      </c>
      <c r="T124" s="1262">
        <f t="shared" si="23"/>
        <v>0</v>
      </c>
      <c r="U124" s="1262">
        <f t="shared" si="24"/>
        <v>0</v>
      </c>
      <c r="V124" s="1262">
        <f t="shared" si="25"/>
        <v>0</v>
      </c>
      <c r="W124" s="1253" t="s">
        <v>1521</v>
      </c>
      <c r="X124" s="1253" t="s">
        <v>1521</v>
      </c>
      <c r="Y124" s="1253"/>
      <c r="Z124" s="1253"/>
      <c r="AA124" s="1251"/>
      <c r="AB124" s="3338"/>
      <c r="AC124" s="3338"/>
      <c r="AD124" s="3338"/>
      <c r="AE124" s="3338"/>
    </row>
    <row r="125" spans="1:31">
      <c r="A125" s="3332"/>
      <c r="B125" s="3333"/>
      <c r="C125" s="3325" t="s">
        <v>1543</v>
      </c>
      <c r="D125" s="3326"/>
      <c r="E125" s="1258">
        <f t="shared" ref="E125:I125" si="43">SUM(E123:E124)</f>
        <v>537</v>
      </c>
      <c r="F125" s="1258">
        <f t="shared" si="43"/>
        <v>51772.98</v>
      </c>
      <c r="G125" s="3328"/>
      <c r="H125" s="1258">
        <f t="shared" si="43"/>
        <v>537</v>
      </c>
      <c r="I125" s="1258">
        <f t="shared" si="43"/>
        <v>51772.98</v>
      </c>
      <c r="J125" s="1263">
        <v>8359.9988835875392</v>
      </c>
      <c r="K125" s="1264">
        <v>0</v>
      </c>
      <c r="L125" s="1264">
        <v>0</v>
      </c>
      <c r="M125" s="3328"/>
      <c r="N125" s="1264">
        <v>0</v>
      </c>
      <c r="O125" s="1264">
        <v>0</v>
      </c>
      <c r="P125" s="1264"/>
      <c r="Q125" s="1264">
        <v>0</v>
      </c>
      <c r="R125" s="1264">
        <v>0</v>
      </c>
      <c r="S125" s="1264">
        <v>0</v>
      </c>
      <c r="T125" s="1262">
        <f t="shared" si="23"/>
        <v>0</v>
      </c>
      <c r="U125" s="1258">
        <f t="shared" si="24"/>
        <v>0</v>
      </c>
      <c r="V125" s="1258">
        <f t="shared" si="25"/>
        <v>0</v>
      </c>
      <c r="W125" s="1264" t="s">
        <v>1521</v>
      </c>
      <c r="X125" s="1264" t="s">
        <v>1521</v>
      </c>
      <c r="Y125" s="1264"/>
      <c r="Z125" s="1264"/>
      <c r="AA125" s="1255"/>
      <c r="AB125" s="3338"/>
      <c r="AC125" s="3338"/>
      <c r="AD125" s="3338"/>
      <c r="AE125" s="3338"/>
    </row>
    <row r="126" spans="1:31" ht="67.5">
      <c r="A126" s="3332"/>
      <c r="B126" s="3332" t="s">
        <v>1544</v>
      </c>
      <c r="C126" s="1252" t="s">
        <v>1519</v>
      </c>
      <c r="D126" s="1250" t="s">
        <v>1615</v>
      </c>
      <c r="E126" s="1253">
        <v>258</v>
      </c>
      <c r="F126" s="1253">
        <v>23691.75</v>
      </c>
      <c r="G126" s="3328"/>
      <c r="H126" s="1253">
        <v>258</v>
      </c>
      <c r="I126" s="1253">
        <v>23691.75</v>
      </c>
      <c r="J126" s="1261">
        <v>7332.0016039338498</v>
      </c>
      <c r="K126" s="1253">
        <v>0</v>
      </c>
      <c r="L126" s="1253">
        <v>0</v>
      </c>
      <c r="M126" s="3328"/>
      <c r="N126" s="1253">
        <v>0</v>
      </c>
      <c r="O126" s="1253">
        <v>0</v>
      </c>
      <c r="P126" s="3328">
        <v>0</v>
      </c>
      <c r="Q126" s="1253">
        <v>0</v>
      </c>
      <c r="R126" s="1253">
        <v>0</v>
      </c>
      <c r="S126" s="1253">
        <v>0</v>
      </c>
      <c r="T126" s="1262">
        <f t="shared" si="23"/>
        <v>0</v>
      </c>
      <c r="U126" s="1262">
        <f t="shared" si="24"/>
        <v>0</v>
      </c>
      <c r="V126" s="1262">
        <f t="shared" si="25"/>
        <v>0</v>
      </c>
      <c r="W126" s="1253" t="s">
        <v>1521</v>
      </c>
      <c r="X126" s="1253" t="s">
        <v>1521</v>
      </c>
      <c r="Y126" s="1253"/>
      <c r="Z126" s="1253"/>
      <c r="AA126" s="1251"/>
      <c r="AB126" s="3338"/>
      <c r="AC126" s="3338"/>
      <c r="AD126" s="3338"/>
      <c r="AE126" s="3338"/>
    </row>
    <row r="127" spans="1:31" ht="67.5">
      <c r="A127" s="3332"/>
      <c r="B127" s="3332"/>
      <c r="C127" s="1252" t="s">
        <v>1525</v>
      </c>
      <c r="D127" s="1250" t="s">
        <v>1615</v>
      </c>
      <c r="E127" s="1253">
        <v>279</v>
      </c>
      <c r="F127" s="1253">
        <v>27171.74</v>
      </c>
      <c r="G127" s="3328"/>
      <c r="H127" s="1253">
        <v>279</v>
      </c>
      <c r="I127" s="1253">
        <v>27171.74</v>
      </c>
      <c r="J127" s="1261">
        <v>7332.0013366828998</v>
      </c>
      <c r="K127" s="1253">
        <v>0</v>
      </c>
      <c r="L127" s="1253">
        <v>0</v>
      </c>
      <c r="M127" s="3328"/>
      <c r="N127" s="1253">
        <v>0</v>
      </c>
      <c r="O127" s="1253">
        <v>0</v>
      </c>
      <c r="P127" s="3328"/>
      <c r="Q127" s="1253">
        <v>0</v>
      </c>
      <c r="R127" s="1253">
        <v>0</v>
      </c>
      <c r="S127" s="1253">
        <v>0</v>
      </c>
      <c r="T127" s="1262">
        <f t="shared" si="23"/>
        <v>0</v>
      </c>
      <c r="U127" s="1262">
        <f t="shared" si="24"/>
        <v>0</v>
      </c>
      <c r="V127" s="1262">
        <f t="shared" si="25"/>
        <v>0</v>
      </c>
      <c r="W127" s="1253" t="s">
        <v>1521</v>
      </c>
      <c r="X127" s="1253" t="s">
        <v>1521</v>
      </c>
      <c r="Y127" s="1253"/>
      <c r="Z127" s="1253"/>
      <c r="AA127" s="1251"/>
      <c r="AB127" s="3338"/>
      <c r="AC127" s="3338"/>
      <c r="AD127" s="3338"/>
      <c r="AE127" s="3338"/>
    </row>
    <row r="128" spans="1:31">
      <c r="A128" s="3332"/>
      <c r="B128" s="3333"/>
      <c r="C128" s="3325" t="s">
        <v>1548</v>
      </c>
      <c r="D128" s="3326"/>
      <c r="E128" s="1258">
        <f t="shared" ref="E128:I128" si="44">SUM(E126:E127)</f>
        <v>537</v>
      </c>
      <c r="F128" s="1258">
        <f t="shared" si="44"/>
        <v>50863.49</v>
      </c>
      <c r="G128" s="3328"/>
      <c r="H128" s="1258">
        <f t="shared" si="44"/>
        <v>537</v>
      </c>
      <c r="I128" s="1258">
        <f t="shared" si="44"/>
        <v>50863.49</v>
      </c>
      <c r="J128" s="1263">
        <v>7332.0014611659599</v>
      </c>
      <c r="K128" s="1264">
        <v>0</v>
      </c>
      <c r="L128" s="1264">
        <v>0</v>
      </c>
      <c r="M128" s="3328"/>
      <c r="N128" s="1264">
        <v>0</v>
      </c>
      <c r="O128" s="1264">
        <v>0</v>
      </c>
      <c r="P128" s="1264"/>
      <c r="Q128" s="1264">
        <v>0</v>
      </c>
      <c r="R128" s="1264">
        <v>0</v>
      </c>
      <c r="S128" s="1264">
        <v>0</v>
      </c>
      <c r="T128" s="1262">
        <f t="shared" si="23"/>
        <v>0</v>
      </c>
      <c r="U128" s="1258">
        <f t="shared" si="24"/>
        <v>0</v>
      </c>
      <c r="V128" s="1258">
        <f t="shared" si="25"/>
        <v>0</v>
      </c>
      <c r="W128" s="1264" t="s">
        <v>1521</v>
      </c>
      <c r="X128" s="1264" t="s">
        <v>1521</v>
      </c>
      <c r="Y128" s="1264"/>
      <c r="Z128" s="1264"/>
      <c r="AA128" s="1255"/>
      <c r="AB128" s="3338"/>
      <c r="AC128" s="3338"/>
      <c r="AD128" s="3338"/>
      <c r="AE128" s="3338"/>
    </row>
    <row r="129" spans="1:31">
      <c r="A129" s="3330" t="s">
        <v>1616</v>
      </c>
      <c r="B129" s="3330"/>
      <c r="C129" s="3331"/>
      <c r="D129" s="3331"/>
      <c r="E129" s="1260">
        <f t="shared" ref="E129:I129" si="45">E119+E122+E125+E128</f>
        <v>2232</v>
      </c>
      <c r="F129" s="1260">
        <f t="shared" si="45"/>
        <v>202516.59</v>
      </c>
      <c r="G129" s="1259">
        <v>202439.84</v>
      </c>
      <c r="H129" s="1260">
        <f t="shared" si="45"/>
        <v>1511</v>
      </c>
      <c r="I129" s="1260">
        <f t="shared" si="45"/>
        <v>136146.19</v>
      </c>
      <c r="J129" s="1265">
        <v>9469.1724461771591</v>
      </c>
      <c r="K129" s="1259">
        <v>721</v>
      </c>
      <c r="L129" s="1259">
        <v>66370.399999999994</v>
      </c>
      <c r="M129" s="1267">
        <v>200403.96</v>
      </c>
      <c r="N129" s="1259">
        <v>66262.399999999994</v>
      </c>
      <c r="O129" s="1259">
        <v>719</v>
      </c>
      <c r="P129" s="1259"/>
      <c r="Q129" s="1259">
        <v>66089.649999999994</v>
      </c>
      <c r="R129" s="1259">
        <f>R128+R125+R122+R119</f>
        <v>20344722</v>
      </c>
      <c r="S129" s="1269">
        <f>ROUND(R129/Q129,0)</f>
        <v>308</v>
      </c>
      <c r="T129" s="1269"/>
      <c r="U129" s="1270">
        <f t="shared" si="24"/>
        <v>2</v>
      </c>
      <c r="V129" s="1270">
        <f t="shared" si="25"/>
        <v>280.75</v>
      </c>
      <c r="W129" s="1259" t="s">
        <v>1521</v>
      </c>
      <c r="X129" s="1259" t="s">
        <v>1521</v>
      </c>
      <c r="Y129" s="1259"/>
      <c r="Z129" s="1259"/>
      <c r="AA129" s="1273"/>
      <c r="AB129" s="3338"/>
      <c r="AC129" s="3338"/>
      <c r="AD129" s="3338"/>
      <c r="AE129" s="3338"/>
    </row>
    <row r="130" spans="1:31" ht="14.25">
      <c r="A130" s="3341" t="s">
        <v>1617</v>
      </c>
      <c r="B130" s="3341"/>
      <c r="C130" s="3342"/>
      <c r="D130" s="3342"/>
      <c r="E130" s="1277">
        <f t="shared" ref="E130:I130" si="46">E24+E53+E74+E95+E116+E129</f>
        <v>25092</v>
      </c>
      <c r="F130" s="1277">
        <f t="shared" si="46"/>
        <v>1469779.74</v>
      </c>
      <c r="G130" s="1277">
        <f>SUM(G4:G129)</f>
        <v>2939531.82</v>
      </c>
      <c r="H130" s="1277">
        <f t="shared" si="46"/>
        <v>16292</v>
      </c>
      <c r="I130" s="1277">
        <f t="shared" si="46"/>
        <v>934654.54</v>
      </c>
      <c r="J130" s="1278">
        <v>13338.8139878933</v>
      </c>
      <c r="K130" s="1277">
        <f t="shared" ref="K130:S130" si="47">K24+K53+K74+K95+K116+K129</f>
        <v>8800</v>
      </c>
      <c r="L130" s="1277">
        <f t="shared" si="47"/>
        <v>535125.19999999995</v>
      </c>
      <c r="M130" s="1277">
        <f t="shared" si="47"/>
        <v>1457512.66</v>
      </c>
      <c r="N130" s="1277">
        <f t="shared" si="47"/>
        <v>534943.75</v>
      </c>
      <c r="O130" s="1277">
        <f t="shared" si="47"/>
        <v>4600</v>
      </c>
      <c r="P130" s="1277">
        <f t="shared" si="47"/>
        <v>0</v>
      </c>
      <c r="Q130" s="1277">
        <f t="shared" si="47"/>
        <v>289528.82</v>
      </c>
      <c r="R130" s="1277">
        <f t="shared" si="47"/>
        <v>158547652.43000001</v>
      </c>
      <c r="S130" s="1277">
        <f t="shared" si="47"/>
        <v>3283</v>
      </c>
      <c r="T130" s="1277"/>
      <c r="U130" s="1277">
        <f>U24+U53+U74+U95+U116+U129</f>
        <v>4200</v>
      </c>
      <c r="V130" s="1277">
        <f>V24+V53+V74+V95+V116+V129</f>
        <v>245596.38</v>
      </c>
      <c r="W130" s="1277" t="s">
        <v>1521</v>
      </c>
      <c r="X130" s="1277" t="s">
        <v>1521</v>
      </c>
      <c r="Y130" s="1277"/>
      <c r="Z130" s="1277"/>
      <c r="AA130" s="1279"/>
      <c r="AB130" s="3334"/>
      <c r="AC130" s="3335"/>
      <c r="AD130" s="1280"/>
      <c r="AE130" s="1280"/>
    </row>
    <row r="134" spans="1:31">
      <c r="B134" s="3110" t="s">
        <v>3288</v>
      </c>
    </row>
    <row r="135" spans="1:31">
      <c r="B135" s="3110" t="s">
        <v>3289</v>
      </c>
    </row>
    <row r="140" spans="1:31">
      <c r="A140" s="3138" t="s">
        <v>3304</v>
      </c>
    </row>
    <row r="141" spans="1:31" ht="16.5">
      <c r="A141" s="3116" t="s">
        <v>3290</v>
      </c>
      <c r="B141" s="3116" t="s">
        <v>1485</v>
      </c>
      <c r="C141" s="3116" t="s">
        <v>3291</v>
      </c>
    </row>
    <row r="142" spans="1:31" ht="16.5">
      <c r="A142" s="3339" t="s">
        <v>3292</v>
      </c>
      <c r="B142" s="3117" t="s">
        <v>3293</v>
      </c>
      <c r="C142" s="3117">
        <v>4322.1499999999996</v>
      </c>
    </row>
    <row r="143" spans="1:31" ht="16.5">
      <c r="A143" s="3339"/>
      <c r="B143" s="3117" t="s">
        <v>3294</v>
      </c>
      <c r="C143" s="3117">
        <v>18020.97</v>
      </c>
    </row>
    <row r="144" spans="1:31" ht="16.5">
      <c r="A144" s="3339"/>
      <c r="B144" s="3117" t="s">
        <v>3295</v>
      </c>
      <c r="C144" s="3117">
        <v>55674.09</v>
      </c>
    </row>
    <row r="145" spans="1:3" ht="16.5">
      <c r="A145" s="3339"/>
      <c r="B145" s="3117" t="s">
        <v>3296</v>
      </c>
      <c r="C145" s="3117">
        <v>20855.97</v>
      </c>
    </row>
    <row r="146" spans="1:3" ht="16.5">
      <c r="A146" s="3339"/>
      <c r="B146" s="3117" t="s">
        <v>3297</v>
      </c>
      <c r="C146" s="3117" t="s">
        <v>1521</v>
      </c>
    </row>
    <row r="147" spans="1:3" ht="16.5">
      <c r="A147" s="3339"/>
      <c r="B147" s="3118" t="s">
        <v>468</v>
      </c>
      <c r="C147" s="3118">
        <f>SUM(C142:C145)</f>
        <v>98873.18</v>
      </c>
    </row>
    <row r="148" spans="1:3" ht="16.5">
      <c r="A148" s="3339" t="s">
        <v>3298</v>
      </c>
      <c r="B148" s="3117" t="s">
        <v>3293</v>
      </c>
      <c r="C148" s="3117">
        <v>35264.9</v>
      </c>
    </row>
    <row r="149" spans="1:3" ht="16.5">
      <c r="A149" s="3339"/>
      <c r="B149" s="3117" t="s">
        <v>3294</v>
      </c>
      <c r="C149" s="3117">
        <v>71582.89</v>
      </c>
    </row>
    <row r="150" spans="1:3" ht="16.5">
      <c r="A150" s="3339"/>
      <c r="B150" s="3117" t="s">
        <v>3295</v>
      </c>
      <c r="C150" s="3117">
        <v>32841.54</v>
      </c>
    </row>
    <row r="151" spans="1:3" ht="16.5">
      <c r="A151" s="3339"/>
      <c r="B151" s="3117" t="s">
        <v>3296</v>
      </c>
      <c r="C151" s="3117">
        <v>33292.83</v>
      </c>
    </row>
    <row r="152" spans="1:3" ht="16.5">
      <c r="A152" s="3339"/>
      <c r="B152" s="3117" t="s">
        <v>3297</v>
      </c>
      <c r="C152" s="3119">
        <v>43884.08</v>
      </c>
    </row>
    <row r="153" spans="1:3" ht="16.5">
      <c r="A153" s="3339"/>
      <c r="B153" s="3118" t="s">
        <v>468</v>
      </c>
      <c r="C153" s="3118">
        <f>SUM(C148:C152)</f>
        <v>216866.24000000005</v>
      </c>
    </row>
    <row r="154" spans="1:3" ht="16.5">
      <c r="A154" s="3339" t="s">
        <v>3299</v>
      </c>
      <c r="B154" s="3117" t="s">
        <v>3293</v>
      </c>
      <c r="C154" s="3117">
        <v>8791.68</v>
      </c>
    </row>
    <row r="155" spans="1:3" ht="16.5">
      <c r="A155" s="3339"/>
      <c r="B155" s="3117" t="s">
        <v>3294</v>
      </c>
      <c r="C155" s="3117">
        <v>16554.439999999999</v>
      </c>
    </row>
    <row r="156" spans="1:3" ht="16.5">
      <c r="A156" s="3339"/>
      <c r="B156" s="3117" t="s">
        <v>3295</v>
      </c>
      <c r="C156" s="3117">
        <v>11269.57</v>
      </c>
    </row>
    <row r="157" spans="1:3" ht="16.5">
      <c r="A157" s="3339"/>
      <c r="B157" s="3117" t="s">
        <v>3296</v>
      </c>
      <c r="C157" s="3117">
        <v>40406.89</v>
      </c>
    </row>
    <row r="158" spans="1:3" ht="16.5">
      <c r="A158" s="3339"/>
      <c r="B158" s="3117" t="s">
        <v>3297</v>
      </c>
      <c r="C158" s="3117" t="s">
        <v>1521</v>
      </c>
    </row>
    <row r="159" spans="1:3" ht="16.5">
      <c r="A159" s="3339"/>
      <c r="B159" s="3118" t="s">
        <v>468</v>
      </c>
      <c r="C159" s="3118">
        <f>SUM(C154:C157)</f>
        <v>77022.58</v>
      </c>
    </row>
    <row r="160" spans="1:3" ht="16.5">
      <c r="A160" s="3339" t="s">
        <v>3300</v>
      </c>
      <c r="B160" s="3117" t="s">
        <v>3293</v>
      </c>
      <c r="C160" s="3117">
        <v>22824.91</v>
      </c>
    </row>
    <row r="161" spans="1:3" ht="16.5">
      <c r="A161" s="3339"/>
      <c r="B161" s="3117" t="s">
        <v>3294</v>
      </c>
      <c r="C161" s="3117">
        <v>43921.59</v>
      </c>
    </row>
    <row r="162" spans="1:3" ht="16.5">
      <c r="A162" s="3339"/>
      <c r="B162" s="3117" t="s">
        <v>3295</v>
      </c>
      <c r="C162" s="3117">
        <v>23889.02</v>
      </c>
    </row>
    <row r="163" spans="1:3" ht="16.5">
      <c r="A163" s="3339"/>
      <c r="B163" s="3117" t="s">
        <v>3296</v>
      </c>
      <c r="C163" s="3117">
        <v>17362.75</v>
      </c>
    </row>
    <row r="164" spans="1:3" ht="16.5">
      <c r="A164" s="3339"/>
      <c r="B164" s="3117" t="s">
        <v>3297</v>
      </c>
      <c r="C164" s="3117" t="s">
        <v>1521</v>
      </c>
    </row>
    <row r="165" spans="1:3" ht="16.5">
      <c r="A165" s="3339"/>
      <c r="B165" s="3118" t="s">
        <v>468</v>
      </c>
      <c r="C165" s="3118">
        <f>SUM(C160:C163)</f>
        <v>107998.27</v>
      </c>
    </row>
    <row r="166" spans="1:3" ht="16.5">
      <c r="A166" s="3339" t="s">
        <v>3301</v>
      </c>
      <c r="B166" s="3117" t="s">
        <v>3293</v>
      </c>
      <c r="C166" s="3117">
        <v>11057.09</v>
      </c>
    </row>
    <row r="167" spans="1:3" ht="16.5">
      <c r="A167" s="3339"/>
      <c r="B167" s="3117" t="s">
        <v>3294</v>
      </c>
      <c r="C167" s="3117" t="s">
        <v>1521</v>
      </c>
    </row>
    <row r="168" spans="1:3" ht="16.5">
      <c r="A168" s="3339"/>
      <c r="B168" s="3117" t="s">
        <v>3295</v>
      </c>
      <c r="C168" s="3117" t="s">
        <v>1521</v>
      </c>
    </row>
    <row r="169" spans="1:3" ht="16.5">
      <c r="A169" s="3339"/>
      <c r="B169" s="3117" t="s">
        <v>3296</v>
      </c>
      <c r="C169" s="3117" t="s">
        <v>1521</v>
      </c>
    </row>
    <row r="170" spans="1:3" ht="16.5">
      <c r="A170" s="3339"/>
      <c r="B170" s="3117" t="s">
        <v>3297</v>
      </c>
      <c r="C170" s="3117" t="s">
        <v>1521</v>
      </c>
    </row>
    <row r="171" spans="1:3" ht="16.5">
      <c r="A171" s="3339"/>
      <c r="B171" s="3118" t="s">
        <v>468</v>
      </c>
      <c r="C171" s="3118">
        <v>11057.09</v>
      </c>
    </row>
    <row r="172" spans="1:3" ht="16.5">
      <c r="A172" s="3339" t="s">
        <v>3302</v>
      </c>
      <c r="B172" s="3117" t="s">
        <v>3293</v>
      </c>
      <c r="C172" s="3117">
        <v>18204.71</v>
      </c>
    </row>
    <row r="173" spans="1:3" ht="16.5">
      <c r="A173" s="3339"/>
      <c r="B173" s="3117" t="s">
        <v>3294</v>
      </c>
      <c r="C173" s="3117">
        <f>48057.69+81.45</f>
        <v>48139.14</v>
      </c>
    </row>
    <row r="174" spans="1:3" ht="16.5">
      <c r="A174" s="3339"/>
      <c r="B174" s="3117" t="s">
        <v>3295</v>
      </c>
      <c r="C174" s="3117" t="s">
        <v>1521</v>
      </c>
    </row>
    <row r="175" spans="1:3" ht="16.5">
      <c r="A175" s="3339"/>
      <c r="B175" s="3117" t="s">
        <v>3296</v>
      </c>
      <c r="C175" s="3117" t="s">
        <v>1521</v>
      </c>
    </row>
    <row r="176" spans="1:3" ht="16.5">
      <c r="A176" s="3339"/>
      <c r="B176" s="3117" t="s">
        <v>3297</v>
      </c>
      <c r="C176" s="3117" t="s">
        <v>1521</v>
      </c>
    </row>
    <row r="177" spans="1:3" ht="16.5">
      <c r="A177" s="3339"/>
      <c r="B177" s="3118" t="s">
        <v>468</v>
      </c>
      <c r="C177" s="3118">
        <f>C172+C173</f>
        <v>66343.850000000006</v>
      </c>
    </row>
    <row r="178" spans="1:3" ht="16.5">
      <c r="A178" s="3340" t="s">
        <v>465</v>
      </c>
      <c r="B178" s="3340"/>
      <c r="C178" s="3120">
        <f>C177+C171+C165+C159+C153+C147</f>
        <v>578161.21000000008</v>
      </c>
    </row>
  </sheetData>
  <mergeCells count="134">
    <mergeCell ref="A160:A165"/>
    <mergeCell ref="A166:A171"/>
    <mergeCell ref="A172:A177"/>
    <mergeCell ref="A178:B178"/>
    <mergeCell ref="P123:P124"/>
    <mergeCell ref="P126:P127"/>
    <mergeCell ref="A129:D129"/>
    <mergeCell ref="A130:D130"/>
    <mergeCell ref="AB4:AC24"/>
    <mergeCell ref="P32:P37"/>
    <mergeCell ref="P39:P44"/>
    <mergeCell ref="P46:P51"/>
    <mergeCell ref="P54:P57"/>
    <mergeCell ref="P59:P62"/>
    <mergeCell ref="P64:P67"/>
    <mergeCell ref="P69:P72"/>
    <mergeCell ref="P75:P78"/>
    <mergeCell ref="G25:G52"/>
    <mergeCell ref="G54:G73"/>
    <mergeCell ref="G75:G94"/>
    <mergeCell ref="G96:G115"/>
    <mergeCell ref="G117:G128"/>
    <mergeCell ref="M4:M23"/>
    <mergeCell ref="M25:M52"/>
    <mergeCell ref="AD4:AE24"/>
    <mergeCell ref="AB25:AC53"/>
    <mergeCell ref="AD25:AE53"/>
    <mergeCell ref="AB54:AC74"/>
    <mergeCell ref="AD54:AE74"/>
    <mergeCell ref="A142:A147"/>
    <mergeCell ref="A148:A153"/>
    <mergeCell ref="A154:A159"/>
    <mergeCell ref="AB75:AC95"/>
    <mergeCell ref="AD75:AE95"/>
    <mergeCell ref="AB96:AC116"/>
    <mergeCell ref="AD96:AE116"/>
    <mergeCell ref="AB117:AC129"/>
    <mergeCell ref="AD117:AE129"/>
    <mergeCell ref="P80:P83"/>
    <mergeCell ref="P85:P88"/>
    <mergeCell ref="P90:P93"/>
    <mergeCell ref="P96:P99"/>
    <mergeCell ref="P101:P104"/>
    <mergeCell ref="P106:P109"/>
    <mergeCell ref="P111:P114"/>
    <mergeCell ref="P117:P118"/>
    <mergeCell ref="P120:P121"/>
    <mergeCell ref="P25:P30"/>
    <mergeCell ref="M54:M73"/>
    <mergeCell ref="M75:M94"/>
    <mergeCell ref="M96:M115"/>
    <mergeCell ref="M117:M128"/>
    <mergeCell ref="AB130:AC130"/>
    <mergeCell ref="A2:A3"/>
    <mergeCell ref="A4:A23"/>
    <mergeCell ref="A25:A52"/>
    <mergeCell ref="A54:A73"/>
    <mergeCell ref="A75:A94"/>
    <mergeCell ref="A96:A115"/>
    <mergeCell ref="A117:A128"/>
    <mergeCell ref="B2:B3"/>
    <mergeCell ref="B4:B8"/>
    <mergeCell ref="B9:B13"/>
    <mergeCell ref="B14:B18"/>
    <mergeCell ref="B19:B23"/>
    <mergeCell ref="B25:B31"/>
    <mergeCell ref="B32:B38"/>
    <mergeCell ref="B39:B45"/>
    <mergeCell ref="B46:B52"/>
    <mergeCell ref="B54:B58"/>
    <mergeCell ref="B59:B63"/>
    <mergeCell ref="B64:B68"/>
    <mergeCell ref="B69:B73"/>
    <mergeCell ref="B75:B79"/>
    <mergeCell ref="C100:D100"/>
    <mergeCell ref="C105:D105"/>
    <mergeCell ref="C110:D110"/>
    <mergeCell ref="C115:D115"/>
    <mergeCell ref="A116:D116"/>
    <mergeCell ref="C119:D119"/>
    <mergeCell ref="C122:D122"/>
    <mergeCell ref="C73:D73"/>
    <mergeCell ref="A74:D74"/>
    <mergeCell ref="C79:D79"/>
    <mergeCell ref="C84:D84"/>
    <mergeCell ref="C89:D89"/>
    <mergeCell ref="C94:D94"/>
    <mergeCell ref="A95:D95"/>
    <mergeCell ref="B80:B84"/>
    <mergeCell ref="B85:B89"/>
    <mergeCell ref="B90:B94"/>
    <mergeCell ref="C125:D125"/>
    <mergeCell ref="C128:D128"/>
    <mergeCell ref="B96:B100"/>
    <mergeCell ref="B101:B105"/>
    <mergeCell ref="B106:B110"/>
    <mergeCell ref="B111:B115"/>
    <mergeCell ref="B117:B119"/>
    <mergeCell ref="B120:B122"/>
    <mergeCell ref="B123:B125"/>
    <mergeCell ref="B126:B128"/>
    <mergeCell ref="A24:D24"/>
    <mergeCell ref="C31:D31"/>
    <mergeCell ref="C38:D38"/>
    <mergeCell ref="C45:D45"/>
    <mergeCell ref="C52:D52"/>
    <mergeCell ref="A53:D53"/>
    <mergeCell ref="C58:D58"/>
    <mergeCell ref="C63:D63"/>
    <mergeCell ref="C68:D68"/>
    <mergeCell ref="A1:AE1"/>
    <mergeCell ref="H2:J2"/>
    <mergeCell ref="K2:N2"/>
    <mergeCell ref="O2:S2"/>
    <mergeCell ref="U2:V2"/>
    <mergeCell ref="W2:X2"/>
    <mergeCell ref="Y2:Z2"/>
    <mergeCell ref="C8:D8"/>
    <mergeCell ref="C13:D13"/>
    <mergeCell ref="C2:C3"/>
    <mergeCell ref="D2:D3"/>
    <mergeCell ref="E2:E3"/>
    <mergeCell ref="F2:F3"/>
    <mergeCell ref="G2:G3"/>
    <mergeCell ref="G4:G23"/>
    <mergeCell ref="P4:P7"/>
    <mergeCell ref="P9:P12"/>
    <mergeCell ref="P14:P17"/>
    <mergeCell ref="P19:P22"/>
    <mergeCell ref="C18:D18"/>
    <mergeCell ref="C23:D23"/>
    <mergeCell ref="AA2:AA3"/>
    <mergeCell ref="AB2:AC3"/>
    <mergeCell ref="AD2:AE3"/>
  </mergeCells>
  <phoneticPr fontId="225" type="noConversion"/>
  <pageMargins left="0.75" right="0.75" top="1" bottom="1" header="0.51180555555555596" footer="0.51180555555555596"/>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S33"/>
  <sheetViews>
    <sheetView view="pageBreakPreview" zoomScale="90" zoomScaleNormal="100" zoomScaleSheetLayoutView="90" workbookViewId="0">
      <selection activeCell="G44" sqref="G44"/>
    </sheetView>
  </sheetViews>
  <sheetFormatPr defaultColWidth="9.25" defaultRowHeight="14.25"/>
  <cols>
    <col min="1" max="1" width="12.125" style="2562" customWidth="1"/>
    <col min="2" max="2" width="10.25" style="2562" customWidth="1"/>
    <col min="3" max="3" width="18.5" style="2562" customWidth="1"/>
    <col min="4" max="4" width="11.625" style="2562" customWidth="1"/>
    <col min="5" max="5" width="13.375" style="2562" customWidth="1"/>
    <col min="6" max="8" width="11.5" style="2562" customWidth="1"/>
    <col min="9" max="9" width="11.125" style="2562" customWidth="1"/>
    <col min="10" max="10" width="3.125" style="2562" customWidth="1"/>
    <col min="11" max="16" width="10" style="2562" customWidth="1"/>
    <col min="17" max="17" width="2.625" style="2562" customWidth="1"/>
    <col min="18" max="18" width="9.375" style="2562" customWidth="1"/>
    <col min="19" max="19" width="10.5" style="2562" customWidth="1"/>
    <col min="20" max="16384" width="9.25" style="2562"/>
  </cols>
  <sheetData>
    <row r="1" spans="1:16" ht="18.75">
      <c r="A1" s="2035" t="s">
        <v>483</v>
      </c>
      <c r="B1" s="2107"/>
      <c r="C1" s="2107"/>
      <c r="D1" s="2107"/>
      <c r="E1" s="2107"/>
      <c r="F1" s="2107"/>
      <c r="G1" s="2107"/>
      <c r="H1" s="2107"/>
      <c r="I1" s="2107"/>
      <c r="J1" s="2107"/>
      <c r="K1" s="2107"/>
      <c r="L1" s="2107"/>
      <c r="M1" s="2107"/>
      <c r="N1" s="2107"/>
      <c r="O1" s="2107"/>
      <c r="P1" s="2107"/>
    </row>
    <row r="2" spans="1:16" ht="15">
      <c r="A2" s="3353" t="s">
        <v>484</v>
      </c>
      <c r="B2" s="3353"/>
      <c r="C2" s="3353"/>
      <c r="D2" s="1953" t="s">
        <v>485</v>
      </c>
      <c r="E2" s="2563" t="s">
        <v>486</v>
      </c>
      <c r="F2" s="2107"/>
      <c r="G2" s="2564"/>
      <c r="H2" s="2565"/>
      <c r="I2" s="2287" t="s">
        <v>487</v>
      </c>
      <c r="J2" s="2107"/>
      <c r="K2" s="2107"/>
      <c r="L2" s="2107"/>
      <c r="M2" s="2107"/>
      <c r="N2" s="1442"/>
      <c r="O2" s="2107"/>
      <c r="P2" s="2107"/>
    </row>
    <row r="3" spans="1:16" ht="15">
      <c r="A3" s="3354" t="s">
        <v>488</v>
      </c>
      <c r="B3" s="3354"/>
      <c r="C3" s="3354"/>
      <c r="D3" s="2566">
        <f>'数据-基础表'!AY6</f>
        <v>45839.15</v>
      </c>
      <c r="E3" s="2566">
        <f>'数据-基础表'!AZ5</f>
        <v>98873.18</v>
      </c>
      <c r="F3" s="2107"/>
      <c r="G3" s="2567"/>
      <c r="H3" s="2060" t="s">
        <v>489</v>
      </c>
      <c r="I3" s="1085">
        <f>ROUND('数据-基础表'!B3/'数据-基础表'!A3,2)</f>
        <v>2.16</v>
      </c>
      <c r="J3" s="2107"/>
      <c r="K3" s="2107"/>
      <c r="L3" s="2107"/>
      <c r="M3" s="2107"/>
      <c r="N3" s="1442"/>
      <c r="O3" s="2107"/>
      <c r="P3" s="2107"/>
    </row>
    <row r="4" spans="1:16" ht="15">
      <c r="A4" s="3355"/>
      <c r="B4" s="3356"/>
      <c r="C4" s="3357"/>
      <c r="D4" s="2568" t="s">
        <v>485</v>
      </c>
      <c r="E4" s="2569" t="s">
        <v>486</v>
      </c>
      <c r="F4" s="2107"/>
      <c r="G4" s="2570" t="s">
        <v>490</v>
      </c>
      <c r="H4" s="2060" t="s">
        <v>491</v>
      </c>
      <c r="I4" s="1085">
        <f>ROUND(SUMIF('数据-基础表'!I9:AS9,"地上",'数据-基础表'!I5:AS5)/'数据-基础表'!A3,2)</f>
        <v>2.16</v>
      </c>
      <c r="J4" s="2107"/>
      <c r="K4" s="2107"/>
      <c r="L4" s="2107"/>
      <c r="M4" s="2107"/>
      <c r="N4" s="1442"/>
      <c r="O4" s="2107"/>
      <c r="P4" s="2107"/>
    </row>
    <row r="5" spans="1:16">
      <c r="A5" s="2571" t="s">
        <v>492</v>
      </c>
      <c r="B5" s="3358" t="s">
        <v>347</v>
      </c>
      <c r="C5" s="3358"/>
      <c r="D5" s="2572">
        <f>ROUND($D$3*E5/$E$3,2)</f>
        <v>0</v>
      </c>
      <c r="E5" s="2573">
        <f>SUMIF('数据-基础表'!$11:$11,"住宅",'数据-基础表'!$5:$5)</f>
        <v>0</v>
      </c>
      <c r="F5" s="2107"/>
      <c r="G5" s="2567"/>
      <c r="H5" s="2060" t="s">
        <v>489</v>
      </c>
      <c r="I5" s="1085">
        <f>ROUND(E31/D31,2)</f>
        <v>2.16</v>
      </c>
      <c r="J5" s="2107"/>
      <c r="K5" s="2107"/>
      <c r="L5" s="2107"/>
      <c r="M5" s="2107"/>
      <c r="N5" s="2107"/>
      <c r="O5" s="2107"/>
      <c r="P5" s="2107"/>
    </row>
    <row r="6" spans="1:16">
      <c r="A6" s="2574"/>
      <c r="B6" s="3358" t="s">
        <v>493</v>
      </c>
      <c r="C6" s="3358"/>
      <c r="D6" s="2572">
        <f>ROUND($D$3*E6/$E$3,2)</f>
        <v>45839.15</v>
      </c>
      <c r="E6" s="2573">
        <f>E3-E5</f>
        <v>98873.18</v>
      </c>
      <c r="F6" s="2107"/>
      <c r="G6" s="2575" t="s">
        <v>394</v>
      </c>
      <c r="H6" s="2567" t="s">
        <v>491</v>
      </c>
      <c r="I6" s="2620">
        <f>ROUND(F31/D31,2)</f>
        <v>2.16</v>
      </c>
      <c r="J6" s="2107"/>
      <c r="K6" s="2107"/>
      <c r="L6" s="2107"/>
      <c r="M6" s="2107"/>
      <c r="N6" s="2107"/>
      <c r="O6" s="2107"/>
      <c r="P6" s="2107"/>
    </row>
    <row r="7" spans="1:16" ht="15">
      <c r="A7" s="3344"/>
      <c r="B7" s="3345"/>
      <c r="C7" s="3346"/>
      <c r="D7" s="2568" t="s">
        <v>485</v>
      </c>
      <c r="E7" s="2576" t="s">
        <v>494</v>
      </c>
      <c r="F7" s="2107"/>
      <c r="G7" s="2564" t="s">
        <v>495</v>
      </c>
      <c r="H7" s="2049"/>
      <c r="I7" s="3161">
        <v>2.16</v>
      </c>
      <c r="J7" s="2107"/>
      <c r="K7" s="3162" t="s">
        <v>3375</v>
      </c>
      <c r="L7" s="2107"/>
      <c r="M7" s="2107"/>
      <c r="N7" s="2107"/>
      <c r="O7" s="2107"/>
      <c r="P7" s="2107"/>
    </row>
    <row r="8" spans="1:16">
      <c r="A8" s="2571" t="s">
        <v>496</v>
      </c>
      <c r="B8" s="2577" t="s">
        <v>497</v>
      </c>
      <c r="C8" s="2572" t="s">
        <v>498</v>
      </c>
      <c r="D8" s="2572">
        <f t="shared" ref="D8:D15" si="0">ROUND($D$3*E8/$E$3,2)</f>
        <v>45839.15</v>
      </c>
      <c r="E8" s="2578">
        <f>SUMIF('数据-基础表'!BB10:BK10,"地上",'数据-基础表'!BB5:BK5)</f>
        <v>98873.18</v>
      </c>
      <c r="F8" s="2107"/>
      <c r="G8" s="2579"/>
      <c r="H8" s="2579"/>
      <c r="I8" s="2107"/>
      <c r="J8" s="2107"/>
      <c r="K8" s="2107"/>
      <c r="L8" s="2107"/>
      <c r="M8" s="2107"/>
      <c r="N8" s="2107"/>
      <c r="O8" s="2107"/>
      <c r="P8" s="2107"/>
    </row>
    <row r="9" spans="1:16">
      <c r="A9" s="2580"/>
      <c r="B9" s="2581"/>
      <c r="C9" s="2572" t="s">
        <v>499</v>
      </c>
      <c r="D9" s="2572">
        <f t="shared" si="0"/>
        <v>0</v>
      </c>
      <c r="E9" s="2582">
        <v>0</v>
      </c>
      <c r="F9" s="2107"/>
      <c r="G9" s="2579"/>
      <c r="H9" s="2579"/>
      <c r="I9" s="2107"/>
      <c r="J9" s="2107"/>
      <c r="K9" s="2107"/>
      <c r="L9" s="2107"/>
      <c r="M9" s="2107"/>
      <c r="N9" s="2107"/>
      <c r="O9" s="2107"/>
      <c r="P9" s="2107"/>
    </row>
    <row r="10" spans="1:16">
      <c r="A10" s="2580"/>
      <c r="B10" s="2581"/>
      <c r="C10" s="2572" t="s">
        <v>500</v>
      </c>
      <c r="D10" s="2572">
        <f t="shared" si="0"/>
        <v>0</v>
      </c>
      <c r="E10" s="2578">
        <f>SUMPRODUCT(('数据-基础表'!BB10:BK10="地下")*('数据-基础表'!BB11:BK11="商业")*('数据-基础表'!BB5:BK5))</f>
        <v>0</v>
      </c>
      <c r="F10" s="2107"/>
      <c r="G10" s="2579"/>
      <c r="H10" s="2579"/>
      <c r="I10" s="2107"/>
      <c r="J10" s="2107"/>
      <c r="K10" s="2107"/>
      <c r="L10" s="2107"/>
      <c r="M10" s="2107"/>
      <c r="N10" s="2107"/>
      <c r="O10" s="2107"/>
      <c r="P10" s="2107"/>
    </row>
    <row r="11" spans="1:16">
      <c r="A11" s="2580"/>
      <c r="B11" s="2581"/>
      <c r="C11" s="2572" t="s">
        <v>501</v>
      </c>
      <c r="D11" s="2572">
        <f t="shared" si="0"/>
        <v>0</v>
      </c>
      <c r="E11" s="2578">
        <f>SUMPRODUCT(('数据-基础表'!BB10:BK10="地下")*('数据-基础表'!BB11:BK11="办公")*('数据-基础表'!BB5:BK5))+'数据-基础表'!BP5</f>
        <v>0</v>
      </c>
      <c r="F11" s="2107"/>
      <c r="G11" s="2579"/>
      <c r="H11" s="2579"/>
      <c r="I11" s="2107"/>
      <c r="J11" s="2107"/>
      <c r="K11" s="2107"/>
      <c r="L11" s="2107"/>
      <c r="M11" s="2107"/>
      <c r="N11" s="2107"/>
      <c r="O11" s="2107"/>
      <c r="P11" s="2107"/>
    </row>
    <row r="12" spans="1:16">
      <c r="A12" s="2580"/>
      <c r="B12" s="2581"/>
      <c r="C12" s="2572" t="s">
        <v>502</v>
      </c>
      <c r="D12" s="2572">
        <f t="shared" si="0"/>
        <v>0</v>
      </c>
      <c r="E12" s="2578">
        <f>SUMPRODUCT(('数据-基础表'!BB10:BK10="地下")*('数据-基础表'!BB11:BK11="仓储")*('数据-基础表'!BB5:BK5))</f>
        <v>0</v>
      </c>
      <c r="F12" s="2107"/>
      <c r="G12" s="2579"/>
      <c r="H12" s="2579"/>
      <c r="I12" s="2107"/>
      <c r="J12" s="2107"/>
      <c r="K12" s="2107"/>
      <c r="L12" s="2107"/>
      <c r="M12" s="2107"/>
      <c r="N12" s="2107"/>
      <c r="O12" s="2107"/>
      <c r="P12" s="2107"/>
    </row>
    <row r="13" spans="1:16">
      <c r="A13" s="2580"/>
      <c r="B13" s="2581"/>
      <c r="C13" s="2572" t="s">
        <v>503</v>
      </c>
      <c r="D13" s="2572">
        <f t="shared" si="0"/>
        <v>0</v>
      </c>
      <c r="E13" s="2578">
        <f>SUMPRODUCT(('数据-基础表'!BB10:BK10="地下")*('数据-基础表'!BB11:BK11="车库")*('数据-基础表'!BB5:BK5))</f>
        <v>0</v>
      </c>
      <c r="F13" s="2107"/>
      <c r="G13" s="2579"/>
      <c r="H13" s="2579"/>
      <c r="I13" s="2107"/>
      <c r="J13" s="2107"/>
      <c r="K13" s="2107"/>
      <c r="L13" s="2107"/>
      <c r="M13" s="2107"/>
      <c r="N13" s="2107"/>
      <c r="O13" s="2107"/>
      <c r="P13" s="2107"/>
    </row>
    <row r="14" spans="1:16">
      <c r="A14" s="2580"/>
      <c r="B14" s="2581"/>
      <c r="C14" s="2572" t="s">
        <v>504</v>
      </c>
      <c r="D14" s="2572">
        <f t="shared" si="0"/>
        <v>0</v>
      </c>
      <c r="E14" s="2578">
        <f>SUMPRODUCT(('数据-基础表'!BB10:BK10="地下")*('数据-基础表'!BB11:BK11="车库—商业")*('数据-基础表'!BB5:BK5))</f>
        <v>0</v>
      </c>
      <c r="F14" s="2107"/>
      <c r="G14" s="2579"/>
      <c r="H14" s="2579"/>
      <c r="I14" s="2107"/>
      <c r="J14" s="2107"/>
      <c r="K14" s="2107"/>
      <c r="L14" s="2107"/>
      <c r="M14" s="2107"/>
      <c r="N14" s="2107"/>
      <c r="O14" s="2107"/>
      <c r="P14" s="2107"/>
    </row>
    <row r="15" spans="1:16">
      <c r="A15" s="2580"/>
      <c r="B15" s="2581"/>
      <c r="C15" s="2572" t="s">
        <v>505</v>
      </c>
      <c r="D15" s="2572">
        <f t="shared" si="0"/>
        <v>0</v>
      </c>
      <c r="E15" s="2578">
        <f>SUMPRODUCT(('数据-基础表'!BB10:BK10="地下")*('数据-基础表'!BB11:BK11="车库—办公")*('数据-基础表'!BB5:BK5))</f>
        <v>0</v>
      </c>
      <c r="F15" s="2107"/>
      <c r="G15" s="2579"/>
      <c r="H15" s="2579"/>
      <c r="I15" s="2107"/>
      <c r="J15" s="2107"/>
      <c r="K15" s="2107"/>
      <c r="L15" s="2107"/>
      <c r="M15" s="2107"/>
      <c r="N15" s="2107"/>
      <c r="O15" s="2107"/>
      <c r="P15" s="2107"/>
    </row>
    <row r="16" spans="1:16" ht="15">
      <c r="A16" s="2574"/>
      <c r="B16" s="2581"/>
      <c r="C16" s="2577" t="s">
        <v>506</v>
      </c>
      <c r="D16" s="2577">
        <f>SUM(D8:D15)</f>
        <v>45839.15</v>
      </c>
      <c r="E16" s="2583">
        <f>SUM(E8:E15)</f>
        <v>98873.18</v>
      </c>
      <c r="F16" s="2107"/>
      <c r="G16" s="2579"/>
      <c r="H16" s="2584" t="s">
        <v>507</v>
      </c>
      <c r="I16" s="2621"/>
      <c r="J16" s="2107"/>
      <c r="K16" s="3347" t="s">
        <v>507</v>
      </c>
      <c r="L16" s="3348"/>
      <c r="M16" s="3348"/>
      <c r="N16" s="3348"/>
      <c r="O16" s="3348"/>
      <c r="P16" s="3349"/>
    </row>
    <row r="17" spans="1:19" ht="15">
      <c r="A17" s="2530" t="s">
        <v>508</v>
      </c>
      <c r="B17" s="2585" t="s">
        <v>509</v>
      </c>
      <c r="C17" s="2529" t="s">
        <v>510</v>
      </c>
      <c r="D17" s="2586" t="s">
        <v>485</v>
      </c>
      <c r="E17" s="2587" t="s">
        <v>486</v>
      </c>
      <c r="F17" s="2588"/>
      <c r="G17" s="2589"/>
      <c r="H17" s="2590" t="s">
        <v>511</v>
      </c>
      <c r="I17" s="2622" t="s">
        <v>512</v>
      </c>
      <c r="J17" s="2107"/>
      <c r="K17" s="3350" t="s">
        <v>513</v>
      </c>
      <c r="L17" s="3351"/>
      <c r="M17" s="3352"/>
      <c r="N17" s="3350" t="s">
        <v>514</v>
      </c>
      <c r="O17" s="3351"/>
      <c r="P17" s="3352"/>
      <c r="R17" s="2564" t="s">
        <v>515</v>
      </c>
      <c r="S17" s="2049"/>
    </row>
    <row r="18" spans="1:19" ht="15">
      <c r="A18" s="2580"/>
      <c r="B18" s="2591"/>
      <c r="C18" s="2592"/>
      <c r="D18" s="2593"/>
      <c r="E18" s="2594" t="s">
        <v>516</v>
      </c>
      <c r="F18" s="2595" t="s">
        <v>491</v>
      </c>
      <c r="G18" s="2596" t="s">
        <v>517</v>
      </c>
      <c r="H18" s="2535" t="s">
        <v>518</v>
      </c>
      <c r="I18" s="2623" t="s">
        <v>519</v>
      </c>
      <c r="J18" s="2107"/>
      <c r="K18" s="2535" t="s">
        <v>520</v>
      </c>
      <c r="L18" s="2270" t="s">
        <v>521</v>
      </c>
      <c r="M18" s="2271" t="s">
        <v>522</v>
      </c>
      <c r="N18" s="2535" t="s">
        <v>520</v>
      </c>
      <c r="O18" s="2270" t="s">
        <v>521</v>
      </c>
      <c r="P18" s="2271" t="s">
        <v>522</v>
      </c>
      <c r="R18" s="2060" t="s">
        <v>518</v>
      </c>
      <c r="S18" s="2060" t="s">
        <v>519</v>
      </c>
    </row>
    <row r="19" spans="1:19">
      <c r="A19" s="2597"/>
      <c r="B19" s="2577" t="s">
        <v>523</v>
      </c>
      <c r="C19" s="3150" t="s">
        <v>3341</v>
      </c>
      <c r="D19" s="2572">
        <f>ROUND($D$3*E19/$E$3,2)</f>
        <v>2003.82</v>
      </c>
      <c r="E19" s="2598">
        <f t="shared" ref="E19:E26" si="1">SUM(F19:G19)</f>
        <v>4322.1499999999996</v>
      </c>
      <c r="F19" s="2599">
        <f>'数据-基础表'!I13</f>
        <v>4322.1499999999996</v>
      </c>
      <c r="G19" s="2600"/>
      <c r="H19" s="2519">
        <f>ROUND($D$3*I19/$E$3,2)</f>
        <v>0</v>
      </c>
      <c r="I19" s="2578">
        <f t="shared" ref="I19:I26" si="2">IF($I$17="自定义",P19,M19)</f>
        <v>0</v>
      </c>
      <c r="J19" s="2107"/>
      <c r="K19" s="2624">
        <f t="shared" ref="K19:K26" si="3">ROUND(E$28*E19/E$27,2)</f>
        <v>0</v>
      </c>
      <c r="L19" s="2060">
        <f t="shared" ref="L19:L26" si="4">ROUND(IF(COUNTIF(C19,"*住宅*")&gt;0,E$29*E19/E$32,0),2)</f>
        <v>0</v>
      </c>
      <c r="M19" s="2625">
        <f>K19+L19</f>
        <v>0</v>
      </c>
      <c r="N19" s="2626"/>
      <c r="O19" s="2627"/>
      <c r="P19" s="2625">
        <f>N19+O19</f>
        <v>0</v>
      </c>
      <c r="R19" s="2060">
        <f t="shared" ref="R19:S26" si="5">D19+H19</f>
        <v>2003.82</v>
      </c>
      <c r="S19" s="2636">
        <f t="shared" si="5"/>
        <v>4322.1499999999996</v>
      </c>
    </row>
    <row r="20" spans="1:19">
      <c r="A20" s="2601"/>
      <c r="B20" s="2577" t="s">
        <v>523</v>
      </c>
      <c r="C20" s="3150" t="s">
        <v>3343</v>
      </c>
      <c r="D20" s="2572">
        <f t="shared" ref="D20:D26" si="6">ROUND($D$3*E20/$E$3,2)</f>
        <v>8354.7999999999993</v>
      </c>
      <c r="E20" s="2598">
        <f t="shared" si="1"/>
        <v>18020.97</v>
      </c>
      <c r="F20" s="2599">
        <f>'数据-基础表'!I14</f>
        <v>18020.97</v>
      </c>
      <c r="G20" s="2600"/>
      <c r="H20" s="2519">
        <f t="shared" ref="H20:H26" si="7">ROUND($D$3*I20/$E$3,2)</f>
        <v>0</v>
      </c>
      <c r="I20" s="2578">
        <f t="shared" si="2"/>
        <v>0</v>
      </c>
      <c r="J20" s="2107"/>
      <c r="K20" s="2624">
        <f t="shared" si="3"/>
        <v>0</v>
      </c>
      <c r="L20" s="2060">
        <f t="shared" si="4"/>
        <v>0</v>
      </c>
      <c r="M20" s="2625">
        <f t="shared" ref="M20:M26" si="8">K20+L20</f>
        <v>0</v>
      </c>
      <c r="N20" s="2626"/>
      <c r="O20" s="2627"/>
      <c r="P20" s="2625">
        <f t="shared" ref="P20:P26" si="9">N20+O20</f>
        <v>0</v>
      </c>
      <c r="R20" s="2060">
        <f t="shared" si="5"/>
        <v>8354.7999999999993</v>
      </c>
      <c r="S20" s="2636">
        <f t="shared" si="5"/>
        <v>18020.97</v>
      </c>
    </row>
    <row r="21" spans="1:19">
      <c r="A21" s="2601"/>
      <c r="B21" s="2577" t="s">
        <v>523</v>
      </c>
      <c r="C21" s="3150" t="s">
        <v>3345</v>
      </c>
      <c r="D21" s="2572">
        <f t="shared" si="6"/>
        <v>25811.38</v>
      </c>
      <c r="E21" s="2598">
        <f t="shared" si="1"/>
        <v>55674.09</v>
      </c>
      <c r="F21" s="2599">
        <f>'数据-基础表'!I15</f>
        <v>55674.09</v>
      </c>
      <c r="G21" s="2600"/>
      <c r="H21" s="2519">
        <f t="shared" si="7"/>
        <v>0</v>
      </c>
      <c r="I21" s="2578">
        <f t="shared" si="2"/>
        <v>0</v>
      </c>
      <c r="J21" s="2107"/>
      <c r="K21" s="2624">
        <f t="shared" si="3"/>
        <v>0</v>
      </c>
      <c r="L21" s="2060">
        <f t="shared" si="4"/>
        <v>0</v>
      </c>
      <c r="M21" s="2625">
        <f t="shared" si="8"/>
        <v>0</v>
      </c>
      <c r="N21" s="2626"/>
      <c r="O21" s="2627"/>
      <c r="P21" s="2625">
        <f t="shared" si="9"/>
        <v>0</v>
      </c>
      <c r="R21" s="2060">
        <f t="shared" si="5"/>
        <v>25811.38</v>
      </c>
      <c r="S21" s="2636">
        <f t="shared" si="5"/>
        <v>55674.09</v>
      </c>
    </row>
    <row r="22" spans="1:19">
      <c r="A22" s="2601"/>
      <c r="B22" s="2577" t="s">
        <v>523</v>
      </c>
      <c r="C22" s="3151" t="s">
        <v>3347</v>
      </c>
      <c r="D22" s="2572">
        <f t="shared" si="6"/>
        <v>9669.15</v>
      </c>
      <c r="E22" s="2598">
        <f t="shared" si="1"/>
        <v>20855.97</v>
      </c>
      <c r="F22" s="2599">
        <f>'数据-基础表'!I16</f>
        <v>20855.97</v>
      </c>
      <c r="G22" s="2603"/>
      <c r="H22" s="2519">
        <f t="shared" si="7"/>
        <v>0</v>
      </c>
      <c r="I22" s="2578">
        <f t="shared" si="2"/>
        <v>0</v>
      </c>
      <c r="J22" s="2107"/>
      <c r="K22" s="2624">
        <f t="shared" si="3"/>
        <v>0</v>
      </c>
      <c r="L22" s="2060">
        <f t="shared" si="4"/>
        <v>0</v>
      </c>
      <c r="M22" s="2625">
        <f t="shared" si="8"/>
        <v>0</v>
      </c>
      <c r="N22" s="2626"/>
      <c r="O22" s="2627"/>
      <c r="P22" s="2625">
        <f t="shared" si="9"/>
        <v>0</v>
      </c>
      <c r="R22" s="2060">
        <f t="shared" si="5"/>
        <v>9669.15</v>
      </c>
      <c r="S22" s="2636">
        <f t="shared" si="5"/>
        <v>20855.97</v>
      </c>
    </row>
    <row r="23" spans="1:19">
      <c r="A23" s="2601"/>
      <c r="B23" s="2577" t="s">
        <v>523</v>
      </c>
      <c r="C23" s="3151"/>
      <c r="D23" s="2572">
        <f t="shared" si="6"/>
        <v>0</v>
      </c>
      <c r="E23" s="2598">
        <f t="shared" si="1"/>
        <v>0</v>
      </c>
      <c r="F23" s="2602"/>
      <c r="G23" s="2603"/>
      <c r="H23" s="2519">
        <f t="shared" si="7"/>
        <v>0</v>
      </c>
      <c r="I23" s="2578">
        <f t="shared" si="2"/>
        <v>0</v>
      </c>
      <c r="J23" s="2107"/>
      <c r="K23" s="2624">
        <f t="shared" si="3"/>
        <v>0</v>
      </c>
      <c r="L23" s="2060">
        <f t="shared" si="4"/>
        <v>0</v>
      </c>
      <c r="M23" s="2625">
        <f t="shared" si="8"/>
        <v>0</v>
      </c>
      <c r="N23" s="2626"/>
      <c r="O23" s="2627"/>
      <c r="P23" s="2625">
        <f t="shared" si="9"/>
        <v>0</v>
      </c>
      <c r="R23" s="2060">
        <f t="shared" si="5"/>
        <v>0</v>
      </c>
      <c r="S23" s="2636">
        <f t="shared" si="5"/>
        <v>0</v>
      </c>
    </row>
    <row r="24" spans="1:19">
      <c r="A24" s="2601"/>
      <c r="B24" s="2577" t="s">
        <v>523</v>
      </c>
      <c r="C24" s="3151"/>
      <c r="D24" s="2572">
        <f t="shared" si="6"/>
        <v>0</v>
      </c>
      <c r="E24" s="2598">
        <f t="shared" si="1"/>
        <v>0</v>
      </c>
      <c r="F24" s="2602"/>
      <c r="G24" s="2603"/>
      <c r="H24" s="2519">
        <f t="shared" si="7"/>
        <v>0</v>
      </c>
      <c r="I24" s="2578">
        <f t="shared" si="2"/>
        <v>0</v>
      </c>
      <c r="J24" s="2107"/>
      <c r="K24" s="2624">
        <f t="shared" si="3"/>
        <v>0</v>
      </c>
      <c r="L24" s="2060">
        <f t="shared" si="4"/>
        <v>0</v>
      </c>
      <c r="M24" s="2625">
        <f t="shared" si="8"/>
        <v>0</v>
      </c>
      <c r="N24" s="2626"/>
      <c r="O24" s="2627"/>
      <c r="P24" s="2625">
        <f t="shared" si="9"/>
        <v>0</v>
      </c>
      <c r="R24" s="2060">
        <f t="shared" si="5"/>
        <v>0</v>
      </c>
      <c r="S24" s="2636">
        <f t="shared" si="5"/>
        <v>0</v>
      </c>
    </row>
    <row r="25" spans="1:19">
      <c r="A25" s="2601"/>
      <c r="B25" s="2577" t="s">
        <v>523</v>
      </c>
      <c r="C25" s="3151"/>
      <c r="D25" s="2572">
        <f t="shared" si="6"/>
        <v>0</v>
      </c>
      <c r="E25" s="2598">
        <f t="shared" si="1"/>
        <v>0</v>
      </c>
      <c r="F25" s="2602"/>
      <c r="G25" s="2603"/>
      <c r="H25" s="2571">
        <f t="shared" si="7"/>
        <v>0</v>
      </c>
      <c r="I25" s="2578">
        <f t="shared" si="2"/>
        <v>0</v>
      </c>
      <c r="J25" s="2107"/>
      <c r="K25" s="2624">
        <f t="shared" si="3"/>
        <v>0</v>
      </c>
      <c r="L25" s="2060">
        <f t="shared" si="4"/>
        <v>0</v>
      </c>
      <c r="M25" s="2625">
        <f t="shared" si="8"/>
        <v>0</v>
      </c>
      <c r="N25" s="2626"/>
      <c r="O25" s="2627"/>
      <c r="P25" s="2625">
        <f t="shared" si="9"/>
        <v>0</v>
      </c>
      <c r="R25" s="2060">
        <f t="shared" si="5"/>
        <v>0</v>
      </c>
      <c r="S25" s="2636">
        <f t="shared" si="5"/>
        <v>0</v>
      </c>
    </row>
    <row r="26" spans="1:19">
      <c r="A26" s="2601"/>
      <c r="B26" s="2577" t="s">
        <v>523</v>
      </c>
      <c r="C26" s="2604"/>
      <c r="D26" s="2572">
        <f t="shared" si="6"/>
        <v>0</v>
      </c>
      <c r="E26" s="2598">
        <f t="shared" si="1"/>
        <v>0</v>
      </c>
      <c r="F26" s="2602"/>
      <c r="G26" s="2603"/>
      <c r="H26" s="2571">
        <f t="shared" si="7"/>
        <v>0</v>
      </c>
      <c r="I26" s="2578">
        <f t="shared" si="2"/>
        <v>0</v>
      </c>
      <c r="J26" s="2107"/>
      <c r="K26" s="2628">
        <f t="shared" si="3"/>
        <v>0</v>
      </c>
      <c r="L26" s="2567">
        <f t="shared" si="4"/>
        <v>0</v>
      </c>
      <c r="M26" s="2611">
        <f t="shared" si="8"/>
        <v>0</v>
      </c>
      <c r="N26" s="2629"/>
      <c r="O26" s="2630"/>
      <c r="P26" s="2611">
        <f t="shared" si="9"/>
        <v>0</v>
      </c>
      <c r="R26" s="2060">
        <f t="shared" si="5"/>
        <v>0</v>
      </c>
      <c r="S26" s="2636">
        <f t="shared" si="5"/>
        <v>0</v>
      </c>
    </row>
    <row r="27" spans="1:19" ht="15">
      <c r="A27" s="2601"/>
      <c r="B27" s="2572"/>
      <c r="C27" s="2261" t="s">
        <v>524</v>
      </c>
      <c r="D27" s="2605">
        <f>SUM(D19:D26)</f>
        <v>45839.15</v>
      </c>
      <c r="E27" s="2606">
        <f>IF(SUM(E19:E26)='数据-基础表'!BA5,SUM(E19:E26),IF(F27="地上面积有误","面积有误","地下面积有误"))</f>
        <v>98873.18</v>
      </c>
      <c r="F27" s="2605">
        <f>IF(SUM(F19:F26)=E8,SUM(F19:F26),"地上面积有误")</f>
        <v>98873.18</v>
      </c>
      <c r="G27" s="2607">
        <f>SUM(G19:G26)</f>
        <v>0</v>
      </c>
      <c r="H27" s="2608">
        <f>SUM(H19:H26)</f>
        <v>0</v>
      </c>
      <c r="I27" s="2631">
        <f>SUM(I19:I26)</f>
        <v>0</v>
      </c>
      <c r="J27" s="2107"/>
      <c r="K27" s="2632">
        <f>SUM(K19:K26)</f>
        <v>0</v>
      </c>
      <c r="L27" s="2633">
        <f>SUM(L19:L26)</f>
        <v>0</v>
      </c>
      <c r="M27" s="2634">
        <f>SUM(M19:M26)</f>
        <v>0</v>
      </c>
      <c r="N27" s="2632">
        <f t="shared" ref="N27:P27" si="10">SUM(N19:N26)</f>
        <v>0</v>
      </c>
      <c r="O27" s="2633">
        <f t="shared" si="10"/>
        <v>0</v>
      </c>
      <c r="P27" s="2635">
        <f t="shared" si="10"/>
        <v>0</v>
      </c>
      <c r="R27" s="2556">
        <f>IF(SUM(R19:R26)=$D$3,SUM(R19:R26),SUM(R19:R26)&amp;"误差"&amp;ROUND(SUM(R19:R26)-$D$3,2))</f>
        <v>45839.15</v>
      </c>
      <c r="S27" s="2060">
        <f>IF(SUM(S19:S26)=$E$3,SUM(S19:S26),SUM(S19:S26)&amp;"误差"&amp;ROUND(SUM(S19:S26)-E3,2))</f>
        <v>98873.18</v>
      </c>
    </row>
    <row r="28" spans="1:19">
      <c r="A28" s="2601"/>
      <c r="B28" s="2577" t="s">
        <v>525</v>
      </c>
      <c r="C28" s="2538" t="s">
        <v>526</v>
      </c>
      <c r="D28" s="2572">
        <f>ROUND($D$3*E28/$E$3,2)</f>
        <v>0</v>
      </c>
      <c r="E28" s="2598">
        <f>SUM(F28:G28)</f>
        <v>0</v>
      </c>
      <c r="F28" s="2049">
        <f>'数据-基础表'!BQ5+'数据-基础表'!BS5</f>
        <v>0</v>
      </c>
      <c r="G28" s="2609">
        <f>'数据-基础表'!BR5+'数据-基础表'!BT5</f>
        <v>0</v>
      </c>
      <c r="H28" s="2107"/>
      <c r="I28" s="2107"/>
      <c r="J28" s="2107"/>
      <c r="K28" s="2107"/>
      <c r="L28" s="2107"/>
      <c r="M28" s="2107"/>
      <c r="N28" s="2107"/>
      <c r="O28" s="2107"/>
      <c r="P28" s="2107"/>
    </row>
    <row r="29" spans="1:19">
      <c r="A29" s="2601"/>
      <c r="B29" s="2577" t="s">
        <v>525</v>
      </c>
      <c r="C29" s="2105" t="s">
        <v>527</v>
      </c>
      <c r="D29" s="2572">
        <f>ROUND($D$3*E29/$E$3,2)</f>
        <v>0</v>
      </c>
      <c r="E29" s="2598">
        <f>SUM(F29:G29)</f>
        <v>0</v>
      </c>
      <c r="F29" s="2610">
        <f>'数据-基础表'!BM5+'数据-基础表'!BO5</f>
        <v>0</v>
      </c>
      <c r="G29" s="2611">
        <f>'数据-基础表'!BN5+'数据-基础表'!BP5</f>
        <v>0</v>
      </c>
      <c r="H29" s="2107"/>
      <c r="I29" s="2107"/>
      <c r="J29" s="2107"/>
      <c r="K29" s="2107"/>
      <c r="L29" s="2107"/>
      <c r="M29" s="2107"/>
      <c r="N29" s="2107"/>
      <c r="O29" s="2107"/>
      <c r="P29" s="2107"/>
    </row>
    <row r="30" spans="1:19" ht="15">
      <c r="A30" s="2601"/>
      <c r="B30" s="2577"/>
      <c r="C30" s="2612" t="s">
        <v>524</v>
      </c>
      <c r="D30" s="2605">
        <f>SUM(D28:D29)</f>
        <v>0</v>
      </c>
      <c r="E30" s="2605">
        <f>SUM(E28:E29)</f>
        <v>0</v>
      </c>
      <c r="F30" s="2605">
        <f>SUM(F28:F29)</f>
        <v>0</v>
      </c>
      <c r="G30" s="2607">
        <f>SUM(G28:G29)</f>
        <v>0</v>
      </c>
      <c r="H30" s="2107"/>
      <c r="I30" s="2107"/>
      <c r="J30" s="2107"/>
      <c r="K30" s="2107"/>
      <c r="L30" s="2107"/>
      <c r="M30" s="2107"/>
      <c r="N30" s="2107"/>
      <c r="O30" s="2107"/>
      <c r="P30" s="2107"/>
    </row>
    <row r="31" spans="1:19" ht="15">
      <c r="A31" s="2613"/>
      <c r="B31" s="2614"/>
      <c r="C31" s="1996" t="s">
        <v>528</v>
      </c>
      <c r="D31" s="2615">
        <f>D27+D30</f>
        <v>45839.15</v>
      </c>
      <c r="E31" s="2615">
        <f>E27+E30</f>
        <v>98873.18</v>
      </c>
      <c r="F31" s="2616">
        <f>F27+F30</f>
        <v>98873.18</v>
      </c>
      <c r="G31" s="2617">
        <f>G27+G30</f>
        <v>0</v>
      </c>
      <c r="H31" s="2107"/>
      <c r="I31" s="2107"/>
      <c r="J31" s="2107"/>
      <c r="K31" s="2107"/>
      <c r="L31" s="2107"/>
      <c r="M31" s="2107"/>
      <c r="N31" s="2107"/>
      <c r="O31" s="2107"/>
      <c r="P31" s="2107"/>
    </row>
    <row r="32" spans="1:19">
      <c r="A32" s="2570"/>
      <c r="B32" s="2570" t="s">
        <v>529</v>
      </c>
      <c r="C32" s="2570"/>
      <c r="D32" s="2570"/>
      <c r="E32" s="2618">
        <f>SUMIF(C19:C26,"*住宅*",E19:E26)</f>
        <v>0</v>
      </c>
      <c r="F32" s="2570"/>
      <c r="G32" s="2570"/>
      <c r="H32" s="2107"/>
      <c r="I32" s="2107"/>
      <c r="J32" s="2107"/>
      <c r="K32" s="2107"/>
      <c r="L32" s="2107"/>
      <c r="M32" s="2107"/>
      <c r="N32" s="2107"/>
      <c r="O32" s="2107"/>
      <c r="P32" s="2107"/>
    </row>
    <row r="33" spans="4:4">
      <c r="D33" s="2619"/>
    </row>
  </sheetData>
  <sheetProtection password="C66D"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5" type="noConversion"/>
  <conditionalFormatting sqref="E27">
    <cfRule type="containsText" dxfId="160" priority="1" stopIfTrue="1" operator="containsText" text="面积有误">
      <formula>NOT(ISERROR(SEARCH("面积有误",E27)))</formula>
    </cfRule>
    <cfRule type="cellIs" dxfId="159" priority="3" stopIfTrue="1" operator="equal">
      <formula>"地下面积有误"</formula>
    </cfRule>
  </conditionalFormatting>
  <conditionalFormatting sqref="F27">
    <cfRule type="cellIs" dxfId="158"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69930555555555596" right="0.69930555555555596" top="0.75" bottom="0.75" header="0.3" footer="0.3"/>
  <pageSetup paperSize="9" scale="76" fitToHeight="0" orientation="landscape" r:id="rId1"/>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O174"/>
  <sheetViews>
    <sheetView zoomScale="90" zoomScaleNormal="90" workbookViewId="0">
      <pane xSplit="3" ySplit="5" topLeftCell="D6" activePane="bottomRight" state="frozen"/>
      <selection pane="topRight"/>
      <selection pane="bottomLeft"/>
      <selection pane="bottomRight" activeCell="K24" sqref="K24"/>
    </sheetView>
  </sheetViews>
  <sheetFormatPr defaultRowHeight="12.75"/>
  <cols>
    <col min="1" max="1" width="20.875" style="2391" customWidth="1"/>
    <col min="2" max="2" width="12" style="2392" customWidth="1"/>
    <col min="3" max="3" width="10.75" style="2392" customWidth="1"/>
    <col min="4" max="4" width="9.125" style="2393" customWidth="1"/>
    <col min="5" max="5" width="15" style="2392" customWidth="1"/>
    <col min="6" max="10" width="8.875" style="2392" customWidth="1"/>
    <col min="11" max="12" width="12.375" style="2394" customWidth="1"/>
    <col min="13" max="13" width="8.625" style="2392" customWidth="1"/>
    <col min="14" max="14" width="11.875" style="2392" customWidth="1"/>
    <col min="15" max="15" width="8.5" style="2392" customWidth="1"/>
    <col min="16" max="17" width="10.875" style="2392" customWidth="1"/>
    <col min="18" max="19" width="12.5" style="2392" customWidth="1"/>
    <col min="20" max="20" width="12.125" style="2392" customWidth="1"/>
    <col min="21" max="21" width="7.5" style="2392" customWidth="1"/>
    <col min="22" max="22" width="6.375" style="2392" customWidth="1"/>
    <col min="23" max="30" width="6.75" style="2392" customWidth="1"/>
    <col min="31" max="31" width="8" style="2392" customWidth="1"/>
    <col min="32" max="34" width="7.25" style="2392" customWidth="1"/>
    <col min="35" max="39" width="8" style="2392" customWidth="1"/>
    <col min="40" max="40" width="13.75" style="2390"/>
    <col min="41" max="41" width="11.625" style="2390" customWidth="1"/>
    <col min="42" max="42" width="9.75" style="2390" customWidth="1"/>
    <col min="43" max="67" width="9" style="2390"/>
    <col min="68" max="16384" width="9" style="2392"/>
  </cols>
  <sheetData>
    <row r="1" spans="1:67" ht="18.75">
      <c r="A1" s="2395" t="s">
        <v>530</v>
      </c>
      <c r="B1" s="1747"/>
      <c r="C1" s="1934"/>
      <c r="D1" s="2396"/>
      <c r="E1" s="1934"/>
      <c r="F1" s="1934"/>
      <c r="G1" s="1934"/>
      <c r="H1" s="1934"/>
      <c r="I1" s="1934"/>
      <c r="J1" s="1934"/>
      <c r="K1" s="275"/>
      <c r="L1" s="275"/>
      <c r="M1" s="1934"/>
      <c r="N1" s="1934"/>
      <c r="O1" s="1934"/>
      <c r="P1" s="1934"/>
      <c r="Q1" s="1934"/>
      <c r="R1" s="1934"/>
      <c r="S1" s="1934"/>
      <c r="T1" s="1934"/>
      <c r="U1" s="1934"/>
      <c r="V1" s="1934"/>
      <c r="W1" s="1934"/>
      <c r="X1" s="1934"/>
      <c r="Y1" s="1934"/>
      <c r="Z1" s="1934"/>
      <c r="AA1" s="1934"/>
      <c r="AB1" s="1934"/>
      <c r="AC1" s="1934"/>
      <c r="AD1" s="1934"/>
      <c r="AE1" s="1934"/>
      <c r="AF1" s="1934"/>
      <c r="AG1" s="1934"/>
      <c r="AH1" s="1934"/>
      <c r="AI1" s="1934"/>
      <c r="AJ1" s="1934"/>
      <c r="AK1" s="1934"/>
      <c r="AL1" s="1934"/>
      <c r="AM1" s="1934"/>
    </row>
    <row r="2" spans="1:67" s="2387" customFormat="1" ht="15">
      <c r="A2" s="2397" t="s">
        <v>531</v>
      </c>
      <c r="B2" s="2398">
        <f>项目基本情况!D3</f>
        <v>43361</v>
      </c>
      <c r="C2" s="2399"/>
      <c r="D2" s="2400"/>
      <c r="E2" s="2399"/>
      <c r="F2" s="2399"/>
      <c r="G2" s="2399"/>
      <c r="H2" s="2399"/>
      <c r="I2" s="2399"/>
      <c r="J2" s="2399"/>
      <c r="K2" s="1442"/>
      <c r="L2" s="1442"/>
      <c r="M2" s="2399"/>
      <c r="N2" s="2399"/>
      <c r="O2" s="2399"/>
      <c r="P2" s="2399"/>
      <c r="Q2" s="2399"/>
      <c r="R2" s="2399"/>
      <c r="S2" s="2399"/>
      <c r="T2" s="2399"/>
      <c r="U2" s="2399"/>
      <c r="V2" s="2399"/>
      <c r="W2" s="2399"/>
      <c r="X2" s="2399"/>
      <c r="Y2" s="2399"/>
      <c r="Z2" s="2399"/>
      <c r="AA2" s="2399"/>
      <c r="AB2" s="2399"/>
      <c r="AC2" s="2399"/>
      <c r="AD2" s="2399"/>
      <c r="AE2" s="2399"/>
      <c r="AF2" s="2399"/>
      <c r="AG2" s="2399"/>
      <c r="AH2" s="2399"/>
      <c r="AI2" s="2399"/>
      <c r="AJ2" s="2399"/>
      <c r="AK2" s="2399"/>
      <c r="AL2" s="2399"/>
      <c r="AM2" s="2399"/>
      <c r="AN2" s="2542"/>
      <c r="AO2" s="2542"/>
      <c r="AP2" s="2542"/>
      <c r="AQ2" s="2542"/>
      <c r="AR2" s="2542"/>
      <c r="AS2" s="2542"/>
      <c r="AT2" s="2542"/>
      <c r="AU2" s="2542"/>
      <c r="AV2" s="2542"/>
      <c r="AW2" s="2542"/>
      <c r="AX2" s="2542"/>
      <c r="AY2" s="2542"/>
      <c r="AZ2" s="2542"/>
      <c r="BA2" s="2542"/>
      <c r="BB2" s="2542"/>
      <c r="BC2" s="2542"/>
      <c r="BD2" s="2542"/>
      <c r="BE2" s="2542"/>
      <c r="BF2" s="2542"/>
      <c r="BG2" s="2542"/>
      <c r="BH2" s="2542"/>
      <c r="BI2" s="2542"/>
      <c r="BJ2" s="2542"/>
      <c r="BK2" s="2542"/>
      <c r="BL2" s="2542"/>
      <c r="BM2" s="2542"/>
      <c r="BN2" s="2542"/>
      <c r="BO2" s="2542"/>
    </row>
    <row r="3" spans="1:67" s="2387" customFormat="1" ht="14.25">
      <c r="A3" s="2401"/>
      <c r="B3" s="2402"/>
      <c r="C3" s="2399"/>
      <c r="D3" s="2400"/>
      <c r="E3" s="2399"/>
      <c r="F3" s="2399"/>
      <c r="G3" s="2399"/>
      <c r="H3" s="2399"/>
      <c r="I3" s="2399"/>
      <c r="J3" s="2399"/>
      <c r="K3" s="1442"/>
      <c r="L3" s="1442"/>
      <c r="M3" s="2399"/>
      <c r="N3" s="2399"/>
      <c r="O3" s="2399"/>
      <c r="P3" s="2399"/>
      <c r="Q3" s="2399"/>
      <c r="R3" s="2399"/>
      <c r="S3" s="2399"/>
      <c r="T3" s="2399"/>
      <c r="U3" s="2399"/>
      <c r="V3" s="2399"/>
      <c r="W3" s="2399"/>
      <c r="X3" s="2399"/>
      <c r="Y3" s="2399"/>
      <c r="Z3" s="2399"/>
      <c r="AA3" s="2399"/>
      <c r="AB3" s="2399"/>
      <c r="AC3" s="2399"/>
      <c r="AD3" s="2399"/>
      <c r="AE3" s="2399"/>
      <c r="AF3" s="2399"/>
      <c r="AG3" s="2399"/>
      <c r="AH3" s="2399"/>
      <c r="AI3" s="2399"/>
      <c r="AJ3" s="2399"/>
      <c r="AK3" s="2399"/>
      <c r="AL3" s="2399"/>
      <c r="AM3" s="2399"/>
      <c r="AN3" s="2542"/>
      <c r="AO3" s="2542"/>
      <c r="AP3" s="2542"/>
      <c r="AQ3" s="2542"/>
      <c r="AR3" s="2542"/>
      <c r="AS3" s="2542"/>
      <c r="AT3" s="2542"/>
      <c r="AU3" s="2542"/>
      <c r="AV3" s="2542"/>
      <c r="AW3" s="2542"/>
      <c r="AX3" s="2542"/>
      <c r="AY3" s="2542"/>
      <c r="AZ3" s="2542"/>
      <c r="BA3" s="2542"/>
      <c r="BB3" s="2542"/>
      <c r="BC3" s="2542"/>
      <c r="BD3" s="2542"/>
      <c r="BE3" s="2542"/>
      <c r="BF3" s="2542"/>
      <c r="BG3" s="2542"/>
      <c r="BH3" s="2542"/>
      <c r="BI3" s="2542"/>
      <c r="BJ3" s="2542"/>
      <c r="BK3" s="2542"/>
      <c r="BL3" s="2542"/>
      <c r="BM3" s="2542"/>
      <c r="BN3" s="2542"/>
      <c r="BO3" s="2542"/>
    </row>
    <row r="4" spans="1:67" s="2387" customFormat="1" ht="14.25">
      <c r="A4" s="1394" t="s">
        <v>532</v>
      </c>
      <c r="B4" s="2067"/>
      <c r="C4" s="2403"/>
      <c r="D4" s="2404"/>
      <c r="E4" s="2403" t="s">
        <v>533</v>
      </c>
      <c r="F4" s="2403"/>
      <c r="G4" s="2403"/>
      <c r="H4" s="2403"/>
      <c r="I4" s="2403"/>
      <c r="J4" s="2482"/>
      <c r="K4" s="2483"/>
      <c r="L4" s="2337"/>
      <c r="M4" s="2403"/>
      <c r="N4" s="2403" t="s">
        <v>534</v>
      </c>
      <c r="O4" s="2403"/>
      <c r="P4" s="2403"/>
      <c r="Q4" s="2403"/>
      <c r="R4" s="2403"/>
      <c r="S4" s="2482"/>
      <c r="T4" s="2504" t="str">
        <f>'数据-汇总表'!I17</f>
        <v>按面积比例</v>
      </c>
      <c r="U4" s="2067" t="s">
        <v>535</v>
      </c>
      <c r="V4" s="2403"/>
      <c r="W4" s="2403"/>
      <c r="X4" s="2403"/>
      <c r="Y4" s="2482"/>
      <c r="Z4" s="2529" t="s">
        <v>536</v>
      </c>
      <c r="AA4" s="2529"/>
      <c r="AB4" s="2529"/>
      <c r="AC4" s="2529"/>
      <c r="AD4" s="2529"/>
      <c r="AE4" s="2530" t="s">
        <v>537</v>
      </c>
      <c r="AF4" s="2529"/>
      <c r="AG4" s="2543"/>
      <c r="AH4" s="2067"/>
      <c r="AI4" s="2403"/>
      <c r="AJ4" s="2403"/>
      <c r="AK4" s="2403"/>
      <c r="AL4" s="2403"/>
      <c r="AM4" s="2482"/>
      <c r="AN4" s="2542"/>
      <c r="AO4" s="2542"/>
      <c r="AP4" s="2542"/>
      <c r="AQ4" s="2542"/>
      <c r="AR4" s="2542"/>
      <c r="AS4" s="2542"/>
      <c r="AT4" s="2542"/>
      <c r="AU4" s="2542"/>
      <c r="AV4" s="2542"/>
      <c r="AW4" s="2542"/>
      <c r="AX4" s="2542"/>
      <c r="AY4" s="2542"/>
      <c r="AZ4" s="2542"/>
      <c r="BA4" s="2542"/>
      <c r="BB4" s="2542"/>
      <c r="BC4" s="2542"/>
      <c r="BD4" s="2542"/>
      <c r="BE4" s="2542"/>
      <c r="BF4" s="2542"/>
      <c r="BG4" s="2542"/>
      <c r="BH4" s="2542"/>
      <c r="BI4" s="2542"/>
      <c r="BJ4" s="2542"/>
      <c r="BK4" s="2542"/>
      <c r="BL4" s="2542"/>
      <c r="BM4" s="2542"/>
      <c r="BN4" s="2542"/>
      <c r="BO4" s="2542"/>
    </row>
    <row r="5" spans="1:67" s="2388" customFormat="1" ht="42">
      <c r="A5" s="2405" t="s">
        <v>510</v>
      </c>
      <c r="B5" s="2406" t="s">
        <v>509</v>
      </c>
      <c r="C5" s="2407" t="s">
        <v>538</v>
      </c>
      <c r="D5" s="2408" t="s">
        <v>539</v>
      </c>
      <c r="E5" s="2338" t="s">
        <v>540</v>
      </c>
      <c r="F5" s="2409" t="s">
        <v>541</v>
      </c>
      <c r="G5" s="2338" t="s">
        <v>542</v>
      </c>
      <c r="H5" s="2338" t="s">
        <v>543</v>
      </c>
      <c r="I5" s="2338" t="s">
        <v>544</v>
      </c>
      <c r="J5" s="2484" t="s">
        <v>545</v>
      </c>
      <c r="K5" s="2485" t="s">
        <v>519</v>
      </c>
      <c r="L5" s="2486" t="s">
        <v>546</v>
      </c>
      <c r="M5" s="2487" t="s">
        <v>547</v>
      </c>
      <c r="N5" s="2488" t="s">
        <v>3355</v>
      </c>
      <c r="O5" s="2486" t="s">
        <v>548</v>
      </c>
      <c r="P5" s="2489" t="s">
        <v>549</v>
      </c>
      <c r="Q5" s="1284" t="s">
        <v>550</v>
      </c>
      <c r="R5" s="2505" t="s">
        <v>551</v>
      </c>
      <c r="S5" s="2506" t="s">
        <v>552</v>
      </c>
      <c r="T5" s="2507" t="s">
        <v>553</v>
      </c>
      <c r="U5" s="2363" t="s">
        <v>554</v>
      </c>
      <c r="V5" s="2338" t="s">
        <v>555</v>
      </c>
      <c r="W5" s="2338" t="s">
        <v>556</v>
      </c>
      <c r="X5" s="900"/>
      <c r="Y5" s="1411" t="s">
        <v>557</v>
      </c>
      <c r="Z5" s="2531" t="s">
        <v>554</v>
      </c>
      <c r="AA5" s="2338" t="s">
        <v>555</v>
      </c>
      <c r="AB5" s="2338" t="s">
        <v>556</v>
      </c>
      <c r="AC5" s="900"/>
      <c r="AD5" s="900" t="s">
        <v>557</v>
      </c>
      <c r="AE5" s="2363" t="s">
        <v>558</v>
      </c>
      <c r="AF5" s="2338" t="s">
        <v>559</v>
      </c>
      <c r="AG5" s="1411" t="s">
        <v>560</v>
      </c>
      <c r="AH5" s="2363" t="s">
        <v>561</v>
      </c>
      <c r="AI5" s="2531" t="s">
        <v>562</v>
      </c>
      <c r="AJ5" s="2531" t="s">
        <v>563</v>
      </c>
      <c r="AK5" s="2338" t="s">
        <v>564</v>
      </c>
      <c r="AL5" s="2338" t="s">
        <v>565</v>
      </c>
      <c r="AM5" s="1411" t="s">
        <v>566</v>
      </c>
      <c r="AN5" s="2544" t="s">
        <v>567</v>
      </c>
      <c r="AO5" s="2555" t="s">
        <v>568</v>
      </c>
      <c r="AP5" s="2556" t="s">
        <v>569</v>
      </c>
      <c r="AQ5" s="2557" t="s">
        <v>570</v>
      </c>
      <c r="AR5" s="2557" t="s">
        <v>571</v>
      </c>
      <c r="AS5" s="2558"/>
      <c r="AT5" s="2558"/>
      <c r="AU5" s="2558"/>
      <c r="AV5" s="2558"/>
      <c r="AW5" s="2558"/>
      <c r="AX5" s="2558"/>
      <c r="AY5" s="2558"/>
      <c r="AZ5" s="2558"/>
      <c r="BA5" s="2558"/>
      <c r="BB5" s="2558"/>
      <c r="BC5" s="2558"/>
      <c r="BD5" s="2558"/>
      <c r="BE5" s="2558"/>
      <c r="BF5" s="2558"/>
      <c r="BG5" s="2558"/>
      <c r="BH5" s="2558"/>
      <c r="BI5" s="2558"/>
      <c r="BJ5" s="2558"/>
      <c r="BK5" s="2558"/>
      <c r="BL5" s="2558"/>
      <c r="BM5" s="2558"/>
      <c r="BN5" s="2558"/>
      <c r="BO5" s="2558"/>
    </row>
    <row r="6" spans="1:67" s="2387" customFormat="1" ht="14.25">
      <c r="A6" s="2410" t="str">
        <f>'数据-汇总表'!C19</f>
        <v>一层商业</v>
      </c>
      <c r="B6" s="2411" t="str">
        <f>IF(A6=0,"","经营性")</f>
        <v>经营性</v>
      </c>
      <c r="C6" s="2412" t="s">
        <v>2041</v>
      </c>
      <c r="D6" s="2413">
        <f>SUMIF(项目基本情况!D$12:I$12,C6,项目基本情况!D$14:I$14)</f>
        <v>40</v>
      </c>
      <c r="E6" s="2414">
        <f>IF(B6="","",SUMIF(项目基本情况!D$12:I$12,C6,项目基本情况!D$13:I$13))</f>
        <v>55784</v>
      </c>
      <c r="F6" s="2415">
        <f>SUMIF(项目基本情况!D$12:I$12,C6,项目基本情况!D$15:I$15)</f>
        <v>34.03</v>
      </c>
      <c r="G6" s="2416">
        <f>IF(ISERROR(ROUND(POWER(1+H6,D6-F6)*(POWER(1+H6,F6)-1)/(POWER(1+H6,D6)-1),3)),0,ROUND(POWER(1+H6,D6-F6)*(POWER(1+H6,F6)-1)/(POWER(1+H6,D6)-1),3))</f>
        <v>0.94399999999999995</v>
      </c>
      <c r="H6" s="2417">
        <v>0.05</v>
      </c>
      <c r="I6" s="2417">
        <v>5.5E-2</v>
      </c>
      <c r="J6" s="2418">
        <v>8.5000000000000006E-2</v>
      </c>
      <c r="K6" s="2490">
        <f>SUMIF('数据-汇总表'!C$19:C$33,A6,'数据-汇总表'!E$19:E$33)</f>
        <v>4322.1499999999996</v>
      </c>
      <c r="L6" s="2491">
        <v>3000</v>
      </c>
      <c r="M6" s="2492">
        <f t="shared" ref="M6:M14" si="0">ROUND(K6*L6/10000,0)</f>
        <v>1297</v>
      </c>
      <c r="N6" s="2493">
        <f>ROUND(1-(2018-2013)/60,2)</f>
        <v>0.92</v>
      </c>
      <c r="O6" s="2492" t="str">
        <f>IF($N$5="成新度","——",ROUND(M6*N6,0))</f>
        <v>——</v>
      </c>
      <c r="P6" s="2494" t="str">
        <f>IF($N$5="成新度","——",M6-O6)</f>
        <v>——</v>
      </c>
      <c r="Q6" s="2508">
        <v>0.2</v>
      </c>
      <c r="R6" s="2509">
        <f ca="1">SUMIF('数据-汇总表'!C$19:C$33,A6,'数据-汇总表'!R$19:R$27)</f>
        <v>2003.82</v>
      </c>
      <c r="S6" s="2510">
        <f>IF('数据-汇总表'!$I$17="按面积比例",SUMIF('数据-汇总表'!C$19:C$33,A6,'数据-汇总表'!K$19:K$33),SUMIF('数据-汇总表'!C$19:C$33,A6,'数据-汇总表'!N$19:N$33))</f>
        <v>0</v>
      </c>
      <c r="T6" s="2511">
        <f>ROUND($L$14*S6/10000,0)</f>
        <v>0</v>
      </c>
      <c r="U6" s="2512">
        <v>4.5</v>
      </c>
      <c r="V6" s="2513">
        <v>0.02</v>
      </c>
      <c r="W6" s="2513">
        <v>0.15</v>
      </c>
      <c r="X6" s="2514"/>
      <c r="Y6" s="2532">
        <f>N6</f>
        <v>0.92</v>
      </c>
      <c r="Z6" s="2533"/>
      <c r="AA6" s="2418"/>
      <c r="AB6" s="2418"/>
      <c r="AC6" s="2514"/>
      <c r="AD6" s="2534"/>
      <c r="AE6" s="2535">
        <f ca="1">IF(AN6="",0,SUMIF(INDIRECT("'"&amp;AN6&amp;"'"&amp;"!E:E"),$AE$5,INDIRECT("'"&amp;AN6&amp;"'"&amp;"!F:F")))</f>
        <v>34.03</v>
      </c>
      <c r="AF6" s="2046"/>
      <c r="AG6" s="1558">
        <f>IF(AF6="",0,AE6-AF6)</f>
        <v>0</v>
      </c>
      <c r="AH6" s="2517"/>
      <c r="AI6" s="2545">
        <v>365</v>
      </c>
      <c r="AJ6" s="2546"/>
      <c r="AK6" s="2547">
        <v>0.02</v>
      </c>
      <c r="AL6" s="2548">
        <v>1.5E-3</v>
      </c>
      <c r="AM6" s="2549">
        <v>0.02</v>
      </c>
      <c r="AN6" s="2550" t="s">
        <v>3376</v>
      </c>
      <c r="AO6" s="1085">
        <f ca="1">SUMIF(INDIRECT("'"&amp;AN6&amp;"'"&amp;"!A:A"),"总价",INDIRECT("'"&amp;AN6&amp;"'"&amp;"!B:B"))</f>
        <v>8647</v>
      </c>
      <c r="AP6" s="2559">
        <f>IF(C6="住宅",K6*L6,0)</f>
        <v>0</v>
      </c>
      <c r="AQ6" s="1085">
        <f>ROUND($L$14*$N$14*S6/10000,0)</f>
        <v>0</v>
      </c>
      <c r="AR6" s="1085">
        <f>ROUND($L$14*(1-$N$14)*S6/10000,0)</f>
        <v>0</v>
      </c>
      <c r="AS6" s="2542"/>
      <c r="AT6" s="2542"/>
      <c r="AU6" s="2542"/>
      <c r="AV6" s="2542"/>
      <c r="AW6" s="2542"/>
      <c r="AX6" s="2542"/>
      <c r="AY6" s="2542"/>
      <c r="AZ6" s="2542"/>
      <c r="BA6" s="2542"/>
      <c r="BB6" s="2542"/>
      <c r="BC6" s="2542"/>
      <c r="BD6" s="2542"/>
      <c r="BE6" s="2542"/>
      <c r="BF6" s="2542"/>
      <c r="BG6" s="2542"/>
      <c r="BH6" s="2542"/>
      <c r="BI6" s="2542"/>
      <c r="BJ6" s="2542"/>
      <c r="BK6" s="2542"/>
      <c r="BL6" s="2542"/>
      <c r="BM6" s="2542"/>
      <c r="BN6" s="2542"/>
      <c r="BO6" s="2542"/>
    </row>
    <row r="7" spans="1:67" s="2387" customFormat="1" ht="14.25">
      <c r="A7" s="2410" t="str">
        <f>'数据-汇总表'!C20</f>
        <v>二层商业</v>
      </c>
      <c r="B7" s="2411" t="str">
        <f t="shared" ref="B7:B13" si="1">IF(A7=0,"","经营性")</f>
        <v>经营性</v>
      </c>
      <c r="C7" s="2412" t="s">
        <v>2041</v>
      </c>
      <c r="D7" s="2413">
        <f>SUMIF(项目基本情况!D$12:I$12,C7,项目基本情况!D$14:I$14)</f>
        <v>40</v>
      </c>
      <c r="E7" s="2414">
        <f>IF(B7="","",SUMIF(项目基本情况!D$12:I$12,C7,项目基本情况!D$13:I$13))</f>
        <v>55784</v>
      </c>
      <c r="F7" s="2415">
        <f>SUMIF(项目基本情况!D$12:I$12,C7,项目基本情况!D$15:I$15)</f>
        <v>34.03</v>
      </c>
      <c r="G7" s="2416">
        <f t="shared" ref="G7:G13" si="2">IF(ISERROR(ROUND(POWER(1+H7,D7-F7)*(POWER(1+H7,F7)-1)/(POWER(1+H7,D7)-1),3)),0,ROUND(POWER(1+H7,D7-F7)*(POWER(1+H7,F7)-1)/(POWER(1+H7,D7)-1),3))</f>
        <v>0.94399999999999995</v>
      </c>
      <c r="H7" s="2417">
        <v>0.05</v>
      </c>
      <c r="I7" s="2417">
        <v>5.5E-2</v>
      </c>
      <c r="J7" s="2418">
        <v>8.5000000000000006E-2</v>
      </c>
      <c r="K7" s="2490">
        <f>SUMIF('数据-汇总表'!C$19:C$33,A7,'数据-汇总表'!E$19:E$33)</f>
        <v>18020.97</v>
      </c>
      <c r="L7" s="2491">
        <v>3000</v>
      </c>
      <c r="M7" s="2492">
        <f t="shared" si="0"/>
        <v>5406</v>
      </c>
      <c r="N7" s="2493">
        <f t="shared" ref="N7:N9" si="3">ROUND(1-(2018-2013)/60,2)</f>
        <v>0.92</v>
      </c>
      <c r="O7" s="2492" t="str">
        <f t="shared" ref="O7:O14" si="4">IF($N$5="成新度","——",ROUND(M7*N7,0))</f>
        <v>——</v>
      </c>
      <c r="P7" s="2494" t="str">
        <f t="shared" ref="P7:P14" si="5">IF($N$5="成新度","——",M7-O7)</f>
        <v>——</v>
      </c>
      <c r="Q7" s="2508">
        <v>0.2</v>
      </c>
      <c r="R7" s="2509">
        <f ca="1">SUMIF('数据-汇总表'!C$19:C$33,A7,'数据-汇总表'!R$19:R$27)</f>
        <v>8354.7999999999993</v>
      </c>
      <c r="S7" s="2510">
        <f>IF('数据-汇总表'!$I$17="按面积比例",SUMIF('数据-汇总表'!C$19:C$33,A7,'数据-汇总表'!K$19:K$33),SUMIF('数据-汇总表'!C$19:C$33,A7,'数据-汇总表'!N$19:N$33))</f>
        <v>0</v>
      </c>
      <c r="T7" s="2511">
        <f t="shared" ref="T7:T13" si="6">ROUND($L$14*S7/10000,0)</f>
        <v>0</v>
      </c>
      <c r="U7" s="2512"/>
      <c r="V7" s="2513">
        <v>0.02</v>
      </c>
      <c r="W7" s="2513">
        <v>0.15</v>
      </c>
      <c r="X7" s="2514"/>
      <c r="Y7" s="2532">
        <f t="shared" ref="Y7:Y9" si="7">N7</f>
        <v>0.92</v>
      </c>
      <c r="Z7" s="2533"/>
      <c r="AA7" s="2418"/>
      <c r="AB7" s="2418"/>
      <c r="AC7" s="2514"/>
      <c r="AD7" s="2534"/>
      <c r="AE7" s="2535">
        <f t="shared" ref="AE7:AE13" ca="1" si="8">IF(AN7="",0,SUMIF(INDIRECT("'"&amp;AN7&amp;"'"&amp;"!E:E"),$AE$5,INDIRECT("'"&amp;AN7&amp;"'"&amp;"!F:F")))</f>
        <v>0</v>
      </c>
      <c r="AF7" s="2046"/>
      <c r="AG7" s="1558">
        <f t="shared" ref="AG7:AG13" si="9">IF(AF7="",0,AE7-AF7)</f>
        <v>0</v>
      </c>
      <c r="AH7" s="2517"/>
      <c r="AI7" s="2545">
        <v>365</v>
      </c>
      <c r="AJ7" s="2546"/>
      <c r="AK7" s="2547">
        <v>0.02</v>
      </c>
      <c r="AL7" s="2548">
        <v>1.5E-3</v>
      </c>
      <c r="AM7" s="2549">
        <v>0.02</v>
      </c>
      <c r="AN7" s="2550"/>
      <c r="AO7" s="1085" t="e">
        <f t="shared" ref="AO7:AO13" ca="1" si="10">SUMIF(INDIRECT("'"&amp;AN7&amp;"'"&amp;"!A:A"),"总价",INDIRECT("'"&amp;AN7&amp;"'"&amp;"!B:B"))</f>
        <v>#REF!</v>
      </c>
      <c r="AP7" s="2559">
        <f t="shared" ref="AP7:AP13" si="11">IF(C7="住宅",K7*L7,0)</f>
        <v>0</v>
      </c>
      <c r="AQ7" s="1085">
        <f t="shared" ref="AQ7:AQ13" si="12">ROUND($L$14*$N$14*S7/10000,0)</f>
        <v>0</v>
      </c>
      <c r="AR7" s="1085">
        <f t="shared" ref="AR7:AR13" si="13">ROUND($L$14*(1-$N$14)*S7/10000,0)</f>
        <v>0</v>
      </c>
      <c r="AS7" s="2542"/>
      <c r="AT7" s="2542"/>
      <c r="AU7" s="2542"/>
      <c r="AV7" s="2542"/>
      <c r="AW7" s="2542"/>
      <c r="AX7" s="2542"/>
      <c r="AY7" s="2542"/>
      <c r="AZ7" s="2542"/>
      <c r="BA7" s="2542"/>
      <c r="BB7" s="2542"/>
      <c r="BC7" s="2542"/>
      <c r="BD7" s="2542"/>
      <c r="BE7" s="2542"/>
      <c r="BF7" s="2542"/>
      <c r="BG7" s="2542"/>
      <c r="BH7" s="2542"/>
      <c r="BI7" s="2542"/>
      <c r="BJ7" s="2542"/>
      <c r="BK7" s="2542"/>
      <c r="BL7" s="2542"/>
      <c r="BM7" s="2542"/>
      <c r="BN7" s="2542"/>
      <c r="BO7" s="2542"/>
    </row>
    <row r="8" spans="1:67" s="2387" customFormat="1" ht="14.25">
      <c r="A8" s="2410" t="str">
        <f>'数据-汇总表'!C21</f>
        <v>三层商业</v>
      </c>
      <c r="B8" s="2411" t="str">
        <f t="shared" si="1"/>
        <v>经营性</v>
      </c>
      <c r="C8" s="2412" t="s">
        <v>2041</v>
      </c>
      <c r="D8" s="2413">
        <f>SUMIF(项目基本情况!D$12:I$12,C8,项目基本情况!D$14:I$14)</f>
        <v>40</v>
      </c>
      <c r="E8" s="2414">
        <f>IF(B8="","",SUMIF(项目基本情况!D$12:I$12,C8,项目基本情况!D$13:I$13))</f>
        <v>55784</v>
      </c>
      <c r="F8" s="2415">
        <f>SUMIF(项目基本情况!D$12:I$12,C8,项目基本情况!D$15:I$15)</f>
        <v>34.03</v>
      </c>
      <c r="G8" s="2416">
        <f t="shared" si="2"/>
        <v>0.94399999999999995</v>
      </c>
      <c r="H8" s="2417">
        <v>0.05</v>
      </c>
      <c r="I8" s="2417">
        <v>5.5E-2</v>
      </c>
      <c r="J8" s="2418">
        <v>8.5000000000000006E-2</v>
      </c>
      <c r="K8" s="2490">
        <f>SUMIF('数据-汇总表'!C$19:C$33,A8,'数据-汇总表'!E$19:E$33)</f>
        <v>55674.09</v>
      </c>
      <c r="L8" s="2491">
        <v>3000</v>
      </c>
      <c r="M8" s="2492">
        <f t="shared" si="0"/>
        <v>16702</v>
      </c>
      <c r="N8" s="2493">
        <f t="shared" si="3"/>
        <v>0.92</v>
      </c>
      <c r="O8" s="2492" t="str">
        <f t="shared" si="4"/>
        <v>——</v>
      </c>
      <c r="P8" s="2494" t="str">
        <f t="shared" si="5"/>
        <v>——</v>
      </c>
      <c r="Q8" s="2508">
        <v>0.2</v>
      </c>
      <c r="R8" s="2509">
        <f ca="1">SUMIF('数据-汇总表'!C$19:C$33,A8,'数据-汇总表'!R$19:R$27)</f>
        <v>25811.38</v>
      </c>
      <c r="S8" s="2510">
        <f>IF('数据-汇总表'!$I$17="按面积比例",SUMIF('数据-汇总表'!C$19:C$33,A8,'数据-汇总表'!K$19:K$33),SUMIF('数据-汇总表'!C$19:C$33,A8,'数据-汇总表'!N$19:N$33))</f>
        <v>0</v>
      </c>
      <c r="T8" s="2511">
        <f t="shared" si="6"/>
        <v>0</v>
      </c>
      <c r="U8" s="2515"/>
      <c r="V8" s="2513">
        <v>0.02</v>
      </c>
      <c r="W8" s="2513">
        <v>0.15</v>
      </c>
      <c r="X8" s="2514"/>
      <c r="Y8" s="2532">
        <f t="shared" si="7"/>
        <v>0.92</v>
      </c>
      <c r="Z8" s="2533"/>
      <c r="AA8" s="2418"/>
      <c r="AB8" s="2418"/>
      <c r="AC8" s="2514"/>
      <c r="AD8" s="2534"/>
      <c r="AE8" s="2535">
        <f t="shared" ca="1" si="8"/>
        <v>0</v>
      </c>
      <c r="AF8" s="2046"/>
      <c r="AG8" s="1558">
        <f t="shared" si="9"/>
        <v>0</v>
      </c>
      <c r="AH8" s="2551"/>
      <c r="AI8" s="2545">
        <v>365</v>
      </c>
      <c r="AJ8" s="2546"/>
      <c r="AK8" s="2547">
        <v>0.02</v>
      </c>
      <c r="AL8" s="2548">
        <v>1.5E-3</v>
      </c>
      <c r="AM8" s="2549">
        <v>0.02</v>
      </c>
      <c r="AN8" s="2550"/>
      <c r="AO8" s="1085" t="e">
        <f t="shared" ca="1" si="10"/>
        <v>#REF!</v>
      </c>
      <c r="AP8" s="2559">
        <f t="shared" si="11"/>
        <v>0</v>
      </c>
      <c r="AQ8" s="1085">
        <f t="shared" si="12"/>
        <v>0</v>
      </c>
      <c r="AR8" s="1085">
        <f t="shared" si="13"/>
        <v>0</v>
      </c>
      <c r="AS8" s="2542"/>
      <c r="AT8" s="2542"/>
      <c r="AU8" s="2542"/>
      <c r="AV8" s="2542"/>
      <c r="AW8" s="2542"/>
      <c r="AX8" s="2542"/>
      <c r="AY8" s="2542"/>
      <c r="AZ8" s="2542"/>
      <c r="BA8" s="2542"/>
      <c r="BB8" s="2542"/>
      <c r="BC8" s="2542"/>
      <c r="BD8" s="2542"/>
      <c r="BE8" s="2542"/>
      <c r="BF8" s="2542"/>
      <c r="BG8" s="2542"/>
      <c r="BH8" s="2542"/>
      <c r="BI8" s="2542"/>
      <c r="BJ8" s="2542"/>
      <c r="BK8" s="2542"/>
      <c r="BL8" s="2542"/>
      <c r="BM8" s="2542"/>
      <c r="BN8" s="2542"/>
      <c r="BO8" s="2542"/>
    </row>
    <row r="9" spans="1:67" s="2387" customFormat="1" ht="14.25">
      <c r="A9" s="2410" t="str">
        <f>'数据-汇总表'!C22</f>
        <v>四层商业</v>
      </c>
      <c r="B9" s="2411" t="str">
        <f t="shared" si="1"/>
        <v>经营性</v>
      </c>
      <c r="C9" s="2412" t="s">
        <v>2041</v>
      </c>
      <c r="D9" s="2413">
        <f>SUMIF(项目基本情况!D$12:I$12,C9,项目基本情况!D$14:I$14)</f>
        <v>40</v>
      </c>
      <c r="E9" s="2414">
        <f>IF(B9="","",SUMIF(项目基本情况!D$12:I$12,C9,项目基本情况!D$13:I$13))</f>
        <v>55784</v>
      </c>
      <c r="F9" s="2415">
        <f>SUMIF(项目基本情况!D$12:I$12,C9,项目基本情况!D$15:I$15)</f>
        <v>34.03</v>
      </c>
      <c r="G9" s="2416">
        <f t="shared" si="2"/>
        <v>0.94399999999999995</v>
      </c>
      <c r="H9" s="2417">
        <v>0.05</v>
      </c>
      <c r="I9" s="2417">
        <v>5.5E-2</v>
      </c>
      <c r="J9" s="2418">
        <v>8.5000000000000006E-2</v>
      </c>
      <c r="K9" s="2490">
        <f>SUMIF('数据-汇总表'!C$19:C$33,A9,'数据-汇总表'!E$19:E$33)</f>
        <v>20855.97</v>
      </c>
      <c r="L9" s="2491">
        <v>3000</v>
      </c>
      <c r="M9" s="2492">
        <f t="shared" si="0"/>
        <v>6257</v>
      </c>
      <c r="N9" s="2493">
        <f t="shared" si="3"/>
        <v>0.92</v>
      </c>
      <c r="O9" s="2492" t="str">
        <f t="shared" si="4"/>
        <v>——</v>
      </c>
      <c r="P9" s="2494" t="str">
        <f t="shared" si="5"/>
        <v>——</v>
      </c>
      <c r="Q9" s="2516">
        <v>0.2</v>
      </c>
      <c r="R9" s="2509">
        <f ca="1">SUMIF('数据-汇总表'!C$19:C$33,A9,'数据-汇总表'!R$19:R$27)</f>
        <v>9669.15</v>
      </c>
      <c r="S9" s="2510">
        <f>IF('数据-汇总表'!$I$17="按面积比例",SUMIF('数据-汇总表'!C$19:C$33,A9,'数据-汇总表'!K$19:K$33),SUMIF('数据-汇总表'!C$19:C$33,A9,'数据-汇总表'!N$19:N$33))</f>
        <v>0</v>
      </c>
      <c r="T9" s="2511">
        <f t="shared" si="6"/>
        <v>0</v>
      </c>
      <c r="U9" s="2512"/>
      <c r="V9" s="2513">
        <v>0.02</v>
      </c>
      <c r="W9" s="2513">
        <v>0.15</v>
      </c>
      <c r="X9" s="2514"/>
      <c r="Y9" s="2532">
        <f t="shared" si="7"/>
        <v>0.92</v>
      </c>
      <c r="Z9" s="2533"/>
      <c r="AA9" s="2418"/>
      <c r="AB9" s="2418"/>
      <c r="AC9" s="2514"/>
      <c r="AD9" s="2534"/>
      <c r="AE9" s="2535">
        <f t="shared" ca="1" si="8"/>
        <v>0</v>
      </c>
      <c r="AF9" s="2046"/>
      <c r="AG9" s="1558">
        <f t="shared" si="9"/>
        <v>0</v>
      </c>
      <c r="AH9" s="2517"/>
      <c r="AI9" s="2545">
        <v>365</v>
      </c>
      <c r="AJ9" s="2546"/>
      <c r="AK9" s="2547">
        <v>0.02</v>
      </c>
      <c r="AL9" s="2548">
        <v>1.5E-3</v>
      </c>
      <c r="AM9" s="2549">
        <v>0.02</v>
      </c>
      <c r="AN9" s="2550"/>
      <c r="AO9" s="1085" t="e">
        <f t="shared" ca="1" si="10"/>
        <v>#REF!</v>
      </c>
      <c r="AP9" s="2559">
        <f t="shared" si="11"/>
        <v>0</v>
      </c>
      <c r="AQ9" s="1085">
        <f t="shared" si="12"/>
        <v>0</v>
      </c>
      <c r="AR9" s="1085">
        <f t="shared" si="13"/>
        <v>0</v>
      </c>
      <c r="AS9" s="2542"/>
      <c r="AT9" s="2542"/>
      <c r="AU9" s="2542"/>
      <c r="AV9" s="2542"/>
      <c r="AW9" s="2542"/>
      <c r="AX9" s="2542"/>
      <c r="AY9" s="2542"/>
      <c r="AZ9" s="2542"/>
      <c r="BA9" s="2542"/>
      <c r="BB9" s="2542"/>
      <c r="BC9" s="2542"/>
      <c r="BD9" s="2542"/>
      <c r="BE9" s="2542"/>
      <c r="BF9" s="2542"/>
      <c r="BG9" s="2542"/>
      <c r="BH9" s="2542"/>
      <c r="BI9" s="2542"/>
      <c r="BJ9" s="2542"/>
      <c r="BK9" s="2542"/>
      <c r="BL9" s="2542"/>
      <c r="BM9" s="2542"/>
      <c r="BN9" s="2542"/>
      <c r="BO9" s="2542"/>
    </row>
    <row r="10" spans="1:67" s="2387" customFormat="1" ht="14.25">
      <c r="A10" s="2410">
        <f>'数据-汇总表'!C23</f>
        <v>0</v>
      </c>
      <c r="B10" s="2411" t="str">
        <f t="shared" si="1"/>
        <v/>
      </c>
      <c r="C10" s="2412"/>
      <c r="D10" s="2413">
        <f>SUMIF(项目基本情况!D$12:I$12,C10,项目基本情况!D$14:I$14)</f>
        <v>0</v>
      </c>
      <c r="E10" s="2414" t="str">
        <f>IF(B10="","",SUMIF(项目基本情况!D$12:I$12,C10,项目基本情况!D$13:I$13))</f>
        <v/>
      </c>
      <c r="F10" s="2415">
        <f>SUMIF(项目基本情况!D$12:I$12,C10,项目基本情况!D$15:I$15)</f>
        <v>0</v>
      </c>
      <c r="G10" s="2416">
        <f t="shared" si="2"/>
        <v>0</v>
      </c>
      <c r="H10" s="2417"/>
      <c r="I10" s="2417"/>
      <c r="J10" s="2418"/>
      <c r="K10" s="2490">
        <f>SUMIF('数据-汇总表'!C$19:C$33,A10,'数据-汇总表'!E$19:E$33)</f>
        <v>0</v>
      </c>
      <c r="L10" s="2491"/>
      <c r="M10" s="2492">
        <f t="shared" si="0"/>
        <v>0</v>
      </c>
      <c r="N10" s="2493"/>
      <c r="O10" s="2492" t="str">
        <f t="shared" si="4"/>
        <v>——</v>
      </c>
      <c r="P10" s="2494" t="str">
        <f t="shared" si="5"/>
        <v>——</v>
      </c>
      <c r="Q10" s="2516">
        <v>0.2</v>
      </c>
      <c r="R10" s="2509">
        <f ca="1">SUMIF('数据-汇总表'!C$19:C$33,A10,'数据-汇总表'!R$19:R$27)</f>
        <v>0</v>
      </c>
      <c r="S10" s="2510">
        <f>IF('数据-汇总表'!$I$17="按面积比例",SUMIF('数据-汇总表'!C$19:C$33,A10,'数据-汇总表'!K$19:K$33),SUMIF('数据-汇总表'!C$19:C$33,A10,'数据-汇总表'!N$19:N$33))</f>
        <v>0</v>
      </c>
      <c r="T10" s="2511">
        <f t="shared" si="6"/>
        <v>0</v>
      </c>
      <c r="U10" s="2512"/>
      <c r="V10" s="2513"/>
      <c r="W10" s="2513"/>
      <c r="X10" s="2514"/>
      <c r="Y10" s="2532"/>
      <c r="Z10" s="2533"/>
      <c r="AA10" s="2418"/>
      <c r="AB10" s="2418"/>
      <c r="AC10" s="2514"/>
      <c r="AD10" s="2534"/>
      <c r="AE10" s="2535">
        <f t="shared" ca="1" si="8"/>
        <v>0</v>
      </c>
      <c r="AF10" s="2046"/>
      <c r="AG10" s="1558">
        <f t="shared" si="9"/>
        <v>0</v>
      </c>
      <c r="AH10" s="2517"/>
      <c r="AI10" s="2545"/>
      <c r="AJ10" s="2546"/>
      <c r="AK10" s="2547">
        <v>0.02</v>
      </c>
      <c r="AL10" s="2548">
        <v>1.5E-3</v>
      </c>
      <c r="AM10" s="2549">
        <v>0.02</v>
      </c>
      <c r="AN10" s="2550"/>
      <c r="AO10" s="1085" t="e">
        <f t="shared" ca="1" si="10"/>
        <v>#REF!</v>
      </c>
      <c r="AP10" s="2559">
        <f t="shared" si="11"/>
        <v>0</v>
      </c>
      <c r="AQ10" s="1085">
        <f t="shared" si="12"/>
        <v>0</v>
      </c>
      <c r="AR10" s="1085">
        <f t="shared" si="13"/>
        <v>0</v>
      </c>
      <c r="AS10" s="2542"/>
      <c r="AT10" s="2542"/>
      <c r="AU10" s="2542"/>
      <c r="AV10" s="2542"/>
      <c r="AW10" s="2542"/>
      <c r="AX10" s="2542"/>
      <c r="AY10" s="2542"/>
      <c r="AZ10" s="2542"/>
      <c r="BA10" s="2542"/>
      <c r="BB10" s="2542"/>
      <c r="BC10" s="2542"/>
      <c r="BD10" s="2542"/>
      <c r="BE10" s="2542"/>
      <c r="BF10" s="2542"/>
      <c r="BG10" s="2542"/>
      <c r="BH10" s="2542"/>
      <c r="BI10" s="2542"/>
      <c r="BJ10" s="2542"/>
      <c r="BK10" s="2542"/>
      <c r="BL10" s="2542"/>
      <c r="BM10" s="2542"/>
      <c r="BN10" s="2542"/>
      <c r="BO10" s="2542"/>
    </row>
    <row r="11" spans="1:67" s="2387" customFormat="1" ht="14.25">
      <c r="A11" s="2410">
        <f>'数据-汇总表'!C24</f>
        <v>0</v>
      </c>
      <c r="B11" s="2411" t="str">
        <f t="shared" si="1"/>
        <v/>
      </c>
      <c r="C11" s="2412"/>
      <c r="D11" s="2413">
        <f>SUMIF(项目基本情况!D$12:I$12,C11,项目基本情况!D$14:I$14)</f>
        <v>0</v>
      </c>
      <c r="E11" s="2414" t="str">
        <f>IF(B11="","",SUMIF(项目基本情况!D$12:I$12,C11,项目基本情况!D$13:I$13))</f>
        <v/>
      </c>
      <c r="F11" s="2415">
        <f>SUMIF(项目基本情况!D$12:I$12,C11,项目基本情况!D$15:I$15)</f>
        <v>0</v>
      </c>
      <c r="G11" s="2416">
        <f t="shared" si="2"/>
        <v>0</v>
      </c>
      <c r="H11" s="2418"/>
      <c r="I11" s="2418"/>
      <c r="J11" s="2418"/>
      <c r="K11" s="2490">
        <f>SUMIF('数据-汇总表'!C$19:C$33,A11,'数据-汇总表'!E$19:E$33)</f>
        <v>0</v>
      </c>
      <c r="L11" s="2495"/>
      <c r="M11" s="2492">
        <f t="shared" si="0"/>
        <v>0</v>
      </c>
      <c r="N11" s="2496"/>
      <c r="O11" s="2492" t="str">
        <f t="shared" si="4"/>
        <v>——</v>
      </c>
      <c r="P11" s="2494" t="str">
        <f t="shared" si="5"/>
        <v>——</v>
      </c>
      <c r="Q11" s="2516">
        <v>0.1</v>
      </c>
      <c r="R11" s="2509">
        <f ca="1">SUMIF('数据-汇总表'!C$19:C$33,A11,'数据-汇总表'!R$19:R$27)</f>
        <v>0</v>
      </c>
      <c r="S11" s="2510">
        <f>IF('数据-汇总表'!$I$17="按面积比例",SUMIF('数据-汇总表'!C$19:C$33,A11,'数据-汇总表'!K$19:K$33),SUMIF('数据-汇总表'!C$19:C$33,A11,'数据-汇总表'!N$19:N$33))</f>
        <v>0</v>
      </c>
      <c r="T11" s="2511">
        <f t="shared" si="6"/>
        <v>0</v>
      </c>
      <c r="U11" s="2517"/>
      <c r="V11" s="2418"/>
      <c r="W11" s="2418"/>
      <c r="X11" s="2514"/>
      <c r="Y11" s="2532"/>
      <c r="Z11" s="2536"/>
      <c r="AA11" s="2418"/>
      <c r="AB11" s="2418"/>
      <c r="AC11" s="2514"/>
      <c r="AD11" s="2534"/>
      <c r="AE11" s="2535">
        <f t="shared" ca="1" si="8"/>
        <v>0</v>
      </c>
      <c r="AF11" s="2046"/>
      <c r="AG11" s="1558">
        <f t="shared" si="9"/>
        <v>0</v>
      </c>
      <c r="AH11" s="2517"/>
      <c r="AI11" s="2545"/>
      <c r="AJ11" s="2546"/>
      <c r="AK11" s="2547">
        <v>1.4999999999999999E-2</v>
      </c>
      <c r="AL11" s="2548">
        <v>1.5E-3</v>
      </c>
      <c r="AM11" s="2549">
        <v>1.4999999999999999E-2</v>
      </c>
      <c r="AN11" s="2550"/>
      <c r="AO11" s="1085" t="e">
        <f t="shared" ca="1" si="10"/>
        <v>#REF!</v>
      </c>
      <c r="AP11" s="2559">
        <f t="shared" si="11"/>
        <v>0</v>
      </c>
      <c r="AQ11" s="1085">
        <f t="shared" si="12"/>
        <v>0</v>
      </c>
      <c r="AR11" s="1085">
        <f t="shared" si="13"/>
        <v>0</v>
      </c>
      <c r="AS11" s="2542"/>
      <c r="AT11" s="2542"/>
      <c r="AU11" s="2542"/>
      <c r="AV11" s="2542"/>
      <c r="AW11" s="2542"/>
      <c r="AX11" s="2542"/>
      <c r="AY11" s="2542"/>
      <c r="AZ11" s="2542"/>
      <c r="BA11" s="2542"/>
      <c r="BB11" s="2542"/>
      <c r="BC11" s="2542"/>
      <c r="BD11" s="2542"/>
      <c r="BE11" s="2542"/>
      <c r="BF11" s="2542"/>
      <c r="BG11" s="2542"/>
      <c r="BH11" s="2542"/>
      <c r="BI11" s="2542"/>
      <c r="BJ11" s="2542"/>
      <c r="BK11" s="2542"/>
      <c r="BL11" s="2542"/>
      <c r="BM11" s="2542"/>
      <c r="BN11" s="2542"/>
      <c r="BO11" s="2542"/>
    </row>
    <row r="12" spans="1:67" s="2387" customFormat="1" ht="14.25">
      <c r="A12" s="2410">
        <f>'数据-汇总表'!C25</f>
        <v>0</v>
      </c>
      <c r="B12" s="2411" t="str">
        <f t="shared" si="1"/>
        <v/>
      </c>
      <c r="C12" s="2412"/>
      <c r="D12" s="2413">
        <f>SUMIF(项目基本情况!D$12:I$12,C12,项目基本情况!D$14:I$14)</f>
        <v>0</v>
      </c>
      <c r="E12" s="2414" t="str">
        <f>IF(B12="","",SUMIF(项目基本情况!D$12:I$12,C12,项目基本情况!D$13:I$13))</f>
        <v/>
      </c>
      <c r="F12" s="2415">
        <f>SUMIF(项目基本情况!D$12:I$12,C12,项目基本情况!D$15:I$15)</f>
        <v>0</v>
      </c>
      <c r="G12" s="2416">
        <f t="shared" si="2"/>
        <v>0</v>
      </c>
      <c r="H12" s="2418"/>
      <c r="I12" s="2418"/>
      <c r="J12" s="2418"/>
      <c r="K12" s="2490">
        <f>SUMIF('数据-汇总表'!C$19:C$33,A12,'数据-汇总表'!E$19:E$33)</f>
        <v>0</v>
      </c>
      <c r="L12" s="2495"/>
      <c r="M12" s="2492">
        <f t="shared" si="0"/>
        <v>0</v>
      </c>
      <c r="N12" s="2496"/>
      <c r="O12" s="2492" t="str">
        <f t="shared" si="4"/>
        <v>——</v>
      </c>
      <c r="P12" s="2494" t="str">
        <f t="shared" si="5"/>
        <v>——</v>
      </c>
      <c r="Q12" s="2516">
        <v>0.1</v>
      </c>
      <c r="R12" s="2509">
        <f ca="1">SUMIF('数据-汇总表'!C$19:C$33,A12,'数据-汇总表'!R$19:R$27)</f>
        <v>0</v>
      </c>
      <c r="S12" s="2510">
        <f>IF('数据-汇总表'!$I$17="按面积比例",SUMIF('数据-汇总表'!C$19:C$33,A12,'数据-汇总表'!K$19:K$33),SUMIF('数据-汇总表'!C$19:C$33,A12,'数据-汇总表'!N$19:N$33))</f>
        <v>0</v>
      </c>
      <c r="T12" s="2511">
        <f t="shared" si="6"/>
        <v>0</v>
      </c>
      <c r="U12" s="2517"/>
      <c r="V12" s="2418"/>
      <c r="W12" s="2418"/>
      <c r="X12" s="2514"/>
      <c r="Y12" s="2532"/>
      <c r="Z12" s="2536"/>
      <c r="AA12" s="2418"/>
      <c r="AB12" s="2418"/>
      <c r="AC12" s="2514"/>
      <c r="AD12" s="2534"/>
      <c r="AE12" s="2535">
        <f t="shared" ca="1" si="8"/>
        <v>0</v>
      </c>
      <c r="AF12" s="2046"/>
      <c r="AG12" s="1558">
        <f t="shared" si="9"/>
        <v>0</v>
      </c>
      <c r="AH12" s="2517"/>
      <c r="AI12" s="2545"/>
      <c r="AJ12" s="2546"/>
      <c r="AK12" s="2547">
        <v>1.4999999999999999E-2</v>
      </c>
      <c r="AL12" s="2548">
        <v>1.5E-3</v>
      </c>
      <c r="AM12" s="2549">
        <v>1.4999999999999999E-2</v>
      </c>
      <c r="AN12" s="2550"/>
      <c r="AO12" s="1085" t="e">
        <f t="shared" ca="1" si="10"/>
        <v>#REF!</v>
      </c>
      <c r="AP12" s="2559">
        <f t="shared" si="11"/>
        <v>0</v>
      </c>
      <c r="AQ12" s="1085">
        <f t="shared" si="12"/>
        <v>0</v>
      </c>
      <c r="AR12" s="1085">
        <f t="shared" si="13"/>
        <v>0</v>
      </c>
      <c r="AS12" s="2542"/>
      <c r="AT12" s="2542"/>
      <c r="AU12" s="2542"/>
      <c r="AV12" s="2542"/>
      <c r="AW12" s="2542"/>
      <c r="AX12" s="2542"/>
      <c r="AY12" s="2542"/>
      <c r="AZ12" s="2542"/>
      <c r="BA12" s="2542"/>
      <c r="BB12" s="2542"/>
      <c r="BC12" s="2542"/>
      <c r="BD12" s="2542"/>
      <c r="BE12" s="2542"/>
      <c r="BF12" s="2542"/>
      <c r="BG12" s="2542"/>
      <c r="BH12" s="2542"/>
      <c r="BI12" s="2542"/>
      <c r="BJ12" s="2542"/>
      <c r="BK12" s="2542"/>
      <c r="BL12" s="2542"/>
      <c r="BM12" s="2542"/>
      <c r="BN12" s="2542"/>
      <c r="BO12" s="2542"/>
    </row>
    <row r="13" spans="1:67" s="2387" customFormat="1" ht="14.25">
      <c r="A13" s="2410">
        <f>'数据-汇总表'!C26</f>
        <v>0</v>
      </c>
      <c r="B13" s="2411" t="str">
        <f t="shared" si="1"/>
        <v/>
      </c>
      <c r="C13" s="2412"/>
      <c r="D13" s="2413">
        <f>SUMIF(项目基本情况!D$12:I$12,C13,项目基本情况!D$14:I$14)</f>
        <v>0</v>
      </c>
      <c r="E13" s="2414" t="str">
        <f>IF(B13="","",SUMIF(项目基本情况!D$12:I$12,C13,项目基本情况!D$13:I$13))</f>
        <v/>
      </c>
      <c r="F13" s="2415">
        <f>SUMIF(项目基本情况!D$12:I$12,C13,项目基本情况!D$15:I$15)</f>
        <v>0</v>
      </c>
      <c r="G13" s="2416">
        <f t="shared" si="2"/>
        <v>0</v>
      </c>
      <c r="H13" s="2418"/>
      <c r="I13" s="2418"/>
      <c r="J13" s="2418"/>
      <c r="K13" s="2490">
        <f>SUMIF('数据-汇总表'!C$19:C$33,A13,'数据-汇总表'!E$19:E$33)</f>
        <v>0</v>
      </c>
      <c r="L13" s="2495"/>
      <c r="M13" s="2492">
        <f t="shared" si="0"/>
        <v>0</v>
      </c>
      <c r="N13" s="2496"/>
      <c r="O13" s="2492" t="str">
        <f t="shared" si="4"/>
        <v>——</v>
      </c>
      <c r="P13" s="2494" t="str">
        <f t="shared" si="5"/>
        <v>——</v>
      </c>
      <c r="Q13" s="2516"/>
      <c r="R13" s="2509">
        <f ca="1">SUMIF('数据-汇总表'!C$19:C$33,A13,'数据-汇总表'!R$19:R$27)</f>
        <v>0</v>
      </c>
      <c r="S13" s="2510">
        <f>IF('数据-汇总表'!$I$17="按面积比例",SUMIF('数据-汇总表'!C$19:C$33,A13,'数据-汇总表'!K$19:K$33),SUMIF('数据-汇总表'!C$19:C$33,A13,'数据-汇总表'!N$19:N$33))</f>
        <v>0</v>
      </c>
      <c r="T13" s="2511">
        <f t="shared" si="6"/>
        <v>0</v>
      </c>
      <c r="U13" s="2512"/>
      <c r="V13" s="2513"/>
      <c r="W13" s="2513"/>
      <c r="X13" s="2514"/>
      <c r="Y13" s="2532"/>
      <c r="Z13" s="2533"/>
      <c r="AA13" s="2418"/>
      <c r="AB13" s="2418"/>
      <c r="AC13" s="2514"/>
      <c r="AD13" s="2534"/>
      <c r="AE13" s="2535">
        <f t="shared" ca="1" si="8"/>
        <v>0</v>
      </c>
      <c r="AF13" s="2046"/>
      <c r="AG13" s="1558">
        <f t="shared" si="9"/>
        <v>0</v>
      </c>
      <c r="AH13" s="2517"/>
      <c r="AI13" s="2545"/>
      <c r="AJ13" s="2546"/>
      <c r="AK13" s="2547"/>
      <c r="AL13" s="2548"/>
      <c r="AM13" s="2549"/>
      <c r="AN13" s="2550"/>
      <c r="AO13" s="1085" t="e">
        <f t="shared" ca="1" si="10"/>
        <v>#REF!</v>
      </c>
      <c r="AP13" s="2559">
        <f t="shared" si="11"/>
        <v>0</v>
      </c>
      <c r="AQ13" s="1085">
        <f t="shared" si="12"/>
        <v>0</v>
      </c>
      <c r="AR13" s="1085">
        <f t="shared" si="13"/>
        <v>0</v>
      </c>
      <c r="AS13" s="2542"/>
      <c r="AT13" s="2542"/>
      <c r="AU13" s="2542"/>
      <c r="AV13" s="2542"/>
      <c r="AW13" s="2542"/>
      <c r="AX13" s="2542"/>
      <c r="AY13" s="2542"/>
      <c r="AZ13" s="2542"/>
      <c r="BA13" s="2542"/>
      <c r="BB13" s="2542"/>
      <c r="BC13" s="2542"/>
      <c r="BD13" s="2542"/>
      <c r="BE13" s="2542"/>
      <c r="BF13" s="2542"/>
      <c r="BG13" s="2542"/>
      <c r="BH13" s="2542"/>
      <c r="BI13" s="2542"/>
      <c r="BJ13" s="2542"/>
      <c r="BK13" s="2542"/>
      <c r="BL13" s="2542"/>
      <c r="BM13" s="2542"/>
      <c r="BN13" s="2542"/>
      <c r="BO13" s="2542"/>
    </row>
    <row r="14" spans="1:67" s="2387" customFormat="1" ht="14.25">
      <c r="A14" s="2419" t="s">
        <v>526</v>
      </c>
      <c r="B14" s="2411" t="s">
        <v>525</v>
      </c>
      <c r="C14" s="2420" t="s">
        <v>526</v>
      </c>
      <c r="D14" s="2413"/>
      <c r="E14" s="2414"/>
      <c r="F14" s="2415"/>
      <c r="G14" s="2416"/>
      <c r="H14" s="2421"/>
      <c r="I14" s="2421"/>
      <c r="J14" s="2421"/>
      <c r="K14" s="2490">
        <f>SUMIF('数据-汇总表'!C$19:C$33,A14,'数据-汇总表'!E$19:E$33)</f>
        <v>0</v>
      </c>
      <c r="L14" s="2495"/>
      <c r="M14" s="2492">
        <f t="shared" si="0"/>
        <v>0</v>
      </c>
      <c r="N14" s="2496"/>
      <c r="O14" s="2492" t="str">
        <f t="shared" si="4"/>
        <v>——</v>
      </c>
      <c r="P14" s="2494" t="str">
        <f t="shared" si="5"/>
        <v>——</v>
      </c>
      <c r="Q14" s="2518"/>
      <c r="R14" s="2509"/>
      <c r="S14" s="2510"/>
      <c r="T14" s="2511"/>
      <c r="U14" s="2519"/>
      <c r="V14" s="2520"/>
      <c r="W14" s="2520"/>
      <c r="X14" s="2521"/>
      <c r="Y14" s="2537"/>
      <c r="Z14" s="2538"/>
      <c r="AA14" s="2539"/>
      <c r="AB14" s="2539"/>
      <c r="AC14" s="2514"/>
      <c r="AD14" s="2521"/>
      <c r="AE14" s="2535"/>
      <c r="AF14" s="1085"/>
      <c r="AG14" s="1558"/>
      <c r="AH14" s="2535"/>
      <c r="AI14" s="1073"/>
      <c r="AJ14" s="1084"/>
      <c r="AK14" s="2552"/>
      <c r="AL14" s="2553"/>
      <c r="AM14" s="2554"/>
      <c r="AN14" s="2390"/>
      <c r="AO14" s="2542"/>
      <c r="AP14" s="2542"/>
      <c r="AQ14" s="2542"/>
      <c r="AR14" s="2542"/>
      <c r="AS14" s="2542"/>
      <c r="AT14" s="2542"/>
      <c r="AU14" s="2542"/>
      <c r="AV14" s="2542"/>
      <c r="AW14" s="2542"/>
      <c r="AX14" s="2542"/>
      <c r="AY14" s="2542"/>
      <c r="AZ14" s="2542"/>
      <c r="BA14" s="2542"/>
      <c r="BB14" s="2542"/>
      <c r="BC14" s="2542"/>
      <c r="BD14" s="2542"/>
      <c r="BE14" s="2542"/>
      <c r="BF14" s="2542"/>
      <c r="BG14" s="2542"/>
      <c r="BH14" s="2542"/>
      <c r="BI14" s="2542"/>
      <c r="BJ14" s="2542"/>
      <c r="BK14" s="2542"/>
      <c r="BL14" s="2542"/>
      <c r="BM14" s="2542"/>
      <c r="BN14" s="2542"/>
      <c r="BO14" s="2542"/>
    </row>
    <row r="15" spans="1:67" s="2387" customFormat="1" ht="27">
      <c r="A15" s="2419" t="s">
        <v>527</v>
      </c>
      <c r="B15" s="2411" t="s">
        <v>525</v>
      </c>
      <c r="C15" s="2420" t="s">
        <v>572</v>
      </c>
      <c r="D15" s="2413"/>
      <c r="E15" s="2414"/>
      <c r="F15" s="2415"/>
      <c r="G15" s="2416"/>
      <c r="H15" s="2421"/>
      <c r="I15" s="2421"/>
      <c r="J15" s="2421"/>
      <c r="K15" s="2490">
        <f>SUMIF('数据-汇总表'!C$19:C$33,A15,'数据-汇总表'!E$19:E$33)</f>
        <v>0</v>
      </c>
      <c r="L15" s="2497"/>
      <c r="M15" s="2492"/>
      <c r="N15" s="2498"/>
      <c r="O15" s="2492"/>
      <c r="P15" s="2494"/>
      <c r="Q15" s="2518"/>
      <c r="R15" s="2509"/>
      <c r="S15" s="2510"/>
      <c r="T15" s="2511"/>
      <c r="U15" s="2519"/>
      <c r="V15" s="2520"/>
      <c r="W15" s="2520"/>
      <c r="X15" s="2521"/>
      <c r="Y15" s="2537"/>
      <c r="Z15" s="2538"/>
      <c r="AA15" s="2539"/>
      <c r="AB15" s="2539"/>
      <c r="AC15" s="2514"/>
      <c r="AD15" s="2521"/>
      <c r="AE15" s="2535"/>
      <c r="AF15" s="1085"/>
      <c r="AG15" s="1558"/>
      <c r="AH15" s="2535"/>
      <c r="AI15" s="1073"/>
      <c r="AJ15" s="1084"/>
      <c r="AK15" s="2552"/>
      <c r="AL15" s="2553"/>
      <c r="AM15" s="2554"/>
      <c r="AN15" s="2390"/>
      <c r="AO15" s="2542"/>
      <c r="AP15" s="2542"/>
      <c r="AQ15" s="2542"/>
      <c r="AR15" s="2542"/>
      <c r="AS15" s="2542"/>
      <c r="AT15" s="2542"/>
      <c r="AU15" s="2542"/>
      <c r="AV15" s="2542"/>
      <c r="AW15" s="2542"/>
      <c r="AX15" s="2542"/>
      <c r="AY15" s="2542"/>
      <c r="AZ15" s="2542"/>
      <c r="BA15" s="2542"/>
      <c r="BB15" s="2542"/>
      <c r="BC15" s="2542"/>
      <c r="BD15" s="2542"/>
      <c r="BE15" s="2542"/>
      <c r="BF15" s="2542"/>
      <c r="BG15" s="2542"/>
      <c r="BH15" s="2542"/>
      <c r="BI15" s="2542"/>
      <c r="BJ15" s="2542"/>
      <c r="BK15" s="2542"/>
      <c r="BL15" s="2542"/>
      <c r="BM15" s="2542"/>
      <c r="BN15" s="2542"/>
      <c r="BO15" s="2542"/>
    </row>
    <row r="16" spans="1:67" s="2387" customFormat="1" ht="15.75" thickBot="1">
      <c r="A16" s="2422" t="s">
        <v>528</v>
      </c>
      <c r="B16" s="2423"/>
      <c r="C16" s="1994"/>
      <c r="D16" s="2424"/>
      <c r="E16" s="2423"/>
      <c r="F16" s="2423"/>
      <c r="G16" s="2425">
        <f>ROUND(SUMPRODUCT(G6:G13,K6:K13)/SUMPRODUCT((G6:G13&gt;0)*(K6:K13)),3)</f>
        <v>0.94399999999999995</v>
      </c>
      <c r="H16" s="2426">
        <f>ROUND(SUMPRODUCT(H6:H13,K6:K13)/SUMPRODUCT((H6:H13&gt;0)*(K6:K13)),3)</f>
        <v>0.05</v>
      </c>
      <c r="I16" s="2499"/>
      <c r="J16" s="2499"/>
      <c r="K16" s="2500">
        <f>SUM(K6:K15)</f>
        <v>98873.18</v>
      </c>
      <c r="L16" s="2501">
        <f>ROUND(M16*10000/SUM(K6:K14),0)</f>
        <v>3000</v>
      </c>
      <c r="M16" s="2501">
        <f>SUM(M6:M14)</f>
        <v>29662</v>
      </c>
      <c r="N16" s="2502">
        <f>ROUND(SUMPRODUCT(M6:M14,N6:N14)/M16,3)</f>
        <v>0.92</v>
      </c>
      <c r="O16" s="2501">
        <f>SUM(O6:O14)</f>
        <v>0</v>
      </c>
      <c r="P16" s="2501">
        <f>SUM(P6:P14)</f>
        <v>0</v>
      </c>
      <c r="Q16" s="2522">
        <f>ROUND(SUMPRODUCT(Q6:Q13,K6:K13)/SUMPRODUCT((Q6:Q13&gt;0)*(K6:K13)),2)</f>
        <v>0.2</v>
      </c>
      <c r="R16" s="2523">
        <f ca="1">SUM(R6:R13)</f>
        <v>45839.15</v>
      </c>
      <c r="S16" s="2524">
        <f>SUM(S6:S13)</f>
        <v>0</v>
      </c>
      <c r="T16" s="2525">
        <f>IF(SUMIF(T6:T13,"&lt;9E307")=M14,SUMIF(T6:T13,"&lt;9E307"),"有误，请检查")</f>
        <v>0</v>
      </c>
      <c r="U16" s="2526"/>
      <c r="V16" s="2527"/>
      <c r="W16" s="2527"/>
      <c r="X16" s="2528"/>
      <c r="Y16" s="2540"/>
      <c r="Z16" s="2541"/>
      <c r="AA16" s="2527"/>
      <c r="AB16" s="2527"/>
      <c r="AC16" s="2528"/>
      <c r="AD16" s="2528"/>
      <c r="AE16" s="2526"/>
      <c r="AF16" s="2527"/>
      <c r="AG16" s="2540"/>
      <c r="AH16" s="2526"/>
      <c r="AI16" s="2541"/>
      <c r="AJ16" s="2541"/>
      <c r="AK16" s="2527"/>
      <c r="AL16" s="2527"/>
      <c r="AM16" s="2540"/>
      <c r="AN16" s="2390"/>
      <c r="AO16" s="2542"/>
      <c r="AP16" s="2542"/>
      <c r="AQ16" s="2542"/>
      <c r="AR16" s="2542"/>
      <c r="AS16" s="2542"/>
      <c r="AT16" s="2542"/>
      <c r="AU16" s="2542"/>
      <c r="AV16" s="2542"/>
      <c r="AW16" s="2542"/>
      <c r="AX16" s="2542"/>
      <c r="AY16" s="2542"/>
      <c r="AZ16" s="2542"/>
      <c r="BA16" s="2542"/>
      <c r="BB16" s="2542"/>
      <c r="BC16" s="2542"/>
      <c r="BD16" s="2542"/>
      <c r="BE16" s="2542"/>
      <c r="BF16" s="2542"/>
      <c r="BG16" s="2542"/>
      <c r="BH16" s="2542"/>
      <c r="BI16" s="2542"/>
      <c r="BJ16" s="2542"/>
      <c r="BK16" s="2542"/>
      <c r="BL16" s="2542"/>
      <c r="BM16" s="2542"/>
      <c r="BN16" s="2542"/>
      <c r="BO16" s="2542"/>
    </row>
    <row r="17" spans="1:67" ht="13.5" thickBot="1">
      <c r="A17" s="2427"/>
      <c r="B17" s="1747"/>
      <c r="C17" s="1934"/>
      <c r="D17" s="2396"/>
      <c r="E17" s="2396"/>
      <c r="F17" s="1934"/>
      <c r="G17" s="1934"/>
      <c r="H17" s="1934"/>
      <c r="I17" s="1934"/>
      <c r="J17" s="1934"/>
      <c r="K17" s="275"/>
      <c r="L17" s="275"/>
      <c r="M17" s="3154" t="s">
        <v>3352</v>
      </c>
      <c r="N17" s="3154" t="s">
        <v>3353</v>
      </c>
      <c r="O17" s="3154" t="s">
        <v>3354</v>
      </c>
      <c r="P17" s="1934"/>
      <c r="Q17" s="1934"/>
      <c r="R17" s="1934"/>
      <c r="S17" s="1934"/>
      <c r="T17" s="1934"/>
      <c r="U17" s="1934"/>
      <c r="V17" s="1934"/>
      <c r="W17" s="1934"/>
      <c r="X17" s="1934"/>
      <c r="Y17" s="1934"/>
      <c r="Z17" s="1934"/>
      <c r="AA17" s="1934"/>
      <c r="AB17" s="1934"/>
      <c r="AC17" s="1934"/>
      <c r="AD17" s="1934"/>
      <c r="AE17" s="1934"/>
      <c r="AF17" s="1934"/>
      <c r="AG17" s="1934"/>
      <c r="AH17" s="1934"/>
      <c r="AI17" s="1934"/>
      <c r="AJ17" s="1934"/>
      <c r="AK17" s="1934"/>
      <c r="AL17" s="1934"/>
      <c r="AM17" s="1934"/>
    </row>
    <row r="18" spans="1:67" ht="15" thickBot="1">
      <c r="A18" s="1394" t="s">
        <v>573</v>
      </c>
      <c r="B18" s="2402"/>
      <c r="C18" s="2399"/>
      <c r="D18" s="2400"/>
      <c r="E18" s="2399"/>
      <c r="F18" s="2399"/>
      <c r="G18" s="2399"/>
      <c r="H18" s="2399"/>
      <c r="I18" s="2399"/>
      <c r="J18" s="2399"/>
      <c r="K18" s="275"/>
      <c r="L18" s="3152" t="s">
        <v>3348</v>
      </c>
      <c r="M18" s="3152" t="s">
        <v>3349</v>
      </c>
      <c r="N18" s="3152" t="s">
        <v>3350</v>
      </c>
      <c r="O18" s="3152" t="s">
        <v>3351</v>
      </c>
      <c r="P18" s="1934"/>
      <c r="Q18" s="1934"/>
      <c r="R18" s="1934"/>
      <c r="S18" s="1934"/>
      <c r="T18" s="1934"/>
      <c r="U18" s="3165" t="s">
        <v>3390</v>
      </c>
      <c r="V18" s="3165" t="s">
        <v>3394</v>
      </c>
      <c r="W18" s="3165" t="s">
        <v>3395</v>
      </c>
      <c r="X18" s="1934"/>
      <c r="Y18" s="1934"/>
      <c r="Z18" s="1934"/>
      <c r="AA18" s="1934"/>
      <c r="AB18" s="1934"/>
      <c r="AC18" s="1934"/>
      <c r="AD18" s="1934"/>
      <c r="AE18" s="1934"/>
      <c r="AF18" s="1934"/>
      <c r="AG18" s="1934"/>
      <c r="AH18" s="1934"/>
      <c r="AI18" s="1934"/>
      <c r="AJ18" s="1934"/>
      <c r="AK18" s="1934"/>
      <c r="AL18" s="1934"/>
      <c r="AM18" s="1934"/>
    </row>
    <row r="19" spans="1:67" ht="14.25">
      <c r="A19" s="2428" t="s">
        <v>574</v>
      </c>
      <c r="B19" s="2429">
        <v>0</v>
      </c>
      <c r="C19" s="2399" t="s">
        <v>575</v>
      </c>
      <c r="D19" s="2400"/>
      <c r="E19" s="2399"/>
      <c r="F19" s="2399"/>
      <c r="G19" s="2399"/>
      <c r="H19" s="2399"/>
      <c r="I19" s="2399"/>
      <c r="J19" s="2399"/>
      <c r="K19" s="275"/>
      <c r="L19" s="275"/>
      <c r="M19" s="1934"/>
      <c r="N19" s="1934"/>
      <c r="O19" s="1934"/>
      <c r="P19" s="1934"/>
      <c r="Q19" s="1934"/>
      <c r="R19" s="1934"/>
      <c r="S19" s="1934"/>
      <c r="T19" s="1934"/>
      <c r="U19" s="3165" t="s">
        <v>3386</v>
      </c>
      <c r="V19" s="1934">
        <f>160/30</f>
        <v>5.333333333333333</v>
      </c>
      <c r="W19" s="1934"/>
      <c r="X19" s="1934"/>
      <c r="Y19" s="1934"/>
      <c r="Z19" s="1934"/>
      <c r="AA19" s="1934"/>
      <c r="AB19" s="1934"/>
      <c r="AC19" s="1934"/>
      <c r="AD19" s="1934"/>
      <c r="AE19" s="1934"/>
      <c r="AF19" s="1934"/>
      <c r="AG19" s="1934"/>
      <c r="AH19" s="1934"/>
      <c r="AI19" s="1934"/>
      <c r="AJ19" s="1934"/>
      <c r="AK19" s="1934"/>
      <c r="AL19" s="1934"/>
      <c r="AM19" s="1934"/>
    </row>
    <row r="20" spans="1:67" ht="14.25">
      <c r="A20" s="2430" t="s">
        <v>576</v>
      </c>
      <c r="B20" s="2431">
        <v>2</v>
      </c>
      <c r="C20" s="2399" t="s">
        <v>577</v>
      </c>
      <c r="D20" s="2400"/>
      <c r="E20" s="2399"/>
      <c r="F20" s="2399"/>
      <c r="G20" s="2399"/>
      <c r="H20" s="2399"/>
      <c r="I20" s="2399"/>
      <c r="J20" s="2399"/>
      <c r="K20" s="275"/>
      <c r="L20" s="275"/>
      <c r="M20" s="1934"/>
      <c r="N20" s="1934"/>
      <c r="O20" s="1934"/>
      <c r="P20" s="1934"/>
      <c r="Q20" s="1934"/>
      <c r="R20" s="1934"/>
      <c r="S20" s="1934"/>
      <c r="T20" s="1934"/>
      <c r="U20" s="3165" t="s">
        <v>3391</v>
      </c>
      <c r="V20" s="1934">
        <f>103/30</f>
        <v>3.4333333333333331</v>
      </c>
      <c r="W20" s="1934">
        <v>0.7</v>
      </c>
      <c r="X20" s="1934">
        <f>$V$19*W20</f>
        <v>3.7333333333333329</v>
      </c>
      <c r="Y20" s="1934"/>
      <c r="Z20" s="1934"/>
      <c r="AA20" s="1934"/>
      <c r="AB20" s="1934"/>
      <c r="AC20" s="1934"/>
      <c r="AD20" s="1934"/>
      <c r="AE20" s="1934"/>
      <c r="AF20" s="1934"/>
      <c r="AG20" s="1934"/>
      <c r="AH20" s="1934"/>
      <c r="AI20" s="1934"/>
      <c r="AJ20" s="1934"/>
      <c r="AK20" s="1934"/>
      <c r="AL20" s="1934"/>
      <c r="AM20" s="1934"/>
    </row>
    <row r="21" spans="1:67" ht="14.25">
      <c r="A21" s="2432" t="s">
        <v>578</v>
      </c>
      <c r="B21" s="2431">
        <v>2</v>
      </c>
      <c r="C21" s="2399"/>
      <c r="D21" s="2400"/>
      <c r="E21" s="2399"/>
      <c r="F21" s="2399"/>
      <c r="G21" s="2399"/>
      <c r="H21" s="2399"/>
      <c r="I21" s="2399"/>
      <c r="J21" s="2399"/>
      <c r="K21" s="275"/>
      <c r="L21" s="275"/>
      <c r="M21" s="1934"/>
      <c r="N21" s="1934"/>
      <c r="O21" s="1934"/>
      <c r="P21" s="1934"/>
      <c r="Q21" s="1934"/>
      <c r="R21" s="1934"/>
      <c r="S21" s="1934"/>
      <c r="T21" s="1934"/>
      <c r="U21" s="3165" t="s">
        <v>3392</v>
      </c>
      <c r="V21" s="1934">
        <f>75/30</f>
        <v>2.5</v>
      </c>
      <c r="W21" s="1934">
        <v>0.5</v>
      </c>
      <c r="X21" s="1934">
        <f>$V$19*W21</f>
        <v>2.6666666666666665</v>
      </c>
      <c r="Y21" s="1934"/>
      <c r="Z21" s="1934"/>
      <c r="AA21" s="1934"/>
      <c r="AB21" s="1934"/>
      <c r="AC21" s="1934"/>
      <c r="AD21" s="1934"/>
      <c r="AE21" s="1934"/>
      <c r="AF21" s="1934"/>
      <c r="AG21" s="1934"/>
      <c r="AH21" s="1934"/>
      <c r="AI21" s="1934"/>
      <c r="AJ21" s="1934"/>
      <c r="AK21" s="1934"/>
      <c r="AL21" s="1934"/>
      <c r="AM21" s="1934"/>
    </row>
    <row r="22" spans="1:67" ht="14.25">
      <c r="A22" s="2430" t="s">
        <v>579</v>
      </c>
      <c r="B22" s="2433">
        <f>B19+B20</f>
        <v>2</v>
      </c>
      <c r="C22" s="2399"/>
      <c r="D22" s="2400"/>
      <c r="E22" s="2399"/>
      <c r="F22" s="2399"/>
      <c r="G22" s="2399"/>
      <c r="H22" s="2399"/>
      <c r="I22" s="2399"/>
      <c r="J22" s="2399"/>
      <c r="K22" s="275"/>
      <c r="L22" s="275"/>
      <c r="M22" s="1934"/>
      <c r="N22" s="1934"/>
      <c r="O22" s="1934"/>
      <c r="P22" s="1934"/>
      <c r="Q22" s="1934"/>
      <c r="R22" s="1934"/>
      <c r="S22" s="1934"/>
      <c r="T22" s="1934"/>
      <c r="U22" s="3165" t="s">
        <v>3393</v>
      </c>
      <c r="V22" s="1934">
        <f>76/30</f>
        <v>2.5333333333333332</v>
      </c>
      <c r="W22" s="1934">
        <v>0.5</v>
      </c>
      <c r="X22" s="1934">
        <f>$V$19*W22</f>
        <v>2.6666666666666665</v>
      </c>
      <c r="Y22" s="1934"/>
      <c r="Z22" s="1934"/>
      <c r="AA22" s="1934"/>
      <c r="AB22" s="1934"/>
      <c r="AC22" s="1934"/>
      <c r="AD22" s="1934"/>
      <c r="AE22" s="1934"/>
      <c r="AF22" s="1934"/>
      <c r="AG22" s="1934"/>
      <c r="AH22" s="1934"/>
      <c r="AI22" s="1934"/>
      <c r="AJ22" s="1934"/>
      <c r="AK22" s="1934"/>
      <c r="AL22" s="1934"/>
      <c r="AM22" s="1934"/>
    </row>
    <row r="23" spans="1:67" ht="14.25">
      <c r="A23" s="2432" t="s">
        <v>580</v>
      </c>
      <c r="B23" s="2433">
        <f>B19+B21</f>
        <v>2</v>
      </c>
      <c r="C23" s="2399"/>
      <c r="D23" s="2400"/>
      <c r="E23" s="2399"/>
      <c r="F23" s="2399"/>
      <c r="G23" s="2399"/>
      <c r="H23" s="2399"/>
      <c r="I23" s="2399"/>
      <c r="J23" s="2399"/>
      <c r="K23" s="275"/>
      <c r="L23" s="275"/>
      <c r="M23" s="1934"/>
      <c r="N23" s="1934"/>
      <c r="O23" s="1934"/>
      <c r="P23" s="1934"/>
      <c r="Q23" s="1934"/>
      <c r="R23" s="1934"/>
      <c r="S23" s="1934"/>
      <c r="T23" s="1934"/>
      <c r="U23" s="1934"/>
      <c r="V23" s="1934"/>
      <c r="W23" s="1934"/>
      <c r="X23" s="1934"/>
      <c r="Y23" s="1934"/>
      <c r="Z23" s="1934"/>
      <c r="AA23" s="1934"/>
      <c r="AB23" s="1934"/>
      <c r="AC23" s="1934"/>
      <c r="AD23" s="1934"/>
      <c r="AE23" s="1934"/>
      <c r="AF23" s="1934"/>
      <c r="AG23" s="1934"/>
      <c r="AH23" s="1934"/>
      <c r="AI23" s="1934"/>
      <c r="AJ23" s="1934"/>
      <c r="AK23" s="1934"/>
      <c r="AL23" s="1934"/>
      <c r="AM23" s="1934"/>
    </row>
    <row r="24" spans="1:67" ht="14.25">
      <c r="A24" s="2434" t="s">
        <v>581</v>
      </c>
      <c r="B24" s="2435">
        <f>B20-B21</f>
        <v>0</v>
      </c>
      <c r="C24" s="2399"/>
      <c r="D24" s="2400"/>
      <c r="E24" s="2399"/>
      <c r="F24" s="2399"/>
      <c r="G24" s="2399"/>
      <c r="H24" s="2399"/>
      <c r="I24" s="2399"/>
      <c r="J24" s="2399"/>
      <c r="K24" s="275"/>
      <c r="L24" s="275"/>
      <c r="M24" s="1934"/>
      <c r="N24" s="1934"/>
      <c r="O24" s="1934"/>
      <c r="P24" s="1934"/>
      <c r="Q24" s="1934"/>
      <c r="R24" s="1934"/>
      <c r="S24" s="1934"/>
      <c r="T24" s="1934"/>
      <c r="U24" s="1934"/>
      <c r="V24" s="1934"/>
      <c r="W24" s="1934"/>
      <c r="X24" s="1934"/>
      <c r="Y24" s="1934"/>
      <c r="Z24" s="1934"/>
      <c r="AA24" s="1934"/>
      <c r="AB24" s="1934"/>
      <c r="AC24" s="1934"/>
      <c r="AD24" s="1934"/>
      <c r="AE24" s="1934"/>
      <c r="AF24" s="1934"/>
      <c r="AG24" s="1934"/>
      <c r="AH24" s="1934"/>
      <c r="AI24" s="1934"/>
      <c r="AJ24" s="1934"/>
      <c r="AK24" s="1934"/>
      <c r="AL24" s="1934"/>
      <c r="AM24" s="1934"/>
    </row>
    <row r="25" spans="1:67" ht="14.25">
      <c r="A25" s="2401"/>
      <c r="B25" s="2402"/>
      <c r="C25" s="2399"/>
      <c r="D25" s="2400"/>
      <c r="E25" s="2399"/>
      <c r="F25" s="2399"/>
      <c r="G25" s="2399"/>
      <c r="H25" s="2399"/>
      <c r="I25" s="2399"/>
      <c r="J25" s="2399"/>
      <c r="K25" s="275"/>
      <c r="L25" s="275"/>
      <c r="M25" s="1934"/>
      <c r="N25" s="1934"/>
      <c r="O25" s="1934"/>
      <c r="P25" s="1934"/>
      <c r="Q25" s="1934"/>
      <c r="R25" s="1934"/>
      <c r="S25" s="1934"/>
      <c r="T25" s="1934"/>
      <c r="U25" s="1934"/>
      <c r="V25" s="1934"/>
      <c r="W25" s="1934"/>
      <c r="X25" s="1934"/>
      <c r="Y25" s="1934"/>
      <c r="Z25" s="1934"/>
      <c r="AA25" s="1934"/>
      <c r="AB25" s="1934"/>
      <c r="AC25" s="1934"/>
      <c r="AD25" s="1934"/>
      <c r="AE25" s="1934"/>
      <c r="AF25" s="1934"/>
      <c r="AG25" s="1934"/>
      <c r="AH25" s="1934"/>
      <c r="AI25" s="1934"/>
      <c r="AJ25" s="1934"/>
      <c r="AK25" s="1934"/>
      <c r="AL25" s="1934"/>
      <c r="AM25" s="1934"/>
    </row>
    <row r="26" spans="1:67" ht="14.25">
      <c r="A26" s="2397" t="s">
        <v>582</v>
      </c>
      <c r="B26" s="2436" t="s">
        <v>583</v>
      </c>
      <c r="C26" s="2437" t="s">
        <v>584</v>
      </c>
      <c r="D26" s="2400"/>
      <c r="E26" s="2399"/>
      <c r="F26" s="2399"/>
      <c r="G26" s="2399"/>
      <c r="H26" s="2399"/>
      <c r="I26" s="2399"/>
      <c r="J26" s="2399"/>
      <c r="K26" s="275"/>
      <c r="L26" s="275"/>
      <c r="M26" s="1934"/>
      <c r="N26" s="1934"/>
      <c r="O26" s="1934"/>
      <c r="P26" s="1934"/>
      <c r="Q26" s="1934"/>
      <c r="R26" s="1934"/>
      <c r="S26" s="1934"/>
      <c r="T26" s="1934"/>
      <c r="U26" s="1934"/>
      <c r="V26" s="1934"/>
      <c r="W26" s="1934"/>
      <c r="X26" s="1934"/>
      <c r="Y26" s="1934"/>
      <c r="Z26" s="1934"/>
      <c r="AA26" s="1934"/>
      <c r="AB26" s="1934"/>
      <c r="AC26" s="1934"/>
      <c r="AD26" s="1934"/>
      <c r="AE26" s="1934"/>
      <c r="AF26" s="1934"/>
      <c r="AG26" s="1934"/>
      <c r="AH26" s="1934"/>
      <c r="AI26" s="1934"/>
      <c r="AJ26" s="1934"/>
      <c r="AK26" s="1934"/>
      <c r="AL26" s="1934"/>
      <c r="AM26" s="1934"/>
    </row>
    <row r="27" spans="1:67" s="2389" customFormat="1" ht="27.75">
      <c r="A27" s="2438" t="s">
        <v>585</v>
      </c>
      <c r="B27" s="2439">
        <v>50</v>
      </c>
      <c r="C27" s="2440" t="s">
        <v>586</v>
      </c>
      <c r="D27" s="2441"/>
      <c r="E27" s="1442"/>
      <c r="F27" s="1442"/>
      <c r="G27" s="2399"/>
      <c r="H27" s="2399"/>
      <c r="I27" s="2399"/>
      <c r="J27" s="2399"/>
      <c r="K27" s="275"/>
      <c r="L27" s="275"/>
      <c r="M27" s="1934"/>
      <c r="N27" s="1934"/>
      <c r="O27" s="1934"/>
      <c r="P27" s="1934"/>
      <c r="Q27" s="1934"/>
      <c r="R27" s="1934"/>
      <c r="S27" s="1934"/>
      <c r="T27" s="1934"/>
      <c r="U27" s="1934"/>
      <c r="V27" s="1934"/>
      <c r="W27" s="1934"/>
      <c r="X27" s="1934"/>
      <c r="Y27" s="1934"/>
      <c r="Z27" s="1934"/>
      <c r="AA27" s="1934"/>
      <c r="AB27" s="1934"/>
      <c r="AC27" s="1934"/>
      <c r="AD27" s="1934"/>
      <c r="AE27" s="1934"/>
      <c r="AF27" s="1934"/>
      <c r="AG27" s="1934"/>
      <c r="AH27" s="1934"/>
      <c r="AI27" s="1934"/>
      <c r="AJ27" s="1934"/>
      <c r="AK27" s="1934"/>
      <c r="AL27" s="1934"/>
      <c r="AM27" s="1934"/>
      <c r="AN27" s="1925"/>
      <c r="AO27" s="1925"/>
      <c r="AP27" s="1925"/>
      <c r="AQ27" s="1925"/>
      <c r="AR27" s="1925"/>
      <c r="AS27" s="1925"/>
      <c r="AT27" s="1925"/>
      <c r="AU27" s="1925"/>
      <c r="AV27" s="1925"/>
      <c r="AW27" s="1925"/>
      <c r="AX27" s="1925"/>
      <c r="AY27" s="1925"/>
      <c r="AZ27" s="1925"/>
      <c r="BA27" s="1925"/>
      <c r="BB27" s="1925"/>
      <c r="BC27" s="1925"/>
      <c r="BD27" s="1925"/>
      <c r="BE27" s="1925"/>
      <c r="BF27" s="1925"/>
      <c r="BG27" s="1925"/>
      <c r="BH27" s="1925"/>
      <c r="BI27" s="1925"/>
      <c r="BJ27" s="1925"/>
      <c r="BK27" s="1925"/>
      <c r="BL27" s="1925"/>
      <c r="BM27" s="1925"/>
      <c r="BN27" s="1925"/>
      <c r="BO27" s="1925"/>
    </row>
    <row r="28" spans="1:67" s="2389" customFormat="1" ht="27.75">
      <c r="A28" s="2442" t="s">
        <v>587</v>
      </c>
      <c r="B28" s="2443">
        <v>90</v>
      </c>
      <c r="C28" s="2444"/>
      <c r="D28" s="2441"/>
      <c r="E28" s="1442"/>
      <c r="F28" s="1442"/>
      <c r="G28" s="2399"/>
      <c r="H28" s="2399"/>
      <c r="I28" s="2399"/>
      <c r="J28" s="2399"/>
      <c r="K28" s="275"/>
      <c r="L28" s="275"/>
      <c r="M28" s="1934"/>
      <c r="N28" s="1934"/>
      <c r="O28" s="1934"/>
      <c r="P28" s="1934"/>
      <c r="Q28" s="1934"/>
      <c r="R28" s="1934"/>
      <c r="S28" s="1934"/>
      <c r="T28" s="1934"/>
      <c r="U28" s="1934"/>
      <c r="V28" s="1934"/>
      <c r="W28" s="1934"/>
      <c r="X28" s="1934"/>
      <c r="Y28" s="1934"/>
      <c r="Z28" s="1934"/>
      <c r="AA28" s="1934"/>
      <c r="AB28" s="1934"/>
      <c r="AC28" s="1934"/>
      <c r="AD28" s="1934"/>
      <c r="AE28" s="1934"/>
      <c r="AF28" s="1934"/>
      <c r="AG28" s="1934"/>
      <c r="AH28" s="1934"/>
      <c r="AI28" s="1934"/>
      <c r="AJ28" s="1934"/>
      <c r="AK28" s="1934"/>
      <c r="AL28" s="1934"/>
      <c r="AM28" s="1934"/>
      <c r="AN28" s="1925"/>
      <c r="AO28" s="1925"/>
      <c r="AP28" s="1925"/>
      <c r="AQ28" s="1925"/>
      <c r="AR28" s="1925"/>
      <c r="AS28" s="1925"/>
      <c r="AT28" s="1925"/>
      <c r="AU28" s="1925"/>
      <c r="AV28" s="1925"/>
      <c r="AW28" s="1925"/>
      <c r="AX28" s="1925"/>
      <c r="AY28" s="1925"/>
      <c r="AZ28" s="1925"/>
      <c r="BA28" s="1925"/>
      <c r="BB28" s="1925"/>
      <c r="BC28" s="1925"/>
      <c r="BD28" s="1925"/>
      <c r="BE28" s="1925"/>
      <c r="BF28" s="1925"/>
      <c r="BG28" s="1925"/>
      <c r="BH28" s="1925"/>
      <c r="BI28" s="1925"/>
      <c r="BJ28" s="1925"/>
      <c r="BK28" s="1925"/>
      <c r="BL28" s="1925"/>
      <c r="BM28" s="1925"/>
      <c r="BN28" s="1925"/>
      <c r="BO28" s="1925"/>
    </row>
    <row r="29" spans="1:67" s="2389" customFormat="1" ht="27.75">
      <c r="A29" s="2445" t="s">
        <v>588</v>
      </c>
      <c r="B29" s="2446">
        <f ca="1">成本法!C10</f>
        <v>890</v>
      </c>
      <c r="C29" s="2440" t="s">
        <v>589</v>
      </c>
      <c r="D29" s="2441"/>
      <c r="E29" s="1442"/>
      <c r="F29" s="1442"/>
      <c r="G29" s="2399"/>
      <c r="H29" s="2399"/>
      <c r="I29" s="2399"/>
      <c r="J29" s="2399"/>
      <c r="K29" s="275"/>
      <c r="L29" s="275"/>
      <c r="M29" s="1934"/>
      <c r="N29" s="1934"/>
      <c r="O29" s="1934"/>
      <c r="P29" s="1934"/>
      <c r="Q29" s="1934"/>
      <c r="R29" s="1934"/>
      <c r="S29" s="1934"/>
      <c r="T29" s="1934"/>
      <c r="U29" s="1934"/>
      <c r="V29" s="1934"/>
      <c r="W29" s="1934"/>
      <c r="X29" s="1934"/>
      <c r="Y29" s="1934"/>
      <c r="Z29" s="1934"/>
      <c r="AA29" s="1934"/>
      <c r="AB29" s="1934"/>
      <c r="AC29" s="1934"/>
      <c r="AD29" s="1934"/>
      <c r="AE29" s="1934"/>
      <c r="AF29" s="1934"/>
      <c r="AG29" s="1934"/>
      <c r="AH29" s="1934"/>
      <c r="AI29" s="1934"/>
      <c r="AJ29" s="1934"/>
      <c r="AK29" s="1934"/>
      <c r="AL29" s="1934"/>
      <c r="AM29" s="1934"/>
      <c r="AN29" s="1925"/>
      <c r="AO29" s="1925"/>
      <c r="AP29" s="1925"/>
      <c r="AQ29" s="1925"/>
      <c r="AR29" s="1925"/>
      <c r="AS29" s="1925"/>
      <c r="AT29" s="1925"/>
      <c r="AU29" s="1925"/>
      <c r="AV29" s="1925"/>
      <c r="AW29" s="1925"/>
      <c r="AX29" s="1925"/>
      <c r="AY29" s="1925"/>
      <c r="AZ29" s="1925"/>
      <c r="BA29" s="1925"/>
      <c r="BB29" s="1925"/>
      <c r="BC29" s="1925"/>
      <c r="BD29" s="1925"/>
      <c r="BE29" s="1925"/>
      <c r="BF29" s="1925"/>
      <c r="BG29" s="1925"/>
      <c r="BH29" s="1925"/>
      <c r="BI29" s="1925"/>
      <c r="BJ29" s="1925"/>
      <c r="BK29" s="1925"/>
      <c r="BL29" s="1925"/>
      <c r="BM29" s="1925"/>
      <c r="BN29" s="1925"/>
      <c r="BO29" s="1925"/>
    </row>
    <row r="30" spans="1:67" s="2389" customFormat="1" ht="27">
      <c r="A30" s="2447" t="s">
        <v>590</v>
      </c>
      <c r="B30" s="2448">
        <v>200</v>
      </c>
      <c r="C30" s="2444"/>
      <c r="D30" s="2441"/>
      <c r="E30" s="1442"/>
      <c r="F30" s="1442"/>
      <c r="G30" s="2399"/>
      <c r="H30" s="2399"/>
      <c r="I30" s="2399"/>
      <c r="J30" s="2399"/>
      <c r="K30" s="275"/>
      <c r="L30" s="275"/>
      <c r="M30" s="1934"/>
      <c r="N30" s="1934"/>
      <c r="O30" s="1934"/>
      <c r="P30" s="1934"/>
      <c r="Q30" s="1934"/>
      <c r="R30" s="1934"/>
      <c r="S30" s="1934"/>
      <c r="T30" s="1934"/>
      <c r="U30" s="1934"/>
      <c r="V30" s="1934"/>
      <c r="W30" s="1934"/>
      <c r="X30" s="1934"/>
      <c r="Y30" s="1934"/>
      <c r="Z30" s="1934"/>
      <c r="AA30" s="1934"/>
      <c r="AB30" s="1934"/>
      <c r="AC30" s="1934"/>
      <c r="AD30" s="1934"/>
      <c r="AE30" s="1934"/>
      <c r="AF30" s="1934"/>
      <c r="AG30" s="1934"/>
      <c r="AH30" s="1934"/>
      <c r="AI30" s="1934"/>
      <c r="AJ30" s="1934"/>
      <c r="AK30" s="1934"/>
      <c r="AL30" s="1934"/>
      <c r="AM30" s="1934"/>
      <c r="AN30" s="1925"/>
      <c r="AO30" s="1925"/>
      <c r="AP30" s="1925"/>
      <c r="AQ30" s="1925"/>
      <c r="AR30" s="1925"/>
      <c r="AS30" s="1925"/>
      <c r="AT30" s="1925"/>
      <c r="AU30" s="1925"/>
      <c r="AV30" s="1925"/>
      <c r="AW30" s="1925"/>
      <c r="AX30" s="1925"/>
      <c r="AY30" s="1925"/>
      <c r="AZ30" s="1925"/>
      <c r="BA30" s="1925"/>
      <c r="BB30" s="1925"/>
      <c r="BC30" s="1925"/>
      <c r="BD30" s="1925"/>
      <c r="BE30" s="1925"/>
      <c r="BF30" s="1925"/>
      <c r="BG30" s="1925"/>
      <c r="BH30" s="1925"/>
      <c r="BI30" s="1925"/>
      <c r="BJ30" s="1925"/>
      <c r="BK30" s="1925"/>
      <c r="BL30" s="1925"/>
      <c r="BM30" s="1925"/>
      <c r="BN30" s="1925"/>
      <c r="BO30" s="1925"/>
    </row>
    <row r="31" spans="1:67" s="2389" customFormat="1" ht="27">
      <c r="A31" s="2442" t="s">
        <v>591</v>
      </c>
      <c r="B31" s="2449">
        <f>B30-B32</f>
        <v>200</v>
      </c>
      <c r="C31" s="2440"/>
      <c r="D31" s="2441"/>
      <c r="E31" s="1442"/>
      <c r="F31" s="1442"/>
      <c r="G31" s="2399"/>
      <c r="H31" s="2399"/>
      <c r="I31" s="2399"/>
      <c r="J31" s="2399"/>
      <c r="K31" s="275"/>
      <c r="L31" s="275"/>
      <c r="M31" s="1934"/>
      <c r="N31" s="1934"/>
      <c r="O31" s="1934"/>
      <c r="P31" s="1934"/>
      <c r="Q31" s="1934"/>
      <c r="R31" s="1934"/>
      <c r="S31" s="1934"/>
      <c r="T31" s="1934"/>
      <c r="U31" s="1934"/>
      <c r="V31" s="1934"/>
      <c r="W31" s="1934"/>
      <c r="X31" s="1934"/>
      <c r="Y31" s="1934"/>
      <c r="Z31" s="1934"/>
      <c r="AA31" s="1934"/>
      <c r="AB31" s="1934"/>
      <c r="AC31" s="1934"/>
      <c r="AD31" s="1934"/>
      <c r="AE31" s="1934"/>
      <c r="AF31" s="1934"/>
      <c r="AG31" s="1934"/>
      <c r="AH31" s="1934"/>
      <c r="AI31" s="1934"/>
      <c r="AJ31" s="1934"/>
      <c r="AK31" s="1934"/>
      <c r="AL31" s="1934"/>
      <c r="AM31" s="1934"/>
      <c r="AN31" s="1925"/>
      <c r="AO31" s="1925"/>
      <c r="AP31" s="1925"/>
      <c r="AQ31" s="1925"/>
      <c r="AR31" s="1925"/>
      <c r="AS31" s="1925"/>
      <c r="AT31" s="1925"/>
      <c r="AU31" s="1925"/>
      <c r="AV31" s="1925"/>
      <c r="AW31" s="1925"/>
      <c r="AX31" s="1925"/>
      <c r="AY31" s="1925"/>
      <c r="AZ31" s="1925"/>
      <c r="BA31" s="1925"/>
      <c r="BB31" s="1925"/>
      <c r="BC31" s="1925"/>
      <c r="BD31" s="1925"/>
      <c r="BE31" s="1925"/>
      <c r="BF31" s="1925"/>
      <c r="BG31" s="1925"/>
      <c r="BH31" s="1925"/>
      <c r="BI31" s="1925"/>
      <c r="BJ31" s="1925"/>
      <c r="BK31" s="1925"/>
      <c r="BL31" s="1925"/>
      <c r="BM31" s="1925"/>
      <c r="BN31" s="1925"/>
      <c r="BO31" s="1925"/>
    </row>
    <row r="32" spans="1:67" s="2389" customFormat="1" ht="27">
      <c r="A32" s="2450" t="s">
        <v>592</v>
      </c>
      <c r="B32" s="2451">
        <v>0</v>
      </c>
      <c r="C32" s="2444"/>
      <c r="D32" s="2400"/>
      <c r="E32" s="2399"/>
      <c r="F32" s="2399"/>
      <c r="G32" s="2399"/>
      <c r="H32" s="2399"/>
      <c r="I32" s="2399"/>
      <c r="J32" s="2399"/>
      <c r="K32" s="275"/>
      <c r="L32" s="275"/>
      <c r="M32" s="1934"/>
      <c r="N32" s="1934"/>
      <c r="O32" s="1934"/>
      <c r="P32" s="1934"/>
      <c r="Q32" s="1934"/>
      <c r="R32" s="1934"/>
      <c r="S32" s="1934"/>
      <c r="T32" s="1934"/>
      <c r="U32" s="1934"/>
      <c r="V32" s="1934"/>
      <c r="W32" s="1934"/>
      <c r="X32" s="1934"/>
      <c r="Y32" s="1934"/>
      <c r="Z32" s="1934"/>
      <c r="AA32" s="1934"/>
      <c r="AB32" s="1934"/>
      <c r="AC32" s="1934"/>
      <c r="AD32" s="1934"/>
      <c r="AE32" s="1934"/>
      <c r="AF32" s="1934"/>
      <c r="AG32" s="1934"/>
      <c r="AH32" s="1934"/>
      <c r="AI32" s="1934"/>
      <c r="AJ32" s="1934"/>
      <c r="AK32" s="1934"/>
      <c r="AL32" s="1934"/>
      <c r="AM32" s="1934"/>
      <c r="AN32" s="1925"/>
      <c r="AO32" s="1925"/>
      <c r="AP32" s="1925"/>
      <c r="AQ32" s="1925"/>
      <c r="AR32" s="1925"/>
      <c r="AS32" s="1925"/>
      <c r="AT32" s="1925"/>
      <c r="AU32" s="1925"/>
      <c r="AV32" s="1925"/>
      <c r="AW32" s="1925"/>
      <c r="AX32" s="1925"/>
      <c r="AY32" s="1925"/>
      <c r="AZ32" s="1925"/>
      <c r="BA32" s="1925"/>
      <c r="BB32" s="1925"/>
      <c r="BC32" s="1925"/>
      <c r="BD32" s="1925"/>
      <c r="BE32" s="1925"/>
      <c r="BF32" s="1925"/>
      <c r="BG32" s="1925"/>
      <c r="BH32" s="1925"/>
      <c r="BI32" s="1925"/>
      <c r="BJ32" s="1925"/>
      <c r="BK32" s="1925"/>
      <c r="BL32" s="1925"/>
      <c r="BM32" s="1925"/>
      <c r="BN32" s="1925"/>
      <c r="BO32" s="1925"/>
    </row>
    <row r="33" spans="1:67" s="2389" customFormat="1" ht="14.25">
      <c r="A33" s="2438" t="s">
        <v>593</v>
      </c>
      <c r="B33" s="2452">
        <v>0.05</v>
      </c>
      <c r="C33" s="2453" t="s">
        <v>594</v>
      </c>
      <c r="D33" s="2400"/>
      <c r="E33" s="2399"/>
      <c r="F33" s="2399"/>
      <c r="G33" s="2399"/>
      <c r="H33" s="2399"/>
      <c r="I33" s="2399"/>
      <c r="J33" s="2399"/>
      <c r="K33" s="275"/>
      <c r="L33" s="275"/>
      <c r="M33" s="1934"/>
      <c r="N33" s="1934"/>
      <c r="O33" s="1934"/>
      <c r="P33" s="1934"/>
      <c r="Q33" s="1934"/>
      <c r="R33" s="1934"/>
      <c r="S33" s="1934"/>
      <c r="T33" s="1934"/>
      <c r="U33" s="1934"/>
      <c r="V33" s="1934"/>
      <c r="W33" s="1934"/>
      <c r="X33" s="1934"/>
      <c r="Y33" s="1934"/>
      <c r="Z33" s="1934"/>
      <c r="AA33" s="1934"/>
      <c r="AB33" s="1934"/>
      <c r="AC33" s="1934"/>
      <c r="AD33" s="1934"/>
      <c r="AE33" s="1934"/>
      <c r="AF33" s="1934"/>
      <c r="AG33" s="1934"/>
      <c r="AH33" s="1934"/>
      <c r="AI33" s="1934"/>
      <c r="AJ33" s="1934"/>
      <c r="AK33" s="1934"/>
      <c r="AL33" s="1934"/>
      <c r="AM33" s="1934"/>
      <c r="AN33" s="1925"/>
      <c r="AO33" s="1925"/>
      <c r="AP33" s="1925"/>
      <c r="AQ33" s="1925"/>
      <c r="AR33" s="1925"/>
      <c r="AS33" s="1925"/>
      <c r="AT33" s="1925"/>
      <c r="AU33" s="1925"/>
      <c r="AV33" s="1925"/>
      <c r="AW33" s="1925"/>
      <c r="AX33" s="1925"/>
      <c r="AY33" s="1925"/>
      <c r="AZ33" s="1925"/>
      <c r="BA33" s="1925"/>
      <c r="BB33" s="1925"/>
      <c r="BC33" s="1925"/>
      <c r="BD33" s="1925"/>
      <c r="BE33" s="1925"/>
      <c r="BF33" s="1925"/>
      <c r="BG33" s="1925"/>
      <c r="BH33" s="1925"/>
      <c r="BI33" s="1925"/>
      <c r="BJ33" s="1925"/>
      <c r="BK33" s="1925"/>
      <c r="BL33" s="1925"/>
      <c r="BM33" s="1925"/>
      <c r="BN33" s="1925"/>
      <c r="BO33" s="1925"/>
    </row>
    <row r="34" spans="1:67" s="2389" customFormat="1" ht="14.25">
      <c r="A34" s="2442" t="s">
        <v>595</v>
      </c>
      <c r="B34" s="2454">
        <v>0</v>
      </c>
      <c r="C34" s="2453" t="s">
        <v>596</v>
      </c>
      <c r="D34" s="2400" t="s">
        <v>597</v>
      </c>
      <c r="E34" s="1747"/>
      <c r="F34" s="2399"/>
      <c r="G34" s="2399"/>
      <c r="H34" s="2399"/>
      <c r="I34" s="2399"/>
      <c r="J34" s="2399"/>
      <c r="K34" s="275"/>
      <c r="L34" s="275"/>
      <c r="M34" s="1934"/>
      <c r="N34" s="1934"/>
      <c r="O34" s="1934"/>
      <c r="P34" s="1934"/>
      <c r="Q34" s="1934"/>
      <c r="R34" s="1934"/>
      <c r="S34" s="1934"/>
      <c r="T34" s="1934"/>
      <c r="U34" s="1934"/>
      <c r="V34" s="1934"/>
      <c r="W34" s="1934"/>
      <c r="X34" s="1934"/>
      <c r="Y34" s="1934"/>
      <c r="Z34" s="1934"/>
      <c r="AA34" s="1934"/>
      <c r="AB34" s="1934"/>
      <c r="AC34" s="1934"/>
      <c r="AD34" s="1934"/>
      <c r="AE34" s="1934"/>
      <c r="AF34" s="1934"/>
      <c r="AG34" s="1934"/>
      <c r="AH34" s="1934"/>
      <c r="AI34" s="1934"/>
      <c r="AJ34" s="1934"/>
      <c r="AK34" s="1934"/>
      <c r="AL34" s="1934"/>
      <c r="AM34" s="1934"/>
      <c r="AN34" s="1925"/>
      <c r="AO34" s="1925"/>
      <c r="AP34" s="1925"/>
      <c r="AQ34" s="1925"/>
      <c r="AR34" s="1925"/>
      <c r="AS34" s="1925"/>
      <c r="AT34" s="1925"/>
      <c r="AU34" s="1925"/>
      <c r="AV34" s="1925"/>
      <c r="AW34" s="1925"/>
      <c r="AX34" s="1925"/>
      <c r="AY34" s="1925"/>
      <c r="AZ34" s="1925"/>
      <c r="BA34" s="1925"/>
      <c r="BB34" s="1925"/>
      <c r="BC34" s="1925"/>
      <c r="BD34" s="1925"/>
      <c r="BE34" s="1925"/>
      <c r="BF34" s="1925"/>
      <c r="BG34" s="1925"/>
      <c r="BH34" s="1925"/>
      <c r="BI34" s="1925"/>
      <c r="BJ34" s="1925"/>
      <c r="BK34" s="1925"/>
      <c r="BL34" s="1925"/>
      <c r="BM34" s="1925"/>
      <c r="BN34" s="1925"/>
      <c r="BO34" s="1925"/>
    </row>
    <row r="35" spans="1:67" s="2389" customFormat="1" ht="14.25">
      <c r="A35" s="2442" t="s">
        <v>598</v>
      </c>
      <c r="B35" s="2443">
        <v>200</v>
      </c>
      <c r="C35" s="2453" t="s">
        <v>599</v>
      </c>
      <c r="D35" s="2441"/>
      <c r="E35" s="1442"/>
      <c r="F35" s="1442"/>
      <c r="G35" s="2399"/>
      <c r="H35" s="2399"/>
      <c r="I35" s="2399"/>
      <c r="J35" s="2399"/>
      <c r="K35" s="275"/>
      <c r="L35" s="275"/>
      <c r="M35" s="1934"/>
      <c r="N35" s="1934"/>
      <c r="O35" s="1934"/>
      <c r="P35" s="1934"/>
      <c r="Q35" s="1934"/>
      <c r="R35" s="1934"/>
      <c r="S35" s="1934"/>
      <c r="T35" s="1934"/>
      <c r="U35" s="1934"/>
      <c r="V35" s="1934"/>
      <c r="W35" s="1934"/>
      <c r="X35" s="1934"/>
      <c r="Y35" s="1934"/>
      <c r="Z35" s="1934"/>
      <c r="AA35" s="1934"/>
      <c r="AB35" s="1934"/>
      <c r="AC35" s="1934"/>
      <c r="AD35" s="1934"/>
      <c r="AE35" s="1934"/>
      <c r="AF35" s="1934"/>
      <c r="AG35" s="1934"/>
      <c r="AH35" s="1934"/>
      <c r="AI35" s="1934"/>
      <c r="AJ35" s="1934"/>
      <c r="AK35" s="1934"/>
      <c r="AL35" s="1934"/>
      <c r="AM35" s="1934"/>
      <c r="AN35" s="1925"/>
      <c r="AO35" s="1925"/>
      <c r="AP35" s="1925"/>
      <c r="AQ35" s="1925"/>
      <c r="AR35" s="1925"/>
      <c r="AS35" s="1925"/>
      <c r="AT35" s="1925"/>
      <c r="AU35" s="1925"/>
      <c r="AV35" s="1925"/>
      <c r="AW35" s="1925"/>
      <c r="AX35" s="1925"/>
      <c r="AY35" s="1925"/>
      <c r="AZ35" s="1925"/>
      <c r="BA35" s="1925"/>
      <c r="BB35" s="1925"/>
      <c r="BC35" s="1925"/>
      <c r="BD35" s="1925"/>
      <c r="BE35" s="1925"/>
      <c r="BF35" s="1925"/>
      <c r="BG35" s="1925"/>
      <c r="BH35" s="1925"/>
      <c r="BI35" s="1925"/>
      <c r="BJ35" s="1925"/>
      <c r="BK35" s="1925"/>
      <c r="BL35" s="1925"/>
      <c r="BM35" s="1925"/>
      <c r="BN35" s="1925"/>
      <c r="BO35" s="1925"/>
    </row>
    <row r="36" spans="1:67" ht="14.25">
      <c r="A36" s="2445" t="s">
        <v>600</v>
      </c>
      <c r="B36" s="2455">
        <v>1.4999999999999999E-2</v>
      </c>
      <c r="C36" s="2453" t="s">
        <v>601</v>
      </c>
      <c r="D36" s="2400"/>
      <c r="E36" s="2399"/>
      <c r="F36" s="2399"/>
      <c r="G36" s="2399"/>
      <c r="H36" s="2399"/>
      <c r="I36" s="2399"/>
      <c r="J36" s="2399"/>
      <c r="K36" s="275"/>
      <c r="L36" s="275"/>
      <c r="M36" s="1934"/>
      <c r="N36" s="1934"/>
      <c r="O36" s="1934"/>
      <c r="P36" s="1934"/>
      <c r="Q36" s="1934"/>
      <c r="R36" s="1934"/>
      <c r="S36" s="1934"/>
      <c r="T36" s="1934"/>
      <c r="U36" s="1934"/>
      <c r="V36" s="1934"/>
      <c r="W36" s="1934"/>
      <c r="X36" s="1934"/>
      <c r="Y36" s="1934"/>
      <c r="Z36" s="1934"/>
      <c r="AA36" s="1934"/>
      <c r="AB36" s="1934"/>
      <c r="AC36" s="1934"/>
      <c r="AD36" s="1934"/>
      <c r="AE36" s="1934"/>
      <c r="AF36" s="1934"/>
      <c r="AG36" s="1934"/>
      <c r="AH36" s="1934"/>
      <c r="AI36" s="1934"/>
      <c r="AJ36" s="1934"/>
      <c r="AK36" s="1934"/>
      <c r="AL36" s="1934"/>
      <c r="AM36" s="1934"/>
    </row>
    <row r="37" spans="1:67" ht="14.25">
      <c r="A37" s="2447" t="s">
        <v>602</v>
      </c>
      <c r="B37" s="2456">
        <v>2.5000000000000001E-2</v>
      </c>
      <c r="C37" s="2453" t="s">
        <v>603</v>
      </c>
      <c r="D37" s="2400"/>
      <c r="E37" s="2399"/>
      <c r="F37" s="2399"/>
      <c r="G37" s="2399"/>
      <c r="H37" s="2399"/>
      <c r="I37" s="2399"/>
      <c r="J37" s="2399"/>
      <c r="K37" s="275"/>
      <c r="L37" s="275"/>
      <c r="M37" s="1934"/>
      <c r="N37" s="1934"/>
      <c r="O37" s="1934"/>
      <c r="P37" s="1934"/>
      <c r="Q37" s="1934"/>
      <c r="R37" s="1934"/>
      <c r="S37" s="1934"/>
      <c r="T37" s="1934"/>
      <c r="U37" s="1934"/>
      <c r="V37" s="1934"/>
      <c r="W37" s="1934"/>
      <c r="X37" s="1934"/>
      <c r="Y37" s="1934"/>
      <c r="Z37" s="1934"/>
      <c r="AA37" s="1934"/>
      <c r="AB37" s="1934"/>
      <c r="AC37" s="1934"/>
      <c r="AD37" s="1934"/>
      <c r="AE37" s="1934"/>
      <c r="AF37" s="1934"/>
      <c r="AG37" s="1934"/>
      <c r="AH37" s="1934"/>
      <c r="AI37" s="1934"/>
      <c r="AJ37" s="1934"/>
      <c r="AK37" s="1934"/>
      <c r="AL37" s="1934"/>
      <c r="AM37" s="1934"/>
    </row>
    <row r="38" spans="1:67" ht="14.25">
      <c r="A38" s="2442" t="s">
        <v>604</v>
      </c>
      <c r="B38" s="2454">
        <v>0.03</v>
      </c>
      <c r="C38" s="2453" t="s">
        <v>603</v>
      </c>
      <c r="D38" s="2400"/>
      <c r="E38" s="2399"/>
      <c r="F38" s="2399"/>
      <c r="G38" s="2399"/>
      <c r="H38" s="2399"/>
      <c r="I38" s="2399"/>
      <c r="J38" s="2399"/>
      <c r="K38" s="275"/>
      <c r="L38" s="275"/>
      <c r="M38" s="1934"/>
      <c r="N38" s="1934"/>
      <c r="O38" s="1934"/>
      <c r="P38" s="1934"/>
      <c r="Q38" s="1934"/>
      <c r="R38" s="1934"/>
      <c r="S38" s="1934"/>
      <c r="T38" s="1934"/>
      <c r="U38" s="1934"/>
      <c r="V38" s="1934"/>
      <c r="W38" s="1934"/>
      <c r="X38" s="1934"/>
      <c r="Y38" s="1934"/>
      <c r="Z38" s="1934"/>
      <c r="AA38" s="1934"/>
      <c r="AB38" s="1934"/>
      <c r="AC38" s="1934"/>
      <c r="AD38" s="1934"/>
      <c r="AE38" s="1934"/>
      <c r="AF38" s="1934"/>
      <c r="AG38" s="1934"/>
      <c r="AH38" s="1934"/>
      <c r="AI38" s="1934"/>
      <c r="AJ38" s="1934"/>
      <c r="AK38" s="1934"/>
      <c r="AL38" s="1934"/>
      <c r="AM38" s="1934"/>
    </row>
    <row r="39" spans="1:67" ht="14.25">
      <c r="A39" s="2450" t="s">
        <v>605</v>
      </c>
      <c r="B39" s="2457">
        <f ca="1">存贷款利率!I1</f>
        <v>1.4999999999999999E-2</v>
      </c>
      <c r="C39" s="2453"/>
      <c r="D39" s="2400"/>
      <c r="E39" s="2399"/>
      <c r="F39" s="2399"/>
      <c r="G39" s="2399"/>
      <c r="H39" s="2399"/>
      <c r="I39" s="2399"/>
      <c r="J39" s="2399"/>
      <c r="K39" s="275"/>
      <c r="L39" s="275"/>
      <c r="M39" s="1934"/>
      <c r="N39" s="1934"/>
      <c r="O39" s="1934"/>
      <c r="P39" s="1934"/>
      <c r="Q39" s="1934"/>
      <c r="R39" s="1934"/>
      <c r="S39" s="1934"/>
      <c r="T39" s="1934"/>
      <c r="U39" s="1934"/>
      <c r="V39" s="1934"/>
      <c r="W39" s="1934"/>
      <c r="X39" s="1934"/>
      <c r="Y39" s="1934"/>
      <c r="Z39" s="1934"/>
      <c r="AA39" s="1934"/>
      <c r="AB39" s="1934"/>
      <c r="AC39" s="1934"/>
      <c r="AD39" s="1934"/>
      <c r="AE39" s="1934"/>
      <c r="AF39" s="1934"/>
      <c r="AG39" s="1934"/>
      <c r="AH39" s="1934"/>
      <c r="AI39" s="1934"/>
      <c r="AJ39" s="1934"/>
      <c r="AK39" s="1934"/>
      <c r="AL39" s="1934"/>
      <c r="AM39" s="1934"/>
    </row>
    <row r="40" spans="1:67" ht="14.25">
      <c r="A40" s="2450" t="s">
        <v>606</v>
      </c>
      <c r="B40" s="2458">
        <f ca="1">存贷款利率!G1</f>
        <v>4.7500000000000001E-2</v>
      </c>
      <c r="C40" s="2453" t="s">
        <v>607</v>
      </c>
      <c r="D40" s="1934"/>
      <c r="E40" s="2400"/>
      <c r="F40" s="2399"/>
      <c r="G40" s="2399"/>
      <c r="H40" s="2399"/>
      <c r="I40" s="2399"/>
      <c r="J40" s="2399"/>
      <c r="K40" s="275"/>
      <c r="L40" s="275"/>
      <c r="M40" s="1934"/>
      <c r="N40" s="1934"/>
      <c r="O40" s="1934"/>
      <c r="P40" s="1934"/>
      <c r="Q40" s="1934"/>
      <c r="R40" s="1934"/>
      <c r="S40" s="1934"/>
      <c r="T40" s="1934"/>
      <c r="U40" s="1934"/>
      <c r="V40" s="1934"/>
      <c r="W40" s="1934"/>
      <c r="X40" s="1934"/>
      <c r="Y40" s="1934"/>
      <c r="Z40" s="1934"/>
      <c r="AA40" s="1934"/>
      <c r="AB40" s="1934"/>
      <c r="AC40" s="1934"/>
      <c r="AD40" s="1934"/>
      <c r="AE40" s="1934"/>
      <c r="AF40" s="1934"/>
      <c r="AG40" s="1934"/>
      <c r="AH40" s="1934"/>
      <c r="AI40" s="1934"/>
      <c r="AJ40" s="1934"/>
      <c r="AK40" s="1934"/>
      <c r="AL40" s="1934"/>
      <c r="AM40" s="1934"/>
    </row>
    <row r="41" spans="1:67" ht="14.25">
      <c r="A41" s="2438" t="s">
        <v>608</v>
      </c>
      <c r="B41" s="2459">
        <f>B42+B43</f>
        <v>5.6000000000000001E-2</v>
      </c>
      <c r="C41" s="2440"/>
      <c r="D41" s="1934"/>
      <c r="E41" s="2400"/>
      <c r="F41" s="2399"/>
      <c r="G41" s="2399"/>
      <c r="H41" s="2399"/>
      <c r="I41" s="2399"/>
      <c r="J41" s="2399"/>
      <c r="K41" s="275"/>
      <c r="L41" s="275"/>
      <c r="M41" s="1934"/>
      <c r="N41" s="1934"/>
      <c r="O41" s="1934"/>
      <c r="P41" s="1934"/>
      <c r="Q41" s="1934"/>
      <c r="R41" s="1934"/>
      <c r="S41" s="1934"/>
      <c r="T41" s="1934"/>
      <c r="U41" s="1934"/>
      <c r="V41" s="1934"/>
      <c r="W41" s="1934"/>
      <c r="X41" s="1934"/>
      <c r="Y41" s="1934"/>
      <c r="Z41" s="1934"/>
      <c r="AA41" s="1934"/>
      <c r="AB41" s="1934"/>
      <c r="AC41" s="1934"/>
      <c r="AD41" s="1934"/>
      <c r="AE41" s="1934"/>
      <c r="AF41" s="1934"/>
      <c r="AG41" s="1934"/>
      <c r="AH41" s="1934"/>
      <c r="AI41" s="1934"/>
      <c r="AJ41" s="1934"/>
      <c r="AK41" s="1934"/>
      <c r="AL41" s="1934"/>
      <c r="AM41" s="1934"/>
    </row>
    <row r="42" spans="1:67" ht="14.25">
      <c r="A42" s="2460" t="s">
        <v>609</v>
      </c>
      <c r="B42" s="2461">
        <v>0.05</v>
      </c>
      <c r="C42" s="2462">
        <f>IF(B2&lt;DATE(2016,5,1),0,B42)</f>
        <v>0.05</v>
      </c>
      <c r="D42" s="2400"/>
      <c r="E42" s="2399"/>
      <c r="F42" s="2399"/>
      <c r="G42" s="2399"/>
      <c r="H42" s="2399"/>
      <c r="I42" s="2399"/>
      <c r="J42" s="2399"/>
      <c r="K42" s="275"/>
      <c r="L42" s="275"/>
      <c r="M42" s="1934"/>
      <c r="N42" s="1934"/>
      <c r="O42" s="1934"/>
      <c r="P42" s="1934"/>
      <c r="Q42" s="1934"/>
      <c r="R42" s="1934"/>
      <c r="S42" s="1934"/>
      <c r="T42" s="1934"/>
      <c r="U42" s="1934"/>
      <c r="V42" s="1934"/>
      <c r="W42" s="1934"/>
      <c r="X42" s="1934"/>
      <c r="Y42" s="1934"/>
      <c r="Z42" s="1934"/>
      <c r="AA42" s="1934"/>
      <c r="AB42" s="1934"/>
      <c r="AC42" s="1934"/>
      <c r="AD42" s="1934"/>
      <c r="AE42" s="1934"/>
      <c r="AF42" s="1934"/>
      <c r="AG42" s="1934"/>
      <c r="AH42" s="1934"/>
      <c r="AI42" s="1934"/>
      <c r="AJ42" s="1934"/>
      <c r="AK42" s="1934"/>
      <c r="AL42" s="1934"/>
      <c r="AM42" s="1934"/>
    </row>
    <row r="43" spans="1:67" ht="14.25">
      <c r="A43" s="2460" t="s">
        <v>610</v>
      </c>
      <c r="B43" s="2463">
        <f>B42*(B44+B45+B46)+B47</f>
        <v>6.000000000000001E-3</v>
      </c>
      <c r="C43" s="2440"/>
      <c r="D43" s="2400"/>
      <c r="E43" s="2399"/>
      <c r="F43" s="2399"/>
      <c r="G43" s="2399"/>
      <c r="H43" s="2399"/>
      <c r="I43" s="2399"/>
      <c r="J43" s="2399"/>
      <c r="K43" s="275"/>
      <c r="L43" s="275"/>
      <c r="M43" s="1934"/>
      <c r="N43" s="1934"/>
      <c r="O43" s="1934"/>
      <c r="P43" s="1934"/>
      <c r="Q43" s="1934"/>
      <c r="R43" s="1934"/>
      <c r="S43" s="1934"/>
      <c r="T43" s="1934"/>
      <c r="U43" s="1934"/>
      <c r="V43" s="1934"/>
      <c r="W43" s="1934"/>
      <c r="X43" s="1934"/>
      <c r="Y43" s="1934"/>
      <c r="Z43" s="1934"/>
      <c r="AA43" s="1934"/>
      <c r="AB43" s="1934"/>
      <c r="AC43" s="1934"/>
      <c r="AD43" s="1934"/>
      <c r="AE43" s="1934"/>
      <c r="AF43" s="1934"/>
      <c r="AG43" s="1934"/>
      <c r="AH43" s="1934"/>
      <c r="AI43" s="1934"/>
      <c r="AJ43" s="1934"/>
      <c r="AK43" s="1934"/>
      <c r="AL43" s="1934"/>
      <c r="AM43" s="1934"/>
    </row>
    <row r="44" spans="1:67" ht="14.25">
      <c r="A44" s="2464" t="s">
        <v>611</v>
      </c>
      <c r="B44" s="2465">
        <v>7.0000000000000007E-2</v>
      </c>
      <c r="C44" s="2453" t="s">
        <v>612</v>
      </c>
      <c r="D44" s="2400"/>
      <c r="E44" s="2399"/>
      <c r="F44" s="2399"/>
      <c r="G44" s="2399"/>
      <c r="H44" s="2399"/>
      <c r="I44" s="2399"/>
      <c r="J44" s="2399"/>
      <c r="K44" s="275"/>
      <c r="L44" s="275"/>
      <c r="M44" s="1934"/>
      <c r="N44" s="1934"/>
      <c r="O44" s="1934"/>
      <c r="P44" s="1934"/>
      <c r="Q44" s="1934"/>
      <c r="R44" s="1934"/>
      <c r="S44" s="1934"/>
      <c r="T44" s="1934"/>
      <c r="U44" s="1934"/>
      <c r="V44" s="1934"/>
      <c r="W44" s="1934"/>
      <c r="X44" s="1934"/>
      <c r="Y44" s="1934"/>
      <c r="Z44" s="1934"/>
      <c r="AA44" s="1934"/>
      <c r="AB44" s="1934"/>
      <c r="AC44" s="1934"/>
      <c r="AD44" s="1934"/>
      <c r="AE44" s="1934"/>
      <c r="AF44" s="1934"/>
      <c r="AG44" s="1934"/>
      <c r="AH44" s="1934"/>
      <c r="AI44" s="1934"/>
      <c r="AJ44" s="1934"/>
      <c r="AK44" s="1934"/>
      <c r="AL44" s="1934"/>
      <c r="AM44" s="1934"/>
    </row>
    <row r="45" spans="1:67" ht="14.25">
      <c r="A45" s="2464" t="s">
        <v>613</v>
      </c>
      <c r="B45" s="2461">
        <v>0.03</v>
      </c>
      <c r="C45" s="2440" t="s">
        <v>614</v>
      </c>
      <c r="D45" s="2400"/>
      <c r="E45" s="2399"/>
      <c r="F45" s="2399"/>
      <c r="G45" s="2399"/>
      <c r="H45" s="2399"/>
      <c r="I45" s="2399"/>
      <c r="J45" s="2399"/>
      <c r="K45" s="275"/>
      <c r="L45" s="275"/>
      <c r="M45" s="1934"/>
      <c r="N45" s="1934"/>
      <c r="O45" s="1934"/>
      <c r="P45" s="1934"/>
      <c r="Q45" s="1934"/>
      <c r="R45" s="1934"/>
      <c r="S45" s="1934"/>
      <c r="T45" s="1934"/>
      <c r="U45" s="1934"/>
      <c r="V45" s="1934"/>
      <c r="W45" s="1934"/>
      <c r="X45" s="1934"/>
      <c r="Y45" s="1934"/>
      <c r="Z45" s="1934"/>
      <c r="AA45" s="1934"/>
      <c r="AB45" s="1934"/>
      <c r="AC45" s="1934"/>
      <c r="AD45" s="1934"/>
      <c r="AE45" s="1934"/>
      <c r="AF45" s="1934"/>
      <c r="AG45" s="1934"/>
      <c r="AH45" s="1934"/>
      <c r="AI45" s="1934"/>
      <c r="AJ45" s="1934"/>
      <c r="AK45" s="1934"/>
      <c r="AL45" s="1934"/>
      <c r="AM45" s="1934"/>
    </row>
    <row r="46" spans="1:67" ht="14.25">
      <c r="A46" s="2464" t="s">
        <v>615</v>
      </c>
      <c r="B46" s="2461">
        <v>0.02</v>
      </c>
      <c r="C46" s="2440" t="s">
        <v>616</v>
      </c>
      <c r="D46" s="2400"/>
      <c r="E46" s="2399"/>
      <c r="F46" s="2399"/>
      <c r="G46" s="2399"/>
      <c r="H46" s="2399"/>
      <c r="I46" s="2399"/>
      <c r="J46" s="2399"/>
      <c r="K46" s="275"/>
      <c r="L46" s="275"/>
      <c r="M46" s="1934"/>
      <c r="N46" s="1934"/>
      <c r="O46" s="1934"/>
      <c r="P46" s="1934"/>
      <c r="Q46" s="1934"/>
      <c r="R46" s="1934"/>
      <c r="S46" s="1934"/>
      <c r="T46" s="1934"/>
      <c r="U46" s="1934"/>
      <c r="V46" s="1934"/>
      <c r="W46" s="1934"/>
      <c r="X46" s="1934"/>
      <c r="Y46" s="1934"/>
      <c r="Z46" s="1934"/>
      <c r="AA46" s="1934"/>
      <c r="AB46" s="1934"/>
      <c r="AC46" s="1934"/>
      <c r="AD46" s="1934"/>
      <c r="AE46" s="1934"/>
      <c r="AF46" s="1934"/>
      <c r="AG46" s="1934"/>
      <c r="AH46" s="1934"/>
      <c r="AI46" s="1934"/>
      <c r="AJ46" s="1934"/>
      <c r="AK46" s="1934"/>
      <c r="AL46" s="1934"/>
      <c r="AM46" s="1934"/>
    </row>
    <row r="47" spans="1:67" ht="14.25">
      <c r="A47" s="2466" t="s">
        <v>617</v>
      </c>
      <c r="B47" s="2467"/>
      <c r="C47" s="2440" t="s">
        <v>586</v>
      </c>
      <c r="D47" s="2400"/>
      <c r="E47" s="2399"/>
      <c r="F47" s="2399"/>
      <c r="G47" s="2399"/>
      <c r="H47" s="2399"/>
      <c r="I47" s="2399"/>
      <c r="J47" s="2399"/>
      <c r="K47" s="275"/>
      <c r="L47" s="275"/>
      <c r="M47" s="1934"/>
      <c r="N47" s="1934"/>
      <c r="O47" s="1934"/>
      <c r="P47" s="1934"/>
      <c r="Q47" s="1934"/>
      <c r="R47" s="1934"/>
      <c r="S47" s="1934"/>
      <c r="T47" s="1934"/>
      <c r="U47" s="1934"/>
      <c r="V47" s="1934"/>
      <c r="W47" s="1934"/>
      <c r="X47" s="1934"/>
      <c r="Y47" s="1934"/>
      <c r="Z47" s="1934"/>
      <c r="AA47" s="1934"/>
      <c r="AB47" s="1934"/>
      <c r="AC47" s="1934"/>
      <c r="AD47" s="1934"/>
      <c r="AE47" s="1934"/>
      <c r="AF47" s="1934"/>
      <c r="AG47" s="1934"/>
      <c r="AH47" s="1934"/>
      <c r="AI47" s="1934"/>
      <c r="AJ47" s="1934"/>
      <c r="AK47" s="1934"/>
      <c r="AL47" s="1934"/>
      <c r="AM47" s="1934"/>
    </row>
    <row r="48" spans="1:67" ht="14.25">
      <c r="A48" s="2468" t="s">
        <v>618</v>
      </c>
      <c r="B48" s="2469">
        <v>0.03</v>
      </c>
      <c r="C48" s="2470" t="s">
        <v>619</v>
      </c>
      <c r="D48" s="2400"/>
      <c r="E48" s="2399"/>
      <c r="F48" s="2399"/>
      <c r="G48" s="2399"/>
      <c r="H48" s="2399"/>
      <c r="I48" s="2399"/>
      <c r="J48" s="2399"/>
      <c r="K48" s="275"/>
      <c r="L48" s="275"/>
      <c r="M48" s="1934"/>
      <c r="N48" s="1934"/>
      <c r="O48" s="1934"/>
      <c r="P48" s="1934"/>
      <c r="Q48" s="1934"/>
      <c r="R48" s="1934"/>
      <c r="S48" s="1934"/>
      <c r="T48" s="1934"/>
      <c r="U48" s="1934"/>
      <c r="V48" s="1934"/>
      <c r="W48" s="1934"/>
      <c r="X48" s="1934"/>
      <c r="Y48" s="1934"/>
      <c r="Z48" s="1934"/>
      <c r="AA48" s="1934"/>
      <c r="AB48" s="1934"/>
      <c r="AC48" s="1934"/>
      <c r="AD48" s="1934"/>
      <c r="AE48" s="1934"/>
      <c r="AF48" s="1934"/>
      <c r="AG48" s="1934"/>
      <c r="AH48" s="1934"/>
      <c r="AI48" s="1934"/>
      <c r="AJ48" s="1934"/>
      <c r="AK48" s="1934"/>
      <c r="AL48" s="1934"/>
      <c r="AM48" s="1934"/>
    </row>
    <row r="49" spans="1:39" ht="14.25">
      <c r="A49" s="2450" t="s">
        <v>620</v>
      </c>
      <c r="B49" s="2461">
        <v>5.0000000000000001E-4</v>
      </c>
      <c r="C49" s="2470" t="s">
        <v>621</v>
      </c>
      <c r="D49" s="2400"/>
      <c r="E49" s="2399"/>
      <c r="F49" s="2399"/>
      <c r="G49" s="2399"/>
      <c r="H49" s="2399"/>
      <c r="I49" s="2399"/>
      <c r="J49" s="2399"/>
      <c r="K49" s="275"/>
      <c r="L49" s="275"/>
      <c r="M49" s="1934"/>
      <c r="N49" s="1934"/>
      <c r="O49" s="1934"/>
      <c r="P49" s="1934"/>
      <c r="Q49" s="1934"/>
      <c r="R49" s="1934"/>
      <c r="S49" s="1934"/>
      <c r="T49" s="1934"/>
      <c r="U49" s="1934"/>
      <c r="V49" s="1934"/>
      <c r="W49" s="1934"/>
      <c r="X49" s="1934"/>
      <c r="Y49" s="1934"/>
      <c r="Z49" s="1934"/>
      <c r="AA49" s="1934"/>
      <c r="AB49" s="1934"/>
      <c r="AC49" s="1934"/>
      <c r="AD49" s="1934"/>
      <c r="AE49" s="1934"/>
      <c r="AF49" s="1934"/>
      <c r="AG49" s="1934"/>
      <c r="AH49" s="1934"/>
      <c r="AI49" s="1934"/>
      <c r="AJ49" s="1934"/>
      <c r="AK49" s="1934"/>
      <c r="AL49" s="1934"/>
      <c r="AM49" s="1934"/>
    </row>
    <row r="50" spans="1:39" ht="14.25">
      <c r="A50" s="2471" t="s">
        <v>622</v>
      </c>
      <c r="B50" s="2472">
        <v>1.2E-2</v>
      </c>
      <c r="C50" s="1442"/>
      <c r="D50" s="2400"/>
      <c r="E50" s="2399"/>
      <c r="F50" s="2399"/>
      <c r="G50" s="2399"/>
      <c r="H50" s="2399"/>
      <c r="I50" s="2399"/>
      <c r="J50" s="2399"/>
      <c r="K50" s="275"/>
      <c r="L50" s="275"/>
      <c r="M50" s="1934"/>
      <c r="N50" s="1934"/>
      <c r="O50" s="1934"/>
      <c r="P50" s="1934"/>
      <c r="Q50" s="1934"/>
      <c r="R50" s="1934"/>
      <c r="S50" s="1934"/>
      <c r="T50" s="1934"/>
      <c r="U50" s="1934"/>
      <c r="V50" s="1934"/>
      <c r="W50" s="1934"/>
      <c r="X50" s="1934"/>
      <c r="Y50" s="1934"/>
      <c r="Z50" s="1934"/>
      <c r="AA50" s="1934"/>
      <c r="AB50" s="1934"/>
      <c r="AC50" s="1934"/>
      <c r="AD50" s="1934"/>
      <c r="AE50" s="1934"/>
      <c r="AF50" s="1934"/>
      <c r="AG50" s="1934"/>
      <c r="AH50" s="1934"/>
      <c r="AI50" s="1934"/>
      <c r="AJ50" s="1934"/>
      <c r="AK50" s="1934"/>
      <c r="AL50" s="1934"/>
      <c r="AM50" s="1934"/>
    </row>
    <row r="51" spans="1:39" ht="14.25">
      <c r="A51" s="2445" t="s">
        <v>623</v>
      </c>
      <c r="B51" s="2473">
        <v>0.12</v>
      </c>
      <c r="C51" s="1442"/>
      <c r="D51" s="2400"/>
      <c r="E51" s="2399"/>
      <c r="F51" s="2399"/>
      <c r="G51" s="2399"/>
      <c r="H51" s="2399"/>
      <c r="I51" s="2399"/>
      <c r="J51" s="2399"/>
      <c r="K51" s="275"/>
      <c r="L51" s="275"/>
      <c r="M51" s="1934"/>
      <c r="N51" s="1934"/>
      <c r="O51" s="1934"/>
      <c r="P51" s="1934"/>
      <c r="Q51" s="1934"/>
      <c r="R51" s="1934"/>
      <c r="S51" s="1934"/>
      <c r="T51" s="1934"/>
      <c r="U51" s="1934"/>
      <c r="V51" s="1934"/>
      <c r="W51" s="1934"/>
      <c r="X51" s="1934"/>
      <c r="Y51" s="1934"/>
      <c r="Z51" s="1934"/>
      <c r="AA51" s="1934"/>
      <c r="AB51" s="1934"/>
      <c r="AC51" s="1934"/>
      <c r="AD51" s="1934"/>
      <c r="AE51" s="1934"/>
      <c r="AF51" s="1934"/>
      <c r="AG51" s="1934"/>
      <c r="AH51" s="1934"/>
      <c r="AI51" s="1934"/>
      <c r="AJ51" s="1934"/>
      <c r="AK51" s="1934"/>
      <c r="AL51" s="1934"/>
      <c r="AM51" s="1934"/>
    </row>
    <row r="52" spans="1:39" ht="14.25">
      <c r="A52" s="2471" t="s">
        <v>624</v>
      </c>
      <c r="B52" s="2474">
        <f>SUMIF(A54:A63,B53,B54:B63)</f>
        <v>5</v>
      </c>
      <c r="C52" s="1442"/>
      <c r="D52" s="2400"/>
      <c r="E52" s="2399"/>
      <c r="F52" s="2399"/>
      <c r="G52" s="2399"/>
      <c r="H52" s="2399"/>
      <c r="I52" s="2399"/>
      <c r="J52" s="2399"/>
      <c r="K52" s="275"/>
      <c r="L52" s="275"/>
      <c r="M52" s="1934"/>
      <c r="N52" s="1934"/>
      <c r="O52" s="1934"/>
      <c r="P52" s="1934"/>
      <c r="Q52" s="1934"/>
      <c r="R52" s="1934"/>
      <c r="S52" s="1934"/>
      <c r="T52" s="1934"/>
      <c r="U52" s="1934"/>
      <c r="V52" s="1934"/>
      <c r="W52" s="1934"/>
      <c r="X52" s="1934"/>
      <c r="Y52" s="1934"/>
      <c r="Z52" s="1934"/>
      <c r="AA52" s="1934"/>
      <c r="AB52" s="1934"/>
      <c r="AC52" s="1934"/>
      <c r="AD52" s="1934"/>
      <c r="AE52" s="1934"/>
      <c r="AF52" s="1934"/>
      <c r="AG52" s="1934"/>
      <c r="AH52" s="1934"/>
      <c r="AI52" s="1934"/>
      <c r="AJ52" s="1934"/>
      <c r="AK52" s="1934"/>
      <c r="AL52" s="1934"/>
      <c r="AM52" s="1934"/>
    </row>
    <row r="53" spans="1:39" ht="27">
      <c r="A53" s="2442" t="s">
        <v>625</v>
      </c>
      <c r="B53" s="2475" t="s">
        <v>276</v>
      </c>
      <c r="C53" s="1442" t="s">
        <v>626</v>
      </c>
      <c r="D53" s="2476" t="s">
        <v>627</v>
      </c>
      <c r="E53" s="2399"/>
      <c r="F53" s="2399"/>
      <c r="G53" s="2399"/>
      <c r="H53" s="2399"/>
      <c r="I53" s="2399"/>
      <c r="J53" s="2399"/>
      <c r="K53" s="275"/>
      <c r="L53" s="275"/>
      <c r="M53" s="1934"/>
      <c r="N53" s="1934"/>
      <c r="O53" s="1934"/>
      <c r="P53" s="1934"/>
      <c r="Q53" s="1934"/>
      <c r="R53" s="1934"/>
      <c r="S53" s="1934"/>
      <c r="T53" s="1934"/>
      <c r="U53" s="1934"/>
      <c r="V53" s="1934"/>
      <c r="W53" s="1934"/>
      <c r="X53" s="1934"/>
      <c r="Y53" s="1934"/>
      <c r="Z53" s="1934"/>
      <c r="AA53" s="1934"/>
      <c r="AB53" s="1934"/>
      <c r="AC53" s="1934"/>
      <c r="AD53" s="1934"/>
      <c r="AE53" s="1934"/>
      <c r="AF53" s="1934"/>
      <c r="AG53" s="1934"/>
      <c r="AH53" s="1934"/>
      <c r="AI53" s="1934"/>
      <c r="AJ53" s="1934"/>
      <c r="AK53" s="1934"/>
      <c r="AL53" s="1934"/>
      <c r="AM53" s="1934"/>
    </row>
    <row r="54" spans="1:39" ht="14.25">
      <c r="A54" s="2477" t="s">
        <v>628</v>
      </c>
      <c r="B54" s="3153">
        <v>25</v>
      </c>
      <c r="C54" s="1442">
        <v>30</v>
      </c>
      <c r="D54" s="2400"/>
      <c r="E54" s="2399"/>
      <c r="F54" s="2399"/>
      <c r="G54" s="2399"/>
      <c r="H54" s="2399"/>
      <c r="I54" s="2399"/>
      <c r="J54" s="2399"/>
      <c r="K54" s="275"/>
      <c r="L54" s="275"/>
      <c r="M54" s="1934"/>
      <c r="N54" s="1934"/>
      <c r="O54" s="1934"/>
      <c r="P54" s="1934"/>
      <c r="Q54" s="1934"/>
      <c r="R54" s="1934"/>
      <c r="S54" s="1934"/>
      <c r="T54" s="1934"/>
      <c r="U54" s="1934"/>
      <c r="V54" s="1934"/>
      <c r="W54" s="1934"/>
      <c r="X54" s="1934"/>
      <c r="Y54" s="1934"/>
      <c r="Z54" s="1934"/>
      <c r="AA54" s="1934"/>
      <c r="AB54" s="1934"/>
      <c r="AC54" s="1934"/>
      <c r="AD54" s="1934"/>
      <c r="AE54" s="1934"/>
      <c r="AF54" s="1934"/>
      <c r="AG54" s="1934"/>
      <c r="AH54" s="1934"/>
      <c r="AI54" s="1934"/>
      <c r="AJ54" s="1934"/>
      <c r="AK54" s="1934"/>
      <c r="AL54" s="1934"/>
      <c r="AM54" s="1934"/>
    </row>
    <row r="55" spans="1:39" ht="14.25">
      <c r="A55" s="2477" t="s">
        <v>629</v>
      </c>
      <c r="B55" s="3153">
        <v>20</v>
      </c>
      <c r="C55" s="1442">
        <v>24</v>
      </c>
      <c r="D55" s="2400"/>
      <c r="E55" s="2399"/>
      <c r="F55" s="2399"/>
      <c r="G55" s="2399"/>
      <c r="H55" s="2399"/>
      <c r="I55" s="2503"/>
      <c r="J55" s="2399"/>
      <c r="K55" s="275"/>
      <c r="L55" s="275"/>
      <c r="M55" s="1934"/>
      <c r="N55" s="1934"/>
      <c r="O55" s="1934"/>
      <c r="P55" s="1934"/>
      <c r="Q55" s="1934"/>
      <c r="R55" s="1934"/>
      <c r="S55" s="1934"/>
      <c r="T55" s="1934"/>
      <c r="U55" s="1934"/>
      <c r="V55" s="1934"/>
      <c r="W55" s="1934"/>
      <c r="X55" s="1934"/>
      <c r="Y55" s="1934"/>
      <c r="Z55" s="1934"/>
      <c r="AA55" s="1934"/>
      <c r="AB55" s="1934"/>
      <c r="AC55" s="1934"/>
      <c r="AD55" s="1934"/>
      <c r="AE55" s="1934"/>
      <c r="AF55" s="1934"/>
      <c r="AG55" s="1934"/>
      <c r="AH55" s="1934"/>
      <c r="AI55" s="1934"/>
      <c r="AJ55" s="1934"/>
      <c r="AK55" s="1934"/>
      <c r="AL55" s="1934"/>
      <c r="AM55" s="1934"/>
    </row>
    <row r="56" spans="1:39" ht="14.25">
      <c r="A56" s="2477" t="s">
        <v>630</v>
      </c>
      <c r="B56" s="3153">
        <v>15</v>
      </c>
      <c r="C56" s="1442">
        <v>18</v>
      </c>
      <c r="D56" s="2400"/>
      <c r="E56" s="2399"/>
      <c r="F56" s="2399"/>
      <c r="G56" s="2399"/>
      <c r="H56" s="2399"/>
      <c r="I56" s="2399"/>
      <c r="J56" s="2399"/>
      <c r="K56" s="275"/>
      <c r="L56" s="275"/>
      <c r="M56" s="1934"/>
      <c r="N56" s="1934"/>
      <c r="O56" s="1934"/>
      <c r="P56" s="1934"/>
      <c r="Q56" s="1934"/>
      <c r="R56" s="1934"/>
      <c r="S56" s="1934"/>
      <c r="T56" s="1934"/>
      <c r="U56" s="1934"/>
      <c r="V56" s="1934"/>
      <c r="W56" s="1934"/>
      <c r="X56" s="1934"/>
      <c r="Y56" s="1934"/>
      <c r="Z56" s="1934"/>
      <c r="AA56" s="1934"/>
      <c r="AB56" s="1934"/>
      <c r="AC56" s="1934"/>
      <c r="AD56" s="1934"/>
      <c r="AE56" s="1934"/>
      <c r="AF56" s="1934"/>
      <c r="AG56" s="1934"/>
      <c r="AH56" s="1934"/>
      <c r="AI56" s="1934"/>
      <c r="AJ56" s="1934"/>
      <c r="AK56" s="1934"/>
      <c r="AL56" s="1934"/>
      <c r="AM56" s="1934"/>
    </row>
    <row r="57" spans="1:39" ht="14.25">
      <c r="A57" s="2477" t="s">
        <v>631</v>
      </c>
      <c r="B57" s="3153">
        <v>10</v>
      </c>
      <c r="C57" s="1442">
        <v>12</v>
      </c>
      <c r="D57" s="2400"/>
      <c r="E57" s="2399"/>
      <c r="F57" s="2399"/>
      <c r="G57" s="2399"/>
      <c r="H57" s="2399"/>
      <c r="I57" s="2399"/>
      <c r="J57" s="2399"/>
      <c r="K57" s="275"/>
      <c r="L57" s="275"/>
      <c r="M57" s="1934"/>
      <c r="N57" s="1934"/>
      <c r="O57" s="1934"/>
      <c r="P57" s="1934"/>
      <c r="Q57" s="1934"/>
      <c r="R57" s="1934"/>
      <c r="S57" s="1934"/>
      <c r="T57" s="1934"/>
      <c r="U57" s="1934"/>
      <c r="V57" s="1934"/>
      <c r="W57" s="1934"/>
      <c r="X57" s="1934"/>
      <c r="Y57" s="1934"/>
      <c r="Z57" s="1934"/>
      <c r="AA57" s="1934"/>
      <c r="AB57" s="1934"/>
      <c r="AC57" s="1934"/>
      <c r="AD57" s="1934"/>
      <c r="AE57" s="1934"/>
      <c r="AF57" s="1934"/>
      <c r="AG57" s="1934"/>
      <c r="AH57" s="1934"/>
      <c r="AI57" s="1934"/>
      <c r="AJ57" s="1934"/>
      <c r="AK57" s="1934"/>
      <c r="AL57" s="1934"/>
      <c r="AM57" s="1934"/>
    </row>
    <row r="58" spans="1:39" ht="14.25">
      <c r="A58" s="2477" t="s">
        <v>632</v>
      </c>
      <c r="B58" s="3153">
        <v>8</v>
      </c>
      <c r="C58" s="1442">
        <v>3</v>
      </c>
      <c r="D58" s="2400"/>
      <c r="E58" s="2399"/>
      <c r="F58" s="2399"/>
      <c r="G58" s="2399"/>
      <c r="H58" s="2399"/>
      <c r="I58" s="2399"/>
      <c r="J58" s="2399"/>
      <c r="K58" s="275"/>
      <c r="L58" s="275"/>
      <c r="M58" s="1934"/>
      <c r="N58" s="1934"/>
      <c r="O58" s="1934"/>
      <c r="P58" s="1934"/>
      <c r="Q58" s="1934"/>
      <c r="R58" s="1934"/>
      <c r="S58" s="1934"/>
      <c r="T58" s="1934"/>
      <c r="U58" s="1934"/>
      <c r="V58" s="1934"/>
      <c r="W58" s="1934"/>
      <c r="X58" s="1934"/>
      <c r="Y58" s="1934"/>
      <c r="Z58" s="1934"/>
      <c r="AA58" s="1934"/>
      <c r="AB58" s="1934"/>
      <c r="AC58" s="1934"/>
      <c r="AD58" s="1934"/>
      <c r="AE58" s="1934"/>
      <c r="AF58" s="1934"/>
      <c r="AG58" s="1934"/>
      <c r="AH58" s="1934"/>
      <c r="AI58" s="1934"/>
      <c r="AJ58" s="1934"/>
      <c r="AK58" s="1934"/>
      <c r="AL58" s="1934"/>
      <c r="AM58" s="1934"/>
    </row>
    <row r="59" spans="1:39" ht="14.25">
      <c r="A59" s="2477" t="s">
        <v>633</v>
      </c>
      <c r="B59" s="3153">
        <v>5</v>
      </c>
      <c r="C59" s="1442">
        <v>1.5</v>
      </c>
      <c r="D59" s="2400"/>
      <c r="E59" s="2399"/>
      <c r="F59" s="2399"/>
      <c r="G59" s="2399"/>
      <c r="H59" s="2399"/>
      <c r="I59" s="2399"/>
      <c r="J59" s="2399"/>
      <c r="K59" s="275"/>
      <c r="L59" s="275"/>
      <c r="M59" s="1934"/>
      <c r="N59" s="1934"/>
      <c r="O59" s="1934"/>
      <c r="P59" s="1934"/>
      <c r="Q59" s="1934"/>
      <c r="R59" s="1934"/>
      <c r="S59" s="1934"/>
      <c r="T59" s="1934"/>
      <c r="U59" s="1934"/>
      <c r="V59" s="1934"/>
      <c r="W59" s="1934"/>
      <c r="X59" s="1934"/>
      <c r="Y59" s="1934"/>
      <c r="Z59" s="1934"/>
      <c r="AA59" s="1934"/>
      <c r="AB59" s="1934"/>
      <c r="AC59" s="1934"/>
      <c r="AD59" s="1934"/>
      <c r="AE59" s="1934"/>
      <c r="AF59" s="1934"/>
      <c r="AG59" s="1934"/>
      <c r="AH59" s="1934"/>
      <c r="AI59" s="1934"/>
      <c r="AJ59" s="1934"/>
      <c r="AK59" s="1934"/>
      <c r="AL59" s="1934"/>
      <c r="AM59" s="1934"/>
    </row>
    <row r="60" spans="1:39" ht="14.25">
      <c r="A60" s="2477" t="s">
        <v>634</v>
      </c>
      <c r="B60" s="2478"/>
      <c r="C60" s="2399"/>
      <c r="D60" s="2400"/>
      <c r="E60" s="2399"/>
      <c r="F60" s="2399"/>
      <c r="G60" s="2399"/>
      <c r="H60" s="2399"/>
      <c r="I60" s="2399"/>
      <c r="J60" s="2399"/>
      <c r="K60" s="275"/>
      <c r="L60" s="275"/>
      <c r="M60" s="1934"/>
      <c r="N60" s="1934"/>
      <c r="O60" s="1934"/>
      <c r="P60" s="1934"/>
      <c r="Q60" s="1934"/>
      <c r="R60" s="1934"/>
      <c r="S60" s="1934"/>
      <c r="T60" s="1934"/>
      <c r="U60" s="1934"/>
      <c r="V60" s="1934"/>
      <c r="W60" s="1934"/>
      <c r="X60" s="1934"/>
      <c r="Y60" s="1934"/>
      <c r="Z60" s="1934"/>
      <c r="AA60" s="1934"/>
      <c r="AB60" s="1934"/>
      <c r="AC60" s="1934"/>
      <c r="AD60" s="1934"/>
      <c r="AE60" s="1934"/>
      <c r="AF60" s="1934"/>
      <c r="AG60" s="1934"/>
      <c r="AH60" s="1934"/>
      <c r="AI60" s="1934"/>
      <c r="AJ60" s="1934"/>
      <c r="AK60" s="1934"/>
      <c r="AL60" s="1934"/>
      <c r="AM60" s="1934"/>
    </row>
    <row r="61" spans="1:39" ht="14.25">
      <c r="A61" s="2477" t="s">
        <v>635</v>
      </c>
      <c r="B61" s="2478"/>
      <c r="C61" s="2399"/>
      <c r="D61" s="2400"/>
      <c r="E61" s="2399"/>
      <c r="F61" s="2399"/>
      <c r="G61" s="2399"/>
      <c r="H61" s="2399"/>
      <c r="I61" s="2399"/>
      <c r="J61" s="2399"/>
      <c r="K61" s="275"/>
      <c r="L61" s="275"/>
      <c r="M61" s="1934"/>
      <c r="N61" s="1934"/>
      <c r="O61" s="1934"/>
      <c r="P61" s="1934"/>
      <c r="Q61" s="1934"/>
      <c r="R61" s="1934"/>
      <c r="S61" s="1934"/>
      <c r="T61" s="1934"/>
      <c r="U61" s="1934"/>
      <c r="V61" s="1934"/>
      <c r="W61" s="1934"/>
      <c r="X61" s="1934"/>
      <c r="Y61" s="1934"/>
      <c r="Z61" s="1934"/>
      <c r="AA61" s="1934"/>
      <c r="AB61" s="1934"/>
      <c r="AC61" s="1934"/>
      <c r="AD61" s="1934"/>
      <c r="AE61" s="1934"/>
      <c r="AF61" s="1934"/>
      <c r="AG61" s="1934"/>
      <c r="AH61" s="1934"/>
      <c r="AI61" s="1934"/>
      <c r="AJ61" s="1934"/>
      <c r="AK61" s="1934"/>
      <c r="AL61" s="1934"/>
      <c r="AM61" s="1934"/>
    </row>
    <row r="62" spans="1:39" ht="14.25">
      <c r="A62" s="2477" t="s">
        <v>636</v>
      </c>
      <c r="B62" s="2478"/>
      <c r="C62" s="2399"/>
      <c r="D62" s="2400"/>
      <c r="E62" s="2399"/>
      <c r="F62" s="2399"/>
      <c r="G62" s="2399"/>
      <c r="H62" s="2399"/>
      <c r="I62" s="2399"/>
      <c r="J62" s="2399"/>
      <c r="K62" s="275"/>
      <c r="L62" s="275"/>
      <c r="M62" s="1934"/>
      <c r="N62" s="1934"/>
      <c r="O62" s="1934"/>
      <c r="P62" s="1934"/>
      <c r="Q62" s="1934"/>
      <c r="R62" s="1934"/>
      <c r="S62" s="1934"/>
      <c r="T62" s="1934"/>
      <c r="U62" s="1934"/>
      <c r="V62" s="1934"/>
      <c r="W62" s="1934"/>
      <c r="X62" s="1934"/>
      <c r="Y62" s="1934"/>
      <c r="Z62" s="1934"/>
      <c r="AA62" s="1934"/>
      <c r="AB62" s="1934"/>
      <c r="AC62" s="1934"/>
      <c r="AD62" s="1934"/>
      <c r="AE62" s="1934"/>
      <c r="AF62" s="1934"/>
      <c r="AG62" s="1934"/>
      <c r="AH62" s="1934"/>
      <c r="AI62" s="1934"/>
      <c r="AJ62" s="1934"/>
      <c r="AK62" s="1934"/>
      <c r="AL62" s="1934"/>
      <c r="AM62" s="1934"/>
    </row>
    <row r="63" spans="1:39" ht="14.25">
      <c r="A63" s="2479" t="s">
        <v>637</v>
      </c>
      <c r="B63" s="2480"/>
      <c r="C63" s="2399"/>
      <c r="D63" s="2400"/>
      <c r="E63" s="2399"/>
      <c r="F63" s="2399"/>
      <c r="G63" s="2399"/>
      <c r="H63" s="2399"/>
      <c r="I63" s="2399"/>
      <c r="J63" s="2399"/>
      <c r="K63" s="275"/>
      <c r="L63" s="275"/>
      <c r="M63" s="1934"/>
      <c r="N63" s="1934"/>
      <c r="O63" s="1934"/>
      <c r="P63" s="1934"/>
      <c r="Q63" s="1934"/>
      <c r="R63" s="1934"/>
      <c r="S63" s="1934"/>
      <c r="T63" s="1934"/>
      <c r="U63" s="1934"/>
      <c r="V63" s="1934"/>
      <c r="W63" s="1934"/>
      <c r="X63" s="1934"/>
      <c r="Y63" s="1934"/>
      <c r="Z63" s="1934"/>
      <c r="AA63" s="1934"/>
      <c r="AB63" s="1934"/>
      <c r="AC63" s="1934"/>
      <c r="AD63" s="1934"/>
      <c r="AE63" s="1934"/>
      <c r="AF63" s="1934"/>
      <c r="AG63" s="1934"/>
      <c r="AH63" s="1934"/>
      <c r="AI63" s="1934"/>
      <c r="AJ63" s="1934"/>
      <c r="AK63" s="1934"/>
      <c r="AL63" s="1934"/>
      <c r="AM63" s="1934"/>
    </row>
    <row r="64" spans="1:39" s="2008" customFormat="1">
      <c r="A64" s="2307"/>
      <c r="D64" s="2481"/>
      <c r="K64" s="323"/>
      <c r="L64" s="323"/>
    </row>
    <row r="65" spans="1:12" s="2008" customFormat="1">
      <c r="A65" s="2307"/>
      <c r="D65" s="2481"/>
      <c r="K65" s="323"/>
      <c r="L65" s="323"/>
    </row>
    <row r="66" spans="1:12" s="2008" customFormat="1">
      <c r="A66" s="2307"/>
      <c r="D66" s="2481"/>
      <c r="K66" s="323"/>
      <c r="L66" s="323"/>
    </row>
    <row r="67" spans="1:12" s="2008" customFormat="1">
      <c r="A67" s="2307"/>
      <c r="D67" s="2481"/>
      <c r="K67" s="323"/>
      <c r="L67" s="323"/>
    </row>
    <row r="68" spans="1:12" s="2008" customFormat="1">
      <c r="A68" s="2307"/>
      <c r="D68" s="2481"/>
      <c r="K68" s="323"/>
      <c r="L68" s="323"/>
    </row>
    <row r="69" spans="1:12" s="2008" customFormat="1">
      <c r="A69" s="2307"/>
      <c r="D69" s="2481"/>
      <c r="K69" s="323"/>
      <c r="L69" s="323"/>
    </row>
    <row r="70" spans="1:12" s="2008" customFormat="1">
      <c r="A70" s="2307"/>
      <c r="D70" s="2481"/>
      <c r="K70" s="323"/>
      <c r="L70" s="323"/>
    </row>
    <row r="71" spans="1:12" s="2008" customFormat="1">
      <c r="A71" s="2307"/>
      <c r="D71" s="2481"/>
      <c r="K71" s="323"/>
      <c r="L71" s="323"/>
    </row>
    <row r="72" spans="1:12" s="2008" customFormat="1">
      <c r="A72" s="2307"/>
      <c r="D72" s="2481"/>
      <c r="K72" s="323"/>
      <c r="L72" s="323"/>
    </row>
    <row r="73" spans="1:12" s="2008" customFormat="1">
      <c r="A73" s="2307"/>
      <c r="D73" s="2481"/>
      <c r="K73" s="323"/>
      <c r="L73" s="323"/>
    </row>
    <row r="74" spans="1:12" s="2008" customFormat="1">
      <c r="A74" s="2307"/>
      <c r="D74" s="2481"/>
      <c r="K74" s="323"/>
      <c r="L74" s="323"/>
    </row>
    <row r="75" spans="1:12" s="2008" customFormat="1">
      <c r="A75" s="2307"/>
      <c r="D75" s="2481"/>
      <c r="K75" s="323"/>
      <c r="L75" s="323"/>
    </row>
    <row r="76" spans="1:12" s="2008" customFormat="1">
      <c r="A76" s="2307"/>
      <c r="D76" s="2481"/>
      <c r="K76" s="323"/>
      <c r="L76" s="323"/>
    </row>
    <row r="77" spans="1:12" s="2008" customFormat="1">
      <c r="A77" s="2307"/>
      <c r="D77" s="2481"/>
      <c r="K77" s="323"/>
      <c r="L77" s="323"/>
    </row>
    <row r="78" spans="1:12" s="2008" customFormat="1">
      <c r="A78" s="2307"/>
      <c r="D78" s="2481"/>
      <c r="K78" s="323"/>
      <c r="L78" s="323"/>
    </row>
    <row r="79" spans="1:12" s="2008" customFormat="1">
      <c r="A79" s="2307"/>
      <c r="D79" s="2481"/>
      <c r="K79" s="323"/>
      <c r="L79" s="323"/>
    </row>
    <row r="80" spans="1:12" s="2008" customFormat="1">
      <c r="A80" s="2307"/>
      <c r="D80" s="2481"/>
      <c r="K80" s="323"/>
      <c r="L80" s="323"/>
    </row>
    <row r="81" spans="1:12" s="2008" customFormat="1">
      <c r="A81" s="2307"/>
      <c r="D81" s="2481"/>
      <c r="K81" s="323"/>
      <c r="L81" s="323"/>
    </row>
    <row r="82" spans="1:12" s="2008" customFormat="1">
      <c r="A82" s="2307"/>
      <c r="D82" s="2481"/>
      <c r="K82" s="323"/>
      <c r="L82" s="323"/>
    </row>
    <row r="83" spans="1:12" s="2008" customFormat="1">
      <c r="A83" s="2307"/>
      <c r="D83" s="2481"/>
      <c r="K83" s="323"/>
      <c r="L83" s="323"/>
    </row>
    <row r="84" spans="1:12" s="2008" customFormat="1">
      <c r="A84" s="2307"/>
      <c r="D84" s="2481"/>
      <c r="K84" s="323"/>
      <c r="L84" s="323"/>
    </row>
    <row r="85" spans="1:12" s="2008" customFormat="1">
      <c r="A85" s="2307"/>
      <c r="D85" s="2481"/>
      <c r="K85" s="323"/>
      <c r="L85" s="323"/>
    </row>
    <row r="86" spans="1:12" s="2008" customFormat="1">
      <c r="A86" s="2307"/>
      <c r="D86" s="2481"/>
      <c r="K86" s="323"/>
      <c r="L86" s="323"/>
    </row>
    <row r="87" spans="1:12" s="2008" customFormat="1">
      <c r="A87" s="2307"/>
      <c r="D87" s="2481"/>
      <c r="K87" s="323"/>
      <c r="L87" s="323"/>
    </row>
    <row r="88" spans="1:12" s="2008" customFormat="1">
      <c r="A88" s="2307"/>
      <c r="D88" s="2481"/>
      <c r="K88" s="323"/>
      <c r="L88" s="323"/>
    </row>
    <row r="89" spans="1:12" s="2008" customFormat="1">
      <c r="A89" s="2307"/>
      <c r="D89" s="2481"/>
      <c r="K89" s="323"/>
      <c r="L89" s="323"/>
    </row>
    <row r="90" spans="1:12" s="2008" customFormat="1">
      <c r="A90" s="2307"/>
      <c r="D90" s="2481"/>
      <c r="K90" s="323"/>
      <c r="L90" s="323"/>
    </row>
    <row r="91" spans="1:12" s="2008" customFormat="1">
      <c r="A91" s="2307"/>
      <c r="D91" s="2481"/>
      <c r="K91" s="323"/>
      <c r="L91" s="323"/>
    </row>
    <row r="92" spans="1:12" s="2008" customFormat="1">
      <c r="A92" s="2307"/>
      <c r="D92" s="2481"/>
      <c r="K92" s="323"/>
      <c r="L92" s="323"/>
    </row>
    <row r="93" spans="1:12" s="2008" customFormat="1">
      <c r="A93" s="2307"/>
      <c r="D93" s="2481"/>
      <c r="K93" s="323"/>
      <c r="L93" s="323"/>
    </row>
    <row r="94" spans="1:12" s="2008" customFormat="1">
      <c r="A94" s="2307"/>
      <c r="D94" s="2481"/>
      <c r="K94" s="323"/>
      <c r="L94" s="323"/>
    </row>
    <row r="95" spans="1:12" s="2008" customFormat="1">
      <c r="A95" s="2307"/>
      <c r="D95" s="2481"/>
      <c r="K95" s="323"/>
      <c r="L95" s="323"/>
    </row>
    <row r="96" spans="1:12" s="2008" customFormat="1">
      <c r="A96" s="2307"/>
      <c r="D96" s="2481"/>
      <c r="K96" s="323"/>
      <c r="L96" s="323"/>
    </row>
    <row r="97" spans="1:12" s="2008" customFormat="1">
      <c r="A97" s="2307"/>
      <c r="D97" s="2481"/>
      <c r="K97" s="323"/>
      <c r="L97" s="323"/>
    </row>
    <row r="98" spans="1:12" s="2008" customFormat="1">
      <c r="A98" s="2307"/>
      <c r="D98" s="2481"/>
      <c r="K98" s="323"/>
      <c r="L98" s="323"/>
    </row>
    <row r="99" spans="1:12" s="2008" customFormat="1">
      <c r="A99" s="2307"/>
      <c r="D99" s="2481"/>
      <c r="K99" s="323"/>
      <c r="L99" s="323"/>
    </row>
    <row r="100" spans="1:12" s="2008" customFormat="1">
      <c r="A100" s="2307"/>
      <c r="D100" s="2481"/>
      <c r="K100" s="323"/>
      <c r="L100" s="323"/>
    </row>
    <row r="101" spans="1:12" s="2008" customFormat="1">
      <c r="A101" s="2307"/>
      <c r="D101" s="2481"/>
      <c r="K101" s="323"/>
      <c r="L101" s="323"/>
    </row>
    <row r="102" spans="1:12" s="2008" customFormat="1">
      <c r="A102" s="2307"/>
      <c r="D102" s="2481"/>
      <c r="K102" s="323"/>
      <c r="L102" s="323"/>
    </row>
    <row r="103" spans="1:12" s="2008" customFormat="1">
      <c r="A103" s="2307"/>
      <c r="D103" s="2481"/>
      <c r="K103" s="323"/>
      <c r="L103" s="323"/>
    </row>
    <row r="104" spans="1:12" s="2008" customFormat="1">
      <c r="A104" s="2307"/>
      <c r="D104" s="2481"/>
      <c r="K104" s="323"/>
      <c r="L104" s="323"/>
    </row>
    <row r="105" spans="1:12" s="2008" customFormat="1">
      <c r="A105" s="2307"/>
      <c r="D105" s="2481"/>
      <c r="K105" s="323"/>
      <c r="L105" s="323"/>
    </row>
    <row r="106" spans="1:12" s="2008" customFormat="1">
      <c r="A106" s="2307"/>
      <c r="D106" s="2481"/>
      <c r="K106" s="323"/>
      <c r="L106" s="323"/>
    </row>
    <row r="107" spans="1:12" s="2008" customFormat="1">
      <c r="A107" s="2307"/>
      <c r="D107" s="2481"/>
      <c r="K107" s="323"/>
      <c r="L107" s="323"/>
    </row>
    <row r="108" spans="1:12" s="2008" customFormat="1">
      <c r="A108" s="2307"/>
      <c r="D108" s="2481"/>
      <c r="K108" s="323"/>
      <c r="L108" s="323"/>
    </row>
    <row r="109" spans="1:12" s="2008" customFormat="1">
      <c r="A109" s="2307"/>
      <c r="D109" s="2481"/>
      <c r="K109" s="323"/>
      <c r="L109" s="323"/>
    </row>
    <row r="110" spans="1:12" s="2008" customFormat="1">
      <c r="A110" s="2307"/>
      <c r="D110" s="2481"/>
      <c r="K110" s="323"/>
      <c r="L110" s="323"/>
    </row>
    <row r="111" spans="1:12" s="2008" customFormat="1">
      <c r="A111" s="2307"/>
      <c r="D111" s="2481"/>
      <c r="K111" s="323"/>
      <c r="L111" s="323"/>
    </row>
    <row r="112" spans="1:12" s="2008" customFormat="1">
      <c r="A112" s="2307"/>
      <c r="D112" s="2481"/>
      <c r="K112" s="323"/>
      <c r="L112" s="323"/>
    </row>
    <row r="113" spans="1:12" s="2008" customFormat="1">
      <c r="A113" s="2307"/>
      <c r="D113" s="2481"/>
      <c r="K113" s="323"/>
      <c r="L113" s="323"/>
    </row>
    <row r="114" spans="1:12" s="2008" customFormat="1">
      <c r="A114" s="2307"/>
      <c r="D114" s="2481"/>
      <c r="K114" s="323"/>
      <c r="L114" s="323"/>
    </row>
    <row r="115" spans="1:12" s="2008" customFormat="1">
      <c r="A115" s="2307"/>
      <c r="D115" s="2481"/>
      <c r="K115" s="323"/>
      <c r="L115" s="323"/>
    </row>
    <row r="116" spans="1:12" s="2008" customFormat="1">
      <c r="A116" s="2307"/>
      <c r="D116" s="2481"/>
      <c r="K116" s="323"/>
      <c r="L116" s="323"/>
    </row>
    <row r="117" spans="1:12" s="2008" customFormat="1">
      <c r="A117" s="2307"/>
      <c r="D117" s="2481"/>
      <c r="K117" s="323"/>
      <c r="L117" s="323"/>
    </row>
    <row r="118" spans="1:12" s="2008" customFormat="1">
      <c r="A118" s="2307"/>
      <c r="D118" s="2481"/>
      <c r="K118" s="323"/>
      <c r="L118" s="323"/>
    </row>
    <row r="119" spans="1:12" s="2008" customFormat="1">
      <c r="A119" s="2307"/>
      <c r="D119" s="2481"/>
      <c r="K119" s="323"/>
      <c r="L119" s="323"/>
    </row>
    <row r="120" spans="1:12" s="2008" customFormat="1">
      <c r="A120" s="2307"/>
      <c r="D120" s="2481"/>
      <c r="K120" s="323"/>
      <c r="L120" s="323"/>
    </row>
    <row r="121" spans="1:12" s="2008" customFormat="1">
      <c r="A121" s="2307"/>
      <c r="D121" s="2481"/>
      <c r="K121" s="323"/>
      <c r="L121" s="323"/>
    </row>
    <row r="122" spans="1:12" s="2008" customFormat="1">
      <c r="A122" s="2307"/>
      <c r="D122" s="2481"/>
      <c r="K122" s="323"/>
      <c r="L122" s="323"/>
    </row>
    <row r="123" spans="1:12" s="2008" customFormat="1">
      <c r="A123" s="2307"/>
      <c r="D123" s="2481"/>
      <c r="K123" s="323"/>
      <c r="L123" s="323"/>
    </row>
    <row r="124" spans="1:12" s="2008" customFormat="1">
      <c r="A124" s="2307"/>
      <c r="D124" s="2481"/>
      <c r="K124" s="323"/>
      <c r="L124" s="323"/>
    </row>
    <row r="125" spans="1:12" s="2008" customFormat="1">
      <c r="A125" s="2307"/>
      <c r="D125" s="2481"/>
      <c r="K125" s="323"/>
      <c r="L125" s="323"/>
    </row>
    <row r="126" spans="1:12" s="2008" customFormat="1">
      <c r="A126" s="2307"/>
      <c r="D126" s="2481"/>
      <c r="K126" s="323"/>
      <c r="L126" s="323"/>
    </row>
    <row r="127" spans="1:12" s="2008" customFormat="1">
      <c r="A127" s="2307"/>
      <c r="D127" s="2481"/>
      <c r="K127" s="323"/>
      <c r="L127" s="323"/>
    </row>
    <row r="128" spans="1:12" s="2008" customFormat="1">
      <c r="A128" s="2307"/>
      <c r="D128" s="2481"/>
      <c r="K128" s="323"/>
      <c r="L128" s="323"/>
    </row>
    <row r="129" spans="1:12" s="2008" customFormat="1">
      <c r="A129" s="2307"/>
      <c r="D129" s="2481"/>
      <c r="K129" s="323"/>
      <c r="L129" s="323"/>
    </row>
    <row r="130" spans="1:12" s="2008" customFormat="1">
      <c r="A130" s="2307"/>
      <c r="D130" s="2481"/>
      <c r="K130" s="323"/>
      <c r="L130" s="323"/>
    </row>
    <row r="131" spans="1:12" s="2008" customFormat="1">
      <c r="A131" s="2307"/>
      <c r="D131" s="2481"/>
      <c r="K131" s="323"/>
      <c r="L131" s="323"/>
    </row>
    <row r="132" spans="1:12" s="2008" customFormat="1">
      <c r="A132" s="2307"/>
      <c r="D132" s="2481"/>
      <c r="K132" s="323"/>
      <c r="L132" s="323"/>
    </row>
    <row r="133" spans="1:12" s="2008" customFormat="1">
      <c r="A133" s="2307"/>
      <c r="D133" s="2481"/>
      <c r="K133" s="323"/>
      <c r="L133" s="323"/>
    </row>
    <row r="134" spans="1:12" s="2390" customFormat="1">
      <c r="A134" s="2560"/>
      <c r="D134" s="2561"/>
      <c r="K134" s="231"/>
      <c r="L134" s="231"/>
    </row>
    <row r="135" spans="1:12" s="2390" customFormat="1">
      <c r="A135" s="2560"/>
      <c r="D135" s="2561"/>
      <c r="K135" s="231"/>
      <c r="L135" s="231"/>
    </row>
    <row r="136" spans="1:12" s="2390" customFormat="1">
      <c r="A136" s="2560"/>
      <c r="D136" s="2561"/>
      <c r="K136" s="231"/>
      <c r="L136" s="231"/>
    </row>
    <row r="137" spans="1:12" s="2390" customFormat="1">
      <c r="A137" s="2560"/>
      <c r="D137" s="2561"/>
      <c r="K137" s="231"/>
      <c r="L137" s="231"/>
    </row>
    <row r="138" spans="1:12" s="2390" customFormat="1">
      <c r="A138" s="2560"/>
      <c r="D138" s="2561"/>
      <c r="K138" s="231"/>
      <c r="L138" s="231"/>
    </row>
    <row r="139" spans="1:12" s="2390" customFormat="1">
      <c r="A139" s="2560"/>
      <c r="D139" s="2561"/>
      <c r="K139" s="231"/>
      <c r="L139" s="231"/>
    </row>
    <row r="140" spans="1:12" s="2390" customFormat="1">
      <c r="A140" s="2560"/>
      <c r="D140" s="2561"/>
      <c r="K140" s="231"/>
      <c r="L140" s="231"/>
    </row>
    <row r="141" spans="1:12" s="2390" customFormat="1">
      <c r="A141" s="2560"/>
      <c r="D141" s="2561"/>
      <c r="K141" s="231"/>
      <c r="L141" s="231"/>
    </row>
    <row r="142" spans="1:12" s="2390" customFormat="1">
      <c r="A142" s="2560"/>
      <c r="D142" s="2561"/>
      <c r="K142" s="231"/>
      <c r="L142" s="231"/>
    </row>
    <row r="143" spans="1:12" s="2390" customFormat="1">
      <c r="A143" s="2560"/>
      <c r="D143" s="2561"/>
      <c r="K143" s="231"/>
      <c r="L143" s="231"/>
    </row>
    <row r="144" spans="1:12" s="2390" customFormat="1">
      <c r="A144" s="2560"/>
      <c r="D144" s="2561"/>
      <c r="K144" s="231"/>
      <c r="L144" s="231"/>
    </row>
    <row r="145" spans="1:12" s="2390" customFormat="1">
      <c r="A145" s="2560"/>
      <c r="D145" s="2561"/>
      <c r="K145" s="231"/>
      <c r="L145" s="231"/>
    </row>
    <row r="146" spans="1:12" s="2390" customFormat="1">
      <c r="A146" s="2560"/>
      <c r="D146" s="2561"/>
      <c r="K146" s="231"/>
      <c r="L146" s="231"/>
    </row>
    <row r="147" spans="1:12" s="2390" customFormat="1">
      <c r="A147" s="2560"/>
      <c r="D147" s="2561"/>
      <c r="K147" s="231"/>
      <c r="L147" s="231"/>
    </row>
    <row r="148" spans="1:12" s="2390" customFormat="1">
      <c r="A148" s="2560"/>
      <c r="D148" s="2561"/>
      <c r="K148" s="231"/>
      <c r="L148" s="231"/>
    </row>
    <row r="149" spans="1:12" s="2390" customFormat="1">
      <c r="A149" s="2560"/>
      <c r="D149" s="2561"/>
      <c r="K149" s="231"/>
      <c r="L149" s="231"/>
    </row>
    <row r="150" spans="1:12" s="2390" customFormat="1">
      <c r="A150" s="2560"/>
      <c r="D150" s="2561"/>
      <c r="K150" s="231"/>
      <c r="L150" s="231"/>
    </row>
    <row r="151" spans="1:12" s="2390" customFormat="1">
      <c r="A151" s="2560"/>
      <c r="D151" s="2561"/>
      <c r="K151" s="231"/>
      <c r="L151" s="231"/>
    </row>
    <row r="152" spans="1:12" s="2390" customFormat="1">
      <c r="A152" s="2560"/>
      <c r="D152" s="2561"/>
      <c r="K152" s="231"/>
      <c r="L152" s="231"/>
    </row>
    <row r="153" spans="1:12" s="2390" customFormat="1">
      <c r="A153" s="2560"/>
      <c r="D153" s="2561"/>
      <c r="K153" s="231"/>
      <c r="L153" s="231"/>
    </row>
    <row r="154" spans="1:12" s="2390" customFormat="1">
      <c r="A154" s="2560"/>
      <c r="D154" s="2561"/>
      <c r="K154" s="231"/>
      <c r="L154" s="231"/>
    </row>
    <row r="155" spans="1:12" s="2390" customFormat="1">
      <c r="A155" s="2560"/>
      <c r="D155" s="2561"/>
      <c r="K155" s="231"/>
      <c r="L155" s="231"/>
    </row>
    <row r="156" spans="1:12" s="2390" customFormat="1">
      <c r="A156" s="2560"/>
      <c r="D156" s="2561"/>
      <c r="K156" s="231"/>
      <c r="L156" s="231"/>
    </row>
    <row r="157" spans="1:12" s="2390" customFormat="1">
      <c r="A157" s="2560"/>
      <c r="D157" s="2561"/>
      <c r="K157" s="231"/>
      <c r="L157" s="231"/>
    </row>
    <row r="158" spans="1:12" s="2390" customFormat="1">
      <c r="A158" s="2560"/>
      <c r="D158" s="2561"/>
      <c r="K158" s="231"/>
      <c r="L158" s="231"/>
    </row>
    <row r="159" spans="1:12" s="2390" customFormat="1">
      <c r="A159" s="2560"/>
      <c r="D159" s="2561"/>
      <c r="K159" s="231"/>
      <c r="L159" s="231"/>
    </row>
    <row r="160" spans="1:12" s="2390" customFormat="1">
      <c r="A160" s="2560"/>
      <c r="D160" s="2561"/>
      <c r="K160" s="231"/>
      <c r="L160" s="231"/>
    </row>
    <row r="161" spans="1:12" s="2390" customFormat="1">
      <c r="A161" s="2560"/>
      <c r="D161" s="2561"/>
      <c r="K161" s="231"/>
      <c r="L161" s="231"/>
    </row>
    <row r="162" spans="1:12" s="2390" customFormat="1">
      <c r="A162" s="2560"/>
      <c r="D162" s="2561"/>
      <c r="K162" s="231"/>
      <c r="L162" s="231"/>
    </row>
    <row r="163" spans="1:12" s="2390" customFormat="1">
      <c r="A163" s="2560"/>
      <c r="D163" s="2561"/>
      <c r="K163" s="231"/>
      <c r="L163" s="231"/>
    </row>
    <row r="164" spans="1:12" s="2390" customFormat="1">
      <c r="A164" s="2560"/>
      <c r="D164" s="2561"/>
      <c r="K164" s="231"/>
      <c r="L164" s="231"/>
    </row>
    <row r="165" spans="1:12" s="2390" customFormat="1">
      <c r="A165" s="2560"/>
      <c r="D165" s="2561"/>
      <c r="K165" s="231"/>
      <c r="L165" s="231"/>
    </row>
    <row r="166" spans="1:12" s="2390" customFormat="1">
      <c r="A166" s="2560"/>
      <c r="D166" s="2561"/>
      <c r="K166" s="231"/>
      <c r="L166" s="231"/>
    </row>
    <row r="167" spans="1:12" s="2390" customFormat="1">
      <c r="A167" s="2560"/>
      <c r="D167" s="2561"/>
      <c r="K167" s="231"/>
      <c r="L167" s="231"/>
    </row>
    <row r="168" spans="1:12" s="2390" customFormat="1">
      <c r="A168" s="2560"/>
      <c r="D168" s="2561"/>
      <c r="K168" s="231"/>
      <c r="L168" s="231"/>
    </row>
    <row r="169" spans="1:12" s="2390" customFormat="1">
      <c r="A169" s="2560"/>
      <c r="D169" s="2561"/>
      <c r="K169" s="231"/>
      <c r="L169" s="231"/>
    </row>
    <row r="170" spans="1:12" s="2390" customFormat="1">
      <c r="A170" s="2560"/>
      <c r="D170" s="2561"/>
      <c r="K170" s="231"/>
      <c r="L170" s="231"/>
    </row>
    <row r="171" spans="1:12" s="2390" customFormat="1">
      <c r="A171" s="2560"/>
      <c r="D171" s="2561"/>
      <c r="K171" s="231"/>
      <c r="L171" s="231"/>
    </row>
    <row r="172" spans="1:12" s="2390" customFormat="1">
      <c r="A172" s="2560"/>
      <c r="D172" s="2561"/>
      <c r="K172" s="231"/>
      <c r="L172" s="231"/>
    </row>
    <row r="173" spans="1:12" s="2390" customFormat="1">
      <c r="A173" s="2560"/>
      <c r="D173" s="2561"/>
      <c r="K173" s="231"/>
      <c r="L173" s="231"/>
    </row>
    <row r="174" spans="1:12" s="2390" customFormat="1">
      <c r="A174" s="2560"/>
      <c r="D174" s="2561"/>
      <c r="K174" s="231"/>
      <c r="L174" s="231"/>
    </row>
  </sheetData>
  <sheetProtection password="C66D" sheet="1" objects="1" scenarios="1" formatCells="0" formatColumns="0" formatRows="0"/>
  <phoneticPr fontId="225" type="noConversion"/>
  <dataValidations count="7">
    <dataValidation type="list" allowBlank="1" showInputMessage="1" showErrorMessage="1" sqref="N5">
      <formula1>"工程进度,成新度,工程进度/成新度"</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hyperlinks>
    <hyperlink ref="L18" r:id="rId1" display="javascript:top.main.DataEdit('52',20);"/>
  </hyperlinks>
  <pageMargins left="0.69930555555555596" right="0.69930555555555596" top="0.75" bottom="0.75" header="0.3" footer="0.3"/>
  <pageSetup paperSize="9" scale="25" fitToHeight="0" orientation="portrait"/>
  <ignoredErrors>
    <ignoredError sqref="G16:H16" formulaRange="1"/>
  </ignoredError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11" zoomScale="80" zoomScaleNormal="80" workbookViewId="0">
      <selection activeCell="B49" sqref="B49"/>
    </sheetView>
  </sheetViews>
  <sheetFormatPr defaultColWidth="9" defaultRowHeight="13.5"/>
  <cols>
    <col min="1" max="1" width="3.5" style="2880" customWidth="1"/>
    <col min="2" max="9" width="10" style="2880" customWidth="1"/>
    <col min="10" max="16384" width="9" style="2880"/>
  </cols>
  <sheetData>
    <row r="36" spans="1:9">
      <c r="A36" s="2979" t="s">
        <v>75</v>
      </c>
      <c r="B36" s="2979" t="s">
        <v>76</v>
      </c>
    </row>
    <row r="37" spans="1:9" ht="27.75" customHeight="1">
      <c r="A37" s="2979"/>
      <c r="B37" s="3179" t="str">
        <f>项目基本情况!B1</f>
        <v>贵州省贵阳市观山湖区环城高速以东（西南商贸城）房地产抵押价值预评估</v>
      </c>
      <c r="C37" s="3179"/>
      <c r="D37" s="3179"/>
      <c r="E37" s="3179"/>
      <c r="F37" s="3179"/>
      <c r="G37" s="3179"/>
      <c r="H37" s="3179"/>
      <c r="I37" s="3179"/>
    </row>
    <row r="38" spans="1:9">
      <c r="A38" s="2980"/>
      <c r="B38" s="2980"/>
    </row>
    <row r="39" spans="1:9">
      <c r="A39" s="2979" t="s">
        <v>75</v>
      </c>
      <c r="B39" s="2979" t="s">
        <v>77</v>
      </c>
    </row>
    <row r="40" spans="1:9">
      <c r="A40" s="2979"/>
      <c r="B40" s="2981" t="str">
        <f>项目基本情况!B5</f>
        <v>中信信托有限责任公司</v>
      </c>
    </row>
    <row r="41" spans="1:9">
      <c r="A41" s="2979"/>
      <c r="B41" s="2979"/>
    </row>
    <row r="42" spans="1:9">
      <c r="A42" s="2979" t="s">
        <v>75</v>
      </c>
      <c r="B42" s="2979" t="s">
        <v>78</v>
      </c>
    </row>
    <row r="43" spans="1:9">
      <c r="A43" s="2979"/>
      <c r="B43" s="2981" t="s">
        <v>79</v>
      </c>
    </row>
    <row r="44" spans="1:9">
      <c r="A44" s="2979"/>
      <c r="B44" s="2979"/>
    </row>
    <row r="45" spans="1:9">
      <c r="A45" s="2979" t="s">
        <v>75</v>
      </c>
      <c r="B45" s="2979" t="s">
        <v>80</v>
      </c>
    </row>
    <row r="46" spans="1:9" s="2979" customFormat="1" ht="12.75">
      <c r="B46" s="2981" t="str">
        <f>项目基本情况!K4</f>
        <v>（注册号：0)、（注册号：0)</v>
      </c>
    </row>
    <row r="47" spans="1:9">
      <c r="A47" s="2979"/>
      <c r="B47" s="2979" t="str">
        <f>项目基本情况!K5</f>
        <v/>
      </c>
    </row>
    <row r="48" spans="1:9">
      <c r="A48" s="2979" t="s">
        <v>75</v>
      </c>
      <c r="B48" s="2979" t="s">
        <v>81</v>
      </c>
    </row>
    <row r="49" spans="2:2">
      <c r="B49" s="2981" t="str">
        <f>"康正预评字"&amp;项目基本情况!B2&amp;"号"</f>
        <v>康正预评字号</v>
      </c>
    </row>
  </sheetData>
  <sheetProtection password="C66D" sheet="1" objects="1" scenarios="1" formatCells="0" formatRows="0" insertColumns="0" deleteRows="0"/>
  <mergeCells count="1">
    <mergeCell ref="B37:I37"/>
  </mergeCells>
  <phoneticPr fontId="225" type="noConversion"/>
  <pageMargins left="0.98402777777777795" right="0.78680555555555598" top="0.98402777777777795" bottom="0.98402777777777795" header="0.59027777777777801" footer="0.78680555555555598"/>
  <pageSetup paperSize="9" orientation="portrai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C187"/>
  <sheetViews>
    <sheetView zoomScale="80" zoomScaleNormal="80" workbookViewId="0">
      <pane xSplit="1" ySplit="2" topLeftCell="B12" activePane="bottomRight" state="frozen"/>
      <selection pane="topRight"/>
      <selection pane="bottomLeft"/>
      <selection pane="bottomRight" activeCell="G10" sqref="G10"/>
    </sheetView>
  </sheetViews>
  <sheetFormatPr defaultColWidth="9" defaultRowHeight="14.25"/>
  <cols>
    <col min="1" max="1" width="9.5" style="2324" customWidth="1"/>
    <col min="2" max="2" width="24.5" style="2325" customWidth="1"/>
    <col min="3" max="3" width="24.5" style="2326" customWidth="1"/>
    <col min="4" max="4" width="2.625" style="2326" customWidth="1"/>
    <col min="5" max="5" width="5.875" style="2326" customWidth="1"/>
    <col min="6" max="6" width="27" style="2325" customWidth="1"/>
    <col min="7" max="7" width="27" style="2327" customWidth="1"/>
    <col min="8" max="8" width="11.875" style="2328" customWidth="1"/>
    <col min="9" max="9" width="16.75" style="2329" customWidth="1"/>
    <col min="10" max="10" width="2.625" style="2328" customWidth="1"/>
    <col min="11" max="11" width="11.875" style="2328" customWidth="1"/>
    <col min="12" max="12" width="16.75" style="2329" customWidth="1"/>
    <col min="13" max="13" width="2.625" style="2328" customWidth="1"/>
    <col min="14" max="14" width="11.875" style="2328" customWidth="1"/>
    <col min="15" max="15" width="16.75" style="2329" customWidth="1"/>
    <col min="16" max="16" width="2.625" style="2328" customWidth="1"/>
    <col min="17" max="17" width="11.875" style="2328" customWidth="1"/>
    <col min="18" max="18" width="16.75" style="2330" customWidth="1"/>
    <col min="19" max="29" width="9" style="2323"/>
    <col min="30" max="16384" width="9" style="2324"/>
  </cols>
  <sheetData>
    <row r="1" spans="1:29" s="2322" customFormat="1" ht="18.75">
      <c r="A1" s="3359" t="s">
        <v>638</v>
      </c>
      <c r="B1" s="3360"/>
      <c r="C1" s="3360"/>
      <c r="D1" s="3360"/>
      <c r="E1" s="3360"/>
      <c r="F1" s="3360"/>
      <c r="G1" s="3360"/>
      <c r="H1" s="2331"/>
      <c r="I1" s="2377"/>
      <c r="J1" s="2331"/>
      <c r="K1" s="2331"/>
      <c r="L1" s="2377"/>
      <c r="M1" s="2331"/>
      <c r="N1" s="2331"/>
      <c r="O1" s="2377"/>
      <c r="P1" s="2331"/>
      <c r="Q1" s="2384"/>
      <c r="R1" s="2385"/>
      <c r="S1" s="2386"/>
      <c r="T1" s="2386"/>
      <c r="U1" s="2386"/>
      <c r="V1" s="2386"/>
      <c r="W1" s="2386"/>
      <c r="X1" s="2386"/>
      <c r="Y1" s="2386"/>
      <c r="Z1" s="2386"/>
      <c r="AA1" s="2386"/>
      <c r="AB1" s="2386"/>
      <c r="AC1" s="2386"/>
    </row>
    <row r="2" spans="1:29" ht="15">
      <c r="A2" s="2332"/>
      <c r="B2" s="2333"/>
      <c r="C2" s="2334" t="s">
        <v>639</v>
      </c>
      <c r="D2" s="2335"/>
      <c r="E2" s="2336"/>
      <c r="F2" s="2337"/>
      <c r="G2" s="2334" t="s">
        <v>640</v>
      </c>
      <c r="H2" s="2323"/>
      <c r="I2" s="2323"/>
      <c r="J2" s="2323"/>
      <c r="K2" s="2323"/>
      <c r="L2" s="2323"/>
      <c r="M2" s="2323"/>
      <c r="N2" s="2323"/>
      <c r="O2" s="2323"/>
      <c r="P2" s="2323"/>
      <c r="Q2" s="2323"/>
      <c r="R2" s="2323"/>
    </row>
    <row r="3" spans="1:29" ht="54">
      <c r="A3" s="899" t="s">
        <v>641</v>
      </c>
      <c r="B3" s="2338" t="s">
        <v>642</v>
      </c>
      <c r="C3" s="2339" t="s">
        <v>643</v>
      </c>
      <c r="D3" s="2340"/>
      <c r="E3" s="910" t="s">
        <v>641</v>
      </c>
      <c r="F3" s="2341" t="s">
        <v>644</v>
      </c>
      <c r="G3" s="2342" t="s">
        <v>645</v>
      </c>
      <c r="H3" s="2323"/>
      <c r="I3" s="2323"/>
      <c r="J3" s="2323"/>
      <c r="K3" s="2323"/>
      <c r="L3" s="2323"/>
      <c r="M3" s="2323"/>
      <c r="N3" s="2323"/>
      <c r="O3" s="2323"/>
      <c r="P3" s="2323"/>
      <c r="Q3" s="2323"/>
      <c r="R3" s="2323"/>
    </row>
    <row r="4" spans="1:29" ht="41.25">
      <c r="A4" s="910"/>
      <c r="B4" s="1074" t="s">
        <v>646</v>
      </c>
      <c r="C4" s="2343" t="s">
        <v>647</v>
      </c>
      <c r="D4" s="2340"/>
      <c r="E4" s="2344"/>
      <c r="F4" s="2279" t="s">
        <v>648</v>
      </c>
      <c r="G4" s="2345" t="s">
        <v>649</v>
      </c>
      <c r="H4" s="2323"/>
      <c r="I4" s="2323"/>
      <c r="J4" s="2323"/>
      <c r="K4" s="2323"/>
      <c r="L4" s="2323"/>
      <c r="M4" s="2323"/>
      <c r="N4" s="2323"/>
      <c r="O4" s="2323"/>
      <c r="P4" s="2323"/>
      <c r="Q4" s="2323"/>
      <c r="R4" s="2323"/>
    </row>
    <row r="5" spans="1:29" ht="41.25">
      <c r="A5" s="910"/>
      <c r="B5" s="1074" t="s">
        <v>650</v>
      </c>
      <c r="C5" s="2343" t="s">
        <v>651</v>
      </c>
      <c r="D5" s="2340"/>
      <c r="E5" s="2344"/>
      <c r="F5" s="1074" t="s">
        <v>652</v>
      </c>
      <c r="G5" s="2345" t="s">
        <v>653</v>
      </c>
      <c r="H5" s="2323"/>
      <c r="I5" s="2323"/>
      <c r="J5" s="2323"/>
      <c r="K5" s="2323"/>
      <c r="L5" s="2323"/>
      <c r="M5" s="2323"/>
      <c r="N5" s="2323"/>
      <c r="O5" s="2323"/>
      <c r="P5" s="2323"/>
      <c r="Q5" s="2323"/>
      <c r="R5" s="2323"/>
    </row>
    <row r="6" spans="1:29" ht="54">
      <c r="A6" s="910"/>
      <c r="B6" s="1074" t="s">
        <v>648</v>
      </c>
      <c r="C6" s="2345" t="s">
        <v>649</v>
      </c>
      <c r="D6" s="2340"/>
      <c r="E6" s="2344"/>
      <c r="F6" s="1074" t="s">
        <v>654</v>
      </c>
      <c r="G6" s="2345" t="s">
        <v>655</v>
      </c>
      <c r="H6" s="2323"/>
      <c r="I6" s="2323"/>
      <c r="J6" s="2323"/>
      <c r="K6" s="2323"/>
      <c r="L6" s="2323"/>
      <c r="M6" s="2323"/>
      <c r="N6" s="2323"/>
      <c r="O6" s="2323"/>
      <c r="P6" s="2323"/>
      <c r="Q6" s="2323"/>
      <c r="R6" s="2323"/>
    </row>
    <row r="7" spans="1:29" ht="40.5">
      <c r="A7" s="910"/>
      <c r="B7" s="1074" t="s">
        <v>652</v>
      </c>
      <c r="C7" s="2345" t="s">
        <v>653</v>
      </c>
      <c r="D7" s="2346"/>
      <c r="E7" s="2347"/>
      <c r="F7" s="2348" t="s">
        <v>656</v>
      </c>
      <c r="G7" s="2349" t="s">
        <v>657</v>
      </c>
      <c r="H7" s="2323"/>
      <c r="I7" s="2323"/>
      <c r="J7" s="2323"/>
      <c r="K7" s="2323"/>
      <c r="L7" s="2323"/>
      <c r="M7" s="2323"/>
      <c r="N7" s="2323"/>
      <c r="O7" s="2323"/>
      <c r="P7" s="2323"/>
      <c r="Q7" s="2323"/>
      <c r="R7" s="2323"/>
    </row>
    <row r="8" spans="1:29" ht="27">
      <c r="A8" s="910"/>
      <c r="B8" s="1074" t="s">
        <v>654</v>
      </c>
      <c r="C8" s="2345" t="s">
        <v>655</v>
      </c>
      <c r="D8" s="2346"/>
      <c r="E8" s="2346"/>
      <c r="F8" s="1032"/>
      <c r="G8" s="1032"/>
      <c r="H8" s="2323"/>
      <c r="I8" s="2323"/>
      <c r="J8" s="2323"/>
      <c r="K8" s="2323"/>
      <c r="L8" s="2323"/>
      <c r="M8" s="2323"/>
      <c r="N8" s="2323"/>
      <c r="O8" s="2323"/>
      <c r="P8" s="2323"/>
      <c r="Q8" s="2323"/>
      <c r="R8" s="2323"/>
    </row>
    <row r="9" spans="1:29" ht="27">
      <c r="A9" s="910"/>
      <c r="B9" s="1074" t="s">
        <v>658</v>
      </c>
      <c r="C9" s="2343" t="s">
        <v>659</v>
      </c>
      <c r="D9" s="2340"/>
      <c r="E9" s="2346"/>
      <c r="F9" s="1032"/>
      <c r="G9" s="1032"/>
      <c r="H9" s="2323"/>
      <c r="I9" s="2323"/>
      <c r="J9" s="2323"/>
      <c r="K9" s="2323"/>
      <c r="L9" s="2323"/>
      <c r="M9" s="2323"/>
      <c r="N9" s="2323"/>
      <c r="O9" s="2323"/>
      <c r="P9" s="2323"/>
      <c r="Q9" s="2323"/>
      <c r="R9" s="2323"/>
    </row>
    <row r="10" spans="1:29" s="866" customFormat="1" ht="15">
      <c r="A10" s="2350"/>
      <c r="B10" s="2351" t="s">
        <v>660</v>
      </c>
      <c r="C10" s="2352"/>
      <c r="D10" s="2340"/>
      <c r="E10" s="2340"/>
      <c r="F10" s="1032"/>
      <c r="G10" s="1032"/>
      <c r="H10" s="2353"/>
      <c r="I10" s="2378"/>
      <c r="J10" s="2379"/>
      <c r="K10" s="2353"/>
      <c r="L10" s="2378"/>
      <c r="M10" s="2379"/>
      <c r="N10" s="2353"/>
      <c r="O10" s="2378"/>
      <c r="P10" s="2379"/>
      <c r="Q10" s="2353"/>
      <c r="R10" s="2378"/>
      <c r="S10" s="2323"/>
      <c r="T10" s="2323"/>
      <c r="U10" s="2323"/>
      <c r="V10" s="2323"/>
      <c r="W10" s="2323"/>
      <c r="X10" s="2323"/>
      <c r="Y10" s="2323"/>
      <c r="Z10" s="2323"/>
      <c r="AA10" s="2323"/>
      <c r="AB10" s="2323"/>
      <c r="AC10" s="2323"/>
    </row>
    <row r="11" spans="1:29" s="866" customFormat="1" ht="15">
      <c r="A11" s="2354"/>
      <c r="B11" s="2346"/>
      <c r="C11" s="2340"/>
      <c r="D11" s="2340"/>
      <c r="E11" s="2340"/>
      <c r="F11" s="2346"/>
      <c r="G11" s="1150"/>
      <c r="H11" s="2353"/>
      <c r="I11" s="2378"/>
      <c r="J11" s="2379"/>
      <c r="K11" s="2353"/>
      <c r="L11" s="2378"/>
      <c r="M11" s="2379"/>
      <c r="N11" s="2353"/>
      <c r="O11" s="2378"/>
      <c r="P11" s="2379"/>
      <c r="Q11" s="2353"/>
      <c r="R11" s="2378"/>
      <c r="S11" s="2323"/>
      <c r="T11" s="2323"/>
      <c r="U11" s="2323"/>
      <c r="V11" s="2323"/>
      <c r="W11" s="2323"/>
      <c r="X11" s="2323"/>
      <c r="Y11" s="2323"/>
      <c r="Z11" s="2323"/>
      <c r="AA11" s="2323"/>
      <c r="AB11" s="2323"/>
      <c r="AC11" s="2323"/>
    </row>
    <row r="12" spans="1:29" s="2322" customFormat="1" ht="18">
      <c r="A12" s="2354"/>
      <c r="B12" s="2346"/>
      <c r="C12" s="2340"/>
      <c r="D12" s="2355"/>
      <c r="E12" s="2340"/>
      <c r="F12" s="2346"/>
      <c r="G12" s="1150"/>
      <c r="H12" s="2356"/>
      <c r="I12" s="2380"/>
      <c r="J12" s="2356"/>
      <c r="K12" s="2356"/>
      <c r="L12" s="2381"/>
      <c r="M12" s="2356"/>
      <c r="N12" s="2382"/>
      <c r="O12" s="2383"/>
      <c r="P12" s="2382"/>
      <c r="Q12" s="2382"/>
      <c r="R12" s="2385"/>
      <c r="S12" s="2386"/>
      <c r="T12" s="2386"/>
      <c r="U12" s="2386"/>
      <c r="V12" s="2386"/>
      <c r="W12" s="2386"/>
      <c r="X12" s="2386"/>
      <c r="Y12" s="2386"/>
      <c r="Z12" s="2386"/>
      <c r="AA12" s="2386"/>
      <c r="AB12" s="2386"/>
      <c r="AC12" s="2386"/>
    </row>
    <row r="13" spans="1:29" ht="18.75">
      <c r="A13" s="2357" t="s">
        <v>661</v>
      </c>
      <c r="B13" s="2355"/>
      <c r="C13" s="2355"/>
      <c r="D13" s="2358"/>
      <c r="E13" s="2355"/>
      <c r="F13" s="2355"/>
      <c r="G13" s="2355"/>
    </row>
    <row r="14" spans="1:29" ht="15">
      <c r="A14" s="2359"/>
      <c r="B14" s="2360"/>
      <c r="C14" s="2361" t="s">
        <v>639</v>
      </c>
      <c r="D14" s="2340"/>
      <c r="E14" s="2362"/>
      <c r="F14" s="2362"/>
      <c r="G14" s="2334" t="s">
        <v>640</v>
      </c>
    </row>
    <row r="15" spans="1:29" ht="57">
      <c r="A15" s="1394" t="s">
        <v>641</v>
      </c>
      <c r="B15" s="2363" t="s">
        <v>642</v>
      </c>
      <c r="C15" s="2364" t="str">
        <f>C3</f>
        <v>估价对象周边居住用地比例、居住小区规模和社区发展完善程度，综合评价居住社区成熟度一般</v>
      </c>
      <c r="D15" s="2340"/>
      <c r="E15" s="2365" t="s">
        <v>641</v>
      </c>
      <c r="F15" s="2363" t="s">
        <v>644</v>
      </c>
      <c r="G15" s="902" t="str">
        <f>G3</f>
        <v>估价对象位于XX开发区，园区建设成熟度XX，产业集聚程度XX</v>
      </c>
    </row>
    <row r="16" spans="1:29" ht="42.75">
      <c r="A16" s="1402"/>
      <c r="B16" s="2366" t="s">
        <v>646</v>
      </c>
      <c r="C16" s="2367" t="str">
        <f>C4</f>
        <v>估价对象位于XX商圈，周边商业氛围成熟，人流量大，商业繁华度好</v>
      </c>
      <c r="D16" s="2340"/>
      <c r="E16" s="2368"/>
      <c r="F16" s="2369" t="s">
        <v>648</v>
      </c>
      <c r="G16" s="906" t="str">
        <f>G4</f>
        <v>估价对象周边道路状况、公共交通通达情况、停车便捷程度，综合评价交通便捷度较好</v>
      </c>
    </row>
    <row r="17" spans="1:18" ht="42.75">
      <c r="A17" s="1402"/>
      <c r="B17" s="2366" t="s">
        <v>650</v>
      </c>
      <c r="C17" s="2367" t="str">
        <f>C5</f>
        <v>估价对象位于XX商圈，周边办公楼项目较多，入驻率高，办公集聚程度较好</v>
      </c>
      <c r="D17" s="2346"/>
      <c r="E17" s="2368"/>
      <c r="F17" s="2369" t="s">
        <v>662</v>
      </c>
      <c r="G17" s="1145"/>
    </row>
    <row r="18" spans="1:18" ht="57">
      <c r="A18" s="1402"/>
      <c r="B18" s="2369" t="s">
        <v>648</v>
      </c>
      <c r="C18" s="906" t="str">
        <f>C6</f>
        <v>估价对象周边道路状况、公共交通通达情况、停车便捷程度，综合评价交通便捷度较好</v>
      </c>
      <c r="D18" s="2346"/>
      <c r="E18" s="2368"/>
      <c r="F18" s="2369" t="s">
        <v>656</v>
      </c>
      <c r="G18" s="906" t="str">
        <f>G7</f>
        <v>该园区内是否有污染型企业，绿化情况，卫生条件，整体环境状况判断</v>
      </c>
    </row>
    <row r="19" spans="1:18" ht="28.5">
      <c r="A19" s="1402"/>
      <c r="B19" s="2369" t="s">
        <v>662</v>
      </c>
      <c r="C19" s="1145"/>
      <c r="D19" s="2340"/>
      <c r="E19" s="2368"/>
      <c r="F19" s="1074" t="s">
        <v>652</v>
      </c>
      <c r="G19" s="906" t="str">
        <f>G5</f>
        <v>估价对象所在区域公共配套设施齐备情况</v>
      </c>
    </row>
    <row r="20" spans="1:18" ht="28.5">
      <c r="A20" s="1402"/>
      <c r="B20" s="2369" t="s">
        <v>663</v>
      </c>
      <c r="C20" s="2367" t="str">
        <f>C9</f>
        <v>区域自然环境：；人文环境；综合评价环境状况一般</v>
      </c>
      <c r="D20" s="2346"/>
      <c r="E20" s="2368"/>
      <c r="F20" s="1074" t="s">
        <v>654</v>
      </c>
      <c r="G20" s="906" t="str">
        <f>G6</f>
        <v>估价对象所在区域基础设施水平</v>
      </c>
    </row>
    <row r="21" spans="1:18" ht="28.5">
      <c r="A21" s="1402"/>
      <c r="B21" s="1074" t="s">
        <v>652</v>
      </c>
      <c r="C21" s="906" t="str">
        <f>C7</f>
        <v>估价对象所在区域公共配套设施齐备情况</v>
      </c>
      <c r="D21" s="2340"/>
      <c r="E21" s="2368"/>
      <c r="F21" s="2369" t="s">
        <v>664</v>
      </c>
      <c r="G21" s="2370"/>
    </row>
    <row r="22" spans="1:18" ht="13.5" customHeight="1">
      <c r="A22" s="1402"/>
      <c r="B22" s="1074" t="s">
        <v>654</v>
      </c>
      <c r="C22" s="906" t="str">
        <f>C8</f>
        <v>估价对象所在区域基础设施水平</v>
      </c>
      <c r="D22" s="2340"/>
      <c r="E22" s="2368"/>
      <c r="F22" s="2369" t="s">
        <v>660</v>
      </c>
      <c r="G22" s="1145"/>
    </row>
    <row r="23" spans="1:18" s="2323" customFormat="1" ht="15">
      <c r="A23" s="1402"/>
      <c r="B23" s="2369" t="s">
        <v>664</v>
      </c>
      <c r="C23" s="2370"/>
      <c r="D23" s="2328"/>
      <c r="E23" s="2371"/>
      <c r="F23" s="2372" t="s">
        <v>665</v>
      </c>
      <c r="G23" s="2373"/>
      <c r="H23" s="2328"/>
      <c r="I23" s="2329"/>
      <c r="J23" s="2328"/>
      <c r="K23" s="2328"/>
      <c r="L23" s="2329"/>
      <c r="M23" s="2328"/>
      <c r="N23" s="2328"/>
      <c r="O23" s="2329"/>
      <c r="P23" s="2328"/>
      <c r="Q23" s="2328"/>
      <c r="R23" s="2330"/>
    </row>
    <row r="24" spans="1:18" s="2323" customFormat="1" ht="15">
      <c r="A24" s="2374"/>
      <c r="B24" s="2372" t="s">
        <v>660</v>
      </c>
      <c r="C24" s="953">
        <f>C10</f>
        <v>0</v>
      </c>
      <c r="D24" s="2328"/>
      <c r="E24" s="2375"/>
      <c r="F24" s="2375"/>
      <c r="G24" s="2376"/>
      <c r="H24" s="2328"/>
      <c r="I24" s="2329"/>
      <c r="J24" s="2328"/>
      <c r="K24" s="2328"/>
      <c r="L24" s="2329"/>
      <c r="M24" s="2328"/>
      <c r="N24" s="2328"/>
      <c r="O24" s="2329"/>
      <c r="P24" s="2328"/>
      <c r="Q24" s="2328"/>
      <c r="R24" s="2330"/>
    </row>
    <row r="25" spans="1:18" s="2323" customFormat="1">
      <c r="B25" s="2328"/>
      <c r="C25" s="2328"/>
      <c r="D25" s="2328"/>
      <c r="H25" s="2328"/>
      <c r="I25" s="2329"/>
      <c r="J25" s="2328"/>
      <c r="K25" s="2328"/>
      <c r="L25" s="2329"/>
      <c r="M25" s="2328"/>
      <c r="N25" s="2328"/>
      <c r="O25" s="2329"/>
      <c r="P25" s="2328"/>
      <c r="Q25" s="2328"/>
      <c r="R25" s="2330"/>
    </row>
    <row r="26" spans="1:18" s="2323" customFormat="1">
      <c r="B26" s="2328"/>
      <c r="C26" s="2328"/>
      <c r="D26" s="2328"/>
      <c r="H26" s="2328"/>
      <c r="I26" s="2329"/>
      <c r="J26" s="2328"/>
      <c r="K26" s="2328"/>
      <c r="L26" s="2329"/>
      <c r="M26" s="2328"/>
      <c r="N26" s="2328"/>
      <c r="O26" s="2329"/>
      <c r="P26" s="2328"/>
      <c r="Q26" s="2328"/>
      <c r="R26" s="2330"/>
    </row>
    <row r="27" spans="1:18" s="2323" customFormat="1">
      <c r="B27" s="2328"/>
      <c r="C27" s="2328"/>
      <c r="D27" s="2328"/>
      <c r="H27" s="2328"/>
      <c r="I27" s="2329"/>
      <c r="J27" s="2328"/>
      <c r="K27" s="2328"/>
      <c r="L27" s="2329"/>
      <c r="M27" s="2328"/>
      <c r="N27" s="2328"/>
      <c r="O27" s="2329"/>
      <c r="P27" s="2328"/>
      <c r="Q27" s="2328"/>
      <c r="R27" s="2330"/>
    </row>
    <row r="28" spans="1:18" s="2323" customFormat="1">
      <c r="B28" s="2328"/>
      <c r="C28" s="2328"/>
      <c r="D28" s="2328"/>
      <c r="H28" s="2328"/>
      <c r="I28" s="2329"/>
      <c r="J28" s="2328"/>
      <c r="K28" s="2328"/>
      <c r="L28" s="2329"/>
      <c r="M28" s="2328"/>
      <c r="N28" s="2328"/>
      <c r="O28" s="2329"/>
      <c r="P28" s="2328"/>
      <c r="Q28" s="2328"/>
      <c r="R28" s="2330"/>
    </row>
    <row r="29" spans="1:18" s="2323" customFormat="1">
      <c r="B29" s="2328"/>
      <c r="C29" s="2328"/>
      <c r="D29" s="2328"/>
      <c r="H29" s="2328"/>
      <c r="I29" s="2329"/>
      <c r="J29" s="2328"/>
      <c r="K29" s="2328"/>
      <c r="L29" s="2329"/>
      <c r="M29" s="2328"/>
      <c r="N29" s="2328"/>
      <c r="O29" s="2329"/>
      <c r="P29" s="2328"/>
      <c r="Q29" s="2328"/>
      <c r="R29" s="2330"/>
    </row>
    <row r="30" spans="1:18" s="2323" customFormat="1">
      <c r="B30" s="2328"/>
      <c r="C30" s="2328"/>
      <c r="D30" s="2328"/>
      <c r="H30" s="2328"/>
      <c r="I30" s="2329"/>
      <c r="J30" s="2328"/>
      <c r="K30" s="2328"/>
      <c r="L30" s="2329"/>
      <c r="M30" s="2328"/>
      <c r="N30" s="2328"/>
      <c r="O30" s="2329"/>
      <c r="P30" s="2328"/>
      <c r="Q30" s="2328"/>
      <c r="R30" s="2330"/>
    </row>
    <row r="31" spans="1:18" s="2323" customFormat="1">
      <c r="B31" s="2328"/>
      <c r="C31" s="2328"/>
      <c r="D31" s="2328"/>
      <c r="H31" s="2328"/>
      <c r="I31" s="2329"/>
      <c r="J31" s="2328"/>
      <c r="K31" s="2328"/>
      <c r="L31" s="2329"/>
      <c r="M31" s="2328"/>
      <c r="N31" s="2328"/>
      <c r="O31" s="2329"/>
      <c r="P31" s="2328"/>
      <c r="Q31" s="2328"/>
      <c r="R31" s="2330"/>
    </row>
    <row r="32" spans="1:18" s="2323" customFormat="1">
      <c r="B32" s="2328"/>
      <c r="C32" s="2328"/>
      <c r="D32" s="2328"/>
      <c r="H32" s="2328"/>
      <c r="I32" s="2329"/>
      <c r="J32" s="2328"/>
      <c r="K32" s="2328"/>
      <c r="L32" s="2329"/>
      <c r="M32" s="2328"/>
      <c r="N32" s="2328"/>
      <c r="O32" s="2329"/>
      <c r="P32" s="2328"/>
      <c r="Q32" s="2328"/>
      <c r="R32" s="2330"/>
    </row>
    <row r="33" spans="2:18" s="2323" customFormat="1">
      <c r="B33" s="2328"/>
      <c r="C33" s="2328"/>
      <c r="D33" s="2328"/>
      <c r="H33" s="2328"/>
      <c r="I33" s="2329"/>
      <c r="J33" s="2328"/>
      <c r="K33" s="2328"/>
      <c r="L33" s="2329"/>
      <c r="M33" s="2328"/>
      <c r="N33" s="2328"/>
      <c r="O33" s="2329"/>
      <c r="P33" s="2328"/>
      <c r="Q33" s="2328"/>
      <c r="R33" s="2330"/>
    </row>
    <row r="34" spans="2:18" s="2323" customFormat="1">
      <c r="B34" s="2328"/>
      <c r="C34" s="2328"/>
      <c r="D34" s="2328"/>
      <c r="H34" s="2328"/>
      <c r="I34" s="2329"/>
      <c r="J34" s="2328"/>
      <c r="K34" s="2328"/>
      <c r="L34" s="2329"/>
      <c r="M34" s="2328"/>
      <c r="N34" s="2328"/>
      <c r="O34" s="2329"/>
      <c r="P34" s="2328"/>
      <c r="Q34" s="2328"/>
      <c r="R34" s="2330"/>
    </row>
    <row r="35" spans="2:18" s="2323" customFormat="1">
      <c r="B35" s="2328"/>
      <c r="C35" s="2328"/>
      <c r="D35" s="2328"/>
      <c r="H35" s="2328"/>
      <c r="I35" s="2329"/>
      <c r="J35" s="2328"/>
      <c r="K35" s="2328"/>
      <c r="L35" s="2329"/>
      <c r="M35" s="2328"/>
      <c r="N35" s="2328"/>
      <c r="O35" s="2329"/>
      <c r="P35" s="2328"/>
      <c r="Q35" s="2328"/>
      <c r="R35" s="2330"/>
    </row>
    <row r="36" spans="2:18" s="2323" customFormat="1">
      <c r="B36" s="2328"/>
      <c r="C36" s="2328"/>
      <c r="D36" s="2328"/>
      <c r="H36" s="2328"/>
      <c r="I36" s="2329"/>
      <c r="J36" s="2328"/>
      <c r="K36" s="2328"/>
      <c r="L36" s="2329"/>
      <c r="M36" s="2328"/>
      <c r="N36" s="2328"/>
      <c r="O36" s="2329"/>
      <c r="P36" s="2328"/>
      <c r="Q36" s="2328"/>
      <c r="R36" s="2330"/>
    </row>
    <row r="37" spans="2:18" s="2323" customFormat="1">
      <c r="B37" s="2328"/>
      <c r="C37" s="2328"/>
      <c r="D37" s="2328"/>
      <c r="H37" s="2328"/>
      <c r="I37" s="2329"/>
      <c r="J37" s="2328"/>
      <c r="K37" s="2328"/>
      <c r="L37" s="2329"/>
      <c r="M37" s="2328"/>
      <c r="N37" s="2328"/>
      <c r="O37" s="2329"/>
      <c r="P37" s="2328"/>
      <c r="Q37" s="2328"/>
      <c r="R37" s="2330"/>
    </row>
    <row r="38" spans="2:18" s="2323" customFormat="1">
      <c r="B38" s="2328"/>
      <c r="C38" s="2328"/>
      <c r="D38" s="2328"/>
      <c r="E38" s="2328"/>
      <c r="F38" s="2328"/>
      <c r="G38" s="2329"/>
      <c r="H38" s="2328"/>
      <c r="I38" s="2329"/>
      <c r="J38" s="2328"/>
      <c r="K38" s="2328"/>
      <c r="L38" s="2329"/>
      <c r="M38" s="2328"/>
      <c r="N38" s="2328"/>
      <c r="O38" s="2329"/>
      <c r="P38" s="2328"/>
      <c r="Q38" s="2328"/>
      <c r="R38" s="2330"/>
    </row>
    <row r="39" spans="2:18" s="2323" customFormat="1">
      <c r="B39" s="2328"/>
      <c r="C39" s="2328"/>
      <c r="D39" s="2328"/>
      <c r="E39" s="2328"/>
      <c r="F39" s="2328"/>
      <c r="G39" s="2329"/>
      <c r="H39" s="2328"/>
      <c r="I39" s="2329"/>
      <c r="J39" s="2328"/>
      <c r="K39" s="2328"/>
      <c r="L39" s="2329"/>
      <c r="M39" s="2328"/>
      <c r="N39" s="2328"/>
      <c r="O39" s="2329"/>
      <c r="P39" s="2328"/>
      <c r="Q39" s="2328"/>
      <c r="R39" s="2330"/>
    </row>
    <row r="40" spans="2:18" s="2323" customFormat="1">
      <c r="B40" s="2328"/>
      <c r="C40" s="2328"/>
      <c r="D40" s="2328"/>
      <c r="E40" s="2328"/>
      <c r="F40" s="2328"/>
      <c r="G40" s="2329"/>
      <c r="H40" s="2328"/>
      <c r="I40" s="2329"/>
      <c r="J40" s="2328"/>
      <c r="K40" s="2328"/>
      <c r="L40" s="2329"/>
      <c r="M40" s="2328"/>
      <c r="N40" s="2328"/>
      <c r="O40" s="2329"/>
      <c r="P40" s="2328"/>
      <c r="Q40" s="2328"/>
      <c r="R40" s="2330"/>
    </row>
    <row r="41" spans="2:18" s="2323" customFormat="1">
      <c r="B41" s="2328"/>
      <c r="C41" s="2328"/>
      <c r="D41" s="2328"/>
      <c r="E41" s="2328"/>
      <c r="F41" s="2328"/>
      <c r="G41" s="2329"/>
      <c r="H41" s="2328"/>
      <c r="I41" s="2329"/>
      <c r="J41" s="2328"/>
      <c r="K41" s="2328"/>
      <c r="L41" s="2329"/>
      <c r="M41" s="2328"/>
      <c r="N41" s="2328"/>
      <c r="O41" s="2329"/>
      <c r="P41" s="2328"/>
      <c r="Q41" s="2328"/>
      <c r="R41" s="2330"/>
    </row>
    <row r="42" spans="2:18" s="2323" customFormat="1">
      <c r="B42" s="2328"/>
      <c r="C42" s="2328"/>
      <c r="D42" s="2328"/>
      <c r="E42" s="2328"/>
      <c r="F42" s="2328"/>
      <c r="G42" s="2329"/>
      <c r="H42" s="2328"/>
      <c r="I42" s="2329"/>
      <c r="J42" s="2328"/>
      <c r="K42" s="2328"/>
      <c r="L42" s="2329"/>
      <c r="M42" s="2328"/>
      <c r="N42" s="2328"/>
      <c r="O42" s="2329"/>
      <c r="P42" s="2328"/>
      <c r="Q42" s="2328"/>
      <c r="R42" s="2330"/>
    </row>
    <row r="43" spans="2:18" s="2323" customFormat="1">
      <c r="B43" s="2328"/>
      <c r="C43" s="2328"/>
      <c r="D43" s="2328"/>
      <c r="E43" s="2328"/>
      <c r="F43" s="2328"/>
      <c r="G43" s="2329"/>
      <c r="H43" s="2328"/>
      <c r="I43" s="2329"/>
      <c r="J43" s="2328"/>
      <c r="K43" s="2328"/>
      <c r="L43" s="2329"/>
      <c r="M43" s="2328"/>
      <c r="N43" s="2328"/>
      <c r="O43" s="2329"/>
      <c r="P43" s="2328"/>
      <c r="Q43" s="2328"/>
      <c r="R43" s="2330"/>
    </row>
    <row r="44" spans="2:18" s="2323" customFormat="1">
      <c r="B44" s="2328"/>
      <c r="C44" s="2328"/>
      <c r="D44" s="2328"/>
      <c r="E44" s="2328"/>
      <c r="F44" s="2328"/>
      <c r="G44" s="2329"/>
      <c r="H44" s="2328"/>
      <c r="I44" s="2329"/>
      <c r="J44" s="2328"/>
      <c r="K44" s="2328"/>
      <c r="L44" s="2329"/>
      <c r="M44" s="2328"/>
      <c r="N44" s="2328"/>
      <c r="O44" s="2329"/>
      <c r="P44" s="2328"/>
      <c r="Q44" s="2328"/>
      <c r="R44" s="2330"/>
    </row>
    <row r="45" spans="2:18" s="2323" customFormat="1">
      <c r="B45" s="2328"/>
      <c r="C45" s="2328"/>
      <c r="D45" s="2328"/>
      <c r="E45" s="2328"/>
      <c r="F45" s="2328"/>
      <c r="G45" s="2329"/>
      <c r="H45" s="2328"/>
      <c r="I45" s="2329"/>
      <c r="J45" s="2328"/>
      <c r="K45" s="2328"/>
      <c r="L45" s="2329"/>
      <c r="M45" s="2328"/>
      <c r="N45" s="2328"/>
      <c r="O45" s="2329"/>
      <c r="P45" s="2328"/>
      <c r="Q45" s="2328"/>
      <c r="R45" s="2330"/>
    </row>
    <row r="46" spans="2:18" s="2323" customFormat="1">
      <c r="B46" s="2328"/>
      <c r="C46" s="2328"/>
      <c r="D46" s="2328"/>
      <c r="E46" s="2328"/>
      <c r="F46" s="2328"/>
      <c r="G46" s="2329"/>
      <c r="H46" s="2328"/>
      <c r="I46" s="2329"/>
      <c r="J46" s="2328"/>
      <c r="K46" s="2328"/>
      <c r="L46" s="2329"/>
      <c r="M46" s="2328"/>
      <c r="N46" s="2328"/>
      <c r="O46" s="2329"/>
      <c r="P46" s="2328"/>
      <c r="Q46" s="2328"/>
      <c r="R46" s="2330"/>
    </row>
    <row r="47" spans="2:18" s="2323" customFormat="1">
      <c r="B47" s="2328"/>
      <c r="C47" s="2328"/>
      <c r="D47" s="2328"/>
      <c r="E47" s="2328"/>
      <c r="F47" s="2328"/>
      <c r="G47" s="2329"/>
      <c r="H47" s="2328"/>
      <c r="I47" s="2329"/>
      <c r="J47" s="2328"/>
      <c r="K47" s="2328"/>
      <c r="L47" s="2329"/>
      <c r="M47" s="2328"/>
      <c r="N47" s="2328"/>
      <c r="O47" s="2329"/>
      <c r="P47" s="2328"/>
      <c r="Q47" s="2328"/>
      <c r="R47" s="2330"/>
    </row>
    <row r="48" spans="2:18" s="2323" customFormat="1">
      <c r="B48" s="2328"/>
      <c r="C48" s="2328"/>
      <c r="D48" s="2328"/>
      <c r="E48" s="2328"/>
      <c r="F48" s="2328"/>
      <c r="G48" s="2329"/>
      <c r="H48" s="2328"/>
      <c r="I48" s="2329"/>
      <c r="J48" s="2328"/>
      <c r="K48" s="2328"/>
      <c r="L48" s="2329"/>
      <c r="M48" s="2328"/>
      <c r="N48" s="2328"/>
      <c r="O48" s="2329"/>
      <c r="P48" s="2328"/>
      <c r="Q48" s="2328"/>
      <c r="R48" s="2330"/>
    </row>
    <row r="49" spans="2:18" s="2323" customFormat="1">
      <c r="B49" s="2328"/>
      <c r="C49" s="2328"/>
      <c r="D49" s="2328"/>
      <c r="E49" s="2328"/>
      <c r="F49" s="2328"/>
      <c r="G49" s="2329"/>
      <c r="H49" s="2328"/>
      <c r="I49" s="2329"/>
      <c r="J49" s="2328"/>
      <c r="K49" s="2328"/>
      <c r="L49" s="2329"/>
      <c r="M49" s="2328"/>
      <c r="N49" s="2328"/>
      <c r="O49" s="2329"/>
      <c r="P49" s="2328"/>
      <c r="Q49" s="2328"/>
      <c r="R49" s="2330"/>
    </row>
    <row r="50" spans="2:18" s="2323" customFormat="1">
      <c r="B50" s="2328"/>
      <c r="C50" s="2328"/>
      <c r="D50" s="2328"/>
      <c r="E50" s="2328"/>
      <c r="F50" s="2328"/>
      <c r="G50" s="2329"/>
      <c r="H50" s="2328"/>
      <c r="I50" s="2329"/>
      <c r="J50" s="2328"/>
      <c r="K50" s="2328"/>
      <c r="L50" s="2329"/>
      <c r="M50" s="2328"/>
      <c r="N50" s="2328"/>
      <c r="O50" s="2329"/>
      <c r="P50" s="2328"/>
      <c r="Q50" s="2328"/>
      <c r="R50" s="2330"/>
    </row>
    <row r="51" spans="2:18" s="2323" customFormat="1">
      <c r="B51" s="2328"/>
      <c r="C51" s="2328"/>
      <c r="D51" s="2328"/>
      <c r="E51" s="2328"/>
      <c r="F51" s="2328"/>
      <c r="G51" s="2329"/>
      <c r="H51" s="2328"/>
      <c r="I51" s="2329"/>
      <c r="J51" s="2328"/>
      <c r="K51" s="2328"/>
      <c r="L51" s="2329"/>
      <c r="M51" s="2328"/>
      <c r="N51" s="2328"/>
      <c r="O51" s="2329"/>
      <c r="P51" s="2328"/>
      <c r="Q51" s="2328"/>
      <c r="R51" s="2330"/>
    </row>
    <row r="52" spans="2:18" s="2323" customFormat="1">
      <c r="B52" s="2328"/>
      <c r="C52" s="2328"/>
      <c r="D52" s="2328"/>
      <c r="E52" s="2328"/>
      <c r="F52" s="2328"/>
      <c r="G52" s="2329"/>
      <c r="H52" s="2328"/>
      <c r="I52" s="2329"/>
      <c r="J52" s="2328"/>
      <c r="K52" s="2328"/>
      <c r="L52" s="2329"/>
      <c r="M52" s="2328"/>
      <c r="N52" s="2328"/>
      <c r="O52" s="2329"/>
      <c r="P52" s="2328"/>
      <c r="Q52" s="2328"/>
      <c r="R52" s="2330"/>
    </row>
    <row r="53" spans="2:18" s="2323" customFormat="1">
      <c r="B53" s="2328"/>
      <c r="C53" s="2328"/>
      <c r="D53" s="2328"/>
      <c r="E53" s="2328"/>
      <c r="F53" s="2328"/>
      <c r="G53" s="2329"/>
      <c r="H53" s="2328"/>
      <c r="I53" s="2329"/>
      <c r="J53" s="2328"/>
      <c r="K53" s="2328"/>
      <c r="L53" s="2329"/>
      <c r="M53" s="2328"/>
      <c r="N53" s="2328"/>
      <c r="O53" s="2329"/>
      <c r="P53" s="2328"/>
      <c r="Q53" s="2328"/>
      <c r="R53" s="2330"/>
    </row>
    <row r="54" spans="2:18" s="2323" customFormat="1">
      <c r="B54" s="2328"/>
      <c r="C54" s="2328"/>
      <c r="D54" s="2328"/>
      <c r="E54" s="2328"/>
      <c r="F54" s="2328"/>
      <c r="G54" s="2329"/>
      <c r="H54" s="2328"/>
      <c r="I54" s="2329"/>
      <c r="J54" s="2328"/>
      <c r="K54" s="2328"/>
      <c r="L54" s="2329"/>
      <c r="M54" s="2328"/>
      <c r="N54" s="2328"/>
      <c r="O54" s="2329"/>
      <c r="P54" s="2328"/>
      <c r="Q54" s="2328"/>
      <c r="R54" s="2330"/>
    </row>
    <row r="55" spans="2:18" s="2323" customFormat="1">
      <c r="B55" s="2328"/>
      <c r="C55" s="2328"/>
      <c r="D55" s="2328"/>
      <c r="E55" s="2328"/>
      <c r="F55" s="2328"/>
      <c r="G55" s="2329"/>
      <c r="H55" s="2328"/>
      <c r="I55" s="2329"/>
      <c r="J55" s="2328"/>
      <c r="K55" s="2328"/>
      <c r="L55" s="2329"/>
      <c r="M55" s="2328"/>
      <c r="N55" s="2328"/>
      <c r="O55" s="2329"/>
      <c r="P55" s="2328"/>
      <c r="Q55" s="2328"/>
      <c r="R55" s="2330"/>
    </row>
    <row r="56" spans="2:18" s="2323" customFormat="1">
      <c r="B56" s="2328"/>
      <c r="C56" s="2328"/>
      <c r="D56" s="2328"/>
      <c r="E56" s="2328"/>
      <c r="F56" s="2328"/>
      <c r="G56" s="2329"/>
      <c r="H56" s="2328"/>
      <c r="I56" s="2329"/>
      <c r="J56" s="2328"/>
      <c r="K56" s="2328"/>
      <c r="L56" s="2329"/>
      <c r="M56" s="2328"/>
      <c r="N56" s="2328"/>
      <c r="O56" s="2329"/>
      <c r="P56" s="2328"/>
      <c r="Q56" s="2328"/>
      <c r="R56" s="2330"/>
    </row>
    <row r="57" spans="2:18" s="2323" customFormat="1">
      <c r="B57" s="2328"/>
      <c r="C57" s="2328"/>
      <c r="D57" s="2328"/>
      <c r="E57" s="2328"/>
      <c r="F57" s="2328"/>
      <c r="G57" s="2329"/>
      <c r="H57" s="2328"/>
      <c r="I57" s="2329"/>
      <c r="J57" s="2328"/>
      <c r="K57" s="2328"/>
      <c r="L57" s="2329"/>
      <c r="M57" s="2328"/>
      <c r="N57" s="2328"/>
      <c r="O57" s="2329"/>
      <c r="P57" s="2328"/>
      <c r="Q57" s="2328"/>
      <c r="R57" s="2330"/>
    </row>
    <row r="58" spans="2:18" s="2323" customFormat="1">
      <c r="B58" s="2328"/>
      <c r="C58" s="2328"/>
      <c r="D58" s="2328"/>
      <c r="E58" s="2328"/>
      <c r="F58" s="2328"/>
      <c r="G58" s="2329"/>
      <c r="H58" s="2328"/>
      <c r="I58" s="2329"/>
      <c r="J58" s="2328"/>
      <c r="K58" s="2328"/>
      <c r="L58" s="2329"/>
      <c r="M58" s="2328"/>
      <c r="N58" s="2328"/>
      <c r="O58" s="2329"/>
      <c r="P58" s="2328"/>
      <c r="Q58" s="2328"/>
      <c r="R58" s="2330"/>
    </row>
    <row r="59" spans="2:18" s="2323" customFormat="1">
      <c r="B59" s="2328"/>
      <c r="C59" s="2328"/>
      <c r="D59" s="2328"/>
      <c r="E59" s="2328"/>
      <c r="F59" s="2328"/>
      <c r="G59" s="2329"/>
      <c r="H59" s="2328"/>
      <c r="I59" s="2329"/>
      <c r="J59" s="2328"/>
      <c r="K59" s="2328"/>
      <c r="L59" s="2329"/>
      <c r="M59" s="2328"/>
      <c r="N59" s="2328"/>
      <c r="O59" s="2329"/>
      <c r="P59" s="2328"/>
      <c r="Q59" s="2328"/>
      <c r="R59" s="2330"/>
    </row>
    <row r="60" spans="2:18" s="2323" customFormat="1">
      <c r="B60" s="2328"/>
      <c r="C60" s="2328"/>
      <c r="D60" s="2328"/>
      <c r="E60" s="2328"/>
      <c r="F60" s="2328"/>
      <c r="G60" s="2329"/>
      <c r="H60" s="2328"/>
      <c r="I60" s="2329"/>
      <c r="J60" s="2328"/>
      <c r="K60" s="2328"/>
      <c r="L60" s="2329"/>
      <c r="M60" s="2328"/>
      <c r="N60" s="2328"/>
      <c r="O60" s="2329"/>
      <c r="P60" s="2328"/>
      <c r="Q60" s="2328"/>
      <c r="R60" s="2330"/>
    </row>
    <row r="61" spans="2:18" s="2323" customFormat="1">
      <c r="B61" s="2328"/>
      <c r="C61" s="2328"/>
      <c r="D61" s="2328"/>
      <c r="E61" s="2328"/>
      <c r="F61" s="2328"/>
      <c r="G61" s="2329"/>
      <c r="H61" s="2328"/>
      <c r="I61" s="2329"/>
      <c r="J61" s="2328"/>
      <c r="K61" s="2328"/>
      <c r="L61" s="2329"/>
      <c r="M61" s="2328"/>
      <c r="N61" s="2328"/>
      <c r="O61" s="2329"/>
      <c r="P61" s="2328"/>
      <c r="Q61" s="2328"/>
      <c r="R61" s="2330"/>
    </row>
    <row r="62" spans="2:18" s="2323" customFormat="1">
      <c r="B62" s="2328"/>
      <c r="C62" s="2328"/>
      <c r="D62" s="2328"/>
      <c r="E62" s="2328"/>
      <c r="F62" s="2328"/>
      <c r="G62" s="2329"/>
      <c r="H62" s="2328"/>
      <c r="I62" s="2329"/>
      <c r="J62" s="2328"/>
      <c r="K62" s="2328"/>
      <c r="L62" s="2329"/>
      <c r="M62" s="2328"/>
      <c r="N62" s="2328"/>
      <c r="O62" s="2329"/>
      <c r="P62" s="2328"/>
      <c r="Q62" s="2328"/>
      <c r="R62" s="2330"/>
    </row>
    <row r="63" spans="2:18" s="2323" customFormat="1">
      <c r="B63" s="2328"/>
      <c r="C63" s="2328"/>
      <c r="D63" s="2328"/>
      <c r="E63" s="2328"/>
      <c r="F63" s="2328"/>
      <c r="G63" s="2329"/>
      <c r="H63" s="2328"/>
      <c r="I63" s="2329"/>
      <c r="J63" s="2328"/>
      <c r="K63" s="2328"/>
      <c r="L63" s="2329"/>
      <c r="M63" s="2328"/>
      <c r="N63" s="2328"/>
      <c r="O63" s="2329"/>
      <c r="P63" s="2328"/>
      <c r="Q63" s="2328"/>
      <c r="R63" s="2330"/>
    </row>
    <row r="64" spans="2:18" s="2323" customFormat="1">
      <c r="B64" s="2328"/>
      <c r="C64" s="2328"/>
      <c r="D64" s="2328"/>
      <c r="E64" s="2328"/>
      <c r="F64" s="2328"/>
      <c r="G64" s="2329"/>
      <c r="H64" s="2328"/>
      <c r="I64" s="2329"/>
      <c r="J64" s="2328"/>
      <c r="K64" s="2328"/>
      <c r="L64" s="2329"/>
      <c r="M64" s="2328"/>
      <c r="N64" s="2328"/>
      <c r="O64" s="2329"/>
      <c r="P64" s="2328"/>
      <c r="Q64" s="2328"/>
      <c r="R64" s="2330"/>
    </row>
    <row r="65" spans="2:18" s="2323" customFormat="1">
      <c r="B65" s="2328"/>
      <c r="C65" s="2328"/>
      <c r="D65" s="2328"/>
      <c r="E65" s="2328"/>
      <c r="F65" s="2328"/>
      <c r="G65" s="2329"/>
      <c r="H65" s="2328"/>
      <c r="I65" s="2329"/>
      <c r="J65" s="2328"/>
      <c r="K65" s="2328"/>
      <c r="L65" s="2329"/>
      <c r="M65" s="2328"/>
      <c r="N65" s="2328"/>
      <c r="O65" s="2329"/>
      <c r="P65" s="2328"/>
      <c r="Q65" s="2328"/>
      <c r="R65" s="2330"/>
    </row>
    <row r="66" spans="2:18" s="2323" customFormat="1">
      <c r="B66" s="2328"/>
      <c r="C66" s="2328"/>
      <c r="D66" s="2328"/>
      <c r="E66" s="2328"/>
      <c r="F66" s="2328"/>
      <c r="G66" s="2329"/>
      <c r="H66" s="2328"/>
      <c r="I66" s="2329"/>
      <c r="J66" s="2328"/>
      <c r="K66" s="2328"/>
      <c r="L66" s="2329"/>
      <c r="M66" s="2328"/>
      <c r="N66" s="2328"/>
      <c r="O66" s="2329"/>
      <c r="P66" s="2328"/>
      <c r="Q66" s="2328"/>
      <c r="R66" s="2330"/>
    </row>
    <row r="67" spans="2:18" s="2323" customFormat="1">
      <c r="B67" s="2328"/>
      <c r="C67" s="2328"/>
      <c r="D67" s="2328"/>
      <c r="E67" s="2328"/>
      <c r="F67" s="2328"/>
      <c r="G67" s="2329"/>
      <c r="H67" s="2328"/>
      <c r="I67" s="2329"/>
      <c r="J67" s="2328"/>
      <c r="K67" s="2328"/>
      <c r="L67" s="2329"/>
      <c r="M67" s="2328"/>
      <c r="N67" s="2328"/>
      <c r="O67" s="2329"/>
      <c r="P67" s="2328"/>
      <c r="Q67" s="2328"/>
      <c r="R67" s="2330"/>
    </row>
    <row r="68" spans="2:18" s="2323" customFormat="1">
      <c r="B68" s="2328"/>
      <c r="C68" s="2328"/>
      <c r="D68" s="2328"/>
      <c r="E68" s="2328"/>
      <c r="F68" s="2328"/>
      <c r="G68" s="2329"/>
      <c r="H68" s="2328"/>
      <c r="I68" s="2329"/>
      <c r="J68" s="2328"/>
      <c r="K68" s="2328"/>
      <c r="L68" s="2329"/>
      <c r="M68" s="2328"/>
      <c r="N68" s="2328"/>
      <c r="O68" s="2329"/>
      <c r="P68" s="2328"/>
      <c r="Q68" s="2328"/>
      <c r="R68" s="2330"/>
    </row>
    <row r="69" spans="2:18" s="2323" customFormat="1">
      <c r="B69" s="2328"/>
      <c r="C69" s="2328"/>
      <c r="D69" s="2328"/>
      <c r="E69" s="2328"/>
      <c r="F69" s="2328"/>
      <c r="G69" s="2329"/>
      <c r="H69" s="2328"/>
      <c r="I69" s="2329"/>
      <c r="J69" s="2328"/>
      <c r="K69" s="2328"/>
      <c r="L69" s="2329"/>
      <c r="M69" s="2328"/>
      <c r="N69" s="2328"/>
      <c r="O69" s="2329"/>
      <c r="P69" s="2328"/>
      <c r="Q69" s="2328"/>
      <c r="R69" s="2330"/>
    </row>
    <row r="70" spans="2:18" s="2323" customFormat="1">
      <c r="B70" s="2328"/>
      <c r="C70" s="2328"/>
      <c r="D70" s="2328"/>
      <c r="E70" s="2328"/>
      <c r="F70" s="2328"/>
      <c r="G70" s="2329"/>
      <c r="H70" s="2328"/>
      <c r="I70" s="2329"/>
      <c r="J70" s="2328"/>
      <c r="K70" s="2328"/>
      <c r="L70" s="2329"/>
      <c r="M70" s="2328"/>
      <c r="N70" s="2328"/>
      <c r="O70" s="2329"/>
      <c r="P70" s="2328"/>
      <c r="Q70" s="2328"/>
      <c r="R70" s="2330"/>
    </row>
    <row r="71" spans="2:18" s="2323" customFormat="1">
      <c r="B71" s="2328"/>
      <c r="C71" s="2328"/>
      <c r="D71" s="2328"/>
      <c r="E71" s="2328"/>
      <c r="F71" s="2328"/>
      <c r="G71" s="2329"/>
      <c r="H71" s="2328"/>
      <c r="I71" s="2329"/>
      <c r="J71" s="2328"/>
      <c r="K71" s="2328"/>
      <c r="L71" s="2329"/>
      <c r="M71" s="2328"/>
      <c r="N71" s="2328"/>
      <c r="O71" s="2329"/>
      <c r="P71" s="2328"/>
      <c r="Q71" s="2328"/>
      <c r="R71" s="2330"/>
    </row>
    <row r="72" spans="2:18" s="2323" customFormat="1">
      <c r="B72" s="2328"/>
      <c r="C72" s="2328"/>
      <c r="D72" s="2328"/>
      <c r="E72" s="2328"/>
      <c r="F72" s="2328"/>
      <c r="G72" s="2329"/>
      <c r="H72" s="2328"/>
      <c r="I72" s="2329"/>
      <c r="J72" s="2328"/>
      <c r="K72" s="2328"/>
      <c r="L72" s="2329"/>
      <c r="M72" s="2328"/>
      <c r="N72" s="2328"/>
      <c r="O72" s="2329"/>
      <c r="P72" s="2328"/>
      <c r="Q72" s="2328"/>
      <c r="R72" s="2330"/>
    </row>
    <row r="73" spans="2:18" s="2323" customFormat="1">
      <c r="B73" s="2328"/>
      <c r="C73" s="2328"/>
      <c r="D73" s="2328"/>
      <c r="E73" s="2328"/>
      <c r="F73" s="2328"/>
      <c r="G73" s="2329"/>
      <c r="H73" s="2328"/>
      <c r="I73" s="2329"/>
      <c r="J73" s="2328"/>
      <c r="K73" s="2328"/>
      <c r="L73" s="2329"/>
      <c r="M73" s="2328"/>
      <c r="N73" s="2328"/>
      <c r="O73" s="2329"/>
      <c r="P73" s="2328"/>
      <c r="Q73" s="2328"/>
      <c r="R73" s="2330"/>
    </row>
    <row r="74" spans="2:18" s="2323" customFormat="1">
      <c r="B74" s="2328"/>
      <c r="C74" s="2328"/>
      <c r="D74" s="2328"/>
      <c r="E74" s="2328"/>
      <c r="F74" s="2328"/>
      <c r="G74" s="2329"/>
      <c r="H74" s="2328"/>
      <c r="I74" s="2329"/>
      <c r="J74" s="2328"/>
      <c r="K74" s="2328"/>
      <c r="L74" s="2329"/>
      <c r="M74" s="2328"/>
      <c r="N74" s="2328"/>
      <c r="O74" s="2329"/>
      <c r="P74" s="2328"/>
      <c r="Q74" s="2328"/>
      <c r="R74" s="2330"/>
    </row>
    <row r="75" spans="2:18" s="2323" customFormat="1">
      <c r="B75" s="2328"/>
      <c r="C75" s="2328"/>
      <c r="D75" s="2328"/>
      <c r="E75" s="2328"/>
      <c r="F75" s="2328"/>
      <c r="G75" s="2329"/>
      <c r="H75" s="2328"/>
      <c r="I75" s="2329"/>
      <c r="J75" s="2328"/>
      <c r="K75" s="2328"/>
      <c r="L75" s="2329"/>
      <c r="M75" s="2328"/>
      <c r="N75" s="2328"/>
      <c r="O75" s="2329"/>
      <c r="P75" s="2328"/>
      <c r="Q75" s="2328"/>
      <c r="R75" s="2330"/>
    </row>
    <row r="76" spans="2:18" s="2323" customFormat="1">
      <c r="B76" s="2328"/>
      <c r="C76" s="2328"/>
      <c r="D76" s="2328"/>
      <c r="E76" s="2328"/>
      <c r="F76" s="2328"/>
      <c r="G76" s="2329"/>
      <c r="H76" s="2328"/>
      <c r="I76" s="2329"/>
      <c r="J76" s="2328"/>
      <c r="K76" s="2328"/>
      <c r="L76" s="2329"/>
      <c r="M76" s="2328"/>
      <c r="N76" s="2328"/>
      <c r="O76" s="2329"/>
      <c r="P76" s="2328"/>
      <c r="Q76" s="2328"/>
      <c r="R76" s="2330"/>
    </row>
    <row r="77" spans="2:18" s="2323" customFormat="1">
      <c r="B77" s="2328"/>
      <c r="C77" s="2328"/>
      <c r="D77" s="2328"/>
      <c r="E77" s="2328"/>
      <c r="F77" s="2328"/>
      <c r="G77" s="2329"/>
      <c r="H77" s="2328"/>
      <c r="I77" s="2329"/>
      <c r="J77" s="2328"/>
      <c r="K77" s="2328"/>
      <c r="L77" s="2329"/>
      <c r="M77" s="2328"/>
      <c r="N77" s="2328"/>
      <c r="O77" s="2329"/>
      <c r="P77" s="2328"/>
      <c r="Q77" s="2328"/>
      <c r="R77" s="2330"/>
    </row>
    <row r="78" spans="2:18" s="2323" customFormat="1">
      <c r="B78" s="2328"/>
      <c r="C78" s="2328"/>
      <c r="D78" s="2328"/>
      <c r="E78" s="2328"/>
      <c r="F78" s="2328"/>
      <c r="G78" s="2329"/>
      <c r="H78" s="2328"/>
      <c r="I78" s="2329"/>
      <c r="J78" s="2328"/>
      <c r="K78" s="2328"/>
      <c r="L78" s="2329"/>
      <c r="M78" s="2328"/>
      <c r="N78" s="2328"/>
      <c r="O78" s="2329"/>
      <c r="P78" s="2328"/>
      <c r="Q78" s="2328"/>
      <c r="R78" s="2330"/>
    </row>
    <row r="79" spans="2:18" s="2323" customFormat="1">
      <c r="B79" s="2328"/>
      <c r="C79" s="2328"/>
      <c r="D79" s="2328"/>
      <c r="E79" s="2328"/>
      <c r="F79" s="2328"/>
      <c r="G79" s="2329"/>
      <c r="H79" s="2328"/>
      <c r="I79" s="2329"/>
      <c r="J79" s="2328"/>
      <c r="K79" s="2328"/>
      <c r="L79" s="2329"/>
      <c r="M79" s="2328"/>
      <c r="N79" s="2328"/>
      <c r="O79" s="2329"/>
      <c r="P79" s="2328"/>
      <c r="Q79" s="2328"/>
      <c r="R79" s="2330"/>
    </row>
    <row r="80" spans="2:18" s="2323" customFormat="1">
      <c r="B80" s="2328"/>
      <c r="C80" s="2328"/>
      <c r="D80" s="2328"/>
      <c r="E80" s="2328"/>
      <c r="F80" s="2328"/>
      <c r="G80" s="2329"/>
      <c r="H80" s="2328"/>
      <c r="I80" s="2329"/>
      <c r="J80" s="2328"/>
      <c r="K80" s="2328"/>
      <c r="L80" s="2329"/>
      <c r="M80" s="2328"/>
      <c r="N80" s="2328"/>
      <c r="O80" s="2329"/>
      <c r="P80" s="2328"/>
      <c r="Q80" s="2328"/>
      <c r="R80" s="2330"/>
    </row>
    <row r="81" spans="2:18" s="2323" customFormat="1">
      <c r="B81" s="2328"/>
      <c r="C81" s="2328"/>
      <c r="D81" s="2328"/>
      <c r="E81" s="2328"/>
      <c r="F81" s="2328"/>
      <c r="G81" s="2329"/>
      <c r="H81" s="2328"/>
      <c r="I81" s="2329"/>
      <c r="J81" s="2328"/>
      <c r="K81" s="2328"/>
      <c r="L81" s="2329"/>
      <c r="M81" s="2328"/>
      <c r="N81" s="2328"/>
      <c r="O81" s="2329"/>
      <c r="P81" s="2328"/>
      <c r="Q81" s="2328"/>
      <c r="R81" s="2330"/>
    </row>
    <row r="82" spans="2:18" s="2323" customFormat="1">
      <c r="B82" s="2328"/>
      <c r="C82" s="2328"/>
      <c r="D82" s="2328"/>
      <c r="E82" s="2328"/>
      <c r="F82" s="2328"/>
      <c r="G82" s="2329"/>
      <c r="H82" s="2328"/>
      <c r="I82" s="2329"/>
      <c r="J82" s="2328"/>
      <c r="K82" s="2328"/>
      <c r="L82" s="2329"/>
      <c r="M82" s="2328"/>
      <c r="N82" s="2328"/>
      <c r="O82" s="2329"/>
      <c r="P82" s="2328"/>
      <c r="Q82" s="2328"/>
      <c r="R82" s="2330"/>
    </row>
    <row r="83" spans="2:18" s="2323" customFormat="1">
      <c r="B83" s="2328"/>
      <c r="C83" s="2328"/>
      <c r="D83" s="2328"/>
      <c r="E83" s="2328"/>
      <c r="F83" s="2328"/>
      <c r="G83" s="2329"/>
      <c r="H83" s="2328"/>
      <c r="I83" s="2329"/>
      <c r="J83" s="2328"/>
      <c r="K83" s="2328"/>
      <c r="L83" s="2329"/>
      <c r="M83" s="2328"/>
      <c r="N83" s="2328"/>
      <c r="O83" s="2329"/>
      <c r="P83" s="2328"/>
      <c r="Q83" s="2328"/>
      <c r="R83" s="2330"/>
    </row>
    <row r="84" spans="2:18" s="2323" customFormat="1">
      <c r="B84" s="2328"/>
      <c r="C84" s="2328"/>
      <c r="D84" s="2328"/>
      <c r="E84" s="2328"/>
      <c r="F84" s="2328"/>
      <c r="G84" s="2329"/>
      <c r="H84" s="2328"/>
      <c r="I84" s="2329"/>
      <c r="J84" s="2328"/>
      <c r="K84" s="2328"/>
      <c r="L84" s="2329"/>
      <c r="M84" s="2328"/>
      <c r="N84" s="2328"/>
      <c r="O84" s="2329"/>
      <c r="P84" s="2328"/>
      <c r="Q84" s="2328"/>
      <c r="R84" s="2330"/>
    </row>
    <row r="85" spans="2:18" s="2323" customFormat="1">
      <c r="B85" s="2328"/>
      <c r="C85" s="2328"/>
      <c r="D85" s="2328"/>
      <c r="E85" s="2328"/>
      <c r="F85" s="2328"/>
      <c r="G85" s="2329"/>
      <c r="H85" s="2328"/>
      <c r="I85" s="2329"/>
      <c r="J85" s="2328"/>
      <c r="K85" s="2328"/>
      <c r="L85" s="2329"/>
      <c r="M85" s="2328"/>
      <c r="N85" s="2328"/>
      <c r="O85" s="2329"/>
      <c r="P85" s="2328"/>
      <c r="Q85" s="2328"/>
      <c r="R85" s="2330"/>
    </row>
    <row r="86" spans="2:18" s="2323" customFormat="1">
      <c r="B86" s="2328"/>
      <c r="C86" s="2328"/>
      <c r="D86" s="2328"/>
      <c r="E86" s="2328"/>
      <c r="F86" s="2328"/>
      <c r="G86" s="2329"/>
      <c r="H86" s="2328"/>
      <c r="I86" s="2329"/>
      <c r="J86" s="2328"/>
      <c r="K86" s="2328"/>
      <c r="L86" s="2329"/>
      <c r="M86" s="2328"/>
      <c r="N86" s="2328"/>
      <c r="O86" s="2329"/>
      <c r="P86" s="2328"/>
      <c r="Q86" s="2328"/>
      <c r="R86" s="2330"/>
    </row>
    <row r="87" spans="2:18" s="2323" customFormat="1">
      <c r="B87" s="2328"/>
      <c r="C87" s="2328"/>
      <c r="D87" s="2328"/>
      <c r="E87" s="2328"/>
      <c r="F87" s="2328"/>
      <c r="G87" s="2329"/>
      <c r="H87" s="2328"/>
      <c r="I87" s="2329"/>
      <c r="J87" s="2328"/>
      <c r="K87" s="2328"/>
      <c r="L87" s="2329"/>
      <c r="M87" s="2328"/>
      <c r="N87" s="2328"/>
      <c r="O87" s="2329"/>
      <c r="P87" s="2328"/>
      <c r="Q87" s="2328"/>
      <c r="R87" s="2330"/>
    </row>
    <row r="88" spans="2:18" s="2323" customFormat="1">
      <c r="B88" s="2328"/>
      <c r="C88" s="2328"/>
      <c r="D88" s="2328"/>
      <c r="E88" s="2328"/>
      <c r="F88" s="2328"/>
      <c r="G88" s="2329"/>
      <c r="H88" s="2328"/>
      <c r="I88" s="2329"/>
      <c r="J88" s="2328"/>
      <c r="K88" s="2328"/>
      <c r="L88" s="2329"/>
      <c r="M88" s="2328"/>
      <c r="N88" s="2328"/>
      <c r="O88" s="2329"/>
      <c r="P88" s="2328"/>
      <c r="Q88" s="2328"/>
      <c r="R88" s="2330"/>
    </row>
    <row r="89" spans="2:18" s="2323" customFormat="1">
      <c r="B89" s="2328"/>
      <c r="C89" s="2328"/>
      <c r="D89" s="2328"/>
      <c r="E89" s="2328"/>
      <c r="F89" s="2328"/>
      <c r="G89" s="2329"/>
      <c r="H89" s="2328"/>
      <c r="I89" s="2329"/>
      <c r="J89" s="2328"/>
      <c r="K89" s="2328"/>
      <c r="L89" s="2329"/>
      <c r="M89" s="2328"/>
      <c r="N89" s="2328"/>
      <c r="O89" s="2329"/>
      <c r="P89" s="2328"/>
      <c r="Q89" s="2328"/>
      <c r="R89" s="2330"/>
    </row>
    <row r="90" spans="2:18" s="2323" customFormat="1">
      <c r="B90" s="2328"/>
      <c r="C90" s="2328"/>
      <c r="D90" s="2328"/>
      <c r="E90" s="2328"/>
      <c r="F90" s="2328"/>
      <c r="G90" s="2329"/>
      <c r="H90" s="2328"/>
      <c r="I90" s="2329"/>
      <c r="J90" s="2328"/>
      <c r="K90" s="2328"/>
      <c r="L90" s="2329"/>
      <c r="M90" s="2328"/>
      <c r="N90" s="2328"/>
      <c r="O90" s="2329"/>
      <c r="P90" s="2328"/>
      <c r="Q90" s="2328"/>
      <c r="R90" s="2330"/>
    </row>
    <row r="91" spans="2:18" s="2323" customFormat="1">
      <c r="B91" s="2328"/>
      <c r="C91" s="2328"/>
      <c r="D91" s="2328"/>
      <c r="E91" s="2328"/>
      <c r="F91" s="2328"/>
      <c r="G91" s="2329"/>
      <c r="H91" s="2328"/>
      <c r="I91" s="2329"/>
      <c r="J91" s="2328"/>
      <c r="K91" s="2328"/>
      <c r="L91" s="2329"/>
      <c r="M91" s="2328"/>
      <c r="N91" s="2328"/>
      <c r="O91" s="2329"/>
      <c r="P91" s="2328"/>
      <c r="Q91" s="2328"/>
      <c r="R91" s="2330"/>
    </row>
    <row r="92" spans="2:18" s="2323" customFormat="1">
      <c r="B92" s="2328"/>
      <c r="C92" s="2328"/>
      <c r="D92" s="2328"/>
      <c r="E92" s="2328"/>
      <c r="F92" s="2328"/>
      <c r="G92" s="2329"/>
      <c r="H92" s="2328"/>
      <c r="I92" s="2329"/>
      <c r="J92" s="2328"/>
      <c r="K92" s="2328"/>
      <c r="L92" s="2329"/>
      <c r="M92" s="2328"/>
      <c r="N92" s="2328"/>
      <c r="O92" s="2329"/>
      <c r="P92" s="2328"/>
      <c r="Q92" s="2328"/>
      <c r="R92" s="2330"/>
    </row>
    <row r="93" spans="2:18" s="2323" customFormat="1">
      <c r="B93" s="2328"/>
      <c r="C93" s="2328"/>
      <c r="D93" s="2328"/>
      <c r="E93" s="2328"/>
      <c r="F93" s="2328"/>
      <c r="G93" s="2329"/>
      <c r="H93" s="2328"/>
      <c r="I93" s="2329"/>
      <c r="J93" s="2328"/>
      <c r="K93" s="2328"/>
      <c r="L93" s="2329"/>
      <c r="M93" s="2328"/>
      <c r="N93" s="2328"/>
      <c r="O93" s="2329"/>
      <c r="P93" s="2328"/>
      <c r="Q93" s="2328"/>
      <c r="R93" s="2330"/>
    </row>
    <row r="94" spans="2:18" s="2323" customFormat="1">
      <c r="B94" s="2328"/>
      <c r="C94" s="2328"/>
      <c r="D94" s="2328"/>
      <c r="E94" s="2328"/>
      <c r="F94" s="2328"/>
      <c r="G94" s="2329"/>
      <c r="H94" s="2328"/>
      <c r="I94" s="2329"/>
      <c r="J94" s="2328"/>
      <c r="K94" s="2328"/>
      <c r="L94" s="2329"/>
      <c r="M94" s="2328"/>
      <c r="N94" s="2328"/>
      <c r="O94" s="2329"/>
      <c r="P94" s="2328"/>
      <c r="Q94" s="2328"/>
      <c r="R94" s="2330"/>
    </row>
    <row r="95" spans="2:18" s="2323" customFormat="1">
      <c r="B95" s="2328"/>
      <c r="C95" s="2328"/>
      <c r="D95" s="2328"/>
      <c r="E95" s="2328"/>
      <c r="F95" s="2328"/>
      <c r="G95" s="2329"/>
      <c r="H95" s="2328"/>
      <c r="I95" s="2329"/>
      <c r="J95" s="2328"/>
      <c r="K95" s="2328"/>
      <c r="L95" s="2329"/>
      <c r="M95" s="2328"/>
      <c r="N95" s="2328"/>
      <c r="O95" s="2329"/>
      <c r="P95" s="2328"/>
      <c r="Q95" s="2328"/>
      <c r="R95" s="2330"/>
    </row>
    <row r="96" spans="2:18" s="2323" customFormat="1">
      <c r="B96" s="2328"/>
      <c r="C96" s="2328"/>
      <c r="D96" s="2328"/>
      <c r="E96" s="2328"/>
      <c r="F96" s="2328"/>
      <c r="G96" s="2329"/>
      <c r="H96" s="2328"/>
      <c r="I96" s="2329"/>
      <c r="J96" s="2328"/>
      <c r="K96" s="2328"/>
      <c r="L96" s="2329"/>
      <c r="M96" s="2328"/>
      <c r="N96" s="2328"/>
      <c r="O96" s="2329"/>
      <c r="P96" s="2328"/>
      <c r="Q96" s="2328"/>
      <c r="R96" s="2330"/>
    </row>
    <row r="97" spans="2:18" s="2323" customFormat="1">
      <c r="B97" s="2328"/>
      <c r="C97" s="2328"/>
      <c r="D97" s="2328"/>
      <c r="E97" s="2328"/>
      <c r="F97" s="2328"/>
      <c r="G97" s="2329"/>
      <c r="H97" s="2328"/>
      <c r="I97" s="2329"/>
      <c r="J97" s="2328"/>
      <c r="K97" s="2328"/>
      <c r="L97" s="2329"/>
      <c r="M97" s="2328"/>
      <c r="N97" s="2328"/>
      <c r="O97" s="2329"/>
      <c r="P97" s="2328"/>
      <c r="Q97" s="2328"/>
      <c r="R97" s="2330"/>
    </row>
    <row r="98" spans="2:18" s="2323" customFormat="1">
      <c r="B98" s="2328"/>
      <c r="C98" s="2328"/>
      <c r="D98" s="2328"/>
      <c r="E98" s="2328"/>
      <c r="F98" s="2328"/>
      <c r="G98" s="2329"/>
      <c r="H98" s="2328"/>
      <c r="I98" s="2329"/>
      <c r="J98" s="2328"/>
      <c r="K98" s="2328"/>
      <c r="L98" s="2329"/>
      <c r="M98" s="2328"/>
      <c r="N98" s="2328"/>
      <c r="O98" s="2329"/>
      <c r="P98" s="2328"/>
      <c r="Q98" s="2328"/>
      <c r="R98" s="2330"/>
    </row>
    <row r="99" spans="2:18" s="2323" customFormat="1">
      <c r="B99" s="2328"/>
      <c r="C99" s="2328"/>
      <c r="D99" s="2328"/>
      <c r="E99" s="2328"/>
      <c r="F99" s="2328"/>
      <c r="G99" s="2329"/>
      <c r="H99" s="2328"/>
      <c r="I99" s="2329"/>
      <c r="J99" s="2328"/>
      <c r="K99" s="2328"/>
      <c r="L99" s="2329"/>
      <c r="M99" s="2328"/>
      <c r="N99" s="2328"/>
      <c r="O99" s="2329"/>
      <c r="P99" s="2328"/>
      <c r="Q99" s="2328"/>
      <c r="R99" s="2330"/>
    </row>
    <row r="100" spans="2:18" s="2323" customFormat="1">
      <c r="B100" s="2328"/>
      <c r="C100" s="2328"/>
      <c r="D100" s="2328"/>
      <c r="E100" s="2328"/>
      <c r="F100" s="2328"/>
      <c r="G100" s="2329"/>
      <c r="H100" s="2328"/>
      <c r="I100" s="2329"/>
      <c r="J100" s="2328"/>
      <c r="K100" s="2328"/>
      <c r="L100" s="2329"/>
      <c r="M100" s="2328"/>
      <c r="N100" s="2328"/>
      <c r="O100" s="2329"/>
      <c r="P100" s="2328"/>
      <c r="Q100" s="2328"/>
      <c r="R100" s="2330"/>
    </row>
    <row r="101" spans="2:18" s="2323" customFormat="1">
      <c r="B101" s="2328"/>
      <c r="C101" s="2328"/>
      <c r="D101" s="2328"/>
      <c r="E101" s="2328"/>
      <c r="F101" s="2328"/>
      <c r="G101" s="2329"/>
      <c r="H101" s="2328"/>
      <c r="I101" s="2329"/>
      <c r="J101" s="2328"/>
      <c r="K101" s="2328"/>
      <c r="L101" s="2329"/>
      <c r="M101" s="2328"/>
      <c r="N101" s="2328"/>
      <c r="O101" s="2329"/>
      <c r="P101" s="2328"/>
      <c r="Q101" s="2328"/>
      <c r="R101" s="2330"/>
    </row>
    <row r="102" spans="2:18" s="2323" customFormat="1">
      <c r="B102" s="2328"/>
      <c r="C102" s="2328"/>
      <c r="D102" s="2328"/>
      <c r="E102" s="2328"/>
      <c r="F102" s="2328"/>
      <c r="G102" s="2329"/>
      <c r="H102" s="2328"/>
      <c r="I102" s="2329"/>
      <c r="J102" s="2328"/>
      <c r="K102" s="2328"/>
      <c r="L102" s="2329"/>
      <c r="M102" s="2328"/>
      <c r="N102" s="2328"/>
      <c r="O102" s="2329"/>
      <c r="P102" s="2328"/>
      <c r="Q102" s="2328"/>
      <c r="R102" s="2330"/>
    </row>
    <row r="103" spans="2:18" s="2323" customFormat="1">
      <c r="B103" s="2328"/>
      <c r="C103" s="2328"/>
      <c r="D103" s="2328"/>
      <c r="E103" s="2328"/>
      <c r="F103" s="2328"/>
      <c r="G103" s="2329"/>
      <c r="H103" s="2328"/>
      <c r="I103" s="2329"/>
      <c r="J103" s="2328"/>
      <c r="K103" s="2328"/>
      <c r="L103" s="2329"/>
      <c r="M103" s="2328"/>
      <c r="N103" s="2328"/>
      <c r="O103" s="2329"/>
      <c r="P103" s="2328"/>
      <c r="Q103" s="2328"/>
      <c r="R103" s="2330"/>
    </row>
    <row r="104" spans="2:18" s="2323" customFormat="1">
      <c r="B104" s="2328"/>
      <c r="C104" s="2328"/>
      <c r="D104" s="2328"/>
      <c r="E104" s="2328"/>
      <c r="F104" s="2328"/>
      <c r="G104" s="2329"/>
      <c r="H104" s="2328"/>
      <c r="I104" s="2329"/>
      <c r="J104" s="2328"/>
      <c r="K104" s="2328"/>
      <c r="L104" s="2329"/>
      <c r="M104" s="2328"/>
      <c r="N104" s="2328"/>
      <c r="O104" s="2329"/>
      <c r="P104" s="2328"/>
      <c r="Q104" s="2328"/>
      <c r="R104" s="2330"/>
    </row>
    <row r="105" spans="2:18" s="2323" customFormat="1">
      <c r="B105" s="2328"/>
      <c r="C105" s="2328"/>
      <c r="D105" s="2328"/>
      <c r="E105" s="2328"/>
      <c r="F105" s="2328"/>
      <c r="G105" s="2329"/>
      <c r="H105" s="2328"/>
      <c r="I105" s="2329"/>
      <c r="J105" s="2328"/>
      <c r="K105" s="2328"/>
      <c r="L105" s="2329"/>
      <c r="M105" s="2328"/>
      <c r="N105" s="2328"/>
      <c r="O105" s="2329"/>
      <c r="P105" s="2328"/>
      <c r="Q105" s="2328"/>
      <c r="R105" s="2330"/>
    </row>
    <row r="106" spans="2:18" s="2323" customFormat="1">
      <c r="B106" s="2328"/>
      <c r="C106" s="2328"/>
      <c r="D106" s="2328"/>
      <c r="E106" s="2328"/>
      <c r="F106" s="2328"/>
      <c r="G106" s="2329"/>
      <c r="H106" s="2328"/>
      <c r="I106" s="2329"/>
      <c r="J106" s="2328"/>
      <c r="K106" s="2328"/>
      <c r="L106" s="2329"/>
      <c r="M106" s="2328"/>
      <c r="N106" s="2328"/>
      <c r="O106" s="2329"/>
      <c r="P106" s="2328"/>
      <c r="Q106" s="2328"/>
      <c r="R106" s="2330"/>
    </row>
    <row r="107" spans="2:18" s="2323" customFormat="1">
      <c r="B107" s="2328"/>
      <c r="C107" s="2328"/>
      <c r="D107" s="2328"/>
      <c r="E107" s="2328"/>
      <c r="F107" s="2328"/>
      <c r="G107" s="2329"/>
      <c r="H107" s="2328"/>
      <c r="I107" s="2329"/>
      <c r="J107" s="2328"/>
      <c r="K107" s="2328"/>
      <c r="L107" s="2329"/>
      <c r="M107" s="2328"/>
      <c r="N107" s="2328"/>
      <c r="O107" s="2329"/>
      <c r="P107" s="2328"/>
      <c r="Q107" s="2328"/>
      <c r="R107" s="2330"/>
    </row>
    <row r="108" spans="2:18" s="2323" customFormat="1">
      <c r="B108" s="2328"/>
      <c r="C108" s="2328"/>
      <c r="D108" s="2328"/>
      <c r="E108" s="2328"/>
      <c r="F108" s="2328"/>
      <c r="G108" s="2329"/>
      <c r="H108" s="2328"/>
      <c r="I108" s="2329"/>
      <c r="J108" s="2328"/>
      <c r="K108" s="2328"/>
      <c r="L108" s="2329"/>
      <c r="M108" s="2328"/>
      <c r="N108" s="2328"/>
      <c r="O108" s="2329"/>
      <c r="P108" s="2328"/>
      <c r="Q108" s="2328"/>
      <c r="R108" s="2330"/>
    </row>
    <row r="109" spans="2:18" s="2323" customFormat="1">
      <c r="B109" s="2328"/>
      <c r="C109" s="2328"/>
      <c r="D109" s="2328"/>
      <c r="E109" s="2328"/>
      <c r="F109" s="2328"/>
      <c r="G109" s="2329"/>
      <c r="H109" s="2328"/>
      <c r="I109" s="2329"/>
      <c r="J109" s="2328"/>
      <c r="K109" s="2328"/>
      <c r="L109" s="2329"/>
      <c r="M109" s="2328"/>
      <c r="N109" s="2328"/>
      <c r="O109" s="2329"/>
      <c r="P109" s="2328"/>
      <c r="Q109" s="2328"/>
      <c r="R109" s="2330"/>
    </row>
    <row r="110" spans="2:18" s="2323" customFormat="1">
      <c r="B110" s="2328"/>
      <c r="C110" s="2328"/>
      <c r="D110" s="2328"/>
      <c r="E110" s="2328"/>
      <c r="F110" s="2328"/>
      <c r="G110" s="2329"/>
      <c r="H110" s="2328"/>
      <c r="I110" s="2329"/>
      <c r="J110" s="2328"/>
      <c r="K110" s="2328"/>
      <c r="L110" s="2329"/>
      <c r="M110" s="2328"/>
      <c r="N110" s="2328"/>
      <c r="O110" s="2329"/>
      <c r="P110" s="2328"/>
      <c r="Q110" s="2328"/>
      <c r="R110" s="2330"/>
    </row>
    <row r="111" spans="2:18" s="2323" customFormat="1">
      <c r="B111" s="2328"/>
      <c r="C111" s="2328"/>
      <c r="D111" s="2328"/>
      <c r="E111" s="2328"/>
      <c r="F111" s="2328"/>
      <c r="G111" s="2329"/>
      <c r="H111" s="2328"/>
      <c r="I111" s="2329"/>
      <c r="J111" s="2328"/>
      <c r="K111" s="2328"/>
      <c r="L111" s="2329"/>
      <c r="M111" s="2328"/>
      <c r="N111" s="2328"/>
      <c r="O111" s="2329"/>
      <c r="P111" s="2328"/>
      <c r="Q111" s="2328"/>
      <c r="R111" s="2330"/>
    </row>
    <row r="112" spans="2:18" s="2323" customFormat="1">
      <c r="B112" s="2328"/>
      <c r="C112" s="2328"/>
      <c r="D112" s="2328"/>
      <c r="E112" s="2328"/>
      <c r="F112" s="2328"/>
      <c r="G112" s="2329"/>
      <c r="H112" s="2328"/>
      <c r="I112" s="2329"/>
      <c r="J112" s="2328"/>
      <c r="K112" s="2328"/>
      <c r="L112" s="2329"/>
      <c r="M112" s="2328"/>
      <c r="N112" s="2328"/>
      <c r="O112" s="2329"/>
      <c r="P112" s="2328"/>
      <c r="Q112" s="2328"/>
      <c r="R112" s="2330"/>
    </row>
    <row r="113" spans="2:18" s="2323" customFormat="1">
      <c r="B113" s="2328"/>
      <c r="C113" s="2328"/>
      <c r="D113" s="2328"/>
      <c r="E113" s="2328"/>
      <c r="F113" s="2328"/>
      <c r="G113" s="2329"/>
      <c r="H113" s="2328"/>
      <c r="I113" s="2329"/>
      <c r="J113" s="2328"/>
      <c r="K113" s="2328"/>
      <c r="L113" s="2329"/>
      <c r="M113" s="2328"/>
      <c r="N113" s="2328"/>
      <c r="O113" s="2329"/>
      <c r="P113" s="2328"/>
      <c r="Q113" s="2328"/>
      <c r="R113" s="2330"/>
    </row>
    <row r="114" spans="2:18" s="2323" customFormat="1">
      <c r="B114" s="2328"/>
      <c r="C114" s="2328"/>
      <c r="D114" s="2328"/>
      <c r="E114" s="2328"/>
      <c r="F114" s="2328"/>
      <c r="G114" s="2329"/>
      <c r="H114" s="2328"/>
      <c r="I114" s="2329"/>
      <c r="J114" s="2328"/>
      <c r="K114" s="2328"/>
      <c r="L114" s="2329"/>
      <c r="M114" s="2328"/>
      <c r="N114" s="2328"/>
      <c r="O114" s="2329"/>
      <c r="P114" s="2328"/>
      <c r="Q114" s="2328"/>
      <c r="R114" s="2330"/>
    </row>
    <row r="115" spans="2:18" s="2323" customFormat="1">
      <c r="B115" s="2328"/>
      <c r="C115" s="2328"/>
      <c r="D115" s="2328"/>
      <c r="E115" s="2328"/>
      <c r="F115" s="2328"/>
      <c r="G115" s="2329"/>
      <c r="H115" s="2328"/>
      <c r="I115" s="2329"/>
      <c r="J115" s="2328"/>
      <c r="K115" s="2328"/>
      <c r="L115" s="2329"/>
      <c r="M115" s="2328"/>
      <c r="N115" s="2328"/>
      <c r="O115" s="2329"/>
      <c r="P115" s="2328"/>
      <c r="Q115" s="2328"/>
      <c r="R115" s="2330"/>
    </row>
    <row r="116" spans="2:18" s="2323" customFormat="1">
      <c r="B116" s="2328"/>
      <c r="C116" s="2328"/>
      <c r="D116" s="2328"/>
      <c r="E116" s="2328"/>
      <c r="F116" s="2328"/>
      <c r="G116" s="2329"/>
      <c r="H116" s="2328"/>
      <c r="I116" s="2329"/>
      <c r="J116" s="2328"/>
      <c r="K116" s="2328"/>
      <c r="L116" s="2329"/>
      <c r="M116" s="2328"/>
      <c r="N116" s="2328"/>
      <c r="O116" s="2329"/>
      <c r="P116" s="2328"/>
      <c r="Q116" s="2328"/>
      <c r="R116" s="2330"/>
    </row>
    <row r="117" spans="2:18" s="2323" customFormat="1">
      <c r="B117" s="2328"/>
      <c r="C117" s="2328"/>
      <c r="D117" s="2328"/>
      <c r="E117" s="2328"/>
      <c r="F117" s="2328"/>
      <c r="G117" s="2329"/>
      <c r="H117" s="2328"/>
      <c r="I117" s="2329"/>
      <c r="J117" s="2328"/>
      <c r="K117" s="2328"/>
      <c r="L117" s="2329"/>
      <c r="M117" s="2328"/>
      <c r="N117" s="2328"/>
      <c r="O117" s="2329"/>
      <c r="P117" s="2328"/>
      <c r="Q117" s="2328"/>
      <c r="R117" s="2330"/>
    </row>
    <row r="118" spans="2:18" s="2323" customFormat="1">
      <c r="B118" s="2328"/>
      <c r="C118" s="2328"/>
      <c r="D118" s="2328"/>
      <c r="E118" s="2328"/>
      <c r="F118" s="2328"/>
      <c r="G118" s="2329"/>
      <c r="H118" s="2328"/>
      <c r="I118" s="2329"/>
      <c r="J118" s="2328"/>
      <c r="K118" s="2328"/>
      <c r="L118" s="2329"/>
      <c r="M118" s="2328"/>
      <c r="N118" s="2328"/>
      <c r="O118" s="2329"/>
      <c r="P118" s="2328"/>
      <c r="Q118" s="2328"/>
      <c r="R118" s="2330"/>
    </row>
    <row r="119" spans="2:18" s="2323" customFormat="1">
      <c r="B119" s="2328"/>
      <c r="C119" s="2328"/>
      <c r="D119" s="2328"/>
      <c r="E119" s="2328"/>
      <c r="F119" s="2328"/>
      <c r="G119" s="2329"/>
      <c r="H119" s="2328"/>
      <c r="I119" s="2329"/>
      <c r="J119" s="2328"/>
      <c r="K119" s="2328"/>
      <c r="L119" s="2329"/>
      <c r="M119" s="2328"/>
      <c r="N119" s="2328"/>
      <c r="O119" s="2329"/>
      <c r="P119" s="2328"/>
      <c r="Q119" s="2328"/>
      <c r="R119" s="2330"/>
    </row>
    <row r="120" spans="2:18" s="2323" customFormat="1">
      <c r="B120" s="2328"/>
      <c r="C120" s="2328"/>
      <c r="D120" s="2328"/>
      <c r="E120" s="2328"/>
      <c r="F120" s="2328"/>
      <c r="G120" s="2329"/>
      <c r="H120" s="2328"/>
      <c r="I120" s="2329"/>
      <c r="J120" s="2328"/>
      <c r="K120" s="2328"/>
      <c r="L120" s="2329"/>
      <c r="M120" s="2328"/>
      <c r="N120" s="2328"/>
      <c r="O120" s="2329"/>
      <c r="P120" s="2328"/>
      <c r="Q120" s="2328"/>
      <c r="R120" s="2330"/>
    </row>
    <row r="121" spans="2:18" s="2323" customFormat="1">
      <c r="B121" s="2328"/>
      <c r="C121" s="2328"/>
      <c r="D121" s="2328"/>
      <c r="E121" s="2328"/>
      <c r="F121" s="2328"/>
      <c r="G121" s="2329"/>
      <c r="H121" s="2328"/>
      <c r="I121" s="2329"/>
      <c r="J121" s="2328"/>
      <c r="K121" s="2328"/>
      <c r="L121" s="2329"/>
      <c r="M121" s="2328"/>
      <c r="N121" s="2328"/>
      <c r="O121" s="2329"/>
      <c r="P121" s="2328"/>
      <c r="Q121" s="2328"/>
      <c r="R121" s="2330"/>
    </row>
    <row r="122" spans="2:18" s="2323" customFormat="1">
      <c r="B122" s="2328"/>
      <c r="C122" s="2328"/>
      <c r="D122" s="2328"/>
      <c r="E122" s="2328"/>
      <c r="F122" s="2328"/>
      <c r="G122" s="2329"/>
      <c r="H122" s="2328"/>
      <c r="I122" s="2329"/>
      <c r="J122" s="2328"/>
      <c r="K122" s="2328"/>
      <c r="L122" s="2329"/>
      <c r="M122" s="2328"/>
      <c r="N122" s="2328"/>
      <c r="O122" s="2329"/>
      <c r="P122" s="2328"/>
      <c r="Q122" s="2328"/>
      <c r="R122" s="2330"/>
    </row>
    <row r="123" spans="2:18" s="2323" customFormat="1">
      <c r="B123" s="2328"/>
      <c r="C123" s="2328"/>
      <c r="D123" s="2328"/>
      <c r="E123" s="2328"/>
      <c r="F123" s="2328"/>
      <c r="G123" s="2329"/>
      <c r="H123" s="2328"/>
      <c r="I123" s="2329"/>
      <c r="J123" s="2328"/>
      <c r="K123" s="2328"/>
      <c r="L123" s="2329"/>
      <c r="M123" s="2328"/>
      <c r="N123" s="2328"/>
      <c r="O123" s="2329"/>
      <c r="P123" s="2328"/>
      <c r="Q123" s="2328"/>
      <c r="R123" s="2330"/>
    </row>
    <row r="124" spans="2:18" s="2323" customFormat="1">
      <c r="B124" s="2328"/>
      <c r="C124" s="2328"/>
      <c r="D124" s="2328"/>
      <c r="E124" s="2328"/>
      <c r="F124" s="2328"/>
      <c r="G124" s="2329"/>
      <c r="H124" s="2328"/>
      <c r="I124" s="2329"/>
      <c r="J124" s="2328"/>
      <c r="K124" s="2328"/>
      <c r="L124" s="2329"/>
      <c r="M124" s="2328"/>
      <c r="N124" s="2328"/>
      <c r="O124" s="2329"/>
      <c r="P124" s="2328"/>
      <c r="Q124" s="2328"/>
      <c r="R124" s="2330"/>
    </row>
    <row r="125" spans="2:18" s="2323" customFormat="1">
      <c r="B125" s="2328"/>
      <c r="C125" s="2328"/>
      <c r="D125" s="2328"/>
      <c r="E125" s="2328"/>
      <c r="F125" s="2328"/>
      <c r="G125" s="2329"/>
      <c r="H125" s="2328"/>
      <c r="I125" s="2329"/>
      <c r="J125" s="2328"/>
      <c r="K125" s="2328"/>
      <c r="L125" s="2329"/>
      <c r="M125" s="2328"/>
      <c r="N125" s="2328"/>
      <c r="O125" s="2329"/>
      <c r="P125" s="2328"/>
      <c r="Q125" s="2328"/>
      <c r="R125" s="2330"/>
    </row>
    <row r="126" spans="2:18" s="2323" customFormat="1">
      <c r="B126" s="2328"/>
      <c r="C126" s="2328"/>
      <c r="D126" s="2328"/>
      <c r="E126" s="2328"/>
      <c r="F126" s="2328"/>
      <c r="G126" s="2329"/>
      <c r="H126" s="2328"/>
      <c r="I126" s="2329"/>
      <c r="J126" s="2328"/>
      <c r="K126" s="2328"/>
      <c r="L126" s="2329"/>
      <c r="M126" s="2328"/>
      <c r="N126" s="2328"/>
      <c r="O126" s="2329"/>
      <c r="P126" s="2328"/>
      <c r="Q126" s="2328"/>
      <c r="R126" s="2330"/>
    </row>
    <row r="127" spans="2:18" s="2323" customFormat="1">
      <c r="B127" s="2328"/>
      <c r="C127" s="2328"/>
      <c r="D127" s="2328"/>
      <c r="E127" s="2328"/>
      <c r="F127" s="2328"/>
      <c r="G127" s="2329"/>
      <c r="H127" s="2328"/>
      <c r="I127" s="2329"/>
      <c r="J127" s="2328"/>
      <c r="K127" s="2328"/>
      <c r="L127" s="2329"/>
      <c r="M127" s="2328"/>
      <c r="N127" s="2328"/>
      <c r="O127" s="2329"/>
      <c r="P127" s="2328"/>
      <c r="Q127" s="2328"/>
      <c r="R127" s="2330"/>
    </row>
    <row r="128" spans="2:18" s="2323" customFormat="1">
      <c r="B128" s="2328"/>
      <c r="C128" s="2328"/>
      <c r="D128" s="2328"/>
      <c r="E128" s="2328"/>
      <c r="F128" s="2328"/>
      <c r="G128" s="2329"/>
      <c r="H128" s="2328"/>
      <c r="I128" s="2329"/>
      <c r="J128" s="2328"/>
      <c r="K128" s="2328"/>
      <c r="L128" s="2329"/>
      <c r="M128" s="2328"/>
      <c r="N128" s="2328"/>
      <c r="O128" s="2329"/>
      <c r="P128" s="2328"/>
      <c r="Q128" s="2328"/>
      <c r="R128" s="2330"/>
    </row>
    <row r="129" spans="2:18" s="2323" customFormat="1">
      <c r="B129" s="2328"/>
      <c r="C129" s="2328"/>
      <c r="D129" s="2328"/>
      <c r="E129" s="2328"/>
      <c r="F129" s="2328"/>
      <c r="G129" s="2329"/>
      <c r="H129" s="2328"/>
      <c r="I129" s="2329"/>
      <c r="J129" s="2328"/>
      <c r="K129" s="2328"/>
      <c r="L129" s="2329"/>
      <c r="M129" s="2328"/>
      <c r="N129" s="2328"/>
      <c r="O129" s="2329"/>
      <c r="P129" s="2328"/>
      <c r="Q129" s="2328"/>
      <c r="R129" s="2330"/>
    </row>
    <row r="130" spans="2:18" s="2323" customFormat="1">
      <c r="B130" s="2328"/>
      <c r="C130" s="2328"/>
      <c r="D130" s="2328"/>
      <c r="E130" s="2328"/>
      <c r="F130" s="2328"/>
      <c r="G130" s="2329"/>
      <c r="H130" s="2328"/>
      <c r="I130" s="2329"/>
      <c r="J130" s="2328"/>
      <c r="K130" s="2328"/>
      <c r="L130" s="2329"/>
      <c r="M130" s="2328"/>
      <c r="N130" s="2328"/>
      <c r="O130" s="2329"/>
      <c r="P130" s="2328"/>
      <c r="Q130" s="2328"/>
      <c r="R130" s="2330"/>
    </row>
    <row r="131" spans="2:18" s="2323" customFormat="1">
      <c r="B131" s="2328"/>
      <c r="C131" s="2328"/>
      <c r="D131" s="2328"/>
      <c r="E131" s="2328"/>
      <c r="F131" s="2328"/>
      <c r="G131" s="2329"/>
      <c r="H131" s="2328"/>
      <c r="I131" s="2329"/>
      <c r="J131" s="2328"/>
      <c r="K131" s="2328"/>
      <c r="L131" s="2329"/>
      <c r="M131" s="2328"/>
      <c r="N131" s="2328"/>
      <c r="O131" s="2329"/>
      <c r="P131" s="2328"/>
      <c r="Q131" s="2328"/>
      <c r="R131" s="2330"/>
    </row>
    <row r="132" spans="2:18" s="2323" customFormat="1">
      <c r="B132" s="2328"/>
      <c r="C132" s="2328"/>
      <c r="D132" s="2328"/>
      <c r="E132" s="2328"/>
      <c r="F132" s="2328"/>
      <c r="G132" s="2329"/>
      <c r="H132" s="2328"/>
      <c r="I132" s="2329"/>
      <c r="J132" s="2328"/>
      <c r="K132" s="2328"/>
      <c r="L132" s="2329"/>
      <c r="M132" s="2328"/>
      <c r="N132" s="2328"/>
      <c r="O132" s="2329"/>
      <c r="P132" s="2328"/>
      <c r="Q132" s="2328"/>
      <c r="R132" s="2330"/>
    </row>
    <row r="133" spans="2:18" s="2323" customFormat="1">
      <c r="B133" s="2328"/>
      <c r="C133" s="2328"/>
      <c r="D133" s="2328"/>
      <c r="E133" s="2328"/>
      <c r="F133" s="2328"/>
      <c r="G133" s="2329"/>
      <c r="H133" s="2328"/>
      <c r="I133" s="2329"/>
      <c r="J133" s="2328"/>
      <c r="K133" s="2328"/>
      <c r="L133" s="2329"/>
      <c r="M133" s="2328"/>
      <c r="N133" s="2328"/>
      <c r="O133" s="2329"/>
      <c r="P133" s="2328"/>
      <c r="Q133" s="2328"/>
      <c r="R133" s="2330"/>
    </row>
    <row r="134" spans="2:18" s="2323" customFormat="1">
      <c r="B134" s="2328"/>
      <c r="C134" s="2328"/>
      <c r="D134" s="2328"/>
      <c r="E134" s="2328"/>
      <c r="F134" s="2328"/>
      <c r="G134" s="2329"/>
      <c r="H134" s="2328"/>
      <c r="I134" s="2329"/>
      <c r="J134" s="2328"/>
      <c r="K134" s="2328"/>
      <c r="L134" s="2329"/>
      <c r="M134" s="2328"/>
      <c r="N134" s="2328"/>
      <c r="O134" s="2329"/>
      <c r="P134" s="2328"/>
      <c r="Q134" s="2328"/>
      <c r="R134" s="2330"/>
    </row>
    <row r="135" spans="2:18" s="2323" customFormat="1">
      <c r="B135" s="2328"/>
      <c r="C135" s="2328"/>
      <c r="D135" s="2328"/>
      <c r="E135" s="2328"/>
      <c r="F135" s="2328"/>
      <c r="G135" s="2329"/>
      <c r="H135" s="2328"/>
      <c r="I135" s="2329"/>
      <c r="J135" s="2328"/>
      <c r="K135" s="2328"/>
      <c r="L135" s="2329"/>
      <c r="M135" s="2328"/>
      <c r="N135" s="2328"/>
      <c r="O135" s="2329"/>
      <c r="P135" s="2328"/>
      <c r="Q135" s="2328"/>
      <c r="R135" s="2330"/>
    </row>
    <row r="136" spans="2:18" s="2323" customFormat="1">
      <c r="B136" s="2328"/>
      <c r="C136" s="2328"/>
      <c r="D136" s="2328"/>
      <c r="E136" s="2328"/>
      <c r="F136" s="2328"/>
      <c r="G136" s="2329"/>
      <c r="H136" s="2328"/>
      <c r="I136" s="2329"/>
      <c r="J136" s="2328"/>
      <c r="K136" s="2328"/>
      <c r="L136" s="2329"/>
      <c r="M136" s="2328"/>
      <c r="N136" s="2328"/>
      <c r="O136" s="2329"/>
      <c r="P136" s="2328"/>
      <c r="Q136" s="2328"/>
      <c r="R136" s="2330"/>
    </row>
    <row r="137" spans="2:18" s="2323" customFormat="1">
      <c r="B137" s="2328"/>
      <c r="C137" s="2328"/>
      <c r="D137" s="2328"/>
      <c r="E137" s="2328"/>
      <c r="F137" s="2328"/>
      <c r="G137" s="2329"/>
      <c r="H137" s="2328"/>
      <c r="I137" s="2329"/>
      <c r="J137" s="2328"/>
      <c r="K137" s="2328"/>
      <c r="L137" s="2329"/>
      <c r="M137" s="2328"/>
      <c r="N137" s="2328"/>
      <c r="O137" s="2329"/>
      <c r="P137" s="2328"/>
      <c r="Q137" s="2328"/>
      <c r="R137" s="2330"/>
    </row>
    <row r="138" spans="2:18" s="2323" customFormat="1">
      <c r="B138" s="2328"/>
      <c r="C138" s="2328"/>
      <c r="D138" s="2328"/>
      <c r="E138" s="2328"/>
      <c r="F138" s="2328"/>
      <c r="G138" s="2329"/>
      <c r="H138" s="2328"/>
      <c r="I138" s="2329"/>
      <c r="J138" s="2328"/>
      <c r="K138" s="2328"/>
      <c r="L138" s="2329"/>
      <c r="M138" s="2328"/>
      <c r="N138" s="2328"/>
      <c r="O138" s="2329"/>
      <c r="P138" s="2328"/>
      <c r="Q138" s="2328"/>
      <c r="R138" s="2330"/>
    </row>
    <row r="139" spans="2:18" s="2323" customFormat="1">
      <c r="B139" s="2328"/>
      <c r="C139" s="2328"/>
      <c r="D139" s="2328"/>
      <c r="E139" s="2328"/>
      <c r="F139" s="2328"/>
      <c r="G139" s="2329"/>
      <c r="H139" s="2328"/>
      <c r="I139" s="2329"/>
      <c r="J139" s="2328"/>
      <c r="K139" s="2328"/>
      <c r="L139" s="2329"/>
      <c r="M139" s="2328"/>
      <c r="N139" s="2328"/>
      <c r="O139" s="2329"/>
      <c r="P139" s="2328"/>
      <c r="Q139" s="2328"/>
      <c r="R139" s="2330"/>
    </row>
    <row r="140" spans="2:18" s="2323" customFormat="1">
      <c r="B140" s="2328"/>
      <c r="C140" s="2328"/>
      <c r="D140" s="2328"/>
      <c r="E140" s="2328"/>
      <c r="F140" s="2328"/>
      <c r="G140" s="2329"/>
      <c r="H140" s="2328"/>
      <c r="I140" s="2329"/>
      <c r="J140" s="2328"/>
      <c r="K140" s="2328"/>
      <c r="L140" s="2329"/>
      <c r="M140" s="2328"/>
      <c r="N140" s="2328"/>
      <c r="O140" s="2329"/>
      <c r="P140" s="2328"/>
      <c r="Q140" s="2328"/>
      <c r="R140" s="2330"/>
    </row>
    <row r="141" spans="2:18" s="2323" customFormat="1">
      <c r="B141" s="2328"/>
      <c r="C141" s="2328"/>
      <c r="D141" s="2328"/>
      <c r="E141" s="2328"/>
      <c r="F141" s="2328"/>
      <c r="G141" s="2329"/>
      <c r="H141" s="2328"/>
      <c r="I141" s="2329"/>
      <c r="J141" s="2328"/>
      <c r="K141" s="2328"/>
      <c r="L141" s="2329"/>
      <c r="M141" s="2328"/>
      <c r="N141" s="2328"/>
      <c r="O141" s="2329"/>
      <c r="P141" s="2328"/>
      <c r="Q141" s="2328"/>
      <c r="R141" s="2330"/>
    </row>
    <row r="142" spans="2:18" s="2323" customFormat="1">
      <c r="B142" s="2328"/>
      <c r="C142" s="2328"/>
      <c r="D142" s="2328"/>
      <c r="E142" s="2328"/>
      <c r="F142" s="2328"/>
      <c r="G142" s="2329"/>
      <c r="H142" s="2328"/>
      <c r="I142" s="2329"/>
      <c r="J142" s="2328"/>
      <c r="K142" s="2328"/>
      <c r="L142" s="2329"/>
      <c r="M142" s="2328"/>
      <c r="N142" s="2328"/>
      <c r="O142" s="2329"/>
      <c r="P142" s="2328"/>
      <c r="Q142" s="2328"/>
      <c r="R142" s="2330"/>
    </row>
    <row r="143" spans="2:18" s="2323" customFormat="1">
      <c r="B143" s="2328"/>
      <c r="C143" s="2328"/>
      <c r="D143" s="2328"/>
      <c r="E143" s="2328"/>
      <c r="F143" s="2328"/>
      <c r="G143" s="2329"/>
      <c r="H143" s="2328"/>
      <c r="I143" s="2329"/>
      <c r="J143" s="2328"/>
      <c r="K143" s="2328"/>
      <c r="L143" s="2329"/>
      <c r="M143" s="2328"/>
      <c r="N143" s="2328"/>
      <c r="O143" s="2329"/>
      <c r="P143" s="2328"/>
      <c r="Q143" s="2328"/>
      <c r="R143" s="2330"/>
    </row>
    <row r="144" spans="2:18" s="2323" customFormat="1">
      <c r="B144" s="2328"/>
      <c r="C144" s="2328"/>
      <c r="D144" s="2328"/>
      <c r="E144" s="2328"/>
      <c r="F144" s="2328"/>
      <c r="G144" s="2329"/>
      <c r="H144" s="2328"/>
      <c r="I144" s="2329"/>
      <c r="J144" s="2328"/>
      <c r="K144" s="2328"/>
      <c r="L144" s="2329"/>
      <c r="M144" s="2328"/>
      <c r="N144" s="2328"/>
      <c r="O144" s="2329"/>
      <c r="P144" s="2328"/>
      <c r="Q144" s="2328"/>
      <c r="R144" s="2330"/>
    </row>
    <row r="145" spans="2:18" s="2323" customFormat="1">
      <c r="B145" s="2328"/>
      <c r="C145" s="2328"/>
      <c r="D145" s="2328"/>
      <c r="E145" s="2328"/>
      <c r="F145" s="2328"/>
      <c r="G145" s="2329"/>
      <c r="H145" s="2328"/>
      <c r="I145" s="2329"/>
      <c r="J145" s="2328"/>
      <c r="K145" s="2328"/>
      <c r="L145" s="2329"/>
      <c r="M145" s="2328"/>
      <c r="N145" s="2328"/>
      <c r="O145" s="2329"/>
      <c r="P145" s="2328"/>
      <c r="Q145" s="2328"/>
      <c r="R145" s="2330"/>
    </row>
    <row r="146" spans="2:18" s="2323" customFormat="1">
      <c r="B146" s="2328"/>
      <c r="C146" s="2328"/>
      <c r="D146" s="2328"/>
      <c r="E146" s="2328"/>
      <c r="F146" s="2328"/>
      <c r="G146" s="2329"/>
      <c r="H146" s="2328"/>
      <c r="I146" s="2329"/>
      <c r="J146" s="2328"/>
      <c r="K146" s="2328"/>
      <c r="L146" s="2329"/>
      <c r="M146" s="2328"/>
      <c r="N146" s="2328"/>
      <c r="O146" s="2329"/>
      <c r="P146" s="2328"/>
      <c r="Q146" s="2328"/>
      <c r="R146" s="2330"/>
    </row>
    <row r="147" spans="2:18" s="2323" customFormat="1">
      <c r="B147" s="2328"/>
      <c r="C147" s="2328"/>
      <c r="D147" s="2328"/>
      <c r="E147" s="2328"/>
      <c r="F147" s="2328"/>
      <c r="G147" s="2329"/>
      <c r="H147" s="2328"/>
      <c r="I147" s="2329"/>
      <c r="J147" s="2328"/>
      <c r="K147" s="2328"/>
      <c r="L147" s="2329"/>
      <c r="M147" s="2328"/>
      <c r="N147" s="2328"/>
      <c r="O147" s="2329"/>
      <c r="P147" s="2328"/>
      <c r="Q147" s="2328"/>
      <c r="R147" s="2330"/>
    </row>
    <row r="148" spans="2:18" s="2323" customFormat="1">
      <c r="B148" s="2328"/>
      <c r="C148" s="2328"/>
      <c r="D148" s="2328"/>
      <c r="E148" s="2328"/>
      <c r="F148" s="2328"/>
      <c r="G148" s="2329"/>
      <c r="H148" s="2328"/>
      <c r="I148" s="2329"/>
      <c r="J148" s="2328"/>
      <c r="K148" s="2328"/>
      <c r="L148" s="2329"/>
      <c r="M148" s="2328"/>
      <c r="N148" s="2328"/>
      <c r="O148" s="2329"/>
      <c r="P148" s="2328"/>
      <c r="Q148" s="2328"/>
      <c r="R148" s="2330"/>
    </row>
    <row r="149" spans="2:18" s="2323" customFormat="1">
      <c r="B149" s="2328"/>
      <c r="C149" s="2328"/>
      <c r="D149" s="2328"/>
      <c r="E149" s="2328"/>
      <c r="F149" s="2328"/>
      <c r="G149" s="2329"/>
      <c r="H149" s="2328"/>
      <c r="I149" s="2329"/>
      <c r="J149" s="2328"/>
      <c r="K149" s="2328"/>
      <c r="L149" s="2329"/>
      <c r="M149" s="2328"/>
      <c r="N149" s="2328"/>
      <c r="O149" s="2329"/>
      <c r="P149" s="2328"/>
      <c r="Q149" s="2328"/>
      <c r="R149" s="2330"/>
    </row>
    <row r="150" spans="2:18" s="2323" customFormat="1">
      <c r="B150" s="2328"/>
      <c r="C150" s="2328"/>
      <c r="D150" s="2328"/>
      <c r="E150" s="2328"/>
      <c r="F150" s="2328"/>
      <c r="G150" s="2329"/>
      <c r="H150" s="2328"/>
      <c r="I150" s="2329"/>
      <c r="J150" s="2328"/>
      <c r="K150" s="2328"/>
      <c r="L150" s="2329"/>
      <c r="M150" s="2328"/>
      <c r="N150" s="2328"/>
      <c r="O150" s="2329"/>
      <c r="P150" s="2328"/>
      <c r="Q150" s="2328"/>
      <c r="R150" s="2330"/>
    </row>
    <row r="151" spans="2:18" s="2323" customFormat="1">
      <c r="B151" s="2328"/>
      <c r="C151" s="2328"/>
      <c r="D151" s="2328"/>
      <c r="E151" s="2328"/>
      <c r="F151" s="2328"/>
      <c r="G151" s="2329"/>
      <c r="H151" s="2328"/>
      <c r="I151" s="2329"/>
      <c r="J151" s="2328"/>
      <c r="K151" s="2328"/>
      <c r="L151" s="2329"/>
      <c r="M151" s="2328"/>
      <c r="N151" s="2328"/>
      <c r="O151" s="2329"/>
      <c r="P151" s="2328"/>
      <c r="Q151" s="2328"/>
      <c r="R151" s="2330"/>
    </row>
    <row r="152" spans="2:18" s="2323" customFormat="1">
      <c r="B152" s="2328"/>
      <c r="C152" s="2328"/>
      <c r="D152" s="2328"/>
      <c r="E152" s="2328"/>
      <c r="F152" s="2328"/>
      <c r="G152" s="2329"/>
      <c r="H152" s="2328"/>
      <c r="I152" s="2329"/>
      <c r="J152" s="2328"/>
      <c r="K152" s="2328"/>
      <c r="L152" s="2329"/>
      <c r="M152" s="2328"/>
      <c r="N152" s="2328"/>
      <c r="O152" s="2329"/>
      <c r="P152" s="2328"/>
      <c r="Q152" s="2328"/>
      <c r="R152" s="2330"/>
    </row>
    <row r="153" spans="2:18" s="2323" customFormat="1">
      <c r="B153" s="2328"/>
      <c r="C153" s="2328"/>
      <c r="D153" s="2328"/>
      <c r="E153" s="2328"/>
      <c r="F153" s="2328"/>
      <c r="G153" s="2329"/>
      <c r="H153" s="2328"/>
      <c r="I153" s="2329"/>
      <c r="J153" s="2328"/>
      <c r="K153" s="2328"/>
      <c r="L153" s="2329"/>
      <c r="M153" s="2328"/>
      <c r="N153" s="2328"/>
      <c r="O153" s="2329"/>
      <c r="P153" s="2328"/>
      <c r="Q153" s="2328"/>
      <c r="R153" s="2330"/>
    </row>
    <row r="154" spans="2:18" s="2323" customFormat="1">
      <c r="B154" s="2328"/>
      <c r="C154" s="2328"/>
      <c r="D154" s="2328"/>
      <c r="E154" s="2328"/>
      <c r="F154" s="2328"/>
      <c r="G154" s="2329"/>
      <c r="H154" s="2328"/>
      <c r="I154" s="2329"/>
      <c r="J154" s="2328"/>
      <c r="K154" s="2328"/>
      <c r="L154" s="2329"/>
      <c r="M154" s="2328"/>
      <c r="N154" s="2328"/>
      <c r="O154" s="2329"/>
      <c r="P154" s="2328"/>
      <c r="Q154" s="2328"/>
      <c r="R154" s="2330"/>
    </row>
    <row r="155" spans="2:18" s="2323" customFormat="1">
      <c r="B155" s="2328"/>
      <c r="C155" s="2328"/>
      <c r="D155" s="2328"/>
      <c r="E155" s="2328"/>
      <c r="F155" s="2328"/>
      <c r="G155" s="2329"/>
      <c r="H155" s="2328"/>
      <c r="I155" s="2329"/>
      <c r="J155" s="2328"/>
      <c r="K155" s="2328"/>
      <c r="L155" s="2329"/>
      <c r="M155" s="2328"/>
      <c r="N155" s="2328"/>
      <c r="O155" s="2329"/>
      <c r="P155" s="2328"/>
      <c r="Q155" s="2328"/>
      <c r="R155" s="2330"/>
    </row>
    <row r="156" spans="2:18" s="2323" customFormat="1">
      <c r="B156" s="2328"/>
      <c r="C156" s="2328"/>
      <c r="D156" s="2328"/>
      <c r="E156" s="2328"/>
      <c r="F156" s="2328"/>
      <c r="G156" s="2329"/>
      <c r="H156" s="2328"/>
      <c r="I156" s="2329"/>
      <c r="J156" s="2328"/>
      <c r="K156" s="2328"/>
      <c r="L156" s="2329"/>
      <c r="M156" s="2328"/>
      <c r="N156" s="2328"/>
      <c r="O156" s="2329"/>
      <c r="P156" s="2328"/>
      <c r="Q156" s="2328"/>
      <c r="R156" s="2330"/>
    </row>
    <row r="157" spans="2:18" s="2323" customFormat="1">
      <c r="B157" s="2328"/>
      <c r="C157" s="2328"/>
      <c r="D157" s="2328"/>
      <c r="E157" s="2328"/>
      <c r="F157" s="2328"/>
      <c r="G157" s="2329"/>
      <c r="H157" s="2328"/>
      <c r="I157" s="2329"/>
      <c r="J157" s="2328"/>
      <c r="K157" s="2328"/>
      <c r="L157" s="2329"/>
      <c r="M157" s="2328"/>
      <c r="N157" s="2328"/>
      <c r="O157" s="2329"/>
      <c r="P157" s="2328"/>
      <c r="Q157" s="2328"/>
      <c r="R157" s="2330"/>
    </row>
    <row r="158" spans="2:18" s="2323" customFormat="1">
      <c r="B158" s="2328"/>
      <c r="C158" s="2328"/>
      <c r="D158" s="2328"/>
      <c r="E158" s="2328"/>
      <c r="F158" s="2328"/>
      <c r="G158" s="2329"/>
      <c r="H158" s="2328"/>
      <c r="I158" s="2329"/>
      <c r="J158" s="2328"/>
      <c r="K158" s="2328"/>
      <c r="L158" s="2329"/>
      <c r="M158" s="2328"/>
      <c r="N158" s="2328"/>
      <c r="O158" s="2329"/>
      <c r="P158" s="2328"/>
      <c r="Q158" s="2328"/>
      <c r="R158" s="2330"/>
    </row>
    <row r="159" spans="2:18" s="2323" customFormat="1">
      <c r="B159" s="2328"/>
      <c r="C159" s="2328"/>
      <c r="D159" s="2328"/>
      <c r="E159" s="2328"/>
      <c r="F159" s="2328"/>
      <c r="G159" s="2329"/>
      <c r="H159" s="2328"/>
      <c r="I159" s="2329"/>
      <c r="J159" s="2328"/>
      <c r="K159" s="2328"/>
      <c r="L159" s="2329"/>
      <c r="M159" s="2328"/>
      <c r="N159" s="2328"/>
      <c r="O159" s="2329"/>
      <c r="P159" s="2328"/>
      <c r="Q159" s="2328"/>
      <c r="R159" s="2330"/>
    </row>
    <row r="160" spans="2:18" s="2323" customFormat="1">
      <c r="B160" s="2328"/>
      <c r="C160" s="2328"/>
      <c r="D160" s="2328"/>
      <c r="E160" s="2328"/>
      <c r="F160" s="2328"/>
      <c r="G160" s="2329"/>
      <c r="H160" s="2328"/>
      <c r="I160" s="2329"/>
      <c r="J160" s="2328"/>
      <c r="K160" s="2328"/>
      <c r="L160" s="2329"/>
      <c r="M160" s="2328"/>
      <c r="N160" s="2328"/>
      <c r="O160" s="2329"/>
      <c r="P160" s="2328"/>
      <c r="Q160" s="2328"/>
      <c r="R160" s="2330"/>
    </row>
    <row r="161" spans="2:18" s="2323" customFormat="1">
      <c r="B161" s="2328"/>
      <c r="C161" s="2328"/>
      <c r="D161" s="2328"/>
      <c r="E161" s="2328"/>
      <c r="F161" s="2328"/>
      <c r="G161" s="2329"/>
      <c r="H161" s="2328"/>
      <c r="I161" s="2329"/>
      <c r="J161" s="2328"/>
      <c r="K161" s="2328"/>
      <c r="L161" s="2329"/>
      <c r="M161" s="2328"/>
      <c r="N161" s="2328"/>
      <c r="O161" s="2329"/>
      <c r="P161" s="2328"/>
      <c r="Q161" s="2328"/>
      <c r="R161" s="2330"/>
    </row>
    <row r="162" spans="2:18" s="2323" customFormat="1">
      <c r="B162" s="2328"/>
      <c r="C162" s="2328"/>
      <c r="D162" s="2328"/>
      <c r="E162" s="2328"/>
      <c r="F162" s="2328"/>
      <c r="G162" s="2329"/>
      <c r="H162" s="2328"/>
      <c r="I162" s="2329"/>
      <c r="J162" s="2328"/>
      <c r="K162" s="2328"/>
      <c r="L162" s="2329"/>
      <c r="M162" s="2328"/>
      <c r="N162" s="2328"/>
      <c r="O162" s="2329"/>
      <c r="P162" s="2328"/>
      <c r="Q162" s="2328"/>
      <c r="R162" s="2330"/>
    </row>
    <row r="163" spans="2:18" s="2323" customFormat="1">
      <c r="B163" s="2328"/>
      <c r="C163" s="2328"/>
      <c r="D163" s="2328"/>
      <c r="E163" s="2328"/>
      <c r="F163" s="2328"/>
      <c r="G163" s="2329"/>
      <c r="H163" s="2328"/>
      <c r="I163" s="2329"/>
      <c r="J163" s="2328"/>
      <c r="K163" s="2328"/>
      <c r="L163" s="2329"/>
      <c r="M163" s="2328"/>
      <c r="N163" s="2328"/>
      <c r="O163" s="2329"/>
      <c r="P163" s="2328"/>
      <c r="Q163" s="2328"/>
      <c r="R163" s="2330"/>
    </row>
    <row r="164" spans="2:18" s="2323" customFormat="1">
      <c r="B164" s="2328"/>
      <c r="C164" s="2328"/>
      <c r="D164" s="2328"/>
      <c r="E164" s="2328"/>
      <c r="F164" s="2328"/>
      <c r="G164" s="2329"/>
      <c r="H164" s="2328"/>
      <c r="I164" s="2329"/>
      <c r="J164" s="2328"/>
      <c r="K164" s="2328"/>
      <c r="L164" s="2329"/>
      <c r="M164" s="2328"/>
      <c r="N164" s="2328"/>
      <c r="O164" s="2329"/>
      <c r="P164" s="2328"/>
      <c r="Q164" s="2328"/>
      <c r="R164" s="2330"/>
    </row>
    <row r="165" spans="2:18" s="2323" customFormat="1">
      <c r="B165" s="2328"/>
      <c r="C165" s="2328"/>
      <c r="D165" s="2328"/>
      <c r="E165" s="2328"/>
      <c r="F165" s="2328"/>
      <c r="G165" s="2329"/>
      <c r="H165" s="2328"/>
      <c r="I165" s="2329"/>
      <c r="J165" s="2328"/>
      <c r="K165" s="2328"/>
      <c r="L165" s="2329"/>
      <c r="M165" s="2328"/>
      <c r="N165" s="2328"/>
      <c r="O165" s="2329"/>
      <c r="P165" s="2328"/>
      <c r="Q165" s="2328"/>
      <c r="R165" s="2330"/>
    </row>
    <row r="166" spans="2:18" s="2323" customFormat="1">
      <c r="B166" s="2328"/>
      <c r="C166" s="2328"/>
      <c r="D166" s="2328"/>
      <c r="E166" s="2328"/>
      <c r="F166" s="2328"/>
      <c r="G166" s="2329"/>
      <c r="H166" s="2328"/>
      <c r="I166" s="2329"/>
      <c r="J166" s="2328"/>
      <c r="K166" s="2328"/>
      <c r="L166" s="2329"/>
      <c r="M166" s="2328"/>
      <c r="N166" s="2328"/>
      <c r="O166" s="2329"/>
      <c r="P166" s="2328"/>
      <c r="Q166" s="2328"/>
      <c r="R166" s="2330"/>
    </row>
    <row r="167" spans="2:18" s="2323" customFormat="1">
      <c r="B167" s="2328"/>
      <c r="C167" s="2328"/>
      <c r="D167" s="2328"/>
      <c r="E167" s="2328"/>
      <c r="F167" s="2328"/>
      <c r="G167" s="2329"/>
      <c r="H167" s="2328"/>
      <c r="I167" s="2329"/>
      <c r="J167" s="2328"/>
      <c r="K167" s="2328"/>
      <c r="L167" s="2329"/>
      <c r="M167" s="2328"/>
      <c r="N167" s="2328"/>
      <c r="O167" s="2329"/>
      <c r="P167" s="2328"/>
      <c r="Q167" s="2328"/>
      <c r="R167" s="2330"/>
    </row>
    <row r="168" spans="2:18" s="2323" customFormat="1">
      <c r="B168" s="2328"/>
      <c r="C168" s="2328"/>
      <c r="D168" s="2328"/>
      <c r="E168" s="2328"/>
      <c r="F168" s="2328"/>
      <c r="G168" s="2329"/>
      <c r="H168" s="2328"/>
      <c r="I168" s="2329"/>
      <c r="J168" s="2328"/>
      <c r="K168" s="2328"/>
      <c r="L168" s="2329"/>
      <c r="M168" s="2328"/>
      <c r="N168" s="2328"/>
      <c r="O168" s="2329"/>
      <c r="P168" s="2328"/>
      <c r="Q168" s="2328"/>
      <c r="R168" s="2330"/>
    </row>
    <row r="169" spans="2:18" s="2323" customFormat="1">
      <c r="B169" s="2328"/>
      <c r="C169" s="2328"/>
      <c r="D169" s="2328"/>
      <c r="E169" s="2328"/>
      <c r="F169" s="2328"/>
      <c r="G169" s="2329"/>
      <c r="H169" s="2328"/>
      <c r="I169" s="2329"/>
      <c r="J169" s="2328"/>
      <c r="K169" s="2328"/>
      <c r="L169" s="2329"/>
      <c r="M169" s="2328"/>
      <c r="N169" s="2328"/>
      <c r="O169" s="2329"/>
      <c r="P169" s="2328"/>
      <c r="Q169" s="2328"/>
      <c r="R169" s="2330"/>
    </row>
    <row r="170" spans="2:18" s="2323" customFormat="1">
      <c r="B170" s="2328"/>
      <c r="C170" s="2328"/>
      <c r="D170" s="2328"/>
      <c r="E170" s="2328"/>
      <c r="F170" s="2328"/>
      <c r="G170" s="2329"/>
      <c r="H170" s="2328"/>
      <c r="I170" s="2329"/>
      <c r="J170" s="2328"/>
      <c r="K170" s="2328"/>
      <c r="L170" s="2329"/>
      <c r="M170" s="2328"/>
      <c r="N170" s="2328"/>
      <c r="O170" s="2329"/>
      <c r="P170" s="2328"/>
      <c r="Q170" s="2328"/>
      <c r="R170" s="2330"/>
    </row>
    <row r="171" spans="2:18" s="2323" customFormat="1">
      <c r="B171" s="2328"/>
      <c r="C171" s="2328"/>
      <c r="D171" s="2328"/>
      <c r="E171" s="2328"/>
      <c r="F171" s="2328"/>
      <c r="G171" s="2329"/>
      <c r="H171" s="2328"/>
      <c r="I171" s="2329"/>
      <c r="J171" s="2328"/>
      <c r="K171" s="2328"/>
      <c r="L171" s="2329"/>
      <c r="M171" s="2328"/>
      <c r="N171" s="2328"/>
      <c r="O171" s="2329"/>
      <c r="P171" s="2328"/>
      <c r="Q171" s="2328"/>
      <c r="R171" s="2330"/>
    </row>
    <row r="172" spans="2:18" s="2323" customFormat="1">
      <c r="B172" s="2328"/>
      <c r="C172" s="2328"/>
      <c r="D172" s="2328"/>
      <c r="E172" s="2328"/>
      <c r="F172" s="2328"/>
      <c r="G172" s="2329"/>
      <c r="H172" s="2328"/>
      <c r="I172" s="2329"/>
      <c r="J172" s="2328"/>
      <c r="K172" s="2328"/>
      <c r="L172" s="2329"/>
      <c r="M172" s="2328"/>
      <c r="N172" s="2328"/>
      <c r="O172" s="2329"/>
      <c r="P172" s="2328"/>
      <c r="Q172" s="2328"/>
      <c r="R172" s="2330"/>
    </row>
    <row r="173" spans="2:18" s="2323" customFormat="1">
      <c r="B173" s="2328"/>
      <c r="C173" s="2328"/>
      <c r="D173" s="2328"/>
      <c r="E173" s="2328"/>
      <c r="F173" s="2328"/>
      <c r="G173" s="2329"/>
      <c r="H173" s="2328"/>
      <c r="I173" s="2329"/>
      <c r="J173" s="2328"/>
      <c r="K173" s="2328"/>
      <c r="L173" s="2329"/>
      <c r="M173" s="2328"/>
      <c r="N173" s="2328"/>
      <c r="O173" s="2329"/>
      <c r="P173" s="2328"/>
      <c r="Q173" s="2328"/>
      <c r="R173" s="2330"/>
    </row>
    <row r="174" spans="2:18" s="2323" customFormat="1">
      <c r="B174" s="2328"/>
      <c r="C174" s="2328"/>
      <c r="D174" s="2328"/>
      <c r="E174" s="2328"/>
      <c r="F174" s="2328"/>
      <c r="G174" s="2329"/>
      <c r="H174" s="2328"/>
      <c r="I174" s="2329"/>
      <c r="J174" s="2328"/>
      <c r="K174" s="2328"/>
      <c r="L174" s="2329"/>
      <c r="M174" s="2328"/>
      <c r="N174" s="2328"/>
      <c r="O174" s="2329"/>
      <c r="P174" s="2328"/>
      <c r="Q174" s="2328"/>
      <c r="R174" s="2330"/>
    </row>
    <row r="175" spans="2:18" s="2323" customFormat="1">
      <c r="B175" s="2328"/>
      <c r="C175" s="2328"/>
      <c r="D175" s="2328"/>
      <c r="E175" s="2328"/>
      <c r="F175" s="2328"/>
      <c r="G175" s="2329"/>
      <c r="H175" s="2328"/>
      <c r="I175" s="2329"/>
      <c r="J175" s="2328"/>
      <c r="K175" s="2328"/>
      <c r="L175" s="2329"/>
      <c r="M175" s="2328"/>
      <c r="N175" s="2328"/>
      <c r="O175" s="2329"/>
      <c r="P175" s="2328"/>
      <c r="Q175" s="2328"/>
      <c r="R175" s="2330"/>
    </row>
    <row r="176" spans="2:18" s="2323" customFormat="1">
      <c r="B176" s="2328"/>
      <c r="C176" s="2328"/>
      <c r="D176" s="2328"/>
      <c r="E176" s="2328"/>
      <c r="F176" s="2328"/>
      <c r="G176" s="2329"/>
      <c r="H176" s="2328"/>
      <c r="I176" s="2329"/>
      <c r="J176" s="2328"/>
      <c r="K176" s="2328"/>
      <c r="L176" s="2329"/>
      <c r="M176" s="2328"/>
      <c r="N176" s="2328"/>
      <c r="O176" s="2329"/>
      <c r="P176" s="2328"/>
      <c r="Q176" s="2328"/>
      <c r="R176" s="2330"/>
    </row>
    <row r="177" spans="1:18" s="2323" customFormat="1">
      <c r="B177" s="2328"/>
      <c r="C177" s="2328"/>
      <c r="D177" s="2328"/>
      <c r="E177" s="2328"/>
      <c r="F177" s="2328"/>
      <c r="G177" s="2329"/>
      <c r="H177" s="2328"/>
      <c r="I177" s="2329"/>
      <c r="J177" s="2328"/>
      <c r="K177" s="2328"/>
      <c r="L177" s="2329"/>
      <c r="M177" s="2328"/>
      <c r="N177" s="2328"/>
      <c r="O177" s="2329"/>
      <c r="P177" s="2328"/>
      <c r="Q177" s="2328"/>
      <c r="R177" s="2330"/>
    </row>
    <row r="178" spans="1:18" s="2323" customFormat="1">
      <c r="B178" s="2328"/>
      <c r="C178" s="2328"/>
      <c r="D178" s="2328"/>
      <c r="E178" s="2328"/>
      <c r="F178" s="2328"/>
      <c r="G178" s="2329"/>
      <c r="H178" s="2328"/>
      <c r="I178" s="2329"/>
      <c r="J178" s="2328"/>
      <c r="K178" s="2328"/>
      <c r="L178" s="2329"/>
      <c r="M178" s="2328"/>
      <c r="N178" s="2328"/>
      <c r="O178" s="2329"/>
      <c r="P178" s="2328"/>
      <c r="Q178" s="2328"/>
      <c r="R178" s="2330"/>
    </row>
    <row r="179" spans="1:18" s="2323" customFormat="1">
      <c r="B179" s="2328"/>
      <c r="C179" s="2328"/>
      <c r="D179" s="2328"/>
      <c r="E179" s="2328"/>
      <c r="F179" s="2328"/>
      <c r="G179" s="2329"/>
      <c r="H179" s="2328"/>
      <c r="I179" s="2329"/>
      <c r="J179" s="2328"/>
      <c r="K179" s="2328"/>
      <c r="L179" s="2329"/>
      <c r="M179" s="2328"/>
      <c r="N179" s="2328"/>
      <c r="O179" s="2329"/>
      <c r="P179" s="2328"/>
      <c r="Q179" s="2328"/>
      <c r="R179" s="2330"/>
    </row>
    <row r="180" spans="1:18" s="2323" customFormat="1">
      <c r="B180" s="2328"/>
      <c r="C180" s="2328"/>
      <c r="D180" s="2328"/>
      <c r="E180" s="2328"/>
      <c r="F180" s="2328"/>
      <c r="G180" s="2329"/>
      <c r="H180" s="2328"/>
      <c r="I180" s="2329"/>
      <c r="J180" s="2328"/>
      <c r="K180" s="2328"/>
      <c r="L180" s="2329"/>
      <c r="M180" s="2328"/>
      <c r="N180" s="2328"/>
      <c r="O180" s="2329"/>
      <c r="P180" s="2328"/>
      <c r="Q180" s="2328"/>
      <c r="R180" s="2330"/>
    </row>
    <row r="181" spans="1:18" s="2323" customFormat="1">
      <c r="B181" s="2328"/>
      <c r="C181" s="2328"/>
      <c r="D181" s="2328"/>
      <c r="E181" s="2328"/>
      <c r="F181" s="2328"/>
      <c r="G181" s="2329"/>
      <c r="H181" s="2328"/>
      <c r="I181" s="2329"/>
      <c r="J181" s="2328"/>
      <c r="K181" s="2328"/>
      <c r="L181" s="2329"/>
      <c r="M181" s="2328"/>
      <c r="N181" s="2328"/>
      <c r="O181" s="2329"/>
      <c r="P181" s="2328"/>
      <c r="Q181" s="2328"/>
      <c r="R181" s="2330"/>
    </row>
    <row r="182" spans="1:18" s="2323" customFormat="1">
      <c r="B182" s="2328"/>
      <c r="C182" s="2328"/>
      <c r="D182" s="2328"/>
      <c r="E182" s="2328"/>
      <c r="F182" s="2328"/>
      <c r="G182" s="2329"/>
      <c r="H182" s="2328"/>
      <c r="I182" s="2329"/>
      <c r="J182" s="2328"/>
      <c r="K182" s="2328"/>
      <c r="L182" s="2329"/>
      <c r="M182" s="2328"/>
      <c r="N182" s="2328"/>
      <c r="O182" s="2329"/>
      <c r="P182" s="2328"/>
      <c r="Q182" s="2328"/>
      <c r="R182" s="2330"/>
    </row>
    <row r="183" spans="1:18" s="2323" customFormat="1">
      <c r="B183" s="2328"/>
      <c r="C183" s="2328"/>
      <c r="D183" s="2328"/>
      <c r="E183" s="2328"/>
      <c r="F183" s="2328"/>
      <c r="G183" s="2329"/>
      <c r="H183" s="2328"/>
      <c r="I183" s="2329"/>
      <c r="J183" s="2328"/>
      <c r="K183" s="2328"/>
      <c r="L183" s="2329"/>
      <c r="M183" s="2328"/>
      <c r="N183" s="2328"/>
      <c r="O183" s="2329"/>
      <c r="P183" s="2328"/>
      <c r="Q183" s="2328"/>
      <c r="R183" s="2330"/>
    </row>
    <row r="184" spans="1:18" s="2323" customFormat="1">
      <c r="B184" s="2328"/>
      <c r="C184" s="2328"/>
      <c r="D184" s="2328"/>
      <c r="E184" s="2328"/>
      <c r="F184" s="2328"/>
      <c r="G184" s="2329"/>
      <c r="H184" s="2328"/>
      <c r="I184" s="2329"/>
      <c r="J184" s="2328"/>
      <c r="K184" s="2328"/>
      <c r="L184" s="2329"/>
      <c r="M184" s="2328"/>
      <c r="N184" s="2328"/>
      <c r="O184" s="2329"/>
      <c r="P184" s="2328"/>
      <c r="Q184" s="2328"/>
      <c r="R184" s="2330"/>
    </row>
    <row r="185" spans="1:18" s="2323" customFormat="1">
      <c r="B185" s="2328"/>
      <c r="C185" s="2328"/>
      <c r="D185" s="2328"/>
      <c r="E185" s="2328"/>
      <c r="F185" s="2328"/>
      <c r="G185" s="2329"/>
      <c r="H185" s="2328"/>
      <c r="I185" s="2329"/>
      <c r="J185" s="2328"/>
      <c r="K185" s="2328"/>
      <c r="L185" s="2329"/>
      <c r="M185" s="2328"/>
      <c r="N185" s="2328"/>
      <c r="O185" s="2329"/>
      <c r="P185" s="2328"/>
      <c r="Q185" s="2328"/>
      <c r="R185" s="2330"/>
    </row>
    <row r="186" spans="1:18">
      <c r="A186" s="2323"/>
      <c r="B186" s="2328"/>
      <c r="C186" s="2328"/>
      <c r="E186" s="2328"/>
      <c r="F186" s="2328"/>
      <c r="G186" s="2329"/>
    </row>
    <row r="187" spans="1:18">
      <c r="A187" s="2323"/>
      <c r="B187" s="2328"/>
      <c r="C187" s="2328"/>
      <c r="E187" s="2328"/>
      <c r="F187" s="2328"/>
      <c r="G187" s="2329"/>
    </row>
  </sheetData>
  <sheetProtection password="C66D" sheet="1" objects="1" scenarios="1" formatCells="0" formatColumns="0" formatRows="0"/>
  <mergeCells count="1">
    <mergeCell ref="A1:G1"/>
  </mergeCells>
  <phoneticPr fontId="225" type="noConversion"/>
  <dataValidations count="1">
    <dataValidation type="list" allowBlank="1" showInputMessage="1" showErrorMessage="1" sqref="G21 C23">
      <formula1>临街状况</formula1>
    </dataValidation>
  </dataValidations>
  <pageMargins left="0.69930555555555596" right="0.69930555555555596" top="0.75" bottom="0.75" header="0.3" footer="0.3"/>
  <pageSetup paperSize="9" scale="26" fitToHeight="0" orientation="portrait"/>
  <legacy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U23"/>
  <sheetViews>
    <sheetView tabSelected="1" workbookViewId="0">
      <selection activeCell="H4" sqref="H4"/>
    </sheetView>
  </sheetViews>
  <sheetFormatPr defaultColWidth="9" defaultRowHeight="13.5"/>
  <cols>
    <col min="1" max="1" width="23.375" style="2312" customWidth="1"/>
    <col min="2" max="9" width="15.75" style="2312" customWidth="1"/>
    <col min="10" max="16" width="9" style="2312"/>
    <col min="17" max="17" width="9.5" style="2312" hidden="1" customWidth="1"/>
    <col min="18" max="21" width="9" style="2312" hidden="1" customWidth="1"/>
    <col min="22" max="16384" width="9" style="2312"/>
  </cols>
  <sheetData>
    <row r="1" spans="1:21" ht="16.5">
      <c r="A1" s="2313" t="s">
        <v>666</v>
      </c>
      <c r="B1" s="2313">
        <f>SUM(B14:B23)</f>
        <v>1174946.6000000001</v>
      </c>
      <c r="C1" s="2314"/>
      <c r="D1" s="2314"/>
      <c r="E1" s="2314"/>
      <c r="F1" s="2314"/>
      <c r="G1" s="2315"/>
    </row>
    <row r="2" spans="1:21" ht="16.5">
      <c r="A2" s="2313" t="s">
        <v>667</v>
      </c>
      <c r="B2" s="2313">
        <f>SUM(C14:C23)</f>
        <v>587733.98</v>
      </c>
      <c r="C2" s="2314"/>
      <c r="D2" s="2314"/>
      <c r="E2" s="2314"/>
      <c r="F2" s="2314"/>
      <c r="G2" s="2315"/>
    </row>
    <row r="3" spans="1:21" ht="16.5">
      <c r="A3" s="2313" t="s">
        <v>668</v>
      </c>
      <c r="B3" s="2316">
        <f>项目基本情况!D3</f>
        <v>43361</v>
      </c>
      <c r="C3" s="2314"/>
      <c r="D3" s="2314"/>
      <c r="E3" s="2314"/>
      <c r="F3" s="2314"/>
      <c r="G3" s="2315"/>
    </row>
    <row r="4" spans="1:21" ht="33">
      <c r="A4" s="2313" t="s">
        <v>669</v>
      </c>
      <c r="B4" s="2313" t="s">
        <v>670</v>
      </c>
      <c r="C4" s="2313" t="s">
        <v>671</v>
      </c>
      <c r="D4" s="2313" t="s">
        <v>672</v>
      </c>
      <c r="E4" s="2314"/>
      <c r="F4" s="2315"/>
      <c r="G4" s="2315"/>
    </row>
    <row r="5" spans="1:21" ht="16.5">
      <c r="A5" s="2313" t="s">
        <v>673</v>
      </c>
      <c r="B5" s="2313">
        <f ca="1">SUM(D14:D23)</f>
        <v>736289</v>
      </c>
      <c r="C5" s="2313">
        <f ca="1">ROUND(B5*10000/$B$1,0)</f>
        <v>6267</v>
      </c>
      <c r="D5" s="2313">
        <f ca="1">ROUND(B5*10000/$B$2,0)</f>
        <v>12528</v>
      </c>
      <c r="E5" s="2314"/>
      <c r="F5" s="2315"/>
      <c r="G5" s="2315"/>
    </row>
    <row r="6" spans="1:21" ht="16.5">
      <c r="A6" s="2313" t="s">
        <v>674</v>
      </c>
      <c r="B6" s="2313">
        <f ca="1">SUM(G14:G23)</f>
        <v>736289</v>
      </c>
      <c r="C6" s="2313">
        <f ca="1">ROUND(B6*10000/$B$1,0)</f>
        <v>6267</v>
      </c>
      <c r="D6" s="2313">
        <f ca="1">ROUND(B6*10000/$B$2,0)</f>
        <v>12528</v>
      </c>
      <c r="E6" s="2314"/>
      <c r="F6" s="2315"/>
      <c r="G6" s="2315"/>
    </row>
    <row r="7" spans="1:21" ht="16.5">
      <c r="A7" s="2313" t="s">
        <v>675</v>
      </c>
      <c r="B7" s="2313">
        <f ca="1">SUM(H14:H23)</f>
        <v>93418</v>
      </c>
      <c r="C7" s="2313">
        <f ca="1">ROUND(B7*10000/$B$1,0)</f>
        <v>795</v>
      </c>
      <c r="D7" s="2313">
        <f ca="1">ROUND(B7*10000/$B$2,0)</f>
        <v>1589</v>
      </c>
      <c r="E7" s="2314"/>
      <c r="F7" s="2315"/>
      <c r="G7" s="2315"/>
    </row>
    <row r="8" spans="1:21" ht="16.5">
      <c r="A8" s="2313" t="s">
        <v>329</v>
      </c>
      <c r="B8" s="2313">
        <f>SUM(I14:I23)</f>
        <v>0</v>
      </c>
      <c r="C8" s="2313">
        <f>ROUND(B8*10000/$B$1,0)</f>
        <v>0</v>
      </c>
      <c r="D8" s="2313">
        <f>ROUND(B8*10000/$B$2,0)</f>
        <v>0</v>
      </c>
      <c r="E8" s="2314"/>
      <c r="F8" s="2315"/>
      <c r="G8" s="2315"/>
    </row>
    <row r="9" spans="1:21" ht="16.5">
      <c r="A9" s="2313" t="s">
        <v>676</v>
      </c>
      <c r="B9" s="2317"/>
      <c r="C9" s="2314"/>
      <c r="D9" s="2314"/>
      <c r="E9" s="2314"/>
      <c r="F9" s="2315"/>
      <c r="G9" s="2315"/>
    </row>
    <row r="10" spans="1:21" ht="16.5">
      <c r="A10" s="2313" t="s">
        <v>677</v>
      </c>
      <c r="B10" s="2317"/>
      <c r="C10" s="2314"/>
      <c r="D10" s="2314"/>
      <c r="E10" s="2314"/>
      <c r="F10" s="2315"/>
      <c r="G10" s="2315"/>
    </row>
    <row r="11" spans="1:21" ht="16.5">
      <c r="A11" s="2313" t="s">
        <v>678</v>
      </c>
      <c r="B11" s="2317"/>
      <c r="C11" s="2314"/>
      <c r="D11" s="2314"/>
      <c r="E11" s="2314"/>
      <c r="F11" s="2315"/>
      <c r="G11" s="2315"/>
    </row>
    <row r="12" spans="1:21" ht="16.5">
      <c r="A12" s="2314"/>
      <c r="B12" s="2314"/>
      <c r="C12" s="2314"/>
      <c r="D12" s="2314"/>
      <c r="E12" s="2314"/>
      <c r="F12" s="2315"/>
      <c r="G12" s="2315"/>
      <c r="K12" s="3173">
        <f>K14*典型户型修正!Q24</f>
        <v>4.3999999999999997E-2</v>
      </c>
      <c r="L12" s="3173">
        <f>L14*典型户型修正!Q25</f>
        <v>0.10919999999999999</v>
      </c>
      <c r="M12" s="3173">
        <f>M14*典型户型修正!Q26</f>
        <v>0.28149999999999997</v>
      </c>
      <c r="N12" s="3173">
        <f>N14*典型户型修正!Q27</f>
        <v>9.4949999999999993E-2</v>
      </c>
      <c r="P12" s="3172">
        <f>K12+L12+M12+N12</f>
        <v>0.52964999999999995</v>
      </c>
    </row>
    <row r="13" spans="1:21" ht="33">
      <c r="A13" s="2318" t="s">
        <v>679</v>
      </c>
      <c r="B13" s="2319" t="s">
        <v>666</v>
      </c>
      <c r="C13" s="2319" t="s">
        <v>667</v>
      </c>
      <c r="D13" s="2319" t="s">
        <v>680</v>
      </c>
      <c r="E13" s="2313" t="s">
        <v>671</v>
      </c>
      <c r="F13" s="2313" t="s">
        <v>672</v>
      </c>
      <c r="G13" s="2319" t="s">
        <v>681</v>
      </c>
      <c r="H13" s="2319" t="s">
        <v>682</v>
      </c>
      <c r="I13" s="2319" t="s">
        <v>683</v>
      </c>
      <c r="J13" s="2313" t="s">
        <v>3403</v>
      </c>
      <c r="K13" s="2313" t="s">
        <v>3410</v>
      </c>
      <c r="L13" s="2313" t="s">
        <v>3411</v>
      </c>
      <c r="M13" s="2313" t="s">
        <v>3412</v>
      </c>
      <c r="N13" s="2313" t="s">
        <v>3413</v>
      </c>
      <c r="O13" s="2313" t="s">
        <v>3414</v>
      </c>
      <c r="Q13" s="2312" t="str">
        <f>K13</f>
        <v>1层</v>
      </c>
      <c r="R13" s="2312" t="str">
        <f t="shared" ref="R13:U13" si="0">L13</f>
        <v>2层</v>
      </c>
      <c r="S13" s="2312" t="str">
        <f t="shared" si="0"/>
        <v>3层</v>
      </c>
      <c r="T13" s="2312" t="str">
        <f t="shared" si="0"/>
        <v>4层</v>
      </c>
      <c r="U13" s="2312" t="str">
        <f t="shared" si="0"/>
        <v>底商</v>
      </c>
    </row>
    <row r="14" spans="1:21" ht="16.5">
      <c r="A14" s="3166" t="s">
        <v>3401</v>
      </c>
      <c r="B14" s="3168">
        <f>结果表!B118</f>
        <v>98873.18</v>
      </c>
      <c r="C14" s="3168">
        <f>结果表!C118</f>
        <v>45839.15</v>
      </c>
      <c r="D14" s="3168">
        <f ca="1">结果表!H118</f>
        <v>93418</v>
      </c>
      <c r="E14" s="3168">
        <f ca="1">ROUND(D14*10000/B14,0)</f>
        <v>9448</v>
      </c>
      <c r="F14" s="3168">
        <f ca="1">ROUND(D14*10000/C14,0)</f>
        <v>20380</v>
      </c>
      <c r="G14" s="2319">
        <f ca="1">结果表!D122</f>
        <v>93418</v>
      </c>
      <c r="H14" s="2319">
        <f ca="1">结果表!D124</f>
        <v>93418</v>
      </c>
      <c r="I14" s="2319" t="str">
        <f>结果表!D126</f>
        <v>——</v>
      </c>
      <c r="J14" s="3169">
        <f>'数据-汇总表'!I7</f>
        <v>2.16</v>
      </c>
      <c r="K14" s="3171">
        <f>ROUND(Q14/$B14,3)</f>
        <v>4.3999999999999997E-2</v>
      </c>
      <c r="L14" s="3171">
        <f t="shared" ref="L14:O14" si="1">ROUND(R14/$B14,3)</f>
        <v>0.182</v>
      </c>
      <c r="M14" s="3171">
        <f t="shared" si="1"/>
        <v>0.56299999999999994</v>
      </c>
      <c r="N14" s="3171">
        <f t="shared" si="1"/>
        <v>0.21099999999999999</v>
      </c>
      <c r="O14" s="3171">
        <f t="shared" si="1"/>
        <v>0</v>
      </c>
      <c r="P14" s="3172">
        <f>ROUND((K14*典型户型修正!$Q$24+系统读取表!L14*典型户型修正!$Q$25+系统读取表!M14*典型户型修正!$Q$26+系统读取表!N14*典型户型修正!$Q$27),3)</f>
        <v>0.53</v>
      </c>
      <c r="Q14" s="2312">
        <f>'数据-汇总表'!F19</f>
        <v>4322.1499999999996</v>
      </c>
      <c r="R14" s="2312">
        <f>'数据-汇总表'!F20</f>
        <v>18020.97</v>
      </c>
      <c r="S14" s="2312">
        <f>'数据-汇总表'!F21</f>
        <v>55674.09</v>
      </c>
      <c r="T14" s="2312">
        <f>'数据-汇总表'!F22</f>
        <v>20855.97</v>
      </c>
      <c r="U14" s="2312">
        <v>0</v>
      </c>
    </row>
    <row r="15" spans="1:21" ht="16.5">
      <c r="A15" s="3166" t="s">
        <v>3404</v>
      </c>
      <c r="B15" s="3168">
        <f>'[1]数据-汇总表'!$E$3</f>
        <v>216866.24000000005</v>
      </c>
      <c r="C15" s="3168">
        <f>'[1]数据-汇总表'!$D$3</f>
        <v>103584.97</v>
      </c>
      <c r="D15" s="3168">
        <f ca="1">[1]结果表!$G$19</f>
        <v>238837</v>
      </c>
      <c r="E15" s="3168">
        <f t="shared" ref="E15:E23" ca="1" si="2">ROUND(D15*10000/B15,0)</f>
        <v>11013</v>
      </c>
      <c r="F15" s="3168">
        <f t="shared" ref="F15:F23" ca="1" si="3">ROUND(D15*10000/C15,0)</f>
        <v>23057</v>
      </c>
      <c r="G15" s="2321">
        <f ca="1">D15</f>
        <v>238837</v>
      </c>
      <c r="H15" s="2321"/>
      <c r="I15" s="2320"/>
      <c r="J15" s="3169">
        <f>'[1]数据-汇总表'!$I$7</f>
        <v>2.09</v>
      </c>
      <c r="K15" s="3171">
        <f t="shared" ref="K15:K19" si="4">ROUND(Q15/$B15,3)</f>
        <v>0.16300000000000001</v>
      </c>
      <c r="L15" s="3171">
        <f t="shared" ref="L15:L19" si="5">ROUND(R15/$B15,3)</f>
        <v>0.33</v>
      </c>
      <c r="M15" s="3171">
        <f t="shared" ref="M15:M19" si="6">ROUND(S15/$B15,3)</f>
        <v>0.151</v>
      </c>
      <c r="N15" s="3171">
        <f t="shared" ref="N15:N19" si="7">ROUND(T15/$B15,3)</f>
        <v>0.154</v>
      </c>
      <c r="O15" s="3171">
        <f t="shared" ref="O15:O19" si="8">ROUND(U15/$B15,3)</f>
        <v>0.20200000000000001</v>
      </c>
      <c r="P15" s="3172">
        <f>ROUND((K15*典型户型修正!$Q$24+系统读取表!L15*典型户型修正!$Q$25+系统读取表!M15*典型户型修正!$Q$26+系统读取表!N15*典型户型修正!$Q$27+O15*1.1),3)</f>
        <v>0.72799999999999998</v>
      </c>
      <c r="Q15" s="3167">
        <f>'[1]数据-汇总表'!$F$19</f>
        <v>35264.9</v>
      </c>
      <c r="R15" s="2312">
        <f>'[1]数据-汇总表'!$F$20</f>
        <v>71582.89</v>
      </c>
      <c r="S15" s="2312">
        <f>'[1]数据-汇总表'!$F$21</f>
        <v>32841.54</v>
      </c>
      <c r="T15" s="2312">
        <f>'[1]数据-汇总表'!$F$22</f>
        <v>33292.83</v>
      </c>
      <c r="U15" s="2312">
        <f>'[1]数据-汇总表'!$F$23</f>
        <v>43884.08</v>
      </c>
    </row>
    <row r="16" spans="1:21" ht="16.5">
      <c r="A16" s="3166" t="s">
        <v>3405</v>
      </c>
      <c r="B16" s="3168">
        <f>'[2]数据-汇总表'!$E$3</f>
        <v>77022.58</v>
      </c>
      <c r="C16" s="3168">
        <f>'[2]数据-汇总表'!$D$3</f>
        <v>36932.03</v>
      </c>
      <c r="D16" s="3168">
        <f ca="1">[2]结果表!$G$19</f>
        <v>76321</v>
      </c>
      <c r="E16" s="3168">
        <f t="shared" ca="1" si="2"/>
        <v>9909</v>
      </c>
      <c r="F16" s="3168">
        <f t="shared" ca="1" si="3"/>
        <v>20665</v>
      </c>
      <c r="G16" s="2321">
        <f t="shared" ref="G16:G22" ca="1" si="9">D16</f>
        <v>76321</v>
      </c>
      <c r="H16" s="2321"/>
      <c r="I16" s="2320"/>
      <c r="J16" s="3169">
        <f>'[2]数据-汇总表'!$I$7</f>
        <v>2.09</v>
      </c>
      <c r="K16" s="3171">
        <f t="shared" si="4"/>
        <v>0.114</v>
      </c>
      <c r="L16" s="3171">
        <f t="shared" si="5"/>
        <v>0.215</v>
      </c>
      <c r="M16" s="3171">
        <f t="shared" si="6"/>
        <v>0.14599999999999999</v>
      </c>
      <c r="N16" s="3171">
        <f t="shared" si="7"/>
        <v>0.52500000000000002</v>
      </c>
      <c r="O16" s="3171">
        <f t="shared" si="8"/>
        <v>0</v>
      </c>
      <c r="P16" s="3172">
        <f>ROUND((K16*典型户型修正!$Q$24+系统读取表!L16*典型户型修正!$Q$25+系统读取表!M16*典型户型修正!$Q$26+系统读取表!N16*典型户型修正!$Q$27),3)</f>
        <v>0.55200000000000005</v>
      </c>
      <c r="Q16" s="2312">
        <f>'[2]数据-汇总表'!$F$19</f>
        <v>8791.68</v>
      </c>
      <c r="R16" s="2312">
        <f>'[2]数据-汇总表'!$F$20</f>
        <v>16554.439999999999</v>
      </c>
      <c r="S16" s="2312">
        <f>'[2]数据-汇总表'!$F$21</f>
        <v>11269.57</v>
      </c>
      <c r="T16" s="2312">
        <f>'[2]数据-汇总表'!$F$22</f>
        <v>40406.89</v>
      </c>
      <c r="U16" s="2312">
        <v>0</v>
      </c>
    </row>
    <row r="17" spans="1:20" ht="16.5">
      <c r="A17" s="3166" t="s">
        <v>3406</v>
      </c>
      <c r="B17" s="3168">
        <f>'[3]数据-汇总表'!$E$3</f>
        <v>107998.27</v>
      </c>
      <c r="C17" s="3168">
        <f>'[3]数据-汇总表'!$D$3</f>
        <v>55894.91</v>
      </c>
      <c r="D17" s="3168">
        <f ca="1">[3]结果表!$G$19</f>
        <v>88276</v>
      </c>
      <c r="E17" s="3168">
        <f t="shared" ca="1" si="2"/>
        <v>8174</v>
      </c>
      <c r="F17" s="3168">
        <f t="shared" ca="1" si="3"/>
        <v>15793</v>
      </c>
      <c r="G17" s="2321">
        <f t="shared" ca="1" si="9"/>
        <v>88276</v>
      </c>
      <c r="H17" s="2321"/>
      <c r="I17" s="2320"/>
      <c r="J17" s="3169">
        <f>'[3]数据-汇总表'!$I$7</f>
        <v>2</v>
      </c>
      <c r="K17" s="3171">
        <f t="shared" si="4"/>
        <v>0.21099999999999999</v>
      </c>
      <c r="L17" s="3171">
        <f t="shared" si="5"/>
        <v>0.40699999999999997</v>
      </c>
      <c r="M17" s="3171">
        <f t="shared" si="6"/>
        <v>0.221</v>
      </c>
      <c r="N17" s="3171">
        <f t="shared" si="7"/>
        <v>0.161</v>
      </c>
      <c r="O17" s="3171">
        <f t="shared" si="8"/>
        <v>0</v>
      </c>
      <c r="P17" s="3172">
        <f>ROUND((K17*典型户型修正!$Q$24+系统读取表!L17*典型户型修正!$Q$25+系统读取表!M17*典型户型修正!$Q$26+系统读取表!N17*典型户型修正!$Q$27),3)</f>
        <v>0.63800000000000001</v>
      </c>
      <c r="Q17" s="2312">
        <f>'[3]数据-汇总表'!$F$19</f>
        <v>22824.91</v>
      </c>
      <c r="R17" s="2312">
        <f>'[3]数据-汇总表'!$F$20</f>
        <v>43921.59</v>
      </c>
      <c r="S17" s="2312">
        <f>'[3]数据-汇总表'!$F$21</f>
        <v>23889.02</v>
      </c>
      <c r="T17" s="2312">
        <f>'[3]数据-汇总表'!$F$22</f>
        <v>17362.75</v>
      </c>
    </row>
    <row r="18" spans="1:20" ht="16.5">
      <c r="A18" s="3166" t="s">
        <v>3407</v>
      </c>
      <c r="B18" s="3168">
        <f>'[4]数据-汇总表'!$E$3</f>
        <v>11057.09</v>
      </c>
      <c r="C18" s="3168">
        <f>'[4]数据-汇总表'!$D$3</f>
        <v>5925.32</v>
      </c>
      <c r="D18" s="3168">
        <f ca="1">[4]结果表!$G$19</f>
        <v>8758</v>
      </c>
      <c r="E18" s="3168">
        <f t="shared" ca="1" si="2"/>
        <v>7921</v>
      </c>
      <c r="F18" s="3168">
        <f t="shared" ca="1" si="3"/>
        <v>14781</v>
      </c>
      <c r="G18" s="2321">
        <f t="shared" ca="1" si="9"/>
        <v>8758</v>
      </c>
      <c r="H18" s="2320"/>
      <c r="I18" s="2320"/>
      <c r="J18" s="3169">
        <f>'[4]数据-汇总表'!$I$7</f>
        <v>2</v>
      </c>
      <c r="K18" s="3171">
        <f t="shared" si="4"/>
        <v>1</v>
      </c>
      <c r="L18" s="3171">
        <f t="shared" si="5"/>
        <v>0</v>
      </c>
      <c r="M18" s="3171">
        <f t="shared" si="6"/>
        <v>0</v>
      </c>
      <c r="N18" s="3171">
        <f t="shared" si="7"/>
        <v>0</v>
      </c>
      <c r="O18" s="3171">
        <f t="shared" si="8"/>
        <v>0</v>
      </c>
      <c r="P18" s="3172">
        <f>ROUND((K18*典型户型修正!$Q$24+系统读取表!L18*典型户型修正!$Q$25+系统读取表!M18*典型户型修正!$Q$26+系统读取表!N18*典型户型修正!$Q$27),3)</f>
        <v>1</v>
      </c>
      <c r="Q18" s="2312">
        <f>'[4]数据-汇总表'!$F$19</f>
        <v>11057.09</v>
      </c>
    </row>
    <row r="19" spans="1:20" ht="16.5">
      <c r="A19" s="3166" t="s">
        <v>3408</v>
      </c>
      <c r="B19" s="3168">
        <f>'[5]数据-汇总表'!$E$3</f>
        <v>66343.850000000006</v>
      </c>
      <c r="C19" s="3168">
        <f>'[5]数据-汇总表'!$D$3</f>
        <v>31747.74</v>
      </c>
      <c r="D19" s="3168">
        <f ca="1">[5]结果表!$G$19</f>
        <v>44030</v>
      </c>
      <c r="E19" s="3168">
        <f t="shared" ca="1" si="2"/>
        <v>6637</v>
      </c>
      <c r="F19" s="3168">
        <f t="shared" ca="1" si="3"/>
        <v>13869</v>
      </c>
      <c r="G19" s="2321">
        <f t="shared" ca="1" si="9"/>
        <v>44030</v>
      </c>
      <c r="H19" s="2320"/>
      <c r="I19" s="2320"/>
      <c r="J19" s="3169">
        <f>'[5]数据-汇总表'!$I$7</f>
        <v>2.09</v>
      </c>
      <c r="K19" s="3171">
        <f t="shared" si="4"/>
        <v>0.27400000000000002</v>
      </c>
      <c r="L19" s="3171">
        <f t="shared" si="5"/>
        <v>0.72599999999999998</v>
      </c>
      <c r="M19" s="3171">
        <f t="shared" si="6"/>
        <v>0</v>
      </c>
      <c r="N19" s="3171">
        <f t="shared" si="7"/>
        <v>0</v>
      </c>
      <c r="O19" s="3171">
        <f t="shared" si="8"/>
        <v>0</v>
      </c>
      <c r="P19" s="3172"/>
      <c r="Q19" s="2312">
        <f>'[5]数据-汇总表'!$F$19</f>
        <v>18204.71</v>
      </c>
      <c r="R19" s="2312">
        <f>'[5]数据-汇总表'!$F$20</f>
        <v>48139.14</v>
      </c>
    </row>
    <row r="20" spans="1:20" ht="16.5">
      <c r="A20" s="3166" t="s">
        <v>3409</v>
      </c>
      <c r="B20" s="3168">
        <f>'[6]数据-汇总表'!$E$3</f>
        <v>27351</v>
      </c>
      <c r="C20" s="3168">
        <f>'[6]数据-汇总表'!$D$3</f>
        <v>13256.36</v>
      </c>
      <c r="D20" s="3168">
        <f ca="1">[6]结果表!$G$19</f>
        <v>21459</v>
      </c>
      <c r="E20" s="3168">
        <f t="shared" ca="1" si="2"/>
        <v>7846</v>
      </c>
      <c r="F20" s="3168">
        <f t="shared" ca="1" si="3"/>
        <v>16188</v>
      </c>
      <c r="G20" s="2321">
        <f t="shared" ca="1" si="9"/>
        <v>21459</v>
      </c>
      <c r="H20" s="2320"/>
      <c r="I20" s="2320"/>
      <c r="J20" s="3169">
        <f>'[6]数据-汇总表'!$I$7</f>
        <v>2</v>
      </c>
      <c r="K20" s="3170"/>
      <c r="L20" s="3170"/>
      <c r="M20" s="3170"/>
      <c r="N20" s="3170"/>
      <c r="O20" s="3170"/>
    </row>
    <row r="21" spans="1:20" ht="16.5">
      <c r="A21" s="3166" t="s">
        <v>3417</v>
      </c>
      <c r="B21" s="2320">
        <f>[7]系统读取表!$B$14</f>
        <v>20802</v>
      </c>
      <c r="C21" s="2320">
        <f>[7]系统读取表!$C$14</f>
        <v>10401</v>
      </c>
      <c r="D21" s="2320">
        <f>[7]系统读取表!$D$14</f>
        <v>17083</v>
      </c>
      <c r="E21" s="2319">
        <f t="shared" si="2"/>
        <v>8212</v>
      </c>
      <c r="F21" s="2319">
        <f t="shared" si="3"/>
        <v>16424</v>
      </c>
      <c r="G21" s="2321">
        <f t="shared" si="9"/>
        <v>17083</v>
      </c>
      <c r="H21" s="2320"/>
      <c r="I21" s="2320"/>
    </row>
    <row r="22" spans="1:20" ht="16.5">
      <c r="A22" s="3166" t="s">
        <v>3418</v>
      </c>
      <c r="B22" s="2320">
        <f>[8]系统读取表!$B$1</f>
        <v>548632.39</v>
      </c>
      <c r="C22" s="2320">
        <f>[8]系统读取表!$B$2</f>
        <v>284152.5</v>
      </c>
      <c r="D22" s="2320">
        <f>[8]系统读取表!$B$5</f>
        <v>148107</v>
      </c>
      <c r="E22" s="2319">
        <f t="shared" si="2"/>
        <v>2700</v>
      </c>
      <c r="F22" s="2319">
        <f t="shared" si="3"/>
        <v>5212</v>
      </c>
      <c r="G22" s="2321">
        <f t="shared" si="9"/>
        <v>148107</v>
      </c>
      <c r="H22" s="2320"/>
      <c r="I22" s="2320"/>
    </row>
    <row r="23" spans="1:20" ht="16.5">
      <c r="A23" s="3166"/>
      <c r="B23" s="2320"/>
      <c r="C23" s="2320"/>
      <c r="D23" s="2320"/>
      <c r="E23" s="2313" t="e">
        <f t="shared" si="2"/>
        <v>#DIV/0!</v>
      </c>
      <c r="F23" s="2313" t="e">
        <f t="shared" si="3"/>
        <v>#DIV/0!</v>
      </c>
      <c r="G23" s="2320"/>
      <c r="H23" s="2320"/>
      <c r="I23" s="2320"/>
    </row>
  </sheetData>
  <phoneticPr fontId="225" type="noConversion"/>
  <pageMargins left="0.69930555555555596" right="0.69930555555555596" top="0.75" bottom="0.75" header="0.3" footer="0.3"/>
  <pageSetup paperSize="9" orientation="portrai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zoomScaleNormal="100" zoomScaleSheetLayoutView="100" workbookViewId="0">
      <selection activeCell="D35" sqref="D35"/>
    </sheetView>
  </sheetViews>
  <sheetFormatPr defaultColWidth="12.625" defaultRowHeight="21.75" customHeight="1"/>
  <cols>
    <col min="1" max="2" width="12.625" style="2034"/>
    <col min="3" max="4" width="12.625" style="2034" customWidth="1"/>
    <col min="5" max="9" width="12.625" style="2034"/>
    <col min="10" max="11" width="12.625" style="233" customWidth="1"/>
    <col min="12" max="12" width="12.625" style="233"/>
    <col min="13" max="13" width="14.125" style="233" customWidth="1"/>
    <col min="14" max="26" width="12.625" style="233"/>
    <col min="27" max="35" width="12.625" style="2033"/>
    <col min="36" max="16384" width="12.625" style="2034"/>
  </cols>
  <sheetData>
    <row r="1" spans="1:12" ht="21.75" customHeight="1">
      <c r="A1" s="2035" t="s">
        <v>684</v>
      </c>
      <c r="B1" s="2036"/>
      <c r="C1" s="2037"/>
      <c r="D1" s="2036"/>
      <c r="E1" s="2036"/>
      <c r="F1" s="2038" t="s">
        <v>685</v>
      </c>
      <c r="G1" s="2039" t="s">
        <v>3399</v>
      </c>
      <c r="H1" s="2040" t="str">
        <f>IF(G1="现房","——","估价对象范围")</f>
        <v>——</v>
      </c>
      <c r="I1" s="2176" t="s">
        <v>3400</v>
      </c>
    </row>
    <row r="2" spans="1:12" ht="21.75" customHeight="1">
      <c r="A2" s="3361" t="str">
        <f>项目基本情况!S2</f>
        <v>贵州省贵阳市观山湖区环城高速以东（西南商贸城）房地产</v>
      </c>
      <c r="B2" s="3362"/>
      <c r="C2" s="3362"/>
      <c r="D2" s="3362"/>
      <c r="E2" s="3362"/>
      <c r="F2" s="3362"/>
      <c r="G2" s="3362"/>
      <c r="H2" s="3362"/>
      <c r="I2" s="3363"/>
    </row>
    <row r="3" spans="1:12" ht="12.75">
      <c r="A3" s="3364" t="s">
        <v>686</v>
      </c>
      <c r="B3" s="3365"/>
      <c r="C3" s="3365"/>
      <c r="D3" s="3365"/>
      <c r="E3" s="3365"/>
      <c r="F3" s="3365"/>
      <c r="G3" s="3365"/>
      <c r="H3" s="3365"/>
      <c r="I3" s="3365"/>
    </row>
    <row r="4" spans="1:12" ht="14.25">
      <c r="A4" s="2041" t="s">
        <v>687</v>
      </c>
      <c r="B4" s="2042" t="s">
        <v>688</v>
      </c>
      <c r="C4" s="2043" t="s">
        <v>3396</v>
      </c>
      <c r="D4" s="2043" t="s">
        <v>3397</v>
      </c>
      <c r="E4" s="3366" t="s">
        <v>689</v>
      </c>
      <c r="F4" s="3367"/>
      <c r="G4" s="3367"/>
      <c r="H4" s="3367"/>
      <c r="I4" s="3368"/>
      <c r="K4" s="2177" t="str">
        <f>IF(ISNUMBER(FIND("比较法",结果表!C4)),"比较法",IF(ISNUMBER(FIND("成本法",结果表!C4)),"成本法",IF(ISNUMBER(FIND("假设开发法",结果表!C4)),"假设开发法",IF(ISNUMBER(FIND("收益法",结果表!C4)),"收益法","基准地价系数修正法"))))</f>
        <v>成本法</v>
      </c>
      <c r="L4" s="2177"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446" t="s">
        <v>690</v>
      </c>
      <c r="B5" s="3245">
        <v>25</v>
      </c>
      <c r="C5" s="3378"/>
      <c r="D5" s="3381"/>
      <c r="E5" s="1712" t="s">
        <v>691</v>
      </c>
      <c r="F5" s="2047"/>
      <c r="G5" s="2047"/>
      <c r="H5" s="2047"/>
      <c r="I5" s="1921"/>
    </row>
    <row r="6" spans="1:12" ht="12.75">
      <c r="A6" s="3446"/>
      <c r="B6" s="3245"/>
      <c r="C6" s="3380"/>
      <c r="D6" s="3381"/>
      <c r="E6" s="1712" t="s">
        <v>692</v>
      </c>
      <c r="F6" s="2047"/>
      <c r="G6" s="2047"/>
      <c r="H6" s="2047"/>
      <c r="I6" s="1921"/>
    </row>
    <row r="7" spans="1:12" ht="12.75">
      <c r="A7" s="3446"/>
      <c r="B7" s="3245"/>
      <c r="C7" s="3379"/>
      <c r="D7" s="3381"/>
      <c r="E7" s="1712" t="s">
        <v>693</v>
      </c>
      <c r="F7" s="2047"/>
      <c r="G7" s="2047"/>
      <c r="H7" s="2047"/>
      <c r="I7" s="1921"/>
    </row>
    <row r="8" spans="1:12" ht="12.75">
      <c r="A8" s="3446" t="s">
        <v>694</v>
      </c>
      <c r="B8" s="3245">
        <v>15</v>
      </c>
      <c r="C8" s="3378"/>
      <c r="D8" s="3381"/>
      <c r="E8" s="1712" t="s">
        <v>695</v>
      </c>
      <c r="F8" s="2047"/>
      <c r="G8" s="2047"/>
      <c r="H8" s="2047"/>
      <c r="I8" s="1921"/>
    </row>
    <row r="9" spans="1:12" ht="12.75">
      <c r="A9" s="3446"/>
      <c r="B9" s="3245"/>
      <c r="C9" s="3379"/>
      <c r="D9" s="3381"/>
      <c r="E9" s="1712" t="s">
        <v>696</v>
      </c>
      <c r="F9" s="2047"/>
      <c r="G9" s="2047"/>
      <c r="H9" s="2047"/>
      <c r="I9" s="1921"/>
    </row>
    <row r="10" spans="1:12" ht="12.75">
      <c r="A10" s="3446" t="s">
        <v>697</v>
      </c>
      <c r="B10" s="3245">
        <v>15</v>
      </c>
      <c r="C10" s="3378"/>
      <c r="D10" s="3381"/>
      <c r="E10" s="1712" t="s">
        <v>698</v>
      </c>
      <c r="F10" s="2047"/>
      <c r="G10" s="2047"/>
      <c r="H10" s="2047"/>
      <c r="I10" s="1921"/>
    </row>
    <row r="11" spans="1:12" ht="12.75">
      <c r="A11" s="3446"/>
      <c r="B11" s="3245"/>
      <c r="C11" s="3379"/>
      <c r="D11" s="3381"/>
      <c r="E11" s="1712" t="s">
        <v>699</v>
      </c>
      <c r="F11" s="2047"/>
      <c r="G11" s="2047"/>
      <c r="H11" s="2047"/>
      <c r="I11" s="1921"/>
    </row>
    <row r="12" spans="1:12" ht="12.75">
      <c r="A12" s="3446" t="s">
        <v>700</v>
      </c>
      <c r="B12" s="3245">
        <v>15</v>
      </c>
      <c r="C12" s="3378"/>
      <c r="D12" s="3381"/>
      <c r="E12" s="1712" t="s">
        <v>701</v>
      </c>
      <c r="F12" s="2047"/>
      <c r="G12" s="2047"/>
      <c r="H12" s="2047"/>
      <c r="I12" s="1921"/>
    </row>
    <row r="13" spans="1:12" ht="12.75">
      <c r="A13" s="3446"/>
      <c r="B13" s="3245"/>
      <c r="C13" s="3379"/>
      <c r="D13" s="3381"/>
      <c r="E13" s="1712" t="s">
        <v>702</v>
      </c>
      <c r="F13" s="2047"/>
      <c r="G13" s="2047"/>
      <c r="H13" s="2047"/>
      <c r="I13" s="1921"/>
    </row>
    <row r="14" spans="1:12" ht="12.75">
      <c r="A14" s="3446" t="s">
        <v>703</v>
      </c>
      <c r="B14" s="3245">
        <v>30</v>
      </c>
      <c r="C14" s="3378">
        <v>4</v>
      </c>
      <c r="D14" s="3381">
        <f>10-C14</f>
        <v>6</v>
      </c>
      <c r="E14" s="1712" t="s">
        <v>704</v>
      </c>
      <c r="F14" s="2047"/>
      <c r="G14" s="2047"/>
      <c r="H14" s="2047"/>
      <c r="I14" s="1921"/>
    </row>
    <row r="15" spans="1:12" ht="12.75">
      <c r="A15" s="3446"/>
      <c r="B15" s="3245"/>
      <c r="C15" s="3380"/>
      <c r="D15" s="3381"/>
      <c r="E15" s="1712" t="s">
        <v>705</v>
      </c>
      <c r="F15" s="2047"/>
      <c r="G15" s="2047"/>
      <c r="H15" s="2047"/>
      <c r="I15" s="1921"/>
    </row>
    <row r="16" spans="1:12" ht="12.75">
      <c r="A16" s="3446"/>
      <c r="B16" s="3245"/>
      <c r="C16" s="3379"/>
      <c r="D16" s="3381"/>
      <c r="E16" s="1712" t="s">
        <v>706</v>
      </c>
      <c r="F16" s="2047"/>
      <c r="G16" s="2047"/>
      <c r="H16" s="2047"/>
      <c r="I16" s="1921"/>
    </row>
    <row r="17" spans="1:35" ht="15">
      <c r="A17" s="2048" t="s">
        <v>707</v>
      </c>
      <c r="B17" s="2049"/>
      <c r="C17" s="2050">
        <f>SUM(C5:C16)</f>
        <v>4</v>
      </c>
      <c r="D17" s="2050">
        <f>SUM(D5:D16)</f>
        <v>6</v>
      </c>
      <c r="E17" s="274"/>
      <c r="F17" s="274"/>
      <c r="G17" s="274"/>
      <c r="H17" s="274"/>
      <c r="I17" s="274"/>
      <c r="K17" s="2177"/>
      <c r="L17" s="2178" t="s">
        <v>708</v>
      </c>
      <c r="M17" s="2178" t="s">
        <v>709</v>
      </c>
    </row>
    <row r="18" spans="1:35" ht="15">
      <c r="A18" s="2051" t="s">
        <v>710</v>
      </c>
      <c r="B18" s="2052"/>
      <c r="C18" s="2053">
        <f>ROUND(C17/SUM(C17:D17),2)</f>
        <v>0.4</v>
      </c>
      <c r="D18" s="2053">
        <f>1-C18</f>
        <v>0.6</v>
      </c>
      <c r="E18" s="274"/>
      <c r="F18" s="274"/>
      <c r="G18" s="274"/>
      <c r="H18" s="274"/>
      <c r="I18" s="274"/>
      <c r="K18" s="2177" t="s">
        <v>425</v>
      </c>
      <c r="L18" s="2177">
        <f>IF(C1="",'数据-汇总表'!E3,SUMIF(项目类型,C1,'数据-汇总表'!E17:E26)+SUMIF(项目类型,C1,'数据-汇总表'!I17:I26))</f>
        <v>98873.18</v>
      </c>
      <c r="M18" s="2177">
        <f>IF(C1="",'数据-汇总表'!E3,SUMIF(项目类型,C1,'数据-汇总表'!E17:E26))</f>
        <v>98873.18</v>
      </c>
    </row>
    <row r="19" spans="1:35" ht="15">
      <c r="A19" s="2054" t="s">
        <v>711</v>
      </c>
      <c r="B19" s="2055" t="s">
        <v>712</v>
      </c>
      <c r="C19" s="2056">
        <f ca="1">SUMIF(INDIRECT("'"&amp;C4&amp;"'"&amp;"!A:A"),结果表!B19,INDIRECT("'"&amp;C4&amp;"'"&amp;"!B:B"))</f>
        <v>80600</v>
      </c>
      <c r="D19" s="1299">
        <f ca="1">SUMIF(INDIRECT("'"&amp;D4&amp;"'"&amp;"!A:A"),结果表!B19,INDIRECT("'"&amp;D4&amp;"'"&amp;"!B:B"))</f>
        <v>101963</v>
      </c>
      <c r="E19" s="2054" t="s">
        <v>713</v>
      </c>
      <c r="F19" s="2055" t="s">
        <v>712</v>
      </c>
      <c r="G19" s="2057">
        <f ca="1">ROUND(C19*$C$18+D19*$D$18,0)</f>
        <v>93418</v>
      </c>
      <c r="H19" s="2058" t="s">
        <v>714</v>
      </c>
      <c r="I19" s="274"/>
      <c r="K19" s="2177" t="s">
        <v>424</v>
      </c>
      <c r="L19" s="2177">
        <f>IF(C1="",'数据-汇总表'!D3,SUMIF(项目类型,C1,'数据-汇总表'!D17:D26)+SUMIF(项目类型,C1,'数据-汇总表'!H17:H27))</f>
        <v>45839.15</v>
      </c>
      <c r="M19" s="2177">
        <f>IF(C1="",'数据-汇总表'!D3,SUMIF(项目类型,C1,'数据-汇总表'!D17:D26))</f>
        <v>45839.15</v>
      </c>
    </row>
    <row r="20" spans="1:35" ht="15">
      <c r="A20" s="2059"/>
      <c r="B20" s="2060" t="s">
        <v>715</v>
      </c>
      <c r="C20" s="1555">
        <f ca="1">SUMIF(INDIRECT("'"&amp;C4&amp;"'"&amp;"!A:A"),结果表!B20,INDIRECT("'"&amp;C4&amp;"'"&amp;"!B:B"))</f>
        <v>8152</v>
      </c>
      <c r="D20" s="1558">
        <f ca="1">SUMIF(INDIRECT("'"&amp;D4&amp;"'"&amp;"!A:A"),结果表!B20,INDIRECT("'"&amp;D4&amp;"'"&amp;"!B:B"))</f>
        <v>10313</v>
      </c>
      <c r="E20" s="2059"/>
      <c r="F20" s="2060" t="s">
        <v>715</v>
      </c>
      <c r="G20" s="2061">
        <f ca="1">ROUND(C20*$C$18+D20*$D$18,0)</f>
        <v>9449</v>
      </c>
      <c r="H20" s="1823" t="s">
        <v>716</v>
      </c>
      <c r="I20" s="274"/>
    </row>
    <row r="21" spans="1:35" ht="15" customHeight="1">
      <c r="A21" s="2001"/>
      <c r="B21" s="2062" t="s">
        <v>717</v>
      </c>
      <c r="C21" s="2063">
        <f ca="1">ROUND(C19*10000/L19,0)</f>
        <v>17583</v>
      </c>
      <c r="D21" s="2064">
        <f ca="1">ROUND(D19*10000/L19,0)</f>
        <v>22244</v>
      </c>
      <c r="E21" s="2001"/>
      <c r="F21" s="2062" t="s">
        <v>717</v>
      </c>
      <c r="G21" s="2065">
        <f ca="1">ROUND(G19*10000/L19,0)</f>
        <v>20380</v>
      </c>
      <c r="H21" s="2066" t="s">
        <v>716</v>
      </c>
      <c r="I21" s="274"/>
    </row>
    <row r="22" spans="1:35" ht="14.25">
      <c r="A22" s="2067" t="s">
        <v>718</v>
      </c>
      <c r="B22" s="2068"/>
      <c r="C22" s="2069"/>
      <c r="D22" s="2070">
        <f ca="1">IF(C19&lt;D19,D19/C19-1,C19/D19-1)</f>
        <v>0.26504962779156327</v>
      </c>
      <c r="E22" s="274"/>
      <c r="F22" s="274"/>
      <c r="G22" s="274"/>
      <c r="H22" s="274"/>
      <c r="I22" s="274"/>
    </row>
    <row r="23" spans="1:35" ht="12.75">
      <c r="A23" s="2036"/>
      <c r="B23" s="2036"/>
      <c r="C23" s="2036"/>
      <c r="D23" s="2036"/>
      <c r="E23" s="274"/>
      <c r="F23" s="274"/>
      <c r="G23" s="274"/>
      <c r="H23" s="274"/>
      <c r="I23" s="274"/>
    </row>
    <row r="24" spans="1:35" ht="14.25">
      <c r="A24" s="3447" t="s">
        <v>719</v>
      </c>
      <c r="B24" s="2055" t="s">
        <v>712</v>
      </c>
      <c r="C24" s="2057">
        <f>IF(B30=0,0,D30)</f>
        <v>0</v>
      </c>
      <c r="D24" s="2071"/>
      <c r="E24" s="274"/>
      <c r="F24" s="274"/>
      <c r="G24" s="274"/>
      <c r="H24" s="274"/>
      <c r="I24" s="274"/>
    </row>
    <row r="25" spans="1:35" ht="14.25">
      <c r="A25" s="3448"/>
      <c r="B25" s="2060" t="s">
        <v>715</v>
      </c>
      <c r="C25" s="2072">
        <f>IF(B30=0,0,C30)</f>
        <v>0</v>
      </c>
      <c r="D25" s="2073"/>
      <c r="E25" s="274"/>
      <c r="F25" s="274"/>
      <c r="G25" s="274"/>
      <c r="H25" s="274"/>
      <c r="I25" s="274"/>
    </row>
    <row r="26" spans="1:35" ht="13.5" customHeight="1">
      <c r="A26" s="2074" t="s">
        <v>720</v>
      </c>
      <c r="B26" s="2075" t="s">
        <v>721</v>
      </c>
      <c r="C26" s="2075" t="s">
        <v>722</v>
      </c>
      <c r="D26" s="2076" t="s">
        <v>723</v>
      </c>
      <c r="E26" s="274"/>
      <c r="F26" s="274"/>
      <c r="G26" s="274"/>
      <c r="H26" s="274"/>
      <c r="I26" s="274"/>
    </row>
    <row r="27" spans="1:35" ht="14.25">
      <c r="A27" s="2074"/>
      <c r="B27" s="2075">
        <v>0</v>
      </c>
      <c r="C27" s="2075">
        <v>0</v>
      </c>
      <c r="D27" s="2076">
        <f>ROUND(C27*B27/10000,0)</f>
        <v>0</v>
      </c>
      <c r="E27" s="274"/>
      <c r="F27" s="274"/>
      <c r="G27" s="274"/>
      <c r="H27" s="274"/>
      <c r="I27" s="274"/>
    </row>
    <row r="28" spans="1:35" ht="14.25">
      <c r="A28" s="2074"/>
      <c r="B28" s="2075"/>
      <c r="C28" s="2075"/>
      <c r="D28" s="2076"/>
      <c r="E28" s="274"/>
      <c r="F28" s="274"/>
      <c r="G28" s="274"/>
      <c r="H28" s="274"/>
      <c r="I28" s="274"/>
    </row>
    <row r="29" spans="1:35" ht="14.25">
      <c r="A29" s="2074"/>
      <c r="B29" s="2075"/>
      <c r="C29" s="2075"/>
      <c r="D29" s="2076"/>
      <c r="E29" s="274"/>
      <c r="F29" s="274"/>
      <c r="G29" s="274"/>
      <c r="H29" s="274"/>
      <c r="I29" s="274"/>
    </row>
    <row r="30" spans="1:35" ht="14.25">
      <c r="A30" s="2075" t="s">
        <v>724</v>
      </c>
      <c r="B30" s="2075"/>
      <c r="C30" s="2075"/>
      <c r="D30" s="2075"/>
      <c r="E30" s="2077" t="s">
        <v>725</v>
      </c>
      <c r="F30" s="274"/>
      <c r="G30" s="274"/>
      <c r="H30" s="274"/>
      <c r="I30" s="274"/>
    </row>
    <row r="31" spans="1:35" s="2031" customFormat="1" ht="14.25">
      <c r="A31" s="2078"/>
      <c r="B31" s="2078"/>
      <c r="C31" s="2078"/>
      <c r="D31" s="2078"/>
      <c r="E31" s="274"/>
      <c r="F31" s="274"/>
      <c r="G31" s="274"/>
      <c r="H31" s="274"/>
      <c r="I31" s="274"/>
      <c r="J31" s="233"/>
      <c r="K31" s="233"/>
      <c r="L31" s="233"/>
      <c r="M31" s="233"/>
      <c r="N31" s="233"/>
      <c r="O31" s="233"/>
      <c r="P31" s="233"/>
      <c r="Q31" s="233"/>
      <c r="R31" s="233"/>
      <c r="S31" s="233"/>
      <c r="T31" s="233"/>
      <c r="U31" s="233"/>
      <c r="V31" s="233"/>
      <c r="W31" s="233"/>
      <c r="X31" s="233"/>
      <c r="Y31" s="233"/>
      <c r="Z31" s="233"/>
      <c r="AA31" s="2033"/>
      <c r="AB31" s="2033"/>
      <c r="AC31" s="2033"/>
      <c r="AD31" s="2033"/>
      <c r="AE31" s="2033"/>
      <c r="AF31" s="2033"/>
      <c r="AG31" s="2033"/>
      <c r="AH31" s="2033"/>
      <c r="AI31" s="2033"/>
    </row>
    <row r="32" spans="1:35" ht="15">
      <c r="A32" s="2079" t="s">
        <v>726</v>
      </c>
      <c r="B32" s="2080"/>
      <c r="C32" s="2081">
        <f ca="1">IF(D32="总价",G19-C24,G20-C25)</f>
        <v>93418</v>
      </c>
      <c r="D32" s="2082" t="s">
        <v>727</v>
      </c>
      <c r="E32" s="274"/>
      <c r="F32" s="274"/>
      <c r="G32" s="274"/>
      <c r="H32" s="274"/>
      <c r="I32" s="274"/>
    </row>
    <row r="33" spans="1:15" ht="15">
      <c r="A33" s="1941" t="s">
        <v>728</v>
      </c>
      <c r="B33" s="2083"/>
      <c r="C33" s="2084"/>
      <c r="D33" s="2085"/>
      <c r="E33" s="2086" t="s">
        <v>729</v>
      </c>
      <c r="F33" s="2087" t="str">
        <f>IF(D32="楼面单价","取值（单价）","取值（总价）")</f>
        <v>取值（总价）</v>
      </c>
      <c r="G33" s="274"/>
      <c r="H33" s="274"/>
      <c r="I33" s="274"/>
    </row>
    <row r="34" spans="1:15" ht="15">
      <c r="A34" s="2088"/>
      <c r="B34" s="2089" t="s">
        <v>730</v>
      </c>
      <c r="C34" s="2090" t="e">
        <f ca="1">IF(C33="自定义",F34,C32-C35)</f>
        <v>#REF!</v>
      </c>
      <c r="D34" s="2091" t="e">
        <f ca="1">IF(C33="自定义",ROUND(C34/C32,3),IF(C33="收益比率",SUMIF(INDIRECT("'"&amp;D33&amp;"'"&amp;"!b:b"),"土地收益比率",INDIRECT("'"&amp;D33&amp;"'"&amp;"!c:c")),SUMIF(INDIRECT("'"&amp;D33&amp;"'"&amp;"!b:b"),"土地成本比率",INDIRECT("'"&amp;D33&amp;"'"&amp;"!c:c"))))</f>
        <v>#REF!</v>
      </c>
      <c r="E34" s="2092" t="s">
        <v>731</v>
      </c>
      <c r="F34" s="2093"/>
      <c r="G34" s="274"/>
      <c r="H34" s="274"/>
      <c r="I34" s="274"/>
    </row>
    <row r="35" spans="1:15" ht="15">
      <c r="A35" s="2094"/>
      <c r="B35" s="2095" t="s">
        <v>732</v>
      </c>
      <c r="C35" s="2096" t="e">
        <f ca="1">IF(C33="自定义",F35,ROUND(C32*D35,0))</f>
        <v>#REF!</v>
      </c>
      <c r="D35" s="2097" t="e">
        <f ca="1">IF(C33="自定义",ROUND(C35/C32,3),IF(C33="收益比率",SUMIF(INDIRECT("'"&amp;D33&amp;"'"&amp;"!b:b"),"建筑物收益比率",INDIRECT("'"&amp;D33&amp;"'"&amp;"!c:c")),SUMIF(INDIRECT("'"&amp;D33&amp;"'"&amp;"!b:b"),"建筑物成本比率",INDIRECT("'"&amp;D33&amp;"'"&amp;"!c:c"))))</f>
        <v>#REF!</v>
      </c>
      <c r="E35" s="2098" t="s">
        <v>733</v>
      </c>
      <c r="F35" s="2099"/>
      <c r="G35" s="274"/>
      <c r="H35" s="274"/>
      <c r="I35" s="274"/>
    </row>
    <row r="36" spans="1:15" ht="15">
      <c r="A36" s="3449" t="s">
        <v>734</v>
      </c>
      <c r="B36" s="2100" t="s">
        <v>735</v>
      </c>
      <c r="C36" s="2101"/>
      <c r="D36" s="2102"/>
      <c r="E36" s="2103"/>
      <c r="F36" s="2104"/>
      <c r="G36" s="274"/>
      <c r="H36" s="274"/>
      <c r="I36" s="274"/>
    </row>
    <row r="37" spans="1:15" ht="15">
      <c r="A37" s="3450"/>
      <c r="B37" s="2105" t="s">
        <v>736</v>
      </c>
      <c r="C37" s="2106"/>
      <c r="D37" s="2107"/>
      <c r="E37" s="2107"/>
      <c r="F37" s="2104"/>
      <c r="G37" s="274"/>
      <c r="H37" s="274"/>
      <c r="I37" s="274"/>
    </row>
    <row r="38" spans="1:15" ht="15">
      <c r="A38" s="3451"/>
      <c r="B38" s="2108" t="s">
        <v>737</v>
      </c>
      <c r="C38" s="2109"/>
      <c r="D38" s="2110" t="s">
        <v>738</v>
      </c>
      <c r="E38" s="2107"/>
      <c r="F38" s="2104"/>
      <c r="G38" s="274"/>
      <c r="H38" s="274"/>
      <c r="I38" s="274"/>
    </row>
    <row r="39" spans="1:15" ht="15">
      <c r="A39" s="2059" t="s">
        <v>739</v>
      </c>
      <c r="B39" s="2111" t="s">
        <v>721</v>
      </c>
      <c r="C39" s="2112" t="s">
        <v>722</v>
      </c>
      <c r="D39" s="2112" t="s">
        <v>740</v>
      </c>
      <c r="E39" s="2113" t="s">
        <v>723</v>
      </c>
      <c r="F39" s="2104"/>
      <c r="G39" s="274"/>
      <c r="H39" s="274"/>
      <c r="I39" s="274"/>
    </row>
    <row r="40" spans="1:15" ht="14.25">
      <c r="A40" s="2114" t="s">
        <v>741</v>
      </c>
      <c r="B40" s="2115"/>
      <c r="C40" s="292"/>
      <c r="D40" s="292"/>
      <c r="E40" s="2116"/>
      <c r="F40" s="2104"/>
      <c r="G40" s="274"/>
      <c r="H40" s="274"/>
      <c r="I40" s="274"/>
    </row>
    <row r="41" spans="1:15" ht="14.25">
      <c r="A41" s="2114" t="s">
        <v>742</v>
      </c>
      <c r="B41" s="2115"/>
      <c r="C41" s="292"/>
      <c r="D41" s="292"/>
      <c r="E41" s="2116"/>
      <c r="F41" s="2104"/>
      <c r="G41" s="274"/>
      <c r="H41" s="274"/>
      <c r="I41" s="274"/>
    </row>
    <row r="42" spans="1:15" ht="14.25">
      <c r="A42" s="2117"/>
      <c r="B42" s="2118"/>
      <c r="C42" s="2119"/>
      <c r="D42" s="2119"/>
      <c r="E42" s="2099"/>
      <c r="F42" s="2104"/>
      <c r="G42" s="274"/>
      <c r="H42" s="274"/>
      <c r="I42" s="274"/>
    </row>
    <row r="43" spans="1:15" ht="12.75">
      <c r="A43" s="2120"/>
      <c r="B43" s="2120"/>
      <c r="C43" s="2120"/>
      <c r="D43" s="2120"/>
      <c r="E43" s="2120"/>
      <c r="F43" s="2121"/>
      <c r="G43" s="2121"/>
      <c r="H43" s="2121"/>
      <c r="I43" s="2179"/>
    </row>
    <row r="44" spans="1:15" ht="18.75">
      <c r="A44" s="2122" t="s">
        <v>743</v>
      </c>
      <c r="B44" s="2123"/>
      <c r="C44" s="2123"/>
      <c r="D44" s="2124"/>
      <c r="E44" s="2124"/>
      <c r="F44" s="2125"/>
      <c r="G44" s="2125"/>
      <c r="H44" s="2125"/>
      <c r="I44" s="2125"/>
      <c r="J44" s="2180" t="s">
        <v>744</v>
      </c>
      <c r="K44" s="2181"/>
      <c r="L44" s="2181"/>
      <c r="M44" s="2181"/>
      <c r="N44" s="2181"/>
      <c r="O44" s="2181"/>
    </row>
    <row r="45" spans="1:15" ht="14.25" customHeight="1">
      <c r="A45" s="3369" t="s">
        <v>745</v>
      </c>
      <c r="B45" s="3370"/>
      <c r="C45" s="3371"/>
      <c r="D45" s="1671">
        <f ca="1">ROUND(H101*F45,0)</f>
        <v>93418</v>
      </c>
      <c r="E45" s="2126" t="s">
        <v>746</v>
      </c>
      <c r="F45" s="2127">
        <v>1</v>
      </c>
      <c r="G45" s="2128" t="s">
        <v>747</v>
      </c>
      <c r="H45" s="274"/>
      <c r="I45" s="274"/>
      <c r="J45" s="3372" t="s">
        <v>748</v>
      </c>
      <c r="K45" s="3372"/>
      <c r="L45" s="3372"/>
      <c r="M45" s="3372"/>
      <c r="N45" s="3372"/>
      <c r="O45" s="3372"/>
    </row>
    <row r="46" spans="1:15" ht="14.25" customHeight="1">
      <c r="A46" s="3373" t="s">
        <v>749</v>
      </c>
      <c r="B46" s="3374"/>
      <c r="C46" s="3374"/>
      <c r="D46" s="3374"/>
      <c r="E46" s="3374"/>
      <c r="F46" s="3374"/>
      <c r="G46" s="3375"/>
      <c r="H46" s="2129"/>
      <c r="I46" s="275"/>
      <c r="J46" s="711">
        <v>1</v>
      </c>
      <c r="K46" s="3372" t="s">
        <v>750</v>
      </c>
      <c r="L46" s="3372"/>
      <c r="M46" s="3376"/>
      <c r="N46" s="3376"/>
      <c r="O46" s="3376"/>
    </row>
    <row r="47" spans="1:15" ht="12" customHeight="1">
      <c r="A47" s="2130" t="s">
        <v>751</v>
      </c>
      <c r="B47" s="2131"/>
      <c r="C47" s="2132"/>
      <c r="D47" s="2133" t="s">
        <v>752</v>
      </c>
      <c r="E47" s="285" t="s">
        <v>753</v>
      </c>
      <c r="F47" s="2134" t="s">
        <v>754</v>
      </c>
      <c r="G47" s="2135" t="s">
        <v>755</v>
      </c>
      <c r="H47" s="2129"/>
      <c r="I47" s="275"/>
      <c r="J47" s="711">
        <v>2</v>
      </c>
      <c r="K47" s="3372" t="s">
        <v>756</v>
      </c>
      <c r="L47" s="3372"/>
      <c r="M47" s="3377">
        <f>'数据-取费表'!B2</f>
        <v>43361</v>
      </c>
      <c r="N47" s="3377"/>
      <c r="O47" s="3377"/>
    </row>
    <row r="48" spans="1:15" ht="25.5">
      <c r="A48" s="3382" t="s">
        <v>757</v>
      </c>
      <c r="B48" s="3383"/>
      <c r="C48" s="3383"/>
      <c r="D48" s="1712">
        <f>IF(H48="情况1",0,IF(H48="情况2",D52,IF(H48="情况3",D53,IF(H48="情况4",D54))))</f>
        <v>0</v>
      </c>
      <c r="E48" s="1725" t="str">
        <f>IF(H48="情况4","(销售额-原购置价)×税（费）率","销售额×税（费）率")</f>
        <v>销售额×税（费）率</v>
      </c>
      <c r="F48" s="2136" t="str">
        <f>IF(H48="情况1","免征",'数据-取费表'!B41)</f>
        <v>免征</v>
      </c>
      <c r="G48" s="2137" t="s">
        <v>758</v>
      </c>
      <c r="H48" s="2138" t="s">
        <v>759</v>
      </c>
      <c r="I48" s="2129"/>
      <c r="J48" s="711">
        <v>3</v>
      </c>
      <c r="K48" s="3372" t="s">
        <v>760</v>
      </c>
      <c r="L48" s="3372"/>
      <c r="M48" s="3384">
        <f ca="1">H101</f>
        <v>93418</v>
      </c>
      <c r="N48" s="3384"/>
      <c r="O48" s="3384"/>
    </row>
    <row r="49" spans="1:35" ht="25.5" customHeight="1">
      <c r="A49" s="2139" t="s">
        <v>761</v>
      </c>
      <c r="B49" s="3385" t="s">
        <v>762</v>
      </c>
      <c r="C49" s="3385"/>
      <c r="D49" s="1948">
        <v>0</v>
      </c>
      <c r="E49" s="2140" t="s">
        <v>763</v>
      </c>
      <c r="F49" s="2141" t="s">
        <v>124</v>
      </c>
      <c r="G49" s="3386"/>
      <c r="H49" s="274"/>
      <c r="I49" s="2183"/>
      <c r="J49" s="711">
        <v>4</v>
      </c>
      <c r="K49" s="3372" t="str">
        <f>IF(项目基本情况!E8="房地产抵押价值","房地产抵押价值","抵押担保权已注销时的房地产抵押价值")</f>
        <v>抵押担保权已注销时的房地产抵押价值</v>
      </c>
      <c r="L49" s="3372"/>
      <c r="M49" s="3384">
        <f ca="1">IF(项目基本情况!E8="房地产抵押价值",H107,H109)</f>
        <v>93418</v>
      </c>
      <c r="N49" s="3384"/>
      <c r="O49" s="3384"/>
    </row>
    <row r="50" spans="1:35" ht="25.5" customHeight="1">
      <c r="A50" s="2143"/>
      <c r="B50" s="3385" t="s">
        <v>764</v>
      </c>
      <c r="C50" s="3385"/>
      <c r="D50" s="2144"/>
      <c r="E50" s="2145"/>
      <c r="F50" s="2146"/>
      <c r="G50" s="3387"/>
      <c r="H50" s="274"/>
      <c r="I50" s="2183"/>
      <c r="J50" s="3372" t="s">
        <v>765</v>
      </c>
      <c r="K50" s="3372"/>
      <c r="L50" s="3372"/>
      <c r="M50" s="3372"/>
      <c r="N50" s="3372"/>
      <c r="O50" s="3372"/>
    </row>
    <row r="51" spans="1:35" ht="12" customHeight="1">
      <c r="A51" s="2147"/>
      <c r="B51" s="3385" t="s">
        <v>766</v>
      </c>
      <c r="C51" s="3385"/>
      <c r="D51" s="2148"/>
      <c r="E51" s="609"/>
      <c r="F51" s="2146"/>
      <c r="G51" s="3388"/>
      <c r="H51" s="274"/>
      <c r="I51" s="2183"/>
      <c r="J51" s="2182" t="s">
        <v>767</v>
      </c>
      <c r="K51" s="3372" t="s">
        <v>768</v>
      </c>
      <c r="L51" s="3372"/>
      <c r="M51" s="2182" t="s">
        <v>769</v>
      </c>
      <c r="N51" s="2182" t="s">
        <v>770</v>
      </c>
      <c r="O51" s="2182" t="s">
        <v>771</v>
      </c>
    </row>
    <row r="52" spans="1:35" ht="24" customHeight="1">
      <c r="A52" s="2150" t="s">
        <v>772</v>
      </c>
      <c r="B52" s="3385" t="s">
        <v>773</v>
      </c>
      <c r="C52" s="3385"/>
      <c r="D52" s="2148">
        <f ca="1">ROUND(D45*'数据-取费表'!B41/(1+'数据-取费表'!C42),0)</f>
        <v>4982</v>
      </c>
      <c r="E52" s="288" t="s">
        <v>774</v>
      </c>
      <c r="F52" s="2151">
        <f>'数据-取费表'!B41</f>
        <v>5.6000000000000001E-2</v>
      </c>
      <c r="G52" s="2152"/>
      <c r="H52" s="274"/>
      <c r="I52" s="2183"/>
      <c r="J52" s="711">
        <v>1</v>
      </c>
      <c r="K52" s="3389" t="s">
        <v>775</v>
      </c>
      <c r="L52" s="3389"/>
      <c r="M52" s="2184">
        <f>D48</f>
        <v>0</v>
      </c>
      <c r="N52" s="711" t="str">
        <f>E48</f>
        <v>销售额×税（费）率</v>
      </c>
      <c r="O52" s="2185" t="str">
        <f>F48</f>
        <v>免征</v>
      </c>
    </row>
    <row r="53" spans="1:35" ht="12" customHeight="1">
      <c r="A53" s="2150" t="s">
        <v>776</v>
      </c>
      <c r="B53" s="3390" t="s">
        <v>777</v>
      </c>
      <c r="C53" s="3391"/>
      <c r="D53" s="2148">
        <f ca="1">ROUND(D45*'数据-取费表'!B41/(1+'数据-取费表'!C42),0)</f>
        <v>4982</v>
      </c>
      <c r="E53" s="288" t="s">
        <v>774</v>
      </c>
      <c r="F53" s="2151">
        <f>'数据-取费表'!B41</f>
        <v>5.6000000000000001E-2</v>
      </c>
      <c r="G53" s="2152"/>
      <c r="H53" s="274"/>
      <c r="I53" s="2183"/>
      <c r="J53" s="711">
        <v>2</v>
      </c>
      <c r="K53" s="3389" t="s">
        <v>778</v>
      </c>
      <c r="L53" s="3389"/>
      <c r="M53" s="2184">
        <f t="shared" ref="M53:O54" ca="1" si="0">D55</f>
        <v>47</v>
      </c>
      <c r="N53" s="711" t="str">
        <f t="shared" si="0"/>
        <v>销售额×税（费）率</v>
      </c>
      <c r="O53" s="2185">
        <f t="shared" si="0"/>
        <v>5.0000000000000001E-4</v>
      </c>
    </row>
    <row r="54" spans="1:35" ht="12" customHeight="1">
      <c r="A54" s="2150" t="s">
        <v>779</v>
      </c>
      <c r="B54" s="3390" t="s">
        <v>780</v>
      </c>
      <c r="C54" s="3391"/>
      <c r="D54" s="2148">
        <f ca="1">C68</f>
        <v>4982</v>
      </c>
      <c r="E54" s="609" t="s">
        <v>781</v>
      </c>
      <c r="F54" s="2151">
        <f>'数据-取费表'!B41</f>
        <v>5.6000000000000001E-2</v>
      </c>
      <c r="G54" s="2152"/>
      <c r="H54" s="2153"/>
      <c r="I54" s="2183"/>
      <c r="J54" s="711">
        <v>3</v>
      </c>
      <c r="K54" s="3389" t="s">
        <v>782</v>
      </c>
      <c r="L54" s="3389"/>
      <c r="M54" s="2184">
        <f t="shared" ca="1" si="0"/>
        <v>52875</v>
      </c>
      <c r="N54" s="711" t="str">
        <f t="shared" si="0"/>
        <v>增值额×税（费）率</v>
      </c>
      <c r="O54" s="2186" t="str">
        <f t="shared" si="0"/>
        <v>——</v>
      </c>
    </row>
    <row r="55" spans="1:35" ht="24" customHeight="1">
      <c r="A55" s="3392" t="s">
        <v>783</v>
      </c>
      <c r="B55" s="3383"/>
      <c r="C55" s="3383"/>
      <c r="D55" s="2154">
        <f ca="1">IF(H55="个人住宅",0,ROUND(D45*I55,0))</f>
        <v>47</v>
      </c>
      <c r="E55" s="288" t="s">
        <v>784</v>
      </c>
      <c r="F55" s="2151">
        <f>IF(H55="正常",I55,"免征")</f>
        <v>5.0000000000000001E-4</v>
      </c>
      <c r="G55" s="2152"/>
      <c r="H55" s="2138" t="s">
        <v>785</v>
      </c>
      <c r="I55" s="2187">
        <f>'数据-取费表'!B49</f>
        <v>5.0000000000000001E-4</v>
      </c>
      <c r="J55" s="711" t="str">
        <f>IF(H59="非个人房产","",4)</f>
        <v/>
      </c>
      <c r="K55" s="3389" t="str">
        <f>IF(H59="非个人房产","——","个人所得税")</f>
        <v>——</v>
      </c>
      <c r="L55" s="3389"/>
      <c r="M55" s="2188" t="str">
        <f>D59</f>
        <v>——</v>
      </c>
      <c r="N55" s="842" t="str">
        <f>E59</f>
        <v>——</v>
      </c>
      <c r="O55" s="2189" t="str">
        <f>F59</f>
        <v>——</v>
      </c>
    </row>
    <row r="56" spans="1:35" ht="24.75">
      <c r="A56" s="3392" t="s">
        <v>786</v>
      </c>
      <c r="B56" s="3383"/>
      <c r="C56" s="3383"/>
      <c r="D56" s="2154">
        <f ca="1">IF(H56="个人住宅",D57,D58)</f>
        <v>52875</v>
      </c>
      <c r="E56" s="288" t="s">
        <v>787</v>
      </c>
      <c r="F56" s="2151" t="str">
        <f>IF(H56="正常",F58,"免征")</f>
        <v>——</v>
      </c>
      <c r="G56" s="2155" t="s">
        <v>788</v>
      </c>
      <c r="H56" s="2156" t="s">
        <v>785</v>
      </c>
      <c r="I56" s="2159"/>
      <c r="J56" s="711" t="str">
        <f>IF(项目基本情况!K6="上海银行",IF(J55="",4,J55+1),"")</f>
        <v/>
      </c>
      <c r="K56" s="3393" t="str">
        <f>IF(项目基本情况!K6="上海银行","其他处置费用","")</f>
        <v/>
      </c>
      <c r="L56" s="3394"/>
      <c r="M56" s="2184" t="str">
        <f>IF(项目基本情况!K6="上海银行",M69,"")</f>
        <v/>
      </c>
      <c r="N56" s="3395" t="str">
        <f>IF(项目基本情况!K6="上海银行","包含处置中涉及的律师、诉讼、拍卖、评估等费用","")</f>
        <v/>
      </c>
      <c r="O56" s="3396"/>
    </row>
    <row r="57" spans="1:35" ht="12.75">
      <c r="A57" s="2150" t="s">
        <v>761</v>
      </c>
      <c r="B57" s="3366" t="s">
        <v>789</v>
      </c>
      <c r="C57" s="3368"/>
      <c r="D57" s="2158">
        <v>0</v>
      </c>
      <c r="E57" s="2140" t="s">
        <v>763</v>
      </c>
      <c r="F57" s="234"/>
      <c r="G57" s="2152"/>
      <c r="H57" s="2159"/>
      <c r="I57" s="2159"/>
      <c r="J57" s="3389">
        <f>IF(AND(J55="",J56=""),4,IF(项目基本情况!K6="上海银行",结果表!J56+1,结果表!J55+1))</f>
        <v>4</v>
      </c>
      <c r="K57" s="3389" t="s">
        <v>790</v>
      </c>
      <c r="L57" s="2190" t="s">
        <v>791</v>
      </c>
      <c r="M57" s="2191"/>
      <c r="N57" s="2192">
        <f ca="1">SUMIF(M52:M56,"&lt;9e307")</f>
        <v>52922</v>
      </c>
      <c r="O57" s="2193"/>
      <c r="P57" s="2194">
        <f ca="1">N57/M49</f>
        <v>0.5665075253163202</v>
      </c>
    </row>
    <row r="58" spans="1:35" ht="24.75">
      <c r="A58" s="2150" t="s">
        <v>772</v>
      </c>
      <c r="B58" s="3366" t="s">
        <v>792</v>
      </c>
      <c r="C58" s="3367"/>
      <c r="D58" s="2154">
        <f ca="1">IF(H58="转让取得",C81,C97)</f>
        <v>52875</v>
      </c>
      <c r="E58" s="288" t="s">
        <v>787</v>
      </c>
      <c r="F58" s="285" t="s">
        <v>124</v>
      </c>
      <c r="G58" s="2152"/>
      <c r="H58" s="2156" t="s">
        <v>793</v>
      </c>
      <c r="I58" s="2159"/>
      <c r="J58" s="3389"/>
      <c r="K58" s="3389"/>
      <c r="L58" s="2190" t="s">
        <v>794</v>
      </c>
      <c r="M58" s="2195"/>
      <c r="N58" s="2196" t="str">
        <f ca="1">NUMBERSTRING(INT(N57*10000),2)&amp;"元整"</f>
        <v>伍亿贰仟玖佰贰拾贰万元整</v>
      </c>
      <c r="O58" s="2197"/>
    </row>
    <row r="59" spans="1:35" ht="24">
      <c r="A59" s="3397" t="s">
        <v>795</v>
      </c>
      <c r="B59" s="3398"/>
      <c r="C59" s="3398"/>
      <c r="D59" s="2160" t="str">
        <f>IF(H59="非个人房产","——",IF(H59="个人住宅",0,ROUND(D45*I59,0)))</f>
        <v>——</v>
      </c>
      <c r="E59" s="2161" t="str">
        <f>IF(H59="非个人房产","——","销售额×税（费）率")</f>
        <v>——</v>
      </c>
      <c r="F59" s="2162" t="str">
        <f>IF(H59="非个人房产","——",IF(H59="个人住宅","免征",I59))</f>
        <v>——</v>
      </c>
      <c r="G59" s="2163" t="s">
        <v>788</v>
      </c>
      <c r="H59" s="2156" t="s">
        <v>796</v>
      </c>
      <c r="I59" s="2198">
        <v>0.01</v>
      </c>
      <c r="J59" s="3404">
        <f>J57+1</f>
        <v>5</v>
      </c>
      <c r="K59" s="3389" t="s">
        <v>797</v>
      </c>
      <c r="L59" s="711" t="s">
        <v>791</v>
      </c>
      <c r="M59" s="2199"/>
      <c r="N59" s="2200">
        <f ca="1">M49-N57</f>
        <v>40496</v>
      </c>
      <c r="O59" s="2201"/>
    </row>
    <row r="60" spans="1:35" ht="12" customHeight="1">
      <c r="A60" s="2164"/>
      <c r="B60" s="2036"/>
      <c r="C60" s="2036"/>
      <c r="D60" s="2036"/>
      <c r="E60" s="2165"/>
      <c r="F60" s="2159"/>
      <c r="G60" s="2159"/>
      <c r="H60" s="2166"/>
      <c r="I60" s="274"/>
      <c r="J60" s="3405"/>
      <c r="K60" s="3389"/>
      <c r="L60" s="2190" t="s">
        <v>794</v>
      </c>
      <c r="M60" s="2195"/>
      <c r="N60" s="2196" t="str">
        <f ca="1">NUMBERSTRING(INT(N59*10000),2)&amp;"元整"</f>
        <v>肆亿零肆佰玖拾陆万元整</v>
      </c>
      <c r="O60" s="2197"/>
    </row>
    <row r="61" spans="1:35" ht="12.75">
      <c r="A61" s="3399" t="s">
        <v>798</v>
      </c>
      <c r="B61" s="3399"/>
      <c r="C61" s="3399"/>
      <c r="D61" s="3399"/>
      <c r="E61" s="3399"/>
      <c r="F61" s="2159"/>
      <c r="G61" s="2159"/>
      <c r="H61" s="2166"/>
      <c r="I61" s="274"/>
      <c r="J61" s="711">
        <f>J59+1</f>
        <v>6</v>
      </c>
      <c r="K61" s="3389" t="s">
        <v>799</v>
      </c>
      <c r="L61" s="3389"/>
      <c r="M61" s="2202"/>
      <c r="N61" s="2203">
        <f ca="1">ROUND(N59*10000/'数据-汇总表'!E3,0)</f>
        <v>4096</v>
      </c>
      <c r="O61" s="2204"/>
    </row>
    <row r="62" spans="1:35" ht="12.75">
      <c r="A62" s="3400" t="s">
        <v>800</v>
      </c>
      <c r="B62" s="3401"/>
      <c r="C62" s="620"/>
      <c r="D62" s="620" t="s">
        <v>801</v>
      </c>
      <c r="E62" s="2167" t="s">
        <v>755</v>
      </c>
      <c r="F62" s="2159"/>
      <c r="G62" s="2159"/>
      <c r="H62" s="2166"/>
      <c r="I62" s="274"/>
    </row>
    <row r="63" spans="1:35" ht="12.75">
      <c r="A63" s="2168" t="s">
        <v>802</v>
      </c>
      <c r="B63" s="2169" t="s">
        <v>803</v>
      </c>
      <c r="C63" s="2170">
        <f ca="1">ROUND((C64+C65)/(1+'数据-取费表'!C42),0)</f>
        <v>88970</v>
      </c>
      <c r="D63" s="2171"/>
      <c r="E63" s="2172"/>
      <c r="F63" s="2159"/>
      <c r="G63" s="2159"/>
      <c r="H63" s="2166"/>
      <c r="I63" s="274"/>
      <c r="J63" s="3406" t="s">
        <v>804</v>
      </c>
      <c r="K63" s="2205" t="s">
        <v>805</v>
      </c>
      <c r="L63" s="2206">
        <f ca="1">IF(M49&gt;10000,M49*0.5%,IF(AND(M49&gt;1000,M49&lt;=10000),M49*1%,IF(AND(M49&gt;100,M49&lt;=1000),M49*3%,IF(AND(M49&gt;10,M49&lt;=100),M49*5%,M49*8%))))</f>
        <v>467.09000000000003</v>
      </c>
      <c r="M63" s="285">
        <f ca="1">ROUND(L63,1)</f>
        <v>467.1</v>
      </c>
      <c r="Z63" s="2033"/>
      <c r="AI63" s="2034"/>
    </row>
    <row r="64" spans="1:35" ht="14.25" customHeight="1">
      <c r="A64" s="2173" t="s">
        <v>806</v>
      </c>
      <c r="B64" s="572" t="s">
        <v>807</v>
      </c>
      <c r="C64" s="2174">
        <f ca="1">D45</f>
        <v>93418</v>
      </c>
      <c r="D64" s="597" t="s">
        <v>124</v>
      </c>
      <c r="E64" s="2175"/>
      <c r="F64" s="2159"/>
      <c r="G64" s="2159"/>
      <c r="H64" s="2166"/>
      <c r="I64" s="274"/>
      <c r="J64" s="3406"/>
      <c r="K64" s="2205" t="s">
        <v>808</v>
      </c>
      <c r="L64" s="2206">
        <f ca="1">IF(M49&gt;2000,M49*0.5%,IF(AND(M49&gt;1000,M49&lt;=2000),M49*0.6%,IF(AND(M49&gt;500,M49&lt;=1000),M49*0.7%,IF(AND(M49&gt;200,M49&lt;=500),M49*0.8%,IF(AND(M49&gt;100,M49&lt;=200),M49*0.9%,IF(AND(M49&gt;50,M49&lt;=100),M49*1%,IF(AND(M49&gt;20,M49&lt;=50),M49*1.5%,IF(AND(M49&gt;10,M49&lt;=20),M49*2%,IF(AND(M49&gt;1,M49&lt;=10),M49*2.5%)))))))))</f>
        <v>467.09000000000003</v>
      </c>
      <c r="M64" s="285">
        <f t="shared" ref="M64:M65" ca="1" si="1">ROUND(L64,1)</f>
        <v>467.1</v>
      </c>
      <c r="N64" s="274" t="s">
        <v>809</v>
      </c>
      <c r="Z64" s="2033"/>
      <c r="AI64" s="2034"/>
    </row>
    <row r="65" spans="1:35" ht="14.25" customHeight="1">
      <c r="A65" s="2173" t="s">
        <v>810</v>
      </c>
      <c r="B65" s="572" t="s">
        <v>811</v>
      </c>
      <c r="C65" s="2207"/>
      <c r="D65" s="597"/>
      <c r="E65" s="2175"/>
      <c r="F65" s="2159"/>
      <c r="G65" s="2159"/>
      <c r="H65" s="2166"/>
      <c r="I65" s="274"/>
      <c r="J65" s="3406"/>
      <c r="K65" s="2205" t="s">
        <v>812</v>
      </c>
      <c r="L65" s="2206">
        <f ca="1">IF(M49&gt;1000,M49*0.1%,IF(AND(M49&gt;500,M49&lt;=1000),M49*0.5%,IF(AND(M49&gt;50,M49&lt;=500),M49*1%,IF(AND(M49&gt;1,M49&lt;=50),M49*1.5%))))</f>
        <v>93.418000000000006</v>
      </c>
      <c r="M65" s="285">
        <f t="shared" ca="1" si="1"/>
        <v>93.4</v>
      </c>
      <c r="N65" s="274" t="s">
        <v>809</v>
      </c>
      <c r="Z65" s="2033"/>
      <c r="AI65" s="2034"/>
    </row>
    <row r="66" spans="1:35" ht="14.25" customHeight="1">
      <c r="A66" s="2168" t="s">
        <v>813</v>
      </c>
      <c r="B66" s="2208" t="s">
        <v>814</v>
      </c>
      <c r="C66" s="2209"/>
      <c r="D66" s="663" t="s">
        <v>124</v>
      </c>
      <c r="E66" s="2210" t="s">
        <v>815</v>
      </c>
      <c r="F66" s="2159"/>
      <c r="G66" s="2159"/>
      <c r="H66" s="2166"/>
      <c r="I66" s="274"/>
      <c r="J66" s="3406"/>
      <c r="K66" s="2205" t="s">
        <v>816</v>
      </c>
      <c r="L66" s="2206">
        <f ca="1">M49*0.5%</f>
        <v>467.09000000000003</v>
      </c>
      <c r="M66" s="285">
        <f ca="1">IF(L66&gt;0.5,0.5,ROUND(L66,0))</f>
        <v>0.5</v>
      </c>
      <c r="N66" s="274" t="s">
        <v>817</v>
      </c>
      <c r="Z66" s="2033"/>
      <c r="AI66" s="2034"/>
    </row>
    <row r="67" spans="1:35" ht="14.25" customHeight="1">
      <c r="A67" s="2168" t="s">
        <v>818</v>
      </c>
      <c r="B67" s="2208" t="s">
        <v>819</v>
      </c>
      <c r="C67" s="2211">
        <f ca="1">C63-C66</f>
        <v>88970</v>
      </c>
      <c r="D67" s="597" t="s">
        <v>124</v>
      </c>
      <c r="E67" s="2175"/>
      <c r="F67" s="2159"/>
      <c r="G67" s="2159"/>
      <c r="H67" s="2166"/>
      <c r="I67" s="274"/>
      <c r="J67" s="3406"/>
      <c r="K67" s="2205" t="s">
        <v>820</v>
      </c>
      <c r="L67" s="2206">
        <f ca="1">IF(M49&gt;=10000,(8.25+(M49-10000)*0.01%),IF(AND(M49&gt;=8000,M49&lt;10000),(7.85+(M49-8000)*0.02%),IF(AND(M49&gt;=5000,M49&lt;8000),(6.65+(M49-5000)*0.04%),IF(AND(M49&gt;=2000,M49&lt;5000),(4.25+(PM49-2000)*0.08%),IF(AND(M49&gt;=1000,M49&lt;2000),(2.75+(M49-1000)*0.15%),IF(AND(M49&gt;=100,M49&lt;1000),(0.5+(M49-100)*0.25%),IF(AND(M49&gt;0,M49&lt;100),M49*0.5%)))))))</f>
        <v>16.591799999999999</v>
      </c>
      <c r="M67" s="285">
        <f ca="1">ROUND(L67*0.9,1)</f>
        <v>14.9</v>
      </c>
      <c r="Z67" s="2033"/>
      <c r="AI67" s="2034"/>
    </row>
    <row r="68" spans="1:35" ht="14.25" customHeight="1">
      <c r="A68" s="2212" t="s">
        <v>821</v>
      </c>
      <c r="B68" s="2213" t="s">
        <v>822</v>
      </c>
      <c r="C68" s="2214">
        <f ca="1">IF(C67&lt;=0,0,ROUND(C67*D68,0))</f>
        <v>4982</v>
      </c>
      <c r="D68" s="757">
        <f>'数据-取费表'!B41</f>
        <v>5.6000000000000001E-2</v>
      </c>
      <c r="E68" s="2215"/>
      <c r="F68" s="2159"/>
      <c r="G68" s="2159"/>
      <c r="H68" s="2166"/>
      <c r="I68" s="274"/>
      <c r="J68" s="3406"/>
      <c r="K68" s="2205" t="s">
        <v>823</v>
      </c>
      <c r="L68" s="2206">
        <f ca="1">IF(M49&gt;10000,M49*0.5%,IF(AND(M49&gt;5000,M49&lt;=10000),M49*1%,IF(AND(M49&gt;1000,M49&lt;=5000),M49*2%,IF(AND(M49&gt;200,M49&lt;=1000),M49*3%,M49*5%))))</f>
        <v>467.09000000000003</v>
      </c>
      <c r="M68" s="285">
        <f ca="1">ROUND(L68,1)</f>
        <v>467.1</v>
      </c>
      <c r="Z68" s="2033"/>
      <c r="AI68" s="2034"/>
    </row>
    <row r="69" spans="1:35" s="2031" customFormat="1" ht="16.5" customHeight="1">
      <c r="A69" s="2216"/>
      <c r="B69" s="2217"/>
      <c r="C69" s="2218"/>
      <c r="D69" s="718"/>
      <c r="E69" s="2219"/>
      <c r="F69" s="2165"/>
      <c r="G69" s="2165"/>
      <c r="H69" s="2120"/>
      <c r="I69" s="2036"/>
      <c r="J69" s="3406"/>
      <c r="K69" s="2205" t="s">
        <v>824</v>
      </c>
      <c r="L69" s="2280"/>
      <c r="M69" s="285">
        <f ca="1">ROUND(SUM(M63:M68),0)</f>
        <v>1510</v>
      </c>
      <c r="N69" s="2194">
        <f ca="1">M69/M49</f>
        <v>1.6163908454473443E-2</v>
      </c>
      <c r="O69" s="233"/>
      <c r="P69" s="233"/>
      <c r="Q69" s="233"/>
      <c r="R69" s="233"/>
      <c r="S69" s="233"/>
      <c r="T69" s="233"/>
      <c r="U69" s="233"/>
      <c r="V69" s="233"/>
      <c r="W69" s="233"/>
      <c r="X69" s="233"/>
      <c r="Y69" s="233"/>
      <c r="Z69" s="2033"/>
      <c r="AA69" s="2033"/>
      <c r="AB69" s="2033"/>
      <c r="AC69" s="2033"/>
      <c r="AD69" s="2033"/>
      <c r="AE69" s="2033"/>
      <c r="AF69" s="2033"/>
      <c r="AG69" s="2033"/>
      <c r="AH69" s="2033"/>
    </row>
    <row r="70" spans="1:35" s="2032" customFormat="1" ht="14.25">
      <c r="A70" s="3402" t="s">
        <v>825</v>
      </c>
      <c r="B70" s="3403"/>
      <c r="C70" s="3403"/>
      <c r="D70" s="3403"/>
      <c r="E70" s="3403"/>
      <c r="F70" s="3403"/>
      <c r="G70" s="3403"/>
      <c r="H70" s="3403"/>
      <c r="I70" s="2281"/>
      <c r="N70" s="2282"/>
      <c r="O70" s="2282"/>
      <c r="P70" s="2282"/>
      <c r="Q70" s="2282"/>
      <c r="R70" s="2282"/>
      <c r="S70" s="2282"/>
      <c r="T70" s="2282"/>
      <c r="U70" s="2282"/>
      <c r="V70" s="2282"/>
      <c r="W70" s="2282"/>
      <c r="X70" s="2282"/>
      <c r="Y70" s="2282"/>
      <c r="Z70" s="2282"/>
      <c r="AA70" s="2288"/>
      <c r="AB70" s="2288"/>
      <c r="AC70" s="2288"/>
      <c r="AD70" s="2288"/>
      <c r="AE70" s="2288"/>
      <c r="AF70" s="2288"/>
      <c r="AG70" s="2288"/>
      <c r="AH70" s="2288"/>
      <c r="AI70" s="2288"/>
    </row>
    <row r="71" spans="1:35" s="2032" customFormat="1" ht="14.25">
      <c r="A71" s="3400" t="s">
        <v>800</v>
      </c>
      <c r="B71" s="3401"/>
      <c r="C71" s="620"/>
      <c r="D71" s="620" t="s">
        <v>801</v>
      </c>
      <c r="E71" s="2220" t="s">
        <v>755</v>
      </c>
      <c r="F71" s="2221"/>
      <c r="G71" s="2221"/>
      <c r="H71" s="2222"/>
      <c r="I71" s="2283"/>
      <c r="N71" s="2282"/>
      <c r="O71" s="2282"/>
      <c r="P71" s="2282"/>
      <c r="Q71" s="2282"/>
      <c r="R71" s="2282"/>
      <c r="S71" s="2282"/>
      <c r="T71" s="2282"/>
      <c r="U71" s="2282"/>
      <c r="V71" s="2282"/>
      <c r="W71" s="2282"/>
      <c r="X71" s="2282"/>
      <c r="Y71" s="2282"/>
      <c r="Z71" s="2282"/>
      <c r="AA71" s="2288"/>
      <c r="AB71" s="2288"/>
      <c r="AC71" s="2288"/>
      <c r="AD71" s="2288"/>
      <c r="AE71" s="2288"/>
      <c r="AF71" s="2288"/>
      <c r="AG71" s="2288"/>
      <c r="AH71" s="2288"/>
      <c r="AI71" s="2288"/>
    </row>
    <row r="72" spans="1:35" s="2032" customFormat="1" ht="14.25">
      <c r="A72" s="2168" t="s">
        <v>802</v>
      </c>
      <c r="B72" s="2208" t="s">
        <v>826</v>
      </c>
      <c r="C72" s="2211">
        <f ca="1">ROUND(D45/(1+'数据-取费表'!C42),0)</f>
        <v>88970</v>
      </c>
      <c r="D72" s="597" t="s">
        <v>124</v>
      </c>
      <c r="E72" s="1703"/>
      <c r="F72" s="1704"/>
      <c r="G72" s="1704"/>
      <c r="H72" s="2223"/>
      <c r="I72" s="2283"/>
      <c r="N72" s="2282"/>
      <c r="O72" s="2282"/>
      <c r="P72" s="2282"/>
      <c r="Q72" s="2282"/>
      <c r="R72" s="2282"/>
      <c r="S72" s="2282"/>
      <c r="T72" s="2282"/>
      <c r="U72" s="2282"/>
      <c r="V72" s="2282"/>
      <c r="W72" s="2282"/>
      <c r="X72" s="2282"/>
      <c r="Y72" s="2282"/>
      <c r="Z72" s="2282"/>
      <c r="AA72" s="2288"/>
      <c r="AB72" s="2288"/>
      <c r="AC72" s="2288"/>
      <c r="AD72" s="2288"/>
      <c r="AE72" s="2288"/>
      <c r="AF72" s="2288"/>
      <c r="AG72" s="2288"/>
      <c r="AH72" s="2288"/>
      <c r="AI72" s="2288"/>
    </row>
    <row r="73" spans="1:35" s="2032" customFormat="1" ht="14.25">
      <c r="A73" s="2168" t="s">
        <v>813</v>
      </c>
      <c r="B73" s="2134" t="s">
        <v>827</v>
      </c>
      <c r="C73" s="2211">
        <f ca="1">C74+C78</f>
        <v>534</v>
      </c>
      <c r="D73" s="597" t="s">
        <v>124</v>
      </c>
      <c r="E73" s="1703"/>
      <c r="F73" s="1704"/>
      <c r="G73" s="1704"/>
      <c r="H73" s="2223"/>
      <c r="I73" s="2283"/>
      <c r="J73" s="2282"/>
      <c r="K73" s="2282"/>
      <c r="L73" s="2282"/>
      <c r="M73" s="2282"/>
      <c r="N73" s="2282"/>
      <c r="O73" s="2282"/>
      <c r="P73" s="2282"/>
      <c r="Q73" s="2282"/>
      <c r="R73" s="2282"/>
      <c r="S73" s="2282"/>
      <c r="T73" s="2282"/>
      <c r="U73" s="2282"/>
      <c r="V73" s="2282"/>
      <c r="W73" s="2282"/>
      <c r="X73" s="2282"/>
      <c r="Y73" s="2282"/>
      <c r="Z73" s="2282"/>
      <c r="AA73" s="2288"/>
      <c r="AB73" s="2288"/>
      <c r="AC73" s="2288"/>
      <c r="AD73" s="2288"/>
      <c r="AE73" s="2288"/>
      <c r="AF73" s="2288"/>
      <c r="AG73" s="2288"/>
      <c r="AH73" s="2288"/>
      <c r="AI73" s="2288"/>
    </row>
    <row r="74" spans="1:35" s="2032" customFormat="1" ht="24">
      <c r="A74" s="2224" t="s">
        <v>806</v>
      </c>
      <c r="B74" s="572" t="s">
        <v>828</v>
      </c>
      <c r="C74" s="597">
        <f>ROUND(IF(G77="2016年5月1日后购买",C75/(1+'数据-取费表'!C42)+C76+C77,C75+C76+C77),0)</f>
        <v>0</v>
      </c>
      <c r="D74" s="597" t="s">
        <v>124</v>
      </c>
      <c r="E74" s="1703"/>
      <c r="F74" s="1704"/>
      <c r="G74" s="1704"/>
      <c r="H74" s="2223"/>
      <c r="I74" s="2283"/>
      <c r="J74" s="2282"/>
      <c r="K74" s="2282"/>
      <c r="L74" s="2282"/>
      <c r="M74" s="2282"/>
      <c r="N74" s="2282"/>
      <c r="O74" s="2282"/>
      <c r="P74" s="2282"/>
      <c r="Q74" s="2282"/>
      <c r="R74" s="2282"/>
      <c r="S74" s="2282"/>
      <c r="T74" s="2282"/>
      <c r="U74" s="2282"/>
      <c r="V74" s="2282"/>
      <c r="W74" s="2282"/>
      <c r="X74" s="2282"/>
      <c r="Y74" s="2282"/>
      <c r="Z74" s="2282"/>
      <c r="AA74" s="2288"/>
      <c r="AB74" s="2288"/>
      <c r="AC74" s="2288"/>
      <c r="AD74" s="2288"/>
      <c r="AE74" s="2288"/>
      <c r="AF74" s="2288"/>
      <c r="AG74" s="2288"/>
      <c r="AH74" s="2288"/>
      <c r="AI74" s="2288"/>
    </row>
    <row r="75" spans="1:35" s="2032" customFormat="1" ht="14.25">
      <c r="A75" s="2224" t="s">
        <v>829</v>
      </c>
      <c r="B75" s="572" t="s">
        <v>830</v>
      </c>
      <c r="C75" s="2225"/>
      <c r="D75" s="597" t="s">
        <v>124</v>
      </c>
      <c r="E75" s="2226" t="s">
        <v>831</v>
      </c>
      <c r="F75" s="2227" t="s">
        <v>832</v>
      </c>
      <c r="G75" s="2226" t="s">
        <v>833</v>
      </c>
      <c r="H75" s="2228"/>
      <c r="I75" s="2284"/>
      <c r="J75" s="2282"/>
      <c r="K75" s="2282"/>
      <c r="L75" s="2282"/>
      <c r="M75" s="2282"/>
      <c r="N75" s="2282"/>
      <c r="O75" s="2282"/>
      <c r="P75" s="2282"/>
      <c r="Q75" s="2282"/>
      <c r="R75" s="2282"/>
      <c r="S75" s="2282"/>
      <c r="T75" s="2282"/>
      <c r="U75" s="2282"/>
      <c r="V75" s="2282"/>
      <c r="W75" s="2282"/>
      <c r="X75" s="2282"/>
      <c r="Y75" s="2282"/>
      <c r="Z75" s="2282"/>
      <c r="AA75" s="2288"/>
      <c r="AB75" s="2288"/>
      <c r="AC75" s="2288"/>
      <c r="AD75" s="2288"/>
      <c r="AE75" s="2288"/>
      <c r="AF75" s="2288"/>
      <c r="AG75" s="2288"/>
      <c r="AH75" s="2288"/>
      <c r="AI75" s="2288"/>
    </row>
    <row r="76" spans="1:35" s="2032" customFormat="1" ht="24.75" customHeight="1">
      <c r="A76" s="2224" t="s">
        <v>834</v>
      </c>
      <c r="B76" s="2229" t="s">
        <v>835</v>
      </c>
      <c r="C76" s="597">
        <f>IF(F75="购房发票",ROUND(C75*H75*D76,0),0)</f>
        <v>0</v>
      </c>
      <c r="D76" s="2230">
        <v>0.05</v>
      </c>
      <c r="E76" s="3390" t="s">
        <v>836</v>
      </c>
      <c r="F76" s="3385"/>
      <c r="G76" s="3385"/>
      <c r="H76" s="3407"/>
      <c r="I76" s="2283"/>
      <c r="J76" s="2282"/>
      <c r="K76" s="2282"/>
      <c r="L76" s="2282"/>
      <c r="M76" s="2282"/>
      <c r="N76" s="2282"/>
      <c r="O76" s="2282"/>
      <c r="P76" s="2282"/>
      <c r="Q76" s="2282"/>
      <c r="R76" s="2282"/>
      <c r="S76" s="2282"/>
      <c r="T76" s="2282"/>
      <c r="U76" s="2282"/>
      <c r="V76" s="2282"/>
      <c r="W76" s="2282"/>
      <c r="X76" s="2282"/>
      <c r="Y76" s="2282"/>
      <c r="Z76" s="2282"/>
      <c r="AA76" s="2288"/>
      <c r="AB76" s="2288"/>
      <c r="AC76" s="2288"/>
      <c r="AD76" s="2288"/>
      <c r="AE76" s="2288"/>
      <c r="AF76" s="2288"/>
      <c r="AG76" s="2288"/>
      <c r="AH76" s="2288"/>
      <c r="AI76" s="2288"/>
    </row>
    <row r="77" spans="1:35" s="2032" customFormat="1" ht="24.75" customHeight="1">
      <c r="A77" s="2224" t="s">
        <v>837</v>
      </c>
      <c r="B77" s="572" t="s">
        <v>838</v>
      </c>
      <c r="C77" s="597">
        <f>ROUND(IF(G77="个人住宅",0,IF(G77="2016年5月1日前购买",C75*D77,C75*D77/(1+'数据-取费表'!C42))),0)</f>
        <v>0</v>
      </c>
      <c r="D77" s="2232">
        <f>'数据-取费表'!B48+'数据-取费表'!B49</f>
        <v>3.0499999999999999E-2</v>
      </c>
      <c r="E77" s="1821" t="s">
        <v>839</v>
      </c>
      <c r="F77" s="2233"/>
      <c r="G77" s="2234" t="s">
        <v>840</v>
      </c>
      <c r="H77" s="2231" t="str">
        <f>IF(G77="个人买卖住房","免征印花税"," ")</f>
        <v/>
      </c>
      <c r="I77" s="2283"/>
      <c r="J77" s="2282"/>
      <c r="K77" s="2282"/>
      <c r="L77" s="2282"/>
      <c r="M77" s="2282"/>
      <c r="N77" s="2282"/>
      <c r="O77" s="2282"/>
      <c r="P77" s="2282"/>
      <c r="Q77" s="2282"/>
      <c r="R77" s="2282"/>
      <c r="S77" s="2282"/>
      <c r="T77" s="2282"/>
      <c r="U77" s="2282"/>
      <c r="V77" s="2282"/>
      <c r="W77" s="2282"/>
      <c r="X77" s="2282"/>
      <c r="Y77" s="2282"/>
      <c r="Z77" s="2282"/>
      <c r="AA77" s="2288"/>
      <c r="AB77" s="2288"/>
      <c r="AC77" s="2288"/>
      <c r="AD77" s="2288"/>
      <c r="AE77" s="2288"/>
      <c r="AF77" s="2288"/>
      <c r="AG77" s="2288"/>
      <c r="AH77" s="2288"/>
      <c r="AI77" s="2288"/>
    </row>
    <row r="78" spans="1:35" s="2032" customFormat="1" ht="24.75" customHeight="1">
      <c r="A78" s="2224" t="s">
        <v>810</v>
      </c>
      <c r="B78" s="572" t="s">
        <v>841</v>
      </c>
      <c r="C78" s="2235">
        <f ca="1">ROUND(D45*D78/(1+'数据-取费表'!C42),0)</f>
        <v>534</v>
      </c>
      <c r="D78" s="2236">
        <f>'数据-取费表'!B43</f>
        <v>6.000000000000001E-3</v>
      </c>
      <c r="E78" s="3408" t="s">
        <v>842</v>
      </c>
      <c r="F78" s="3409"/>
      <c r="G78" s="3409"/>
      <c r="H78" s="3410"/>
      <c r="I78" s="2285"/>
      <c r="J78" s="2282"/>
      <c r="K78" s="2282"/>
      <c r="L78" s="2282"/>
      <c r="M78" s="2282"/>
      <c r="N78" s="2282"/>
      <c r="O78" s="2282"/>
      <c r="P78" s="2282"/>
      <c r="Q78" s="2282"/>
      <c r="R78" s="2282"/>
      <c r="S78" s="2282"/>
      <c r="T78" s="2282"/>
      <c r="U78" s="2282"/>
      <c r="V78" s="2282"/>
      <c r="W78" s="2282"/>
      <c r="X78" s="2282"/>
      <c r="Y78" s="2282"/>
      <c r="Z78" s="2282"/>
      <c r="AA78" s="2288"/>
      <c r="AB78" s="2288"/>
      <c r="AC78" s="2288"/>
      <c r="AD78" s="2288"/>
      <c r="AE78" s="2288"/>
      <c r="AF78" s="2288"/>
      <c r="AG78" s="2288"/>
      <c r="AH78" s="2288"/>
      <c r="AI78" s="2288"/>
    </row>
    <row r="79" spans="1:35" s="2032" customFormat="1" ht="14.25">
      <c r="A79" s="2240" t="s">
        <v>818</v>
      </c>
      <c r="B79" s="2208" t="s">
        <v>843</v>
      </c>
      <c r="C79" s="2211">
        <f ca="1">C72-C73</f>
        <v>88436</v>
      </c>
      <c r="D79" s="597" t="s">
        <v>124</v>
      </c>
      <c r="E79" s="1703"/>
      <c r="F79" s="1704"/>
      <c r="G79" s="1704"/>
      <c r="H79" s="2223"/>
      <c r="I79" s="2283"/>
      <c r="J79" s="2282"/>
      <c r="K79" s="2282"/>
      <c r="L79" s="2282"/>
      <c r="M79" s="2282"/>
      <c r="N79" s="2282"/>
      <c r="O79" s="2282"/>
      <c r="P79" s="2282"/>
      <c r="Q79" s="2282"/>
      <c r="R79" s="2282"/>
      <c r="S79" s="2282"/>
      <c r="T79" s="2282"/>
      <c r="U79" s="2282"/>
      <c r="V79" s="2282"/>
      <c r="W79" s="2282"/>
      <c r="X79" s="2282"/>
      <c r="Y79" s="2282"/>
      <c r="Z79" s="2282"/>
      <c r="AA79" s="2288"/>
      <c r="AB79" s="2288"/>
      <c r="AC79" s="2288"/>
      <c r="AD79" s="2288"/>
      <c r="AE79" s="2288"/>
      <c r="AF79" s="2288"/>
      <c r="AG79" s="2288"/>
      <c r="AH79" s="2288"/>
      <c r="AI79" s="2288"/>
    </row>
    <row r="80" spans="1:35" s="2032" customFormat="1" ht="24">
      <c r="A80" s="2240" t="s">
        <v>821</v>
      </c>
      <c r="B80" s="2208" t="s">
        <v>844</v>
      </c>
      <c r="C80" s="2241">
        <f ca="1">IF(C79&lt;=0,0,C79/C73)</f>
        <v>165.61048689138576</v>
      </c>
      <c r="D80" s="597" t="s">
        <v>124</v>
      </c>
      <c r="E80" s="1821" t="str">
        <f ca="1">IF(C80&gt;=200%,"增值额超过扣除项目金额200%",IF(C80&gt;=100%,"增值额超过扣除项目金额100%，未超过200%",IF(C80&gt;=50%,"增值额超过扣除项目金额50%，未超过100%",IF(C80&lt;50%,"增值额未超过扣除项目金额50%"))))</f>
        <v>增值额超过扣除项目金额200%</v>
      </c>
      <c r="F80" s="1704"/>
      <c r="G80" s="1704"/>
      <c r="H80" s="2223"/>
      <c r="I80" s="2283"/>
      <c r="J80" s="2282"/>
      <c r="K80" s="2282"/>
      <c r="L80" s="2282"/>
      <c r="M80" s="2282"/>
      <c r="N80" s="2282"/>
      <c r="O80" s="2282"/>
      <c r="P80" s="2282"/>
      <c r="Q80" s="2282"/>
      <c r="R80" s="2282"/>
      <c r="S80" s="2282"/>
      <c r="T80" s="2282"/>
      <c r="U80" s="2282"/>
      <c r="V80" s="2282"/>
      <c r="W80" s="2282"/>
      <c r="X80" s="2282"/>
      <c r="Y80" s="2282"/>
      <c r="Z80" s="2282"/>
      <c r="AA80" s="2288"/>
      <c r="AB80" s="2288"/>
      <c r="AC80" s="2288"/>
      <c r="AD80" s="2288"/>
      <c r="AE80" s="2288"/>
      <c r="AF80" s="2288"/>
      <c r="AG80" s="2288"/>
      <c r="AH80" s="2288"/>
      <c r="AI80" s="2288"/>
    </row>
    <row r="81" spans="1:35" s="2032" customFormat="1" ht="24">
      <c r="A81" s="2242" t="s">
        <v>845</v>
      </c>
      <c r="B81" s="2213" t="s">
        <v>846</v>
      </c>
      <c r="C81" s="2243">
        <f ca="1">ROUND(IF(C79&lt;=0,0,IF(C80&gt;=200%,C79*60%-C73*35%,IF(C80&gt;=100%,C79*50%-C73*15%,IF(C80&gt;=50%,C79*40%-C73*5%,IF(C80&lt;50%,C79*30%,0))))),0)</f>
        <v>52875</v>
      </c>
      <c r="D81" s="618" t="s">
        <v>124</v>
      </c>
      <c r="E81" s="224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45"/>
      <c r="G81" s="2245"/>
      <c r="H81" s="2246"/>
      <c r="I81" s="2283"/>
      <c r="J81" s="2282"/>
      <c r="K81" s="2282"/>
      <c r="L81" s="2282"/>
      <c r="M81" s="2282"/>
      <c r="N81" s="2282"/>
      <c r="O81" s="2282"/>
      <c r="P81" s="2282"/>
      <c r="Q81" s="2282"/>
      <c r="R81" s="2282"/>
      <c r="S81" s="2282"/>
      <c r="T81" s="2282"/>
      <c r="U81" s="2282"/>
      <c r="V81" s="2282"/>
      <c r="W81" s="2282"/>
      <c r="X81" s="2282"/>
      <c r="Y81" s="2282"/>
      <c r="Z81" s="2282"/>
      <c r="AA81" s="2288"/>
      <c r="AB81" s="2288"/>
      <c r="AC81" s="2288"/>
      <c r="AD81" s="2288"/>
      <c r="AE81" s="2288"/>
      <c r="AF81" s="2288"/>
      <c r="AG81" s="2288"/>
      <c r="AH81" s="2288"/>
      <c r="AI81" s="2288"/>
    </row>
    <row r="82" spans="1:35" s="2032" customFormat="1" ht="7.5" customHeight="1">
      <c r="A82" s="2247"/>
      <c r="B82" s="2248"/>
      <c r="C82" s="702"/>
      <c r="D82" s="702"/>
      <c r="E82" s="2248"/>
      <c r="F82" s="2248"/>
      <c r="G82" s="2248"/>
      <c r="H82" s="2249"/>
      <c r="I82" s="2285"/>
      <c r="J82" s="2282"/>
      <c r="K82" s="2282"/>
      <c r="L82" s="2282"/>
      <c r="M82" s="2282"/>
      <c r="N82" s="2282"/>
      <c r="O82" s="2282"/>
      <c r="P82" s="2282"/>
      <c r="Q82" s="2282"/>
      <c r="R82" s="2282"/>
      <c r="S82" s="2282"/>
      <c r="T82" s="2282"/>
      <c r="U82" s="2282"/>
      <c r="V82" s="2282"/>
      <c r="W82" s="2282"/>
      <c r="X82" s="2282"/>
      <c r="Y82" s="2282"/>
      <c r="Z82" s="2282"/>
      <c r="AA82" s="2288"/>
      <c r="AB82" s="2288"/>
      <c r="AC82" s="2288"/>
      <c r="AD82" s="2288"/>
      <c r="AE82" s="2288"/>
      <c r="AF82" s="2288"/>
      <c r="AG82" s="2288"/>
      <c r="AH82" s="2288"/>
      <c r="AI82" s="2288"/>
    </row>
    <row r="83" spans="1:35" s="2032" customFormat="1" ht="14.25">
      <c r="A83" s="3402" t="s">
        <v>847</v>
      </c>
      <c r="B83" s="3403"/>
      <c r="C83" s="3403"/>
      <c r="D83" s="3403"/>
      <c r="E83" s="3403"/>
      <c r="F83" s="3403"/>
      <c r="G83" s="3403"/>
      <c r="H83" s="3403"/>
      <c r="I83" s="2284"/>
      <c r="J83" s="2282"/>
      <c r="K83" s="2282"/>
      <c r="L83" s="2282"/>
      <c r="M83" s="2282"/>
      <c r="N83" s="2282"/>
      <c r="O83" s="2282"/>
      <c r="P83" s="2282"/>
      <c r="Q83" s="2282"/>
      <c r="R83" s="2282"/>
      <c r="S83" s="2282"/>
      <c r="T83" s="2282"/>
      <c r="U83" s="2282"/>
      <c r="V83" s="2282"/>
      <c r="W83" s="2282"/>
      <c r="X83" s="2282"/>
      <c r="Y83" s="2282"/>
      <c r="Z83" s="2282"/>
      <c r="AA83" s="2288"/>
      <c r="AB83" s="2288"/>
      <c r="AC83" s="2288"/>
      <c r="AD83" s="2288"/>
      <c r="AE83" s="2288"/>
      <c r="AF83" s="2288"/>
      <c r="AG83" s="2288"/>
      <c r="AH83" s="2288"/>
      <c r="AI83" s="2288"/>
    </row>
    <row r="84" spans="1:35" s="2032" customFormat="1" ht="14.25">
      <c r="A84" s="3400" t="s">
        <v>800</v>
      </c>
      <c r="B84" s="3401"/>
      <c r="C84" s="620"/>
      <c r="D84" s="620" t="s">
        <v>801</v>
      </c>
      <c r="E84" s="2220" t="s">
        <v>755</v>
      </c>
      <c r="F84" s="2221"/>
      <c r="G84" s="2221"/>
      <c r="H84" s="2250"/>
      <c r="I84" s="2284"/>
      <c r="J84" s="2282"/>
      <c r="K84" s="2282"/>
      <c r="L84" s="2282"/>
      <c r="M84" s="2282"/>
      <c r="N84" s="2282"/>
      <c r="O84" s="2282"/>
      <c r="P84" s="2282"/>
      <c r="Q84" s="2282"/>
      <c r="R84" s="2282"/>
      <c r="S84" s="2282"/>
      <c r="T84" s="2282"/>
      <c r="U84" s="2282"/>
      <c r="V84" s="2282"/>
      <c r="W84" s="2282"/>
      <c r="X84" s="2282"/>
      <c r="Y84" s="2282"/>
      <c r="Z84" s="2282"/>
      <c r="AA84" s="2288"/>
      <c r="AB84" s="2288"/>
      <c r="AC84" s="2288"/>
      <c r="AD84" s="2288"/>
      <c r="AE84" s="2288"/>
      <c r="AF84" s="2288"/>
      <c r="AG84" s="2288"/>
      <c r="AH84" s="2288"/>
      <c r="AI84" s="2288"/>
    </row>
    <row r="85" spans="1:35" s="2032" customFormat="1" ht="14.25">
      <c r="A85" s="2168" t="s">
        <v>802</v>
      </c>
      <c r="B85" s="2208" t="s">
        <v>826</v>
      </c>
      <c r="C85" s="2211">
        <f ca="1">ROUND(D45/(1+'数据-取费表'!C42),0)</f>
        <v>88970</v>
      </c>
      <c r="D85" s="597" t="s">
        <v>124</v>
      </c>
      <c r="E85" s="1703"/>
      <c r="F85" s="1704"/>
      <c r="G85" s="1704"/>
      <c r="H85" s="2251"/>
      <c r="I85" s="2284"/>
      <c r="J85" s="2282"/>
      <c r="K85" s="2282"/>
      <c r="L85" s="2282"/>
      <c r="M85" s="2282"/>
      <c r="N85" s="2282"/>
      <c r="O85" s="2282"/>
      <c r="P85" s="2282"/>
      <c r="Q85" s="2282"/>
      <c r="R85" s="2282"/>
      <c r="S85" s="2282"/>
      <c r="T85" s="2282"/>
      <c r="U85" s="2282"/>
      <c r="V85" s="2282"/>
      <c r="W85" s="2282"/>
      <c r="X85" s="2282"/>
      <c r="Y85" s="2282"/>
      <c r="Z85" s="2282"/>
      <c r="AA85" s="2288"/>
      <c r="AB85" s="2288"/>
      <c r="AC85" s="2288"/>
      <c r="AD85" s="2288"/>
      <c r="AE85" s="2288"/>
      <c r="AF85" s="2288"/>
      <c r="AG85" s="2288"/>
      <c r="AH85" s="2288"/>
      <c r="AI85" s="2288"/>
    </row>
    <row r="86" spans="1:35" s="2032" customFormat="1" ht="14.25">
      <c r="A86" s="2168" t="s">
        <v>813</v>
      </c>
      <c r="B86" s="2134" t="s">
        <v>827</v>
      </c>
      <c r="C86" s="2211">
        <f ca="1">IF(H88="仅含出让金",C87+C90+C91+C92+C93+C94,C87+C91+C92+C93+C94)</f>
        <v>534</v>
      </c>
      <c r="D86" s="2252"/>
      <c r="E86" s="1703"/>
      <c r="F86" s="1704"/>
      <c r="G86" s="1704"/>
      <c r="H86" s="2251"/>
      <c r="I86" s="2284"/>
      <c r="J86" s="2282"/>
      <c r="K86" s="2282"/>
      <c r="L86" s="2282"/>
      <c r="M86" s="2282"/>
      <c r="N86" s="2282"/>
      <c r="O86" s="2282"/>
      <c r="P86" s="2282"/>
      <c r="Q86" s="2282"/>
      <c r="R86" s="2282"/>
      <c r="S86" s="2282"/>
      <c r="T86" s="2282"/>
      <c r="U86" s="2282"/>
      <c r="V86" s="2282"/>
      <c r="W86" s="2282"/>
      <c r="X86" s="2282"/>
      <c r="Y86" s="2282"/>
      <c r="Z86" s="2282"/>
      <c r="AA86" s="2288"/>
      <c r="AB86" s="2288"/>
      <c r="AC86" s="2288"/>
      <c r="AD86" s="2288"/>
      <c r="AE86" s="2288"/>
      <c r="AF86" s="2288"/>
      <c r="AG86" s="2288"/>
      <c r="AH86" s="2288"/>
      <c r="AI86" s="2288"/>
    </row>
    <row r="87" spans="1:35" s="2032" customFormat="1" ht="14.25">
      <c r="A87" s="2224" t="s">
        <v>806</v>
      </c>
      <c r="B87" s="572" t="s">
        <v>848</v>
      </c>
      <c r="C87" s="2235">
        <f>C88+C89</f>
        <v>0</v>
      </c>
      <c r="D87" s="2236"/>
      <c r="E87" s="2237"/>
      <c r="F87" s="2238"/>
      <c r="G87" s="2238"/>
      <c r="H87" s="2239"/>
      <c r="I87" s="2284"/>
      <c r="J87" s="2282"/>
      <c r="K87" s="2282"/>
      <c r="L87" s="2282"/>
      <c r="M87" s="2282"/>
      <c r="N87" s="2282"/>
      <c r="O87" s="2282"/>
      <c r="P87" s="2282"/>
      <c r="Q87" s="2282"/>
      <c r="R87" s="2282"/>
      <c r="S87" s="2282"/>
      <c r="T87" s="2282"/>
      <c r="U87" s="2282"/>
      <c r="V87" s="2282"/>
      <c r="W87" s="2282"/>
      <c r="X87" s="2282"/>
      <c r="Y87" s="2282"/>
      <c r="Z87" s="2282"/>
      <c r="AA87" s="2288"/>
      <c r="AB87" s="2288"/>
      <c r="AC87" s="2288"/>
      <c r="AD87" s="2288"/>
      <c r="AE87" s="2288"/>
      <c r="AF87" s="2288"/>
      <c r="AG87" s="2288"/>
      <c r="AH87" s="2288"/>
      <c r="AI87" s="2288"/>
    </row>
    <row r="88" spans="1:35" s="2032" customFormat="1" ht="14.25">
      <c r="A88" s="2224" t="s">
        <v>829</v>
      </c>
      <c r="B88" s="572" t="s">
        <v>849</v>
      </c>
      <c r="C88" s="2253"/>
      <c r="D88" s="2236"/>
      <c r="E88" s="2254" t="s">
        <v>850</v>
      </c>
      <c r="F88" s="2238"/>
      <c r="G88" s="2255" t="s">
        <v>851</v>
      </c>
      <c r="H88" s="2256"/>
      <c r="I88" s="2284"/>
      <c r="J88" s="2282"/>
      <c r="K88" s="2282"/>
      <c r="L88" s="2282"/>
      <c r="M88" s="2282"/>
      <c r="N88" s="2282"/>
      <c r="O88" s="2282"/>
      <c r="P88" s="2282"/>
      <c r="Q88" s="2282"/>
      <c r="R88" s="2282"/>
      <c r="S88" s="2282"/>
      <c r="T88" s="2282"/>
      <c r="U88" s="2282"/>
      <c r="V88" s="2282"/>
      <c r="W88" s="2282"/>
      <c r="X88" s="2282"/>
      <c r="Y88" s="2282"/>
      <c r="Z88" s="2282"/>
      <c r="AA88" s="2288"/>
      <c r="AB88" s="2288"/>
      <c r="AC88" s="2288"/>
      <c r="AD88" s="2288"/>
      <c r="AE88" s="2288"/>
      <c r="AF88" s="2288"/>
      <c r="AG88" s="2288"/>
      <c r="AH88" s="2288"/>
      <c r="AI88" s="2288"/>
    </row>
    <row r="89" spans="1:35" s="2032" customFormat="1" ht="14.25">
      <c r="A89" s="2224" t="s">
        <v>834</v>
      </c>
      <c r="B89" s="572" t="s">
        <v>838</v>
      </c>
      <c r="C89" s="2235">
        <f>ROUND(C88*D89,0)</f>
        <v>0</v>
      </c>
      <c r="D89" s="2236">
        <f>'数据-取费表'!B48+'数据-取费表'!B49</f>
        <v>3.0499999999999999E-2</v>
      </c>
      <c r="E89" s="2254" t="s">
        <v>852</v>
      </c>
      <c r="F89" s="2238"/>
      <c r="G89" s="2238"/>
      <c r="H89" s="2239"/>
      <c r="I89" s="2284"/>
      <c r="J89" s="2282"/>
      <c r="K89" s="2282"/>
      <c r="L89" s="2282"/>
      <c r="M89" s="2282"/>
      <c r="N89" s="2282"/>
      <c r="O89" s="2282"/>
      <c r="P89" s="2282"/>
      <c r="Q89" s="2282"/>
      <c r="R89" s="2282"/>
      <c r="S89" s="2282"/>
      <c r="T89" s="2282"/>
      <c r="U89" s="2282"/>
      <c r="V89" s="2282"/>
      <c r="W89" s="2282"/>
      <c r="X89" s="2282"/>
      <c r="Y89" s="2282"/>
      <c r="Z89" s="2282"/>
      <c r="AA89" s="2288"/>
      <c r="AB89" s="2288"/>
      <c r="AC89" s="2288"/>
      <c r="AD89" s="2288"/>
      <c r="AE89" s="2288"/>
      <c r="AF89" s="2288"/>
      <c r="AG89" s="2288"/>
      <c r="AH89" s="2288"/>
      <c r="AI89" s="2288"/>
    </row>
    <row r="90" spans="1:35" s="2032" customFormat="1" ht="14.25">
      <c r="A90" s="2224" t="s">
        <v>810</v>
      </c>
      <c r="B90" s="572" t="s">
        <v>853</v>
      </c>
      <c r="C90" s="2253"/>
      <c r="D90" s="2236"/>
      <c r="E90" s="2254" t="str">
        <f>IF(H88="-","土地取得成本中已包含该笔费用"," ")</f>
        <v/>
      </c>
      <c r="F90" s="2238"/>
      <c r="G90" s="2238"/>
      <c r="H90" s="2239"/>
      <c r="I90" s="2284"/>
      <c r="J90" s="2282"/>
      <c r="K90" s="2282"/>
      <c r="L90" s="2282"/>
      <c r="M90" s="2282"/>
      <c r="N90" s="2282"/>
      <c r="O90" s="2282"/>
      <c r="P90" s="2282"/>
      <c r="Q90" s="2282"/>
      <c r="R90" s="2282"/>
      <c r="S90" s="2282"/>
      <c r="T90" s="2282"/>
      <c r="U90" s="2282"/>
      <c r="V90" s="2282"/>
      <c r="W90" s="2282"/>
      <c r="X90" s="2282"/>
      <c r="Y90" s="2282"/>
      <c r="Z90" s="2282"/>
      <c r="AA90" s="2288"/>
      <c r="AB90" s="2288"/>
      <c r="AC90" s="2288"/>
      <c r="AD90" s="2288"/>
      <c r="AE90" s="2288"/>
      <c r="AF90" s="2288"/>
      <c r="AG90" s="2288"/>
      <c r="AH90" s="2288"/>
      <c r="AI90" s="2288"/>
    </row>
    <row r="91" spans="1:35" s="2032" customFormat="1" ht="27.75" customHeight="1">
      <c r="A91" s="2224" t="s">
        <v>854</v>
      </c>
      <c r="B91" s="572" t="s">
        <v>855</v>
      </c>
      <c r="C91" s="2235">
        <f>IF(H91="——",成本法!C33,I91)</f>
        <v>0</v>
      </c>
      <c r="D91" s="2236"/>
      <c r="E91" s="3408" t="s">
        <v>856</v>
      </c>
      <c r="F91" s="3409"/>
      <c r="G91" s="3409"/>
      <c r="H91" s="2257" t="s">
        <v>857</v>
      </c>
      <c r="I91" s="2286"/>
      <c r="J91" s="2282"/>
      <c r="K91" s="2282"/>
      <c r="L91" s="2282"/>
      <c r="M91" s="2282"/>
      <c r="N91" s="2282"/>
      <c r="O91" s="2282"/>
      <c r="P91" s="2282"/>
      <c r="Q91" s="2282"/>
      <c r="R91" s="2282"/>
      <c r="S91" s="2282"/>
      <c r="T91" s="2282"/>
      <c r="U91" s="2282"/>
      <c r="V91" s="2282"/>
      <c r="W91" s="2282"/>
      <c r="X91" s="2282"/>
      <c r="Y91" s="2282"/>
      <c r="Z91" s="2282"/>
      <c r="AA91" s="2288"/>
      <c r="AB91" s="2288"/>
      <c r="AC91" s="2288"/>
      <c r="AD91" s="2288"/>
      <c r="AE91" s="2288"/>
      <c r="AF91" s="2288"/>
      <c r="AG91" s="2288"/>
      <c r="AH91" s="2288"/>
      <c r="AI91" s="2288"/>
    </row>
    <row r="92" spans="1:35" s="2032" customFormat="1" ht="25.5" customHeight="1">
      <c r="A92" s="2224" t="s">
        <v>858</v>
      </c>
      <c r="B92" s="572" t="s">
        <v>859</v>
      </c>
      <c r="C92" s="2235">
        <f>ROUND((C87+C90+C91)*D92,0)</f>
        <v>0</v>
      </c>
      <c r="D92" s="2236">
        <v>0.1</v>
      </c>
      <c r="E92" s="3408" t="s">
        <v>860</v>
      </c>
      <c r="F92" s="3409"/>
      <c r="G92" s="3409"/>
      <c r="H92" s="3410"/>
      <c r="I92" s="2284"/>
      <c r="J92" s="2282"/>
      <c r="K92" s="2282"/>
      <c r="L92" s="2282"/>
      <c r="M92" s="2282"/>
      <c r="N92" s="2282"/>
      <c r="O92" s="2282"/>
      <c r="P92" s="2282"/>
      <c r="Q92" s="2282"/>
      <c r="R92" s="2282"/>
      <c r="S92" s="2282"/>
      <c r="T92" s="2282"/>
      <c r="U92" s="2282"/>
      <c r="V92" s="2282"/>
      <c r="W92" s="2282"/>
      <c r="X92" s="2282"/>
      <c r="Y92" s="2282"/>
      <c r="Z92" s="2282"/>
      <c r="AA92" s="2288"/>
      <c r="AB92" s="2288"/>
      <c r="AC92" s="2288"/>
      <c r="AD92" s="2288"/>
      <c r="AE92" s="2288"/>
      <c r="AF92" s="2288"/>
      <c r="AG92" s="2288"/>
      <c r="AH92" s="2288"/>
      <c r="AI92" s="2288"/>
    </row>
    <row r="93" spans="1:35" s="2032" customFormat="1" ht="25.5" customHeight="1">
      <c r="A93" s="2224" t="s">
        <v>861</v>
      </c>
      <c r="B93" s="572" t="s">
        <v>841</v>
      </c>
      <c r="C93" s="2235">
        <f ca="1">ROUND(D45*D93/(1+'数据-取费表'!C42),0)</f>
        <v>534</v>
      </c>
      <c r="D93" s="2236">
        <f>'数据-取费表'!B43</f>
        <v>6.000000000000001E-3</v>
      </c>
      <c r="E93" s="3408" t="s">
        <v>842</v>
      </c>
      <c r="F93" s="3409"/>
      <c r="G93" s="3409"/>
      <c r="H93" s="3410"/>
      <c r="I93" s="2284"/>
      <c r="J93" s="2282"/>
      <c r="K93" s="2282"/>
      <c r="L93" s="2282"/>
      <c r="M93" s="2282"/>
      <c r="N93" s="2282"/>
      <c r="O93" s="2282"/>
      <c r="P93" s="2282"/>
      <c r="Q93" s="2282"/>
      <c r="R93" s="2282"/>
      <c r="S93" s="2282"/>
      <c r="T93" s="2282"/>
      <c r="U93" s="2282"/>
      <c r="V93" s="2282"/>
      <c r="W93" s="2282"/>
      <c r="X93" s="2282"/>
      <c r="Y93" s="2282"/>
      <c r="Z93" s="2282"/>
      <c r="AA93" s="2288"/>
      <c r="AB93" s="2288"/>
      <c r="AC93" s="2288"/>
      <c r="AD93" s="2288"/>
      <c r="AE93" s="2288"/>
      <c r="AF93" s="2288"/>
      <c r="AG93" s="2288"/>
      <c r="AH93" s="2288"/>
      <c r="AI93" s="2288"/>
    </row>
    <row r="94" spans="1:35" s="2032" customFormat="1" ht="36.75" customHeight="1">
      <c r="A94" s="2224" t="s">
        <v>862</v>
      </c>
      <c r="B94" s="572" t="s">
        <v>863</v>
      </c>
      <c r="C94" s="2253">
        <f>ROUND((C87+C90+C91)*D94,0)</f>
        <v>0</v>
      </c>
      <c r="D94" s="2236">
        <v>0.2</v>
      </c>
      <c r="E94" s="3411" t="s">
        <v>864</v>
      </c>
      <c r="F94" s="3412"/>
      <c r="G94" s="3412"/>
      <c r="H94" s="3413"/>
      <c r="I94" s="2284"/>
      <c r="J94" s="2282"/>
      <c r="K94" s="2282"/>
      <c r="L94" s="2282"/>
      <c r="M94" s="2282"/>
      <c r="N94" s="2282"/>
      <c r="O94" s="2282"/>
      <c r="P94" s="2282"/>
      <c r="Q94" s="2282"/>
      <c r="R94" s="2282"/>
      <c r="S94" s="2282"/>
      <c r="T94" s="2282"/>
      <c r="U94" s="2282"/>
      <c r="V94" s="2282"/>
      <c r="W94" s="2282"/>
      <c r="X94" s="2282"/>
      <c r="Y94" s="2282"/>
      <c r="Z94" s="2282"/>
      <c r="AA94" s="2288"/>
      <c r="AB94" s="2288"/>
      <c r="AC94" s="2288"/>
      <c r="AD94" s="2288"/>
      <c r="AE94" s="2288"/>
      <c r="AF94" s="2288"/>
      <c r="AG94" s="2288"/>
      <c r="AH94" s="2288"/>
      <c r="AI94" s="2288"/>
    </row>
    <row r="95" spans="1:35" s="2032" customFormat="1" ht="14.25">
      <c r="A95" s="2240" t="s">
        <v>818</v>
      </c>
      <c r="B95" s="2208" t="s">
        <v>843</v>
      </c>
      <c r="C95" s="2211">
        <f ca="1">ROUND(C85-C86,0)</f>
        <v>88436</v>
      </c>
      <c r="D95" s="597" t="s">
        <v>124</v>
      </c>
      <c r="E95" s="1703"/>
      <c r="F95" s="1704"/>
      <c r="G95" s="1704"/>
      <c r="H95" s="2251"/>
      <c r="I95" s="2284"/>
      <c r="J95" s="2282"/>
      <c r="K95" s="2282"/>
      <c r="L95" s="2282"/>
      <c r="M95" s="2282"/>
      <c r="N95" s="2282"/>
      <c r="O95" s="2282"/>
      <c r="P95" s="2282"/>
      <c r="Q95" s="2282"/>
      <c r="R95" s="2282"/>
      <c r="S95" s="2282"/>
      <c r="T95" s="2282"/>
      <c r="U95" s="2282"/>
      <c r="V95" s="2282"/>
      <c r="W95" s="2282"/>
      <c r="X95" s="2282"/>
      <c r="Y95" s="2282"/>
      <c r="Z95" s="2282"/>
      <c r="AA95" s="2288"/>
      <c r="AB95" s="2288"/>
      <c r="AC95" s="2288"/>
      <c r="AD95" s="2288"/>
      <c r="AE95" s="2288"/>
      <c r="AF95" s="2288"/>
      <c r="AG95" s="2288"/>
      <c r="AH95" s="2288"/>
      <c r="AI95" s="2288"/>
    </row>
    <row r="96" spans="1:35" s="2032" customFormat="1" ht="24">
      <c r="A96" s="2240" t="s">
        <v>821</v>
      </c>
      <c r="B96" s="2208" t="s">
        <v>844</v>
      </c>
      <c r="C96" s="2241">
        <f ca="1">IF(C95&lt;=0,0,C95/C86)</f>
        <v>165.61048689138576</v>
      </c>
      <c r="D96" s="597" t="s">
        <v>124</v>
      </c>
      <c r="E96" s="1821" t="str">
        <f ca="1">IF(C96&gt;=200%,"增值额超过扣除项目金额200%",IF(C96&gt;=100%,"增值额超过扣除项目金额100%，未超过200%",IF(C96&gt;=50%,"增值额超过扣除项目金额50%，未超过100%",IF(C96&lt;50%,"增值额未超过扣除项目金额50%"))))</f>
        <v>增值额超过扣除项目金额200%</v>
      </c>
      <c r="F96" s="1704"/>
      <c r="G96" s="1704"/>
      <c r="H96" s="2251"/>
      <c r="I96" s="2284"/>
      <c r="J96" s="2282"/>
      <c r="K96" s="2282"/>
      <c r="L96" s="2282"/>
      <c r="M96" s="2282"/>
      <c r="N96" s="2282"/>
      <c r="O96" s="2282"/>
      <c r="P96" s="2282"/>
      <c r="Q96" s="2282"/>
      <c r="R96" s="2282"/>
      <c r="S96" s="2282"/>
      <c r="T96" s="2282"/>
      <c r="U96" s="2282"/>
      <c r="V96" s="2282"/>
      <c r="W96" s="2282"/>
      <c r="X96" s="2282"/>
      <c r="Y96" s="2282"/>
      <c r="Z96" s="2282"/>
      <c r="AA96" s="2288"/>
      <c r="AB96" s="2288"/>
      <c r="AC96" s="2288"/>
      <c r="AD96" s="2288"/>
      <c r="AE96" s="2288"/>
      <c r="AF96" s="2288"/>
      <c r="AG96" s="2288"/>
      <c r="AH96" s="2288"/>
      <c r="AI96" s="2288"/>
    </row>
    <row r="97" spans="1:35" s="2032" customFormat="1" ht="24">
      <c r="A97" s="2242" t="s">
        <v>845</v>
      </c>
      <c r="B97" s="2213" t="s">
        <v>846</v>
      </c>
      <c r="C97" s="2243">
        <f ca="1">ROUND(IF(C95&lt;=0,0,IF(C96&gt;=200%,C95*60%-C86*35%,IF(C96&gt;=100%,C95*50%-C86*15%,IF(C96&gt;=50%,C95*40%-C86*5%,IF(C96&lt;50%,C95*30%,0))))),0)</f>
        <v>52875</v>
      </c>
      <c r="D97" s="618" t="s">
        <v>124</v>
      </c>
      <c r="E97" s="224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45"/>
      <c r="G97" s="2245"/>
      <c r="H97" s="2258"/>
      <c r="I97" s="2284"/>
      <c r="J97" s="2282"/>
      <c r="K97" s="2282"/>
      <c r="L97" s="2282"/>
      <c r="M97" s="2282"/>
      <c r="N97" s="2282"/>
      <c r="O97" s="2282"/>
      <c r="P97" s="2282"/>
      <c r="Q97" s="2282"/>
      <c r="R97" s="2282"/>
      <c r="S97" s="2282"/>
      <c r="T97" s="2282"/>
      <c r="U97" s="2282"/>
      <c r="V97" s="2282"/>
      <c r="W97" s="2282"/>
      <c r="X97" s="2282"/>
      <c r="Y97" s="2282"/>
      <c r="Z97" s="2282"/>
      <c r="AA97" s="2288"/>
      <c r="AB97" s="2288"/>
      <c r="AC97" s="2288"/>
      <c r="AD97" s="2288"/>
      <c r="AE97" s="2288"/>
      <c r="AF97" s="2288"/>
      <c r="AG97" s="2288"/>
      <c r="AH97" s="2288"/>
      <c r="AI97" s="2288"/>
    </row>
    <row r="98" spans="1:35" ht="21.75" customHeight="1">
      <c r="A98" s="2164"/>
      <c r="B98" s="2036"/>
      <c r="C98" s="2036"/>
      <c r="D98" s="2036"/>
      <c r="E98" s="2165"/>
      <c r="F98" s="2165"/>
      <c r="G98" s="2165"/>
      <c r="H98" s="2120"/>
      <c r="I98" s="274"/>
    </row>
    <row r="99" spans="1:35" ht="21.75" customHeight="1">
      <c r="A99" s="2122" t="s">
        <v>865</v>
      </c>
      <c r="B99" s="2036"/>
      <c r="C99" s="2036"/>
      <c r="D99" s="2036"/>
      <c r="E99" s="2165"/>
      <c r="F99" s="2165"/>
      <c r="G99" s="2165"/>
      <c r="H99" s="2120"/>
      <c r="I99" s="274"/>
    </row>
    <row r="100" spans="1:35" ht="18.75" customHeight="1">
      <c r="A100" s="3355" t="s">
        <v>866</v>
      </c>
      <c r="B100" s="3356"/>
      <c r="C100" s="3356"/>
      <c r="D100" s="3414"/>
      <c r="E100" s="3356" t="s">
        <v>867</v>
      </c>
      <c r="F100" s="3356"/>
      <c r="G100" s="3356"/>
      <c r="H100" s="3414"/>
      <c r="I100" s="274"/>
    </row>
    <row r="101" spans="1:35" ht="18.75" customHeight="1">
      <c r="A101" s="3415" t="s">
        <v>868</v>
      </c>
      <c r="B101" s="3416"/>
      <c r="C101" s="2259" t="str">
        <f>C4</f>
        <v>成本法</v>
      </c>
      <c r="D101" s="2260" t="str">
        <f>D4</f>
        <v>典型户型修正</v>
      </c>
      <c r="E101" s="3436" t="s">
        <v>869</v>
      </c>
      <c r="F101" s="3431"/>
      <c r="G101" s="2262" t="s">
        <v>870</v>
      </c>
      <c r="H101" s="2263">
        <f ca="1">H118</f>
        <v>93418</v>
      </c>
      <c r="I101" s="274"/>
    </row>
    <row r="102" spans="1:35" ht="18.75" customHeight="1">
      <c r="A102" s="3452" t="s">
        <v>871</v>
      </c>
      <c r="B102" s="2262" t="s">
        <v>870</v>
      </c>
      <c r="C102" s="2259">
        <f ca="1">C19</f>
        <v>80600</v>
      </c>
      <c r="D102" s="2260">
        <f ca="1">D19</f>
        <v>101963</v>
      </c>
      <c r="E102" s="3436"/>
      <c r="F102" s="3431"/>
      <c r="G102" s="2262" t="s">
        <v>99</v>
      </c>
      <c r="H102" s="1716">
        <f ca="1">I118</f>
        <v>9448</v>
      </c>
      <c r="I102" s="274"/>
    </row>
    <row r="103" spans="1:35" ht="42.75" customHeight="1">
      <c r="A103" s="3452"/>
      <c r="B103" s="2262" t="s">
        <v>99</v>
      </c>
      <c r="C103" s="2264">
        <f ca="1">C20</f>
        <v>8152</v>
      </c>
      <c r="D103" s="2265">
        <f ca="1">D20</f>
        <v>10313</v>
      </c>
      <c r="E103" s="3417" t="s">
        <v>872</v>
      </c>
      <c r="F103" s="3418"/>
      <c r="G103" s="2266" t="s">
        <v>102</v>
      </c>
      <c r="H103" s="2263">
        <f>IF(D36="正常操作",H104+H105+H106,H105+H106)</f>
        <v>0</v>
      </c>
      <c r="I103" s="274"/>
    </row>
    <row r="104" spans="1:35" ht="18.75" customHeight="1">
      <c r="A104" s="3452" t="s">
        <v>873</v>
      </c>
      <c r="B104" s="2267" t="s">
        <v>870</v>
      </c>
      <c r="C104" s="2268">
        <f ca="1">H118</f>
        <v>93418</v>
      </c>
      <c r="D104" s="2269"/>
      <c r="E104" s="2105" t="s">
        <v>874</v>
      </c>
      <c r="F104" s="2270"/>
      <c r="G104" s="2266" t="s">
        <v>102</v>
      </c>
      <c r="H104" s="2271">
        <f>IF(D36="同一抵押权人同一抵押物续贷",C36&amp;"（未扣减，详见特别提示）",C36)</f>
        <v>0</v>
      </c>
      <c r="I104" s="274"/>
    </row>
    <row r="105" spans="1:35" ht="18.75" customHeight="1">
      <c r="A105" s="3453"/>
      <c r="B105" s="2272" t="s">
        <v>99</v>
      </c>
      <c r="C105" s="2273">
        <f ca="1">I118</f>
        <v>9448</v>
      </c>
      <c r="D105" s="2274"/>
      <c r="E105" s="2105" t="s">
        <v>875</v>
      </c>
      <c r="F105" s="2270"/>
      <c r="G105" s="2266" t="s">
        <v>102</v>
      </c>
      <c r="H105" s="2271">
        <f>C37</f>
        <v>0</v>
      </c>
      <c r="I105" s="274"/>
    </row>
    <row r="106" spans="1:35" ht="18.75" customHeight="1">
      <c r="A106" s="2036" t="s">
        <v>876</v>
      </c>
      <c r="B106" s="2036"/>
      <c r="C106" s="2036"/>
      <c r="D106" s="2036"/>
      <c r="E106" s="2275" t="s">
        <v>877</v>
      </c>
      <c r="F106" s="2270"/>
      <c r="G106" s="2266" t="s">
        <v>102</v>
      </c>
      <c r="H106" s="2271">
        <f>C38</f>
        <v>0</v>
      </c>
      <c r="I106" s="274"/>
    </row>
    <row r="107" spans="1:35" ht="18.75" customHeight="1">
      <c r="A107" s="274"/>
      <c r="B107" s="274"/>
      <c r="C107" s="274"/>
      <c r="D107" s="274"/>
      <c r="E107" s="3430" t="str">
        <f>IF(项目基本情况!E8="已注销","——","3.房地产抵押价值")</f>
        <v>3.房地产抵押价值</v>
      </c>
      <c r="F107" s="3431"/>
      <c r="G107" s="2262" t="s">
        <v>870</v>
      </c>
      <c r="H107" s="2263">
        <f ca="1">IF(E107="——","——",H101-H103)</f>
        <v>93418</v>
      </c>
      <c r="I107" s="274"/>
    </row>
    <row r="108" spans="1:35" ht="18.75" customHeight="1">
      <c r="A108" s="274"/>
      <c r="B108" s="274"/>
      <c r="C108" s="274"/>
      <c r="D108" s="274"/>
      <c r="E108" s="3430"/>
      <c r="F108" s="3431"/>
      <c r="G108" s="2262" t="s">
        <v>99</v>
      </c>
      <c r="H108" s="1716">
        <f ca="1">ROUND(H107*10000/'数据-汇总表'!E3,0)</f>
        <v>9448</v>
      </c>
      <c r="I108" s="274"/>
    </row>
    <row r="109" spans="1:35" ht="18.75" customHeight="1">
      <c r="A109" s="274"/>
      <c r="B109" s="274"/>
      <c r="C109" s="274"/>
      <c r="D109" s="274"/>
      <c r="E109" s="3430" t="str">
        <f>IF(项目基本情况!E8="已注销及未注销","4.抵押担保权已注销时的房地产抵押价值",IF(项目基本情况!E8="已注销","3.抵押担保权已注销时的房地产抵押价值","——"))</f>
        <v>4.抵押担保权已注销时的房地产抵押价值</v>
      </c>
      <c r="F109" s="3431"/>
      <c r="G109" s="2262" t="s">
        <v>870</v>
      </c>
      <c r="H109" s="1673">
        <f ca="1">IF(E109="——","——",H101-H105-H106)</f>
        <v>93418</v>
      </c>
      <c r="I109" s="274"/>
    </row>
    <row r="110" spans="1:35" ht="18.75" customHeight="1">
      <c r="A110" s="274"/>
      <c r="B110" s="274"/>
      <c r="C110" s="274"/>
      <c r="D110" s="274"/>
      <c r="E110" s="3430"/>
      <c r="F110" s="3431"/>
      <c r="G110" s="2262" t="s">
        <v>99</v>
      </c>
      <c r="H110" s="1716">
        <f ca="1">IF(H109="——","——",ROUND(H109*10000/'数据-汇总表'!E3,0))</f>
        <v>9448</v>
      </c>
      <c r="I110" s="274"/>
    </row>
    <row r="111" spans="1:35" ht="18.75" customHeight="1">
      <c r="A111" s="274"/>
      <c r="B111" s="274"/>
      <c r="C111" s="274"/>
      <c r="D111" s="274"/>
      <c r="E111" s="3432" t="str">
        <f>IF(项目基本情况!E9="抵押净值",IF(OR(项目基本情况!E8="已注销",项目基本情况!E8="房地产抵押价值"),"4.抵押净值","5.抵押净值"),"——")</f>
        <v>——</v>
      </c>
      <c r="F111" s="3433"/>
      <c r="G111" s="2262" t="s">
        <v>870</v>
      </c>
      <c r="H111" s="2263" t="str">
        <f>IF(E111="——","——",N59)</f>
        <v>——</v>
      </c>
      <c r="I111" s="274"/>
    </row>
    <row r="112" spans="1:35" ht="18.75" customHeight="1">
      <c r="A112" s="274"/>
      <c r="B112" s="274"/>
      <c r="C112" s="274"/>
      <c r="D112" s="274"/>
      <c r="E112" s="3434"/>
      <c r="F112" s="3435"/>
      <c r="G112" s="2276" t="s">
        <v>99</v>
      </c>
      <c r="H112" s="2064" t="str">
        <f>IF(E111="——","——",N61)</f>
        <v>——</v>
      </c>
      <c r="I112" s="274"/>
    </row>
    <row r="113" spans="1:11" ht="18.75" customHeight="1">
      <c r="A113" s="274"/>
      <c r="B113" s="274"/>
      <c r="C113" s="274"/>
      <c r="D113" s="274"/>
      <c r="E113" s="3419" t="s">
        <v>876</v>
      </c>
      <c r="F113" s="3419"/>
      <c r="G113" s="3419"/>
      <c r="H113" s="3419"/>
      <c r="I113" s="274"/>
    </row>
    <row r="114" spans="1:11" ht="3.75" customHeight="1">
      <c r="A114" s="2036"/>
      <c r="B114" s="2036"/>
      <c r="C114" s="2036"/>
      <c r="D114" s="2036"/>
      <c r="E114" s="2164"/>
      <c r="F114" s="2164"/>
      <c r="G114" s="2164"/>
      <c r="H114" s="2164"/>
      <c r="I114" s="2036"/>
    </row>
    <row r="115" spans="1:11" ht="18.75" customHeight="1">
      <c r="A115" s="3420" t="s">
        <v>878</v>
      </c>
      <c r="B115" s="3421"/>
      <c r="C115" s="3421"/>
      <c r="D115" s="3421"/>
      <c r="E115" s="3421"/>
      <c r="F115" s="3421"/>
      <c r="G115" s="3421"/>
      <c r="H115" s="3421"/>
      <c r="I115" s="3422"/>
    </row>
    <row r="116" spans="1:11" ht="27" customHeight="1">
      <c r="A116" s="3245" t="s">
        <v>879</v>
      </c>
      <c r="B116" s="3428" t="s">
        <v>880</v>
      </c>
      <c r="C116" s="3428" t="s">
        <v>881</v>
      </c>
      <c r="D116" s="3423" t="s">
        <v>882</v>
      </c>
      <c r="E116" s="3424"/>
      <c r="F116" s="3425" t="s">
        <v>883</v>
      </c>
      <c r="G116" s="3425"/>
      <c r="H116" s="3245" t="s">
        <v>884</v>
      </c>
      <c r="I116" s="3245"/>
    </row>
    <row r="117" spans="1:11" ht="18.75" customHeight="1">
      <c r="A117" s="3245"/>
      <c r="B117" s="3429"/>
      <c r="C117" s="3429"/>
      <c r="D117" s="1074" t="s">
        <v>885</v>
      </c>
      <c r="E117" s="1074" t="s">
        <v>715</v>
      </c>
      <c r="F117" s="1074" t="s">
        <v>885</v>
      </c>
      <c r="G117" s="1074" t="s">
        <v>715</v>
      </c>
      <c r="H117" s="1074" t="s">
        <v>885</v>
      </c>
      <c r="I117" s="1074" t="s">
        <v>715</v>
      </c>
    </row>
    <row r="118" spans="1:11" ht="24.75" customHeight="1">
      <c r="A118" s="2278" t="str">
        <f>项目基本情况!S2</f>
        <v>贵州省贵阳市观山湖区环城高速以东（西南商贸城）房地产</v>
      </c>
      <c r="B118" s="1074">
        <f>M18</f>
        <v>98873.18</v>
      </c>
      <c r="C118" s="1074">
        <f>M19</f>
        <v>45839.15</v>
      </c>
      <c r="D118" s="1074" t="e">
        <f ca="1">ROUND(IF(D32="总价",C34,E118*B118/10000),0)</f>
        <v>#REF!</v>
      </c>
      <c r="E118" s="1074" t="e">
        <f ca="1">ROUND(IF(C33="自定义",IF(D32="楼面单价",C34,D118*10000/B118),I118-G118),0)</f>
        <v>#REF!</v>
      </c>
      <c r="F118" s="1074" t="e">
        <f ca="1">ROUND(IF(D32="总价",C35,G118*B118/10000),0)</f>
        <v>#REF!</v>
      </c>
      <c r="G118" s="1074" t="e">
        <f ca="1">ROUND(IF(D32="楼面单价",C35,F118*10000/B118),0)</f>
        <v>#REF!</v>
      </c>
      <c r="H118" s="1074">
        <f ca="1">ROUND(IF(D32="总价",C32,I118*B118/10000),0)</f>
        <v>93418</v>
      </c>
      <c r="I118" s="1074">
        <f ca="1">ROUND(IF(D32="楼面单价",C32,H118*10000/B118),0)</f>
        <v>9448</v>
      </c>
    </row>
    <row r="119" spans="1:11" ht="18.75" customHeight="1">
      <c r="A119" s="3245" t="s">
        <v>886</v>
      </c>
      <c r="B119" s="3245"/>
      <c r="C119" s="3245"/>
      <c r="D119" s="3426" t="e">
        <f ca="1">NUMBERSTRING(INT(D118*10000),2)&amp;"元整"</f>
        <v>#REF!</v>
      </c>
      <c r="E119" s="3427"/>
      <c r="F119" s="3426" t="e">
        <f ca="1">NUMBERSTRING(INT(F118*10000),2)&amp;"元整"</f>
        <v>#REF!</v>
      </c>
      <c r="G119" s="3427"/>
      <c r="H119" s="3426" t="str">
        <f ca="1">NUMBERSTRING(INT(H118*10000),2)&amp;"元整"</f>
        <v>玖亿叁仟肆佰壹拾捌万元整</v>
      </c>
      <c r="I119" s="3427"/>
    </row>
    <row r="120" spans="1:11" ht="18.75" customHeight="1">
      <c r="A120" s="3437" t="str">
        <f>IF(项目基本情况!B9="房地产市场价值","",MID(E103,3,LEN(E103)-2))</f>
        <v>估价师知悉的法定优先受偿款</v>
      </c>
      <c r="B120" s="3438"/>
      <c r="C120" s="3439"/>
      <c r="D120" s="3437">
        <f>H103</f>
        <v>0</v>
      </c>
      <c r="E120" s="3438"/>
      <c r="F120" s="3438"/>
      <c r="G120" s="3438"/>
      <c r="H120" s="3438"/>
      <c r="I120" s="3439"/>
      <c r="K120" s="2033" t="str">
        <f>IF(D120=0,"故，本次评估不存在"&amp;A120,"故，本次评估"&amp;A120&amp;"为人民币"&amp;D120&amp;"万元整。")</f>
        <v>故，本次评估不存在估价师知悉的法定优先受偿款</v>
      </c>
    </row>
    <row r="121" spans="1:11" ht="18.75" customHeight="1">
      <c r="A121" s="3440" t="s">
        <v>886</v>
      </c>
      <c r="B121" s="3441"/>
      <c r="C121" s="3442"/>
      <c r="D121" s="3426" t="str">
        <f>IF(D120=0,"零元整",NUMBERSTRING(INT(D120*10000),2)&amp;"元整")</f>
        <v>零元整</v>
      </c>
      <c r="E121" s="3443"/>
      <c r="F121" s="3443"/>
      <c r="G121" s="3443"/>
      <c r="H121" s="3443"/>
      <c r="I121" s="3427"/>
    </row>
    <row r="122" spans="1:11" ht="18.75" customHeight="1">
      <c r="A122" s="3444" t="str">
        <f>IF(项目基本情况!B9="房地产市场价值","",MID(E107,3,LEN(E107)-2))</f>
        <v>房地产抵押价值</v>
      </c>
      <c r="B122" s="3444"/>
      <c r="C122" s="3444"/>
      <c r="D122" s="3437">
        <f ca="1">H107</f>
        <v>93418</v>
      </c>
      <c r="E122" s="3438"/>
      <c r="F122" s="3438"/>
      <c r="G122" s="3438"/>
      <c r="H122" s="3438"/>
      <c r="I122" s="3439"/>
    </row>
    <row r="123" spans="1:11" ht="18.75" customHeight="1">
      <c r="A123" s="3245" t="s">
        <v>886</v>
      </c>
      <c r="B123" s="3245"/>
      <c r="C123" s="3245"/>
      <c r="D123" s="3426" t="str">
        <f ca="1">NUMBERSTRING(INT(D122*10000),2)&amp;"元整"</f>
        <v>玖亿叁仟肆佰壹拾捌万元整</v>
      </c>
      <c r="E123" s="3443"/>
      <c r="F123" s="3443"/>
      <c r="G123" s="3443"/>
      <c r="H123" s="3443"/>
      <c r="I123" s="3427"/>
    </row>
    <row r="124" spans="1:11" ht="18.75" customHeight="1">
      <c r="A124" s="3444" t="str">
        <f>IF(项目基本情况!B9="房地产市场价值","",MID(E109,3,LEN(E109)-2))</f>
        <v>抵押担保权已注销时的房地产抵押价值</v>
      </c>
      <c r="B124" s="3444"/>
      <c r="C124" s="3444"/>
      <c r="D124" s="3437">
        <f ca="1">H109</f>
        <v>93418</v>
      </c>
      <c r="E124" s="3438"/>
      <c r="F124" s="3438"/>
      <c r="G124" s="3438"/>
      <c r="H124" s="3438"/>
      <c r="I124" s="3439"/>
    </row>
    <row r="125" spans="1:11" ht="18.75" customHeight="1">
      <c r="A125" s="3245" t="s">
        <v>886</v>
      </c>
      <c r="B125" s="3245"/>
      <c r="C125" s="3245"/>
      <c r="D125" s="3426" t="str">
        <f ca="1">NUMBERSTRING(INT(D124*10000),2)&amp;"元整"</f>
        <v>玖亿叁仟肆佰壹拾捌万元整</v>
      </c>
      <c r="E125" s="3443"/>
      <c r="F125" s="3443"/>
      <c r="G125" s="3443"/>
      <c r="H125" s="3443"/>
      <c r="I125" s="3427"/>
    </row>
    <row r="126" spans="1:11" ht="18.75" customHeight="1">
      <c r="A126" s="3444" t="str">
        <f>IF(项目基本情况!B9="房地产市场价值","",MID(E111,3,LEN(E111)-2))</f>
        <v/>
      </c>
      <c r="B126" s="3444"/>
      <c r="C126" s="3444"/>
      <c r="D126" s="3437" t="str">
        <f>H111</f>
        <v>——</v>
      </c>
      <c r="E126" s="3438"/>
      <c r="F126" s="3438"/>
      <c r="G126" s="3438"/>
      <c r="H126" s="3438"/>
      <c r="I126" s="3439"/>
    </row>
    <row r="127" spans="1:11" ht="18.75" customHeight="1">
      <c r="A127" s="3245" t="s">
        <v>886</v>
      </c>
      <c r="B127" s="3245"/>
      <c r="C127" s="3245"/>
      <c r="D127" s="3426" t="e">
        <f>NUMBERSTRING(INT(D126*10000),2)&amp;"元整"</f>
        <v>#VALUE!</v>
      </c>
      <c r="E127" s="3443"/>
      <c r="F127" s="3443"/>
      <c r="G127" s="3443"/>
      <c r="H127" s="3443"/>
      <c r="I127" s="3427"/>
    </row>
    <row r="128" spans="1:11" ht="21.75" customHeight="1">
      <c r="A128" s="3445" t="s">
        <v>113</v>
      </c>
      <c r="B128" s="3445"/>
      <c r="C128" s="3445"/>
      <c r="D128" s="3445"/>
      <c r="E128" s="3445"/>
      <c r="F128" s="3445"/>
      <c r="G128" s="3445"/>
      <c r="H128" s="3445"/>
      <c r="I128" s="3445"/>
    </row>
    <row r="129" spans="1:35" ht="21.75" customHeight="1">
      <c r="A129" s="2289" t="s">
        <v>887</v>
      </c>
      <c r="B129" s="2290"/>
      <c r="C129" s="2291" t="s">
        <v>888</v>
      </c>
      <c r="D129" s="2292"/>
      <c r="E129" s="2292"/>
      <c r="F129" s="2292"/>
      <c r="G129" s="2292"/>
      <c r="H129" s="2293"/>
      <c r="I129" s="2308"/>
    </row>
    <row r="130" spans="1:35" ht="21.75" customHeight="1">
      <c r="A130" s="2294">
        <v>1</v>
      </c>
      <c r="B130" s="2295"/>
      <c r="C130" s="2295"/>
      <c r="D130" s="2296"/>
      <c r="E130" s="2296"/>
      <c r="F130" s="2296"/>
      <c r="G130" s="2296"/>
      <c r="H130" s="2297"/>
      <c r="I130" s="2309"/>
    </row>
    <row r="131" spans="1:35" ht="21.75" customHeight="1">
      <c r="A131" s="2294">
        <v>2</v>
      </c>
      <c r="B131" s="2295"/>
      <c r="C131" s="2295"/>
      <c r="D131" s="2296"/>
      <c r="E131" s="2296"/>
      <c r="F131" s="2296"/>
      <c r="G131" s="2296"/>
      <c r="H131" s="2297"/>
      <c r="I131" s="2309"/>
    </row>
    <row r="132" spans="1:35" ht="21.75" customHeight="1">
      <c r="A132" s="2294">
        <v>3</v>
      </c>
      <c r="B132" s="2295"/>
      <c r="C132" s="2295"/>
      <c r="D132" s="2296"/>
      <c r="E132" s="2296"/>
      <c r="F132" s="2296"/>
      <c r="G132" s="2296"/>
      <c r="H132" s="2297"/>
      <c r="I132" s="2309"/>
    </row>
    <row r="133" spans="1:35" ht="21.75" customHeight="1">
      <c r="A133" s="2298"/>
      <c r="B133" s="2299"/>
      <c r="C133" s="2299"/>
      <c r="D133" s="2300"/>
      <c r="E133" s="2300"/>
      <c r="F133" s="2300"/>
      <c r="G133" s="2300"/>
      <c r="H133" s="2301"/>
      <c r="I133" s="2310"/>
    </row>
    <row r="134" spans="1:35" ht="21.75" customHeight="1">
      <c r="A134" s="2295"/>
      <c r="B134" s="2295"/>
      <c r="C134" s="2295"/>
      <c r="D134" s="2296"/>
      <c r="E134" s="2296"/>
      <c r="F134" s="2296"/>
      <c r="G134" s="2296"/>
      <c r="H134" s="2297"/>
      <c r="I134" s="233"/>
    </row>
    <row r="135" spans="1:35" ht="21.75" customHeight="1">
      <c r="A135" s="233"/>
      <c r="B135" s="233"/>
      <c r="C135" s="233"/>
      <c r="D135" s="233"/>
      <c r="E135" s="233"/>
      <c r="F135" s="2302" t="s">
        <v>889</v>
      </c>
      <c r="G135" s="2303"/>
      <c r="H135" s="2303"/>
      <c r="I135" s="2311" t="s">
        <v>890</v>
      </c>
    </row>
    <row r="136" spans="1:35" ht="21.75" customHeight="1">
      <c r="A136" s="233"/>
      <c r="B136" s="2304" t="s">
        <v>891</v>
      </c>
      <c r="C136" s="233"/>
      <c r="D136" s="233"/>
      <c r="E136" s="233"/>
      <c r="F136" s="233"/>
      <c r="G136" s="233"/>
      <c r="H136" s="233"/>
      <c r="I136" s="233"/>
    </row>
    <row r="137" spans="1:35" ht="21.75" customHeight="1">
      <c r="A137" s="233"/>
      <c r="B137" s="233"/>
      <c r="C137" s="233"/>
      <c r="D137" s="233"/>
      <c r="E137" s="233"/>
      <c r="F137" s="233"/>
      <c r="G137" s="233"/>
      <c r="H137" s="233"/>
      <c r="I137" s="233"/>
    </row>
    <row r="138" spans="1:35" ht="21.75" customHeight="1">
      <c r="A138" s="233"/>
      <c r="B138" s="2303"/>
      <c r="C138" s="2303"/>
      <c r="D138" s="2303"/>
      <c r="E138" s="2303"/>
      <c r="F138" s="2303"/>
      <c r="G138" s="2303"/>
      <c r="H138" s="2303"/>
      <c r="I138" s="2311" t="s">
        <v>892</v>
      </c>
    </row>
    <row r="139" spans="1:35" ht="21.75" customHeight="1">
      <c r="A139" s="233"/>
      <c r="B139" s="2304" t="s">
        <v>893</v>
      </c>
      <c r="C139" s="233"/>
      <c r="D139" s="233"/>
      <c r="E139" s="233"/>
      <c r="F139" s="233"/>
      <c r="G139" s="233"/>
      <c r="H139" s="233"/>
      <c r="I139" s="233"/>
    </row>
    <row r="140" spans="1:35" ht="21.75" customHeight="1">
      <c r="A140" s="233"/>
      <c r="B140" s="2304"/>
      <c r="C140" s="233"/>
      <c r="D140" s="233"/>
      <c r="E140" s="233"/>
      <c r="F140" s="233"/>
      <c r="G140" s="233"/>
      <c r="H140" s="233"/>
      <c r="I140" s="233"/>
    </row>
    <row r="141" spans="1:35" ht="21.75" customHeight="1">
      <c r="A141" s="233"/>
      <c r="B141" s="2303"/>
      <c r="C141" s="2303"/>
      <c r="D141" s="2303"/>
      <c r="E141" s="2303"/>
      <c r="F141" s="2303"/>
      <c r="G141" s="2303"/>
      <c r="H141" s="2303"/>
      <c r="I141" s="2311" t="s">
        <v>892</v>
      </c>
    </row>
    <row r="142" spans="1:35" ht="21.75" customHeight="1">
      <c r="A142" s="233"/>
      <c r="B142" s="2304"/>
      <c r="C142" s="2305"/>
      <c r="D142" s="2306"/>
      <c r="E142" s="2306"/>
      <c r="F142" s="2307"/>
      <c r="G142" s="233"/>
      <c r="H142" s="233"/>
      <c r="I142" s="233"/>
    </row>
    <row r="143" spans="1:35" s="230" customFormat="1" ht="21.75" customHeight="1">
      <c r="A143" s="233"/>
      <c r="B143" s="2304"/>
      <c r="C143" s="2305"/>
      <c r="D143" s="2306"/>
      <c r="E143" s="2306"/>
      <c r="F143" s="2307"/>
      <c r="G143" s="233"/>
      <c r="H143" s="233"/>
      <c r="I143" s="233"/>
      <c r="J143" s="233"/>
      <c r="K143" s="233"/>
      <c r="L143" s="233"/>
      <c r="M143" s="233"/>
      <c r="N143" s="233"/>
      <c r="O143" s="233"/>
      <c r="P143" s="233"/>
      <c r="Q143" s="233"/>
      <c r="R143" s="233"/>
      <c r="S143" s="233"/>
      <c r="T143" s="233"/>
      <c r="U143" s="233"/>
      <c r="V143" s="233"/>
      <c r="W143" s="233"/>
      <c r="X143" s="233"/>
      <c r="Y143" s="233"/>
      <c r="Z143" s="233"/>
      <c r="AA143" s="233"/>
      <c r="AB143" s="233"/>
      <c r="AC143" s="233"/>
      <c r="AD143" s="233"/>
      <c r="AE143" s="233"/>
      <c r="AF143" s="233"/>
      <c r="AG143" s="233"/>
      <c r="AH143" s="233"/>
      <c r="AI143" s="233"/>
    </row>
    <row r="144" spans="1:35" s="230" customFormat="1" ht="21.75" customHeight="1">
      <c r="A144" s="233"/>
      <c r="B144" s="233"/>
      <c r="C144" s="233"/>
      <c r="D144" s="233"/>
      <c r="E144" s="233"/>
      <c r="F144" s="233"/>
      <c r="G144" s="233"/>
      <c r="H144" s="233"/>
      <c r="I144" s="233"/>
      <c r="J144" s="233"/>
      <c r="K144" s="233"/>
      <c r="L144" s="233"/>
      <c r="M144" s="233"/>
      <c r="N144" s="233"/>
      <c r="O144" s="233"/>
      <c r="P144" s="233"/>
      <c r="Q144" s="233"/>
      <c r="R144" s="233"/>
      <c r="S144" s="233"/>
      <c r="T144" s="233"/>
      <c r="U144" s="233"/>
      <c r="V144" s="233"/>
      <c r="W144" s="233"/>
      <c r="X144" s="233"/>
      <c r="Y144" s="233"/>
      <c r="Z144" s="233"/>
      <c r="AA144" s="233"/>
      <c r="AB144" s="233"/>
      <c r="AC144" s="233"/>
      <c r="AD144" s="233"/>
      <c r="AE144" s="233"/>
      <c r="AF144" s="233"/>
      <c r="AG144" s="233"/>
      <c r="AH144" s="233"/>
      <c r="AI144" s="233"/>
    </row>
    <row r="145" spans="1:35" s="230" customFormat="1" ht="21.75" customHeight="1">
      <c r="A145" s="233"/>
      <c r="B145" s="233"/>
      <c r="C145" s="233"/>
      <c r="D145" s="233"/>
      <c r="E145" s="233"/>
      <c r="F145" s="233"/>
      <c r="G145" s="233"/>
      <c r="H145" s="233"/>
      <c r="I145" s="233"/>
      <c r="J145" s="233"/>
      <c r="K145" s="233"/>
      <c r="L145" s="233"/>
      <c r="M145" s="233"/>
      <c r="N145" s="233"/>
      <c r="O145" s="233"/>
      <c r="P145" s="233"/>
      <c r="Q145" s="233"/>
      <c r="R145" s="233"/>
      <c r="S145" s="233"/>
      <c r="T145" s="233"/>
      <c r="U145" s="233"/>
      <c r="V145" s="233"/>
      <c r="W145" s="233"/>
      <c r="X145" s="233"/>
      <c r="Y145" s="233"/>
      <c r="Z145" s="233"/>
      <c r="AA145" s="233"/>
      <c r="AB145" s="233"/>
      <c r="AC145" s="233"/>
      <c r="AD145" s="233"/>
      <c r="AE145" s="233"/>
      <c r="AF145" s="233"/>
      <c r="AG145" s="233"/>
      <c r="AH145" s="233"/>
      <c r="AI145" s="233"/>
    </row>
    <row r="146" spans="1:35" s="233" customFormat="1" ht="21.75" customHeight="1"/>
    <row r="147" spans="1:35" s="233" customFormat="1" ht="21.75" customHeight="1"/>
    <row r="148" spans="1:35" s="233" customFormat="1" ht="21.75" customHeight="1"/>
    <row r="149" spans="1:35" s="233" customFormat="1" ht="21.75" customHeight="1"/>
    <row r="150" spans="1:35" s="233" customFormat="1" ht="21.75" customHeight="1"/>
    <row r="151" spans="1:35" s="233" customFormat="1" ht="21.75" customHeight="1"/>
    <row r="152" spans="1:35" s="233" customFormat="1" ht="21.75" customHeight="1"/>
    <row r="153" spans="1:35" s="233" customFormat="1" ht="21.75" customHeight="1"/>
    <row r="154" spans="1:35" s="233" customFormat="1" ht="21.75" customHeight="1"/>
    <row r="155" spans="1:35" s="233" customFormat="1" ht="21.75" customHeight="1"/>
    <row r="156" spans="1:35" s="233" customFormat="1" ht="21.75" customHeight="1"/>
    <row r="157" spans="1:35" s="233" customFormat="1" ht="21.75" customHeight="1"/>
    <row r="158" spans="1:35" s="233" customFormat="1" ht="21.75" customHeight="1"/>
    <row r="159" spans="1:35" s="233" customFormat="1" ht="21.75" customHeight="1"/>
    <row r="160" spans="1:35" s="233" customFormat="1" ht="21.75" customHeight="1"/>
    <row r="161" s="233" customFormat="1" ht="21.75" customHeight="1"/>
    <row r="162" s="233" customFormat="1" ht="21.75" customHeight="1"/>
    <row r="163" s="233" customFormat="1" ht="21.75" customHeight="1"/>
    <row r="164" s="233" customFormat="1" ht="21.75" customHeight="1"/>
    <row r="165" s="233" customFormat="1" ht="21.75" customHeight="1"/>
    <row r="166" s="233" customFormat="1" ht="21.75" customHeight="1"/>
    <row r="167" s="233" customFormat="1" ht="21.75" customHeight="1"/>
    <row r="168" s="233" customFormat="1" ht="21.75" customHeight="1"/>
    <row r="169" s="233" customFormat="1" ht="21.75" customHeight="1"/>
    <row r="170" s="233" customFormat="1" ht="21.75" customHeight="1"/>
    <row r="171" s="233" customFormat="1" ht="21.75" customHeight="1"/>
    <row r="172" s="233" customFormat="1" ht="21.75" customHeight="1"/>
    <row r="173" s="233" customFormat="1" ht="21.75" customHeight="1"/>
    <row r="174" s="233" customFormat="1" ht="21.75" customHeight="1"/>
    <row r="175" s="233" customFormat="1" ht="21.75" customHeight="1"/>
    <row r="176" s="233" customFormat="1" ht="21.75" customHeight="1"/>
    <row r="177" s="233" customFormat="1" ht="21.75" customHeight="1"/>
    <row r="178" s="233" customFormat="1" ht="21.75" customHeight="1"/>
    <row r="179" s="233" customFormat="1" ht="21.75" customHeight="1"/>
    <row r="180" s="233" customFormat="1" ht="21.75" customHeight="1"/>
    <row r="181" s="233" customFormat="1" ht="21.75" customHeight="1"/>
    <row r="182" s="233" customFormat="1" ht="21.75" customHeight="1"/>
    <row r="183" s="233" customFormat="1" ht="21.75" customHeight="1"/>
    <row r="184" s="233" customFormat="1" ht="21.75" customHeight="1"/>
    <row r="185" s="233" customFormat="1" ht="21.75" customHeight="1"/>
    <row r="186" s="233" customFormat="1" ht="21.75" customHeight="1"/>
    <row r="187" s="233" customFormat="1" ht="21.75" customHeight="1"/>
    <row r="188" s="233" customFormat="1" ht="21.75" customHeight="1"/>
    <row r="189" s="233" customFormat="1" ht="21.75" customHeight="1"/>
    <row r="190" s="233" customFormat="1" ht="21.75" customHeight="1"/>
    <row r="191" s="233" customFormat="1" ht="21.75" customHeight="1"/>
    <row r="192" s="233" customFormat="1" ht="21.75" customHeight="1"/>
    <row r="193" s="233" customFormat="1" ht="21.75" customHeight="1"/>
    <row r="194" s="233" customFormat="1" ht="21.75" customHeight="1"/>
    <row r="195" s="233" customFormat="1" ht="21.75" customHeight="1"/>
    <row r="196" s="233" customFormat="1" ht="21.75" customHeight="1"/>
    <row r="197" s="233" customFormat="1" ht="21.75" customHeight="1"/>
    <row r="198" s="233" customFormat="1" ht="21.75" customHeight="1"/>
    <row r="199" s="233" customFormat="1" ht="21.75" customHeight="1"/>
    <row r="200" s="233" customFormat="1" ht="21.75" customHeight="1"/>
    <row r="201" s="233" customFormat="1" ht="21.75" customHeight="1"/>
    <row r="202" s="233" customFormat="1" ht="21.75" customHeight="1"/>
    <row r="203" s="233" customFormat="1" ht="21.75" customHeight="1"/>
    <row r="204" s="233" customFormat="1" ht="21.75" customHeight="1"/>
    <row r="205" s="233" customFormat="1" ht="21.75" customHeight="1"/>
    <row r="206" s="233" customFormat="1" ht="21.75" customHeight="1"/>
    <row r="207" s="233" customFormat="1" ht="21.75" customHeight="1"/>
    <row r="208" s="233" customFormat="1" ht="21.75" customHeight="1"/>
    <row r="209" s="233" customFormat="1" ht="21.75" customHeight="1"/>
    <row r="210" s="233" customFormat="1" ht="21.75" customHeight="1"/>
    <row r="211" s="233" customFormat="1" ht="21.75" customHeight="1"/>
    <row r="212" s="233" customFormat="1" ht="21.75" customHeight="1"/>
    <row r="213" s="233" customFormat="1" ht="21.75" customHeight="1"/>
    <row r="214" s="233" customFormat="1" ht="21.75" customHeight="1"/>
    <row r="215" s="233" customFormat="1" ht="21.75" customHeight="1"/>
    <row r="216" s="233" customFormat="1" ht="21.75" customHeight="1"/>
    <row r="217" s="233" customFormat="1" ht="21.75" customHeight="1"/>
    <row r="218" s="233" customFormat="1" ht="21.75" customHeight="1"/>
    <row r="219" s="233" customFormat="1" ht="21.75" customHeight="1"/>
    <row r="220" s="233" customFormat="1" ht="21.75" customHeight="1"/>
    <row r="221" s="233" customFormat="1" ht="21.75" customHeight="1"/>
    <row r="222" s="233" customFormat="1" ht="21.75" customHeight="1"/>
    <row r="223" s="233" customFormat="1" ht="21.75" customHeight="1"/>
    <row r="224" s="233" customFormat="1" ht="21.75" customHeight="1"/>
    <row r="225" s="233" customFormat="1" ht="21.75" customHeight="1"/>
    <row r="226" s="233" customFormat="1" ht="21.75" customHeight="1"/>
    <row r="227" s="233" customFormat="1" ht="21.75" customHeight="1"/>
    <row r="228" s="233" customFormat="1" ht="21.75" customHeight="1"/>
    <row r="229" s="233" customFormat="1" ht="21.75" customHeight="1"/>
    <row r="230" s="233" customFormat="1" ht="21.75" customHeight="1"/>
    <row r="231" s="233" customFormat="1" ht="21.75" customHeight="1"/>
    <row r="232" s="233" customFormat="1" ht="21.75" customHeight="1"/>
    <row r="233" s="233" customFormat="1" ht="21.75" customHeight="1"/>
    <row r="234" s="233" customFormat="1" ht="21.75" customHeight="1"/>
    <row r="235" s="233" customFormat="1" ht="21.75" customHeight="1"/>
    <row r="236" s="233" customFormat="1" ht="21.75" customHeight="1"/>
    <row r="237" s="233" customFormat="1" ht="21.75" customHeight="1"/>
    <row r="238" s="233" customFormat="1" ht="21.75" customHeight="1"/>
    <row r="239" s="233" customFormat="1" ht="21.75" customHeight="1"/>
    <row r="240" s="233" customFormat="1" ht="21.75" customHeight="1"/>
    <row r="241" s="233" customFormat="1" ht="21.75" customHeight="1"/>
    <row r="242" s="233" customFormat="1" ht="21.75" customHeight="1"/>
    <row r="243" s="233" customFormat="1" ht="21.75" customHeight="1"/>
    <row r="244" s="233" customFormat="1" ht="21.75" customHeight="1"/>
    <row r="245" s="233" customFormat="1" ht="21.75" customHeight="1"/>
    <row r="246" s="233" customFormat="1" ht="21.75" customHeight="1"/>
    <row r="247" s="233" customFormat="1" ht="21.75" customHeight="1"/>
    <row r="248" s="233" customFormat="1" ht="21.75" customHeight="1"/>
    <row r="249" s="233" customFormat="1" ht="21.75" customHeight="1"/>
    <row r="250" s="233" customFormat="1" ht="21.75" customHeight="1"/>
    <row r="251" s="233" customFormat="1" ht="21.75" customHeight="1"/>
    <row r="252" s="233" customFormat="1" ht="21.75" customHeight="1"/>
    <row r="253" s="233" customFormat="1" ht="21.75" customHeight="1"/>
    <row r="254" s="233" customFormat="1" ht="21.75" customHeight="1"/>
    <row r="255" s="233" customFormat="1" ht="21.75" customHeight="1"/>
    <row r="256" s="233" customFormat="1" ht="21.75" customHeight="1"/>
    <row r="257" s="233" customFormat="1" ht="21.75" customHeight="1"/>
    <row r="258" s="233" customFormat="1" ht="21.75" customHeight="1"/>
    <row r="259" s="233" customFormat="1" ht="21.75" customHeight="1"/>
    <row r="260" s="233" customFormat="1" ht="21.75" customHeight="1"/>
    <row r="261" s="233" customFormat="1" ht="21.75" customHeight="1"/>
    <row r="262" s="233" customFormat="1" ht="21.75" customHeight="1"/>
    <row r="263" s="233" customFormat="1" ht="21.75" customHeight="1"/>
    <row r="264" s="233" customFormat="1" ht="21.75" customHeight="1"/>
    <row r="265" s="233" customFormat="1" ht="21.75" customHeight="1"/>
    <row r="266" s="233" customFormat="1" ht="21.75" customHeight="1"/>
    <row r="267" s="233" customFormat="1" ht="21.75" customHeight="1"/>
    <row r="268" s="233" customFormat="1" ht="21.75" customHeight="1"/>
    <row r="269" s="233" customFormat="1" ht="21.75" customHeight="1"/>
    <row r="270" s="233" customFormat="1" ht="21.75" customHeight="1"/>
    <row r="271" s="233" customFormat="1" ht="21.75" customHeight="1"/>
    <row r="272" s="233" customFormat="1" ht="21.75" customHeight="1"/>
    <row r="273" s="233" customFormat="1" ht="21.75" customHeight="1"/>
    <row r="274" s="233" customFormat="1" ht="21.75" customHeight="1"/>
    <row r="275" s="233" customFormat="1" ht="21.75" customHeight="1"/>
    <row r="276" s="233" customFormat="1" ht="21.75" customHeight="1"/>
    <row r="277" s="233" customFormat="1" ht="21.75" customHeight="1"/>
    <row r="278" s="233" customFormat="1" ht="21.75" customHeight="1"/>
    <row r="279" s="233" customFormat="1" ht="21.75" customHeight="1"/>
    <row r="280" s="233" customFormat="1" ht="21.75" customHeight="1"/>
    <row r="281" s="233" customFormat="1" ht="21.75" customHeight="1"/>
    <row r="282" s="233" customFormat="1" ht="21.75" customHeight="1"/>
    <row r="283" s="233" customFormat="1" ht="21.75" customHeight="1"/>
    <row r="284" s="233" customFormat="1" ht="21.75" customHeight="1"/>
    <row r="285" s="233" customFormat="1" ht="21.75" customHeight="1"/>
    <row r="286" s="233" customFormat="1" ht="21.75" customHeight="1"/>
    <row r="287" s="233" customFormat="1" ht="21.75" customHeight="1"/>
    <row r="288" s="233" customFormat="1" ht="21.75" customHeight="1"/>
    <row r="289" s="233" customFormat="1" ht="21.75" customHeight="1"/>
    <row r="290" s="233" customFormat="1" ht="21.75" customHeight="1"/>
    <row r="291" s="233" customFormat="1" ht="21.75" customHeight="1"/>
    <row r="292" s="233" customFormat="1" ht="21.75" customHeight="1"/>
    <row r="293" s="233" customFormat="1" ht="21.75" customHeight="1"/>
    <row r="294" s="233" customFormat="1" ht="21.75" customHeight="1"/>
    <row r="295" s="233" customFormat="1" ht="21.75" customHeight="1"/>
    <row r="296" s="233" customFormat="1" ht="21.75" customHeight="1"/>
    <row r="297" s="233" customFormat="1" ht="21.75" customHeight="1"/>
    <row r="298" s="233" customFormat="1" ht="21.75" customHeight="1"/>
    <row r="299" s="233" customFormat="1" ht="21.75" customHeight="1"/>
    <row r="300" s="233" customFormat="1" ht="21.75" customHeight="1"/>
    <row r="301" s="233" customFormat="1" ht="21.75" customHeight="1"/>
    <row r="302" s="233" customFormat="1" ht="21.75" customHeight="1"/>
    <row r="303" s="233" customFormat="1" ht="21.75" customHeight="1"/>
    <row r="304" s="233" customFormat="1" ht="21.75" customHeight="1"/>
    <row r="305" s="233" customFormat="1" ht="21.75" customHeight="1"/>
    <row r="306" s="233" customFormat="1" ht="21.75" customHeight="1"/>
    <row r="307" s="233" customFormat="1" ht="21.75" customHeight="1"/>
    <row r="308" s="233" customFormat="1" ht="21.75" customHeight="1"/>
    <row r="309" s="233" customFormat="1" ht="21.75" customHeight="1"/>
    <row r="310" s="233" customFormat="1" ht="21.75" customHeight="1"/>
    <row r="311" s="233" customFormat="1" ht="21.75" customHeight="1"/>
    <row r="312" s="233" customFormat="1" ht="21.75" customHeight="1"/>
    <row r="313" s="233" customFormat="1" ht="21.75" customHeight="1"/>
    <row r="314" s="233" customFormat="1" ht="21.75" customHeight="1"/>
    <row r="315" s="233" customFormat="1" ht="21.75" customHeight="1"/>
    <row r="316" s="233" customFormat="1" ht="21.75" customHeight="1"/>
    <row r="317" s="233" customFormat="1" ht="21.75" customHeight="1"/>
    <row r="318" s="233" customFormat="1" ht="21.75" customHeight="1"/>
    <row r="319" s="233" customFormat="1" ht="21.75" customHeight="1"/>
    <row r="320" s="233" customFormat="1" ht="21.75" customHeight="1"/>
    <row r="321" s="233" customFormat="1" ht="21.75" customHeight="1"/>
    <row r="322" s="233" customFormat="1" ht="21.75" customHeight="1"/>
    <row r="323" s="233" customFormat="1" ht="21.75" customHeight="1"/>
    <row r="324" s="233" customFormat="1" ht="21.75" customHeight="1"/>
    <row r="325" s="233" customFormat="1" ht="21.75" customHeight="1"/>
    <row r="326" s="233" customFormat="1" ht="21.75" customHeight="1"/>
    <row r="327" s="233" customFormat="1" ht="21.75" customHeight="1"/>
    <row r="328" s="233" customFormat="1" ht="21.75" customHeight="1"/>
    <row r="329" s="233" customFormat="1" ht="21.75" customHeight="1"/>
    <row r="330" s="233" customFormat="1" ht="21.75" customHeight="1"/>
    <row r="331" s="233" customFormat="1" ht="21.75" customHeight="1"/>
    <row r="332" s="233" customFormat="1" ht="21.75" customHeight="1"/>
    <row r="333" s="233" customFormat="1" ht="21.75" customHeight="1"/>
    <row r="334" s="233" customFormat="1" ht="21.75" customHeight="1"/>
    <row r="335" s="233" customFormat="1" ht="21.75" customHeight="1"/>
    <row r="336" s="233" customFormat="1" ht="21.75" customHeight="1"/>
    <row r="337" s="233" customFormat="1" ht="21.75" customHeight="1"/>
    <row r="338" s="233" customFormat="1" ht="21.75" customHeight="1"/>
    <row r="339" s="233" customFormat="1" ht="21.75" customHeight="1"/>
    <row r="340" s="233" customFormat="1" ht="21.75" customHeight="1"/>
    <row r="341" s="233" customFormat="1" ht="21.75" customHeight="1"/>
    <row r="342" s="233" customFormat="1" ht="21.75" customHeight="1"/>
    <row r="343" s="233" customFormat="1" ht="21.75" customHeight="1"/>
    <row r="344" s="233" customFormat="1" ht="21.75" customHeight="1"/>
    <row r="345" s="233" customFormat="1" ht="21.75" customHeight="1"/>
    <row r="346" s="233" customFormat="1" ht="21.75" customHeight="1"/>
    <row r="347" s="233" customFormat="1" ht="21.75" customHeight="1"/>
    <row r="348" s="233" customFormat="1" ht="21.75" customHeight="1"/>
    <row r="349" s="233" customFormat="1" ht="21.75" customHeight="1"/>
    <row r="350" s="233" customFormat="1" ht="21.75" customHeight="1"/>
    <row r="351" s="233" customFormat="1" ht="21.75" customHeight="1"/>
    <row r="352" s="233" customFormat="1" ht="21.75" customHeight="1"/>
    <row r="353" s="233" customFormat="1" ht="21.75" customHeight="1"/>
    <row r="354" s="233" customFormat="1" ht="21.75" customHeight="1"/>
    <row r="355" s="233" customFormat="1" ht="21.75" customHeight="1"/>
    <row r="356" s="233" customFormat="1" ht="21.75" customHeight="1"/>
    <row r="357" s="233" customFormat="1" ht="21.75" customHeight="1"/>
    <row r="358" s="233" customFormat="1" ht="21.75" customHeight="1"/>
    <row r="359" s="233" customFormat="1" ht="21.75" customHeight="1"/>
    <row r="360" s="233" customFormat="1" ht="21.75" customHeight="1"/>
    <row r="361" s="233" customFormat="1" ht="21.75" customHeight="1"/>
    <row r="362" s="233" customFormat="1" ht="21.75" customHeight="1"/>
    <row r="363" s="233" customFormat="1" ht="21.75" customHeight="1"/>
    <row r="364" s="233" customFormat="1" ht="21.75" customHeight="1"/>
    <row r="365" s="233" customFormat="1" ht="21.75" customHeight="1"/>
    <row r="366" s="233" customFormat="1" ht="21.75" customHeight="1"/>
    <row r="367" s="233" customFormat="1" ht="21.75" customHeight="1"/>
    <row r="368" s="233" customFormat="1" ht="21.75" customHeight="1"/>
    <row r="369" s="233" customFormat="1" ht="21.75" customHeight="1"/>
    <row r="370" s="233" customFormat="1" ht="21.75" customHeight="1"/>
    <row r="371" s="233" customFormat="1" ht="21.75" customHeight="1"/>
    <row r="372" s="233" customFormat="1" ht="21.75" customHeight="1"/>
    <row r="373" s="233" customFormat="1" ht="21.75" customHeight="1"/>
    <row r="374" s="233" customFormat="1" ht="21.75" customHeight="1"/>
    <row r="375" s="233" customFormat="1" ht="21.75" customHeight="1"/>
    <row r="376" s="233" customFormat="1" ht="21.75" customHeight="1"/>
    <row r="377" s="233" customFormat="1" ht="21.75" customHeight="1"/>
    <row r="378" s="233" customFormat="1" ht="21.75" customHeight="1"/>
    <row r="379" s="233" customFormat="1" ht="21.75" customHeight="1"/>
    <row r="380" s="233" customFormat="1" ht="21.75" customHeight="1"/>
    <row r="381" s="233" customFormat="1" ht="21.75" customHeight="1"/>
    <row r="382" s="233" customFormat="1" ht="21.75" customHeight="1"/>
    <row r="383" s="233" customFormat="1" ht="21.75" customHeight="1"/>
    <row r="384" s="233" customFormat="1" ht="21.75" customHeight="1"/>
    <row r="385" s="233" customFormat="1" ht="21.75" customHeight="1"/>
    <row r="386" s="233" customFormat="1" ht="21.75" customHeight="1"/>
    <row r="387" s="233" customFormat="1" ht="21.75" customHeight="1"/>
    <row r="388" s="233" customFormat="1" ht="21.75" customHeight="1"/>
    <row r="389" s="233" customFormat="1" ht="21.75" customHeight="1"/>
    <row r="390" s="233" customFormat="1" ht="21.75" customHeight="1"/>
    <row r="391" s="233" customFormat="1" ht="21.75" customHeight="1"/>
    <row r="392" s="233" customFormat="1" ht="21.75" customHeight="1"/>
    <row r="393" s="233" customFormat="1" ht="21.75" customHeight="1"/>
    <row r="394" s="233" customFormat="1" ht="21.75" customHeight="1"/>
    <row r="395" s="233" customFormat="1" ht="21.75" customHeight="1"/>
    <row r="396" s="233" customFormat="1" ht="21.75" customHeight="1"/>
    <row r="397" s="233" customFormat="1" ht="21.75" customHeight="1"/>
    <row r="398" s="233" customFormat="1" ht="21.75" customHeight="1"/>
    <row r="399" s="233" customFormat="1" ht="21.75" customHeight="1"/>
    <row r="400" s="233" customFormat="1" ht="21.75" customHeight="1"/>
    <row r="401" spans="10:26" s="233" customFormat="1" ht="21.75" customHeight="1"/>
    <row r="402" spans="10:26" s="233" customFormat="1" ht="21.75" customHeight="1"/>
    <row r="403" spans="10:26" s="233" customFormat="1" ht="21.75" customHeight="1"/>
    <row r="404" spans="10:26" s="233" customFormat="1" ht="21.75" customHeight="1"/>
    <row r="405" spans="10:26" s="233" customFormat="1" ht="21.75" customHeight="1"/>
    <row r="406" spans="10:26" s="233" customFormat="1" ht="21.75" customHeight="1"/>
    <row r="407" spans="10:26" s="233" customFormat="1" ht="21.75" customHeight="1"/>
    <row r="408" spans="10:26" s="233" customFormat="1" ht="21.75" customHeight="1"/>
    <row r="409" spans="10:26" s="2033" customFormat="1" ht="21.75" customHeight="1">
      <c r="J409" s="233"/>
      <c r="K409" s="233"/>
      <c r="L409" s="233"/>
      <c r="M409" s="233"/>
      <c r="N409" s="233"/>
      <c r="O409" s="233"/>
      <c r="P409" s="233"/>
      <c r="Q409" s="233"/>
      <c r="R409" s="233"/>
      <c r="S409" s="233"/>
      <c r="T409" s="233"/>
      <c r="U409" s="233"/>
      <c r="V409" s="233"/>
      <c r="W409" s="233"/>
      <c r="X409" s="233"/>
      <c r="Y409" s="233"/>
      <c r="Z409" s="233"/>
    </row>
    <row r="410" spans="10:26" s="2033" customFormat="1" ht="21.75" customHeight="1">
      <c r="J410" s="233"/>
      <c r="K410" s="233"/>
      <c r="L410" s="233"/>
      <c r="M410" s="233"/>
      <c r="N410" s="233"/>
      <c r="O410" s="233"/>
      <c r="P410" s="233"/>
      <c r="Q410" s="233"/>
      <c r="R410" s="233"/>
      <c r="S410" s="233"/>
      <c r="T410" s="233"/>
      <c r="U410" s="233"/>
      <c r="V410" s="233"/>
      <c r="W410" s="233"/>
      <c r="X410" s="233"/>
      <c r="Y410" s="233"/>
      <c r="Z410" s="233"/>
    </row>
    <row r="411" spans="10:26" s="2033" customFormat="1" ht="21.75" customHeight="1">
      <c r="J411" s="233"/>
      <c r="K411" s="233"/>
      <c r="L411" s="233"/>
      <c r="M411" s="233"/>
      <c r="N411" s="233"/>
      <c r="O411" s="233"/>
      <c r="P411" s="233"/>
      <c r="Q411" s="233"/>
      <c r="R411" s="233"/>
      <c r="S411" s="233"/>
      <c r="T411" s="233"/>
      <c r="U411" s="233"/>
      <c r="V411" s="233"/>
      <c r="W411" s="233"/>
      <c r="X411" s="233"/>
      <c r="Y411" s="233"/>
      <c r="Z411" s="233"/>
    </row>
    <row r="412" spans="10:26" s="2033" customFormat="1" ht="21.75" customHeight="1">
      <c r="J412" s="233"/>
      <c r="K412" s="233"/>
      <c r="L412" s="233"/>
      <c r="M412" s="233"/>
      <c r="N412" s="233"/>
      <c r="O412" s="233"/>
      <c r="P412" s="233"/>
      <c r="Q412" s="233"/>
      <c r="R412" s="233"/>
      <c r="S412" s="233"/>
      <c r="T412" s="233"/>
      <c r="U412" s="233"/>
      <c r="V412" s="233"/>
      <c r="W412" s="233"/>
      <c r="X412" s="233"/>
      <c r="Y412" s="233"/>
      <c r="Z412" s="233"/>
    </row>
    <row r="413" spans="10:26" s="2033" customFormat="1" ht="21.75" customHeight="1">
      <c r="J413" s="233"/>
      <c r="K413" s="233"/>
      <c r="L413" s="233"/>
      <c r="M413" s="233"/>
      <c r="N413" s="233"/>
      <c r="O413" s="233"/>
      <c r="P413" s="233"/>
      <c r="Q413" s="233"/>
      <c r="R413" s="233"/>
      <c r="S413" s="233"/>
      <c r="T413" s="233"/>
      <c r="U413" s="233"/>
      <c r="V413" s="233"/>
      <c r="W413" s="233"/>
      <c r="X413" s="233"/>
      <c r="Y413" s="233"/>
      <c r="Z413" s="233"/>
    </row>
    <row r="414" spans="10:26" s="2033" customFormat="1" ht="21.75" customHeight="1">
      <c r="J414" s="233"/>
      <c r="K414" s="233"/>
      <c r="L414" s="233"/>
      <c r="M414" s="233"/>
      <c r="N414" s="233"/>
      <c r="O414" s="233"/>
      <c r="P414" s="233"/>
      <c r="Q414" s="233"/>
      <c r="R414" s="233"/>
      <c r="S414" s="233"/>
      <c r="T414" s="233"/>
      <c r="U414" s="233"/>
      <c r="V414" s="233"/>
      <c r="W414" s="233"/>
      <c r="X414" s="233"/>
      <c r="Y414" s="233"/>
      <c r="Z414" s="233"/>
    </row>
    <row r="415" spans="10:26" s="2033" customFormat="1" ht="21.75" customHeight="1">
      <c r="J415" s="233"/>
      <c r="K415" s="233"/>
      <c r="L415" s="233"/>
      <c r="M415" s="233"/>
      <c r="N415" s="233"/>
      <c r="O415" s="233"/>
      <c r="P415" s="233"/>
      <c r="Q415" s="233"/>
      <c r="R415" s="233"/>
      <c r="S415" s="233"/>
      <c r="T415" s="233"/>
      <c r="U415" s="233"/>
      <c r="V415" s="233"/>
      <c r="W415" s="233"/>
      <c r="X415" s="233"/>
      <c r="Y415" s="233"/>
      <c r="Z415" s="233"/>
    </row>
    <row r="416" spans="10:26" s="2033" customFormat="1" ht="21.75" customHeight="1">
      <c r="J416" s="233"/>
      <c r="K416" s="233"/>
      <c r="L416" s="233"/>
      <c r="M416" s="233"/>
      <c r="N416" s="233"/>
      <c r="O416" s="233"/>
      <c r="P416" s="233"/>
      <c r="Q416" s="233"/>
      <c r="R416" s="233"/>
      <c r="S416" s="233"/>
      <c r="T416" s="233"/>
      <c r="U416" s="233"/>
      <c r="V416" s="233"/>
      <c r="W416" s="233"/>
      <c r="X416" s="233"/>
      <c r="Y416" s="233"/>
      <c r="Z416" s="233"/>
    </row>
    <row r="417" spans="10:26" s="2033" customFormat="1" ht="21.75" customHeight="1">
      <c r="J417" s="233"/>
      <c r="K417" s="233"/>
      <c r="L417" s="233"/>
      <c r="M417" s="233"/>
      <c r="N417" s="233"/>
      <c r="O417" s="233"/>
      <c r="P417" s="233"/>
      <c r="Q417" s="233"/>
      <c r="R417" s="233"/>
      <c r="S417" s="233"/>
      <c r="T417" s="233"/>
      <c r="U417" s="233"/>
      <c r="V417" s="233"/>
      <c r="W417" s="233"/>
      <c r="X417" s="233"/>
      <c r="Y417" s="233"/>
      <c r="Z417" s="233"/>
    </row>
    <row r="418" spans="10:26" s="2033" customFormat="1" ht="21.75" customHeight="1">
      <c r="J418" s="233"/>
      <c r="K418" s="233"/>
      <c r="L418" s="233"/>
      <c r="M418" s="233"/>
      <c r="N418" s="233"/>
      <c r="O418" s="233"/>
      <c r="P418" s="233"/>
      <c r="Q418" s="233"/>
      <c r="R418" s="233"/>
      <c r="S418" s="233"/>
      <c r="T418" s="233"/>
      <c r="U418" s="233"/>
      <c r="V418" s="233"/>
      <c r="W418" s="233"/>
      <c r="X418" s="233"/>
      <c r="Y418" s="233"/>
      <c r="Z418" s="233"/>
    </row>
    <row r="419" spans="10:26" s="2033" customFormat="1" ht="21.75" customHeight="1">
      <c r="J419" s="233"/>
      <c r="K419" s="233"/>
      <c r="L419" s="233"/>
      <c r="M419" s="233"/>
      <c r="N419" s="233"/>
      <c r="O419" s="233"/>
      <c r="P419" s="233"/>
      <c r="Q419" s="233"/>
      <c r="R419" s="233"/>
      <c r="S419" s="233"/>
      <c r="T419" s="233"/>
      <c r="U419" s="233"/>
      <c r="V419" s="233"/>
      <c r="W419" s="233"/>
      <c r="X419" s="233"/>
      <c r="Y419" s="233"/>
      <c r="Z419" s="233"/>
    </row>
    <row r="420" spans="10:26" s="2033" customFormat="1" ht="21.75" customHeight="1">
      <c r="J420" s="233"/>
      <c r="K420" s="233"/>
      <c r="L420" s="233"/>
      <c r="M420" s="233"/>
      <c r="N420" s="233"/>
      <c r="O420" s="233"/>
      <c r="P420" s="233"/>
      <c r="Q420" s="233"/>
      <c r="R420" s="233"/>
      <c r="S420" s="233"/>
      <c r="T420" s="233"/>
      <c r="U420" s="233"/>
      <c r="V420" s="233"/>
      <c r="W420" s="233"/>
      <c r="X420" s="233"/>
      <c r="Y420" s="233"/>
      <c r="Z420" s="233"/>
    </row>
    <row r="421" spans="10:26" s="2033" customFormat="1" ht="21.75" customHeight="1">
      <c r="J421" s="233"/>
      <c r="K421" s="233"/>
      <c r="L421" s="233"/>
      <c r="M421" s="233"/>
      <c r="N421" s="233"/>
      <c r="O421" s="233"/>
      <c r="P421" s="233"/>
      <c r="Q421" s="233"/>
      <c r="R421" s="233"/>
      <c r="S421" s="233"/>
      <c r="T421" s="233"/>
      <c r="U421" s="233"/>
      <c r="V421" s="233"/>
      <c r="W421" s="233"/>
      <c r="X421" s="233"/>
      <c r="Y421" s="233"/>
      <c r="Z421" s="233"/>
    </row>
    <row r="422" spans="10:26" s="2033" customFormat="1" ht="21.75" customHeight="1">
      <c r="J422" s="233"/>
      <c r="K422" s="233"/>
      <c r="L422" s="233"/>
      <c r="M422" s="233"/>
      <c r="N422" s="233"/>
      <c r="O422" s="233"/>
      <c r="P422" s="233"/>
      <c r="Q422" s="233"/>
      <c r="R422" s="233"/>
      <c r="S422" s="233"/>
      <c r="T422" s="233"/>
      <c r="U422" s="233"/>
      <c r="V422" s="233"/>
      <c r="W422" s="233"/>
      <c r="X422" s="233"/>
      <c r="Y422" s="233"/>
      <c r="Z422" s="233"/>
    </row>
    <row r="423" spans="10:26" s="2033" customFormat="1" ht="21.75" customHeight="1">
      <c r="J423" s="233"/>
      <c r="K423" s="233"/>
      <c r="L423" s="233"/>
      <c r="M423" s="233"/>
      <c r="N423" s="233"/>
      <c r="O423" s="233"/>
      <c r="P423" s="233"/>
      <c r="Q423" s="233"/>
      <c r="R423" s="233"/>
      <c r="S423" s="233"/>
      <c r="T423" s="233"/>
      <c r="U423" s="233"/>
      <c r="V423" s="233"/>
      <c r="W423" s="233"/>
      <c r="X423" s="233"/>
      <c r="Y423" s="233"/>
      <c r="Z423" s="233"/>
    </row>
    <row r="424" spans="10:26" s="2033" customFormat="1" ht="21.75" customHeight="1">
      <c r="J424" s="233"/>
      <c r="K424" s="233"/>
      <c r="L424" s="233"/>
      <c r="M424" s="233"/>
      <c r="N424" s="233"/>
      <c r="O424" s="233"/>
      <c r="P424" s="233"/>
      <c r="Q424" s="233"/>
      <c r="R424" s="233"/>
      <c r="S424" s="233"/>
      <c r="T424" s="233"/>
      <c r="U424" s="233"/>
      <c r="V424" s="233"/>
      <c r="W424" s="233"/>
      <c r="X424" s="233"/>
      <c r="Y424" s="233"/>
      <c r="Z424" s="233"/>
    </row>
    <row r="425" spans="10:26" s="2033" customFormat="1" ht="21.75" customHeight="1">
      <c r="J425" s="233"/>
      <c r="K425" s="233"/>
      <c r="L425" s="233"/>
      <c r="M425" s="233"/>
      <c r="N425" s="233"/>
      <c r="O425" s="233"/>
      <c r="P425" s="233"/>
      <c r="Q425" s="233"/>
      <c r="R425" s="233"/>
      <c r="S425" s="233"/>
      <c r="T425" s="233"/>
      <c r="U425" s="233"/>
      <c r="V425" s="233"/>
      <c r="W425" s="233"/>
      <c r="X425" s="233"/>
      <c r="Y425" s="233"/>
      <c r="Z425" s="233"/>
    </row>
    <row r="426" spans="10:26" s="2033" customFormat="1" ht="21.75" customHeight="1">
      <c r="J426" s="233"/>
      <c r="K426" s="233"/>
      <c r="L426" s="233"/>
      <c r="M426" s="233"/>
      <c r="N426" s="233"/>
      <c r="O426" s="233"/>
      <c r="P426" s="233"/>
      <c r="Q426" s="233"/>
      <c r="R426" s="233"/>
      <c r="S426" s="233"/>
      <c r="T426" s="233"/>
      <c r="U426" s="233"/>
      <c r="V426" s="233"/>
      <c r="W426" s="233"/>
      <c r="X426" s="233"/>
      <c r="Y426" s="233"/>
      <c r="Z426" s="233"/>
    </row>
    <row r="427" spans="10:26" s="2033" customFormat="1" ht="21.75" customHeight="1">
      <c r="J427" s="233"/>
      <c r="K427" s="233"/>
      <c r="L427" s="233"/>
      <c r="M427" s="233"/>
      <c r="N427" s="233"/>
      <c r="O427" s="233"/>
      <c r="P427" s="233"/>
      <c r="Q427" s="233"/>
      <c r="R427" s="233"/>
      <c r="S427" s="233"/>
      <c r="T427" s="233"/>
      <c r="U427" s="233"/>
      <c r="V427" s="233"/>
      <c r="W427" s="233"/>
      <c r="X427" s="233"/>
      <c r="Y427" s="233"/>
      <c r="Z427" s="233"/>
    </row>
    <row r="428" spans="10:26" s="2033" customFormat="1" ht="21.75" customHeight="1">
      <c r="J428" s="233"/>
      <c r="K428" s="233"/>
      <c r="L428" s="233"/>
      <c r="M428" s="233"/>
      <c r="N428" s="233"/>
      <c r="O428" s="233"/>
      <c r="P428" s="233"/>
      <c r="Q428" s="233"/>
      <c r="R428" s="233"/>
      <c r="S428" s="233"/>
      <c r="T428" s="233"/>
      <c r="U428" s="233"/>
      <c r="V428" s="233"/>
      <c r="W428" s="233"/>
      <c r="X428" s="233"/>
      <c r="Y428" s="233"/>
      <c r="Z428" s="233"/>
    </row>
    <row r="429" spans="10:26" s="2033" customFormat="1" ht="21.75" customHeight="1">
      <c r="J429" s="233"/>
      <c r="K429" s="233"/>
      <c r="L429" s="233"/>
      <c r="M429" s="233"/>
      <c r="N429" s="233"/>
      <c r="O429" s="233"/>
      <c r="P429" s="233"/>
      <c r="Q429" s="233"/>
      <c r="R429" s="233"/>
      <c r="S429" s="233"/>
      <c r="T429" s="233"/>
      <c r="U429" s="233"/>
      <c r="V429" s="233"/>
      <c r="W429" s="233"/>
      <c r="X429" s="233"/>
      <c r="Y429" s="233"/>
      <c r="Z429" s="233"/>
    </row>
    <row r="430" spans="10:26" s="2033" customFormat="1" ht="21.75" customHeight="1">
      <c r="J430" s="233"/>
      <c r="K430" s="233"/>
      <c r="L430" s="233"/>
      <c r="M430" s="233"/>
      <c r="N430" s="233"/>
      <c r="O430" s="233"/>
      <c r="P430" s="233"/>
      <c r="Q430" s="233"/>
      <c r="R430" s="233"/>
      <c r="S430" s="233"/>
      <c r="T430" s="233"/>
      <c r="U430" s="233"/>
      <c r="V430" s="233"/>
      <c r="W430" s="233"/>
      <c r="X430" s="233"/>
      <c r="Y430" s="233"/>
      <c r="Z430" s="233"/>
    </row>
    <row r="431" spans="10:26" s="2033" customFormat="1" ht="21.75" customHeight="1">
      <c r="J431" s="233"/>
      <c r="K431" s="233"/>
      <c r="L431" s="233"/>
      <c r="M431" s="233"/>
      <c r="N431" s="233"/>
      <c r="O431" s="233"/>
      <c r="P431" s="233"/>
      <c r="Q431" s="233"/>
      <c r="R431" s="233"/>
      <c r="S431" s="233"/>
      <c r="T431" s="233"/>
      <c r="U431" s="233"/>
      <c r="V431" s="233"/>
      <c r="W431" s="233"/>
      <c r="X431" s="233"/>
      <c r="Y431" s="233"/>
      <c r="Z431" s="233"/>
    </row>
    <row r="432" spans="10:26" s="2033" customFormat="1" ht="21.75" customHeight="1">
      <c r="J432" s="233"/>
      <c r="K432" s="233"/>
      <c r="L432" s="233"/>
      <c r="M432" s="233"/>
      <c r="N432" s="233"/>
      <c r="O432" s="233"/>
      <c r="P432" s="233"/>
      <c r="Q432" s="233"/>
      <c r="R432" s="233"/>
      <c r="S432" s="233"/>
      <c r="T432" s="233"/>
      <c r="U432" s="233"/>
      <c r="V432" s="233"/>
      <c r="W432" s="233"/>
      <c r="X432" s="233"/>
      <c r="Y432" s="233"/>
      <c r="Z432" s="233"/>
    </row>
    <row r="433" spans="10:26" s="2033" customFormat="1" ht="21.75" customHeight="1">
      <c r="J433" s="233"/>
      <c r="K433" s="233"/>
      <c r="L433" s="233"/>
      <c r="M433" s="233"/>
      <c r="N433" s="233"/>
      <c r="O433" s="233"/>
      <c r="P433" s="233"/>
      <c r="Q433" s="233"/>
      <c r="R433" s="233"/>
      <c r="S433" s="233"/>
      <c r="T433" s="233"/>
      <c r="U433" s="233"/>
      <c r="V433" s="233"/>
      <c r="W433" s="233"/>
      <c r="X433" s="233"/>
      <c r="Y433" s="233"/>
      <c r="Z433" s="233"/>
    </row>
    <row r="434" spans="10:26" s="2033" customFormat="1" ht="21.75" customHeight="1">
      <c r="J434" s="233"/>
      <c r="K434" s="233"/>
      <c r="L434" s="233"/>
      <c r="M434" s="233"/>
      <c r="N434" s="233"/>
      <c r="O434" s="233"/>
      <c r="P434" s="233"/>
      <c r="Q434" s="233"/>
      <c r="R434" s="233"/>
      <c r="S434" s="233"/>
      <c r="T434" s="233"/>
      <c r="U434" s="233"/>
      <c r="V434" s="233"/>
      <c r="W434" s="233"/>
      <c r="X434" s="233"/>
      <c r="Y434" s="233"/>
      <c r="Z434" s="233"/>
    </row>
    <row r="435" spans="10:26" s="2033" customFormat="1" ht="21.75" customHeight="1">
      <c r="J435" s="233"/>
      <c r="K435" s="233"/>
      <c r="L435" s="233"/>
      <c r="M435" s="233"/>
      <c r="N435" s="233"/>
      <c r="O435" s="233"/>
      <c r="P435" s="233"/>
      <c r="Q435" s="233"/>
      <c r="R435" s="233"/>
      <c r="S435" s="233"/>
      <c r="T435" s="233"/>
      <c r="U435" s="233"/>
      <c r="V435" s="233"/>
      <c r="W435" s="233"/>
      <c r="X435" s="233"/>
      <c r="Y435" s="233"/>
      <c r="Z435" s="233"/>
    </row>
    <row r="436" spans="10:26" s="2033" customFormat="1" ht="21.75" customHeight="1">
      <c r="J436" s="233"/>
      <c r="K436" s="233"/>
      <c r="L436" s="233"/>
      <c r="M436" s="233"/>
      <c r="N436" s="233"/>
      <c r="O436" s="233"/>
      <c r="P436" s="233"/>
      <c r="Q436" s="233"/>
      <c r="R436" s="233"/>
      <c r="S436" s="233"/>
      <c r="T436" s="233"/>
      <c r="U436" s="233"/>
      <c r="V436" s="233"/>
      <c r="W436" s="233"/>
      <c r="X436" s="233"/>
      <c r="Y436" s="233"/>
      <c r="Z436" s="233"/>
    </row>
    <row r="437" spans="10:26" s="2033" customFormat="1" ht="21.75" customHeight="1">
      <c r="J437" s="233"/>
      <c r="K437" s="233"/>
      <c r="L437" s="233"/>
      <c r="M437" s="233"/>
      <c r="N437" s="233"/>
      <c r="O437" s="233"/>
      <c r="P437" s="233"/>
      <c r="Q437" s="233"/>
      <c r="R437" s="233"/>
      <c r="S437" s="233"/>
      <c r="T437" s="233"/>
      <c r="U437" s="233"/>
      <c r="V437" s="233"/>
      <c r="W437" s="233"/>
      <c r="X437" s="233"/>
      <c r="Y437" s="233"/>
      <c r="Z437" s="233"/>
    </row>
    <row r="438" spans="10:26" s="2033" customFormat="1" ht="21.75" customHeight="1">
      <c r="J438" s="233"/>
      <c r="K438" s="233"/>
      <c r="L438" s="233"/>
      <c r="M438" s="233"/>
      <c r="N438" s="233"/>
      <c r="O438" s="233"/>
      <c r="P438" s="233"/>
      <c r="Q438" s="233"/>
      <c r="R438" s="233"/>
      <c r="S438" s="233"/>
      <c r="T438" s="233"/>
      <c r="U438" s="233"/>
      <c r="V438" s="233"/>
      <c r="W438" s="233"/>
      <c r="X438" s="233"/>
      <c r="Y438" s="233"/>
      <c r="Z438" s="233"/>
    </row>
    <row r="439" spans="10:26" s="2033" customFormat="1" ht="21.75" customHeight="1">
      <c r="J439" s="233"/>
      <c r="K439" s="233"/>
      <c r="L439" s="233"/>
      <c r="M439" s="233"/>
      <c r="N439" s="233"/>
      <c r="O439" s="233"/>
      <c r="P439" s="233"/>
      <c r="Q439" s="233"/>
      <c r="R439" s="233"/>
      <c r="S439" s="233"/>
      <c r="T439" s="233"/>
      <c r="U439" s="233"/>
      <c r="V439" s="233"/>
      <c r="W439" s="233"/>
      <c r="X439" s="233"/>
      <c r="Y439" s="233"/>
      <c r="Z439" s="233"/>
    </row>
    <row r="440" spans="10:26" s="2033" customFormat="1" ht="21.75" customHeight="1">
      <c r="J440" s="233"/>
      <c r="K440" s="233"/>
      <c r="L440" s="233"/>
      <c r="M440" s="233"/>
      <c r="N440" s="233"/>
      <c r="O440" s="233"/>
      <c r="P440" s="233"/>
      <c r="Q440" s="233"/>
      <c r="R440" s="233"/>
      <c r="S440" s="233"/>
      <c r="T440" s="233"/>
      <c r="U440" s="233"/>
      <c r="V440" s="233"/>
      <c r="W440" s="233"/>
      <c r="X440" s="233"/>
      <c r="Y440" s="233"/>
      <c r="Z440" s="233"/>
    </row>
    <row r="441" spans="10:26" s="2033" customFormat="1" ht="21.75" customHeight="1">
      <c r="J441" s="233"/>
      <c r="K441" s="233"/>
      <c r="L441" s="233"/>
      <c r="M441" s="233"/>
      <c r="N441" s="233"/>
      <c r="O441" s="233"/>
      <c r="P441" s="233"/>
      <c r="Q441" s="233"/>
      <c r="R441" s="233"/>
      <c r="S441" s="233"/>
      <c r="T441" s="233"/>
      <c r="U441" s="233"/>
      <c r="V441" s="233"/>
      <c r="W441" s="233"/>
      <c r="X441" s="233"/>
      <c r="Y441" s="233"/>
      <c r="Z441" s="233"/>
    </row>
    <row r="442" spans="10:26" s="2033" customFormat="1" ht="21.75" customHeight="1">
      <c r="J442" s="233"/>
      <c r="K442" s="233"/>
      <c r="L442" s="233"/>
      <c r="M442" s="233"/>
      <c r="N442" s="233"/>
      <c r="O442" s="233"/>
      <c r="P442" s="233"/>
      <c r="Q442" s="233"/>
      <c r="R442" s="233"/>
      <c r="S442" s="233"/>
      <c r="T442" s="233"/>
      <c r="U442" s="233"/>
      <c r="V442" s="233"/>
      <c r="W442" s="233"/>
      <c r="X442" s="233"/>
      <c r="Y442" s="233"/>
      <c r="Z442" s="233"/>
    </row>
    <row r="443" spans="10:26" s="2033" customFormat="1" ht="21.75" customHeight="1">
      <c r="J443" s="233"/>
      <c r="K443" s="233"/>
      <c r="L443" s="233"/>
      <c r="M443" s="233"/>
      <c r="N443" s="233"/>
      <c r="O443" s="233"/>
      <c r="P443" s="233"/>
      <c r="Q443" s="233"/>
      <c r="R443" s="233"/>
      <c r="S443" s="233"/>
      <c r="T443" s="233"/>
      <c r="U443" s="233"/>
      <c r="V443" s="233"/>
      <c r="W443" s="233"/>
      <c r="X443" s="233"/>
      <c r="Y443" s="233"/>
      <c r="Z443" s="233"/>
    </row>
    <row r="444" spans="10:26" s="2033" customFormat="1" ht="21.75" customHeight="1">
      <c r="J444" s="233"/>
      <c r="K444" s="233"/>
      <c r="L444" s="233"/>
      <c r="M444" s="233"/>
      <c r="N444" s="233"/>
      <c r="O444" s="233"/>
      <c r="P444" s="233"/>
      <c r="Q444" s="233"/>
      <c r="R444" s="233"/>
      <c r="S444" s="233"/>
      <c r="T444" s="233"/>
      <c r="U444" s="233"/>
      <c r="V444" s="233"/>
      <c r="W444" s="233"/>
      <c r="X444" s="233"/>
      <c r="Y444" s="233"/>
      <c r="Z444" s="233"/>
    </row>
    <row r="445" spans="10:26" s="2033" customFormat="1" ht="21.75" customHeight="1">
      <c r="J445" s="233"/>
      <c r="K445" s="233"/>
      <c r="L445" s="233"/>
      <c r="M445" s="233"/>
      <c r="N445" s="233"/>
      <c r="O445" s="233"/>
      <c r="P445" s="233"/>
      <c r="Q445" s="233"/>
      <c r="R445" s="233"/>
      <c r="S445" s="233"/>
      <c r="T445" s="233"/>
      <c r="U445" s="233"/>
      <c r="V445" s="233"/>
      <c r="W445" s="233"/>
      <c r="X445" s="233"/>
      <c r="Y445" s="233"/>
      <c r="Z445" s="233"/>
    </row>
    <row r="446" spans="10:26" s="2033" customFormat="1" ht="21.75" customHeight="1">
      <c r="J446" s="233"/>
      <c r="K446" s="233"/>
      <c r="L446" s="233"/>
      <c r="M446" s="233"/>
      <c r="N446" s="233"/>
      <c r="O446" s="233"/>
      <c r="P446" s="233"/>
      <c r="Q446" s="233"/>
      <c r="R446" s="233"/>
      <c r="S446" s="233"/>
      <c r="T446" s="233"/>
      <c r="U446" s="233"/>
      <c r="V446" s="233"/>
      <c r="W446" s="233"/>
      <c r="X446" s="233"/>
      <c r="Y446" s="233"/>
      <c r="Z446" s="233"/>
    </row>
    <row r="447" spans="10:26" s="2033" customFormat="1" ht="21.75" customHeight="1">
      <c r="J447" s="233"/>
      <c r="K447" s="233"/>
      <c r="L447" s="233"/>
      <c r="M447" s="233"/>
      <c r="N447" s="233"/>
      <c r="O447" s="233"/>
      <c r="P447" s="233"/>
      <c r="Q447" s="233"/>
      <c r="R447" s="233"/>
      <c r="S447" s="233"/>
      <c r="T447" s="233"/>
      <c r="U447" s="233"/>
      <c r="V447" s="233"/>
      <c r="W447" s="233"/>
      <c r="X447" s="233"/>
      <c r="Y447" s="233"/>
      <c r="Z447" s="233"/>
    </row>
    <row r="448" spans="10:26" s="2033" customFormat="1" ht="21.75" customHeight="1">
      <c r="J448" s="233"/>
      <c r="K448" s="233"/>
      <c r="L448" s="233"/>
      <c r="M448" s="233"/>
      <c r="N448" s="233"/>
      <c r="O448" s="233"/>
      <c r="P448" s="233"/>
      <c r="Q448" s="233"/>
      <c r="R448" s="233"/>
      <c r="S448" s="233"/>
      <c r="T448" s="233"/>
      <c r="U448" s="233"/>
      <c r="V448" s="233"/>
      <c r="W448" s="233"/>
      <c r="X448" s="233"/>
      <c r="Y448" s="233"/>
      <c r="Z448" s="233"/>
    </row>
    <row r="449" spans="10:26" s="2033" customFormat="1" ht="21.75" customHeight="1">
      <c r="J449" s="233"/>
      <c r="K449" s="233"/>
      <c r="L449" s="233"/>
      <c r="M449" s="233"/>
      <c r="N449" s="233"/>
      <c r="O449" s="233"/>
      <c r="P449" s="233"/>
      <c r="Q449" s="233"/>
      <c r="R449" s="233"/>
      <c r="S449" s="233"/>
      <c r="T449" s="233"/>
      <c r="U449" s="233"/>
      <c r="V449" s="233"/>
      <c r="W449" s="233"/>
      <c r="X449" s="233"/>
      <c r="Y449" s="233"/>
      <c r="Z449" s="233"/>
    </row>
    <row r="450" spans="10:26" s="2033" customFormat="1" ht="21.75" customHeight="1">
      <c r="J450" s="233"/>
      <c r="K450" s="233"/>
      <c r="L450" s="233"/>
      <c r="M450" s="233"/>
      <c r="N450" s="233"/>
      <c r="O450" s="233"/>
      <c r="P450" s="233"/>
      <c r="Q450" s="233"/>
      <c r="R450" s="233"/>
      <c r="S450" s="233"/>
      <c r="T450" s="233"/>
      <c r="U450" s="233"/>
      <c r="V450" s="233"/>
      <c r="W450" s="233"/>
      <c r="X450" s="233"/>
      <c r="Y450" s="233"/>
      <c r="Z450" s="233"/>
    </row>
    <row r="451" spans="10:26" s="2033" customFormat="1" ht="21.75" customHeight="1">
      <c r="J451" s="233"/>
      <c r="K451" s="233"/>
      <c r="L451" s="233"/>
      <c r="M451" s="233"/>
      <c r="N451" s="233"/>
      <c r="O451" s="233"/>
      <c r="P451" s="233"/>
      <c r="Q451" s="233"/>
      <c r="R451" s="233"/>
      <c r="S451" s="233"/>
      <c r="T451" s="233"/>
      <c r="U451" s="233"/>
      <c r="V451" s="233"/>
      <c r="W451" s="233"/>
      <c r="X451" s="233"/>
      <c r="Y451" s="233"/>
      <c r="Z451" s="233"/>
    </row>
    <row r="452" spans="10:26" s="2033" customFormat="1" ht="21.75" customHeight="1">
      <c r="J452" s="233"/>
      <c r="K452" s="233"/>
      <c r="L452" s="233"/>
      <c r="M452" s="233"/>
      <c r="N452" s="233"/>
      <c r="O452" s="233"/>
      <c r="P452" s="233"/>
      <c r="Q452" s="233"/>
      <c r="R452" s="233"/>
      <c r="S452" s="233"/>
      <c r="T452" s="233"/>
      <c r="U452" s="233"/>
      <c r="V452" s="233"/>
      <c r="W452" s="233"/>
      <c r="X452" s="233"/>
      <c r="Y452" s="233"/>
      <c r="Z452" s="233"/>
    </row>
    <row r="453" spans="10:26" s="2033" customFormat="1" ht="21.75" customHeight="1">
      <c r="J453" s="233"/>
      <c r="K453" s="233"/>
      <c r="L453" s="233"/>
      <c r="M453" s="233"/>
      <c r="N453" s="233"/>
      <c r="O453" s="233"/>
      <c r="P453" s="233"/>
      <c r="Q453" s="233"/>
      <c r="R453" s="233"/>
      <c r="S453" s="233"/>
      <c r="T453" s="233"/>
      <c r="U453" s="233"/>
      <c r="V453" s="233"/>
      <c r="W453" s="233"/>
      <c r="X453" s="233"/>
      <c r="Y453" s="233"/>
      <c r="Z453" s="233"/>
    </row>
    <row r="454" spans="10:26" s="2033" customFormat="1" ht="21.75" customHeight="1">
      <c r="J454" s="233"/>
      <c r="K454" s="233"/>
      <c r="L454" s="233"/>
      <c r="M454" s="233"/>
      <c r="N454" s="233"/>
      <c r="O454" s="233"/>
      <c r="P454" s="233"/>
      <c r="Q454" s="233"/>
      <c r="R454" s="233"/>
      <c r="S454" s="233"/>
      <c r="T454" s="233"/>
      <c r="U454" s="233"/>
      <c r="V454" s="233"/>
      <c r="W454" s="233"/>
      <c r="X454" s="233"/>
      <c r="Y454" s="233"/>
      <c r="Z454" s="233"/>
    </row>
    <row r="455" spans="10:26" s="2033" customFormat="1" ht="21.75" customHeight="1">
      <c r="J455" s="233"/>
      <c r="K455" s="233"/>
      <c r="L455" s="233"/>
      <c r="M455" s="233"/>
      <c r="N455" s="233"/>
      <c r="O455" s="233"/>
      <c r="P455" s="233"/>
      <c r="Q455" s="233"/>
      <c r="R455" s="233"/>
      <c r="S455" s="233"/>
      <c r="T455" s="233"/>
      <c r="U455" s="233"/>
      <c r="V455" s="233"/>
      <c r="W455" s="233"/>
      <c r="X455" s="233"/>
      <c r="Y455" s="233"/>
      <c r="Z455" s="233"/>
    </row>
    <row r="456" spans="10:26" s="2033" customFormat="1" ht="21.75" customHeight="1">
      <c r="J456" s="233"/>
      <c r="K456" s="233"/>
      <c r="L456" s="233"/>
      <c r="M456" s="233"/>
      <c r="N456" s="233"/>
      <c r="O456" s="233"/>
      <c r="P456" s="233"/>
      <c r="Q456" s="233"/>
      <c r="R456" s="233"/>
      <c r="S456" s="233"/>
      <c r="T456" s="233"/>
      <c r="U456" s="233"/>
      <c r="V456" s="233"/>
      <c r="W456" s="233"/>
      <c r="X456" s="233"/>
      <c r="Y456" s="233"/>
      <c r="Z456" s="233"/>
    </row>
    <row r="457" spans="10:26" s="2033" customFormat="1" ht="21.75" customHeight="1">
      <c r="J457" s="233"/>
      <c r="K457" s="233"/>
      <c r="L457" s="233"/>
      <c r="M457" s="233"/>
      <c r="N457" s="233"/>
      <c r="O457" s="233"/>
      <c r="P457" s="233"/>
      <c r="Q457" s="233"/>
      <c r="R457" s="233"/>
      <c r="S457" s="233"/>
      <c r="T457" s="233"/>
      <c r="U457" s="233"/>
      <c r="V457" s="233"/>
      <c r="W457" s="233"/>
      <c r="X457" s="233"/>
      <c r="Y457" s="233"/>
      <c r="Z457" s="233"/>
    </row>
    <row r="458" spans="10:26" s="2033" customFormat="1" ht="21.75" customHeight="1">
      <c r="J458" s="233"/>
      <c r="K458" s="233"/>
      <c r="L458" s="233"/>
      <c r="M458" s="233"/>
      <c r="N458" s="233"/>
      <c r="O458" s="233"/>
      <c r="P458" s="233"/>
      <c r="Q458" s="233"/>
      <c r="R458" s="233"/>
      <c r="S458" s="233"/>
      <c r="T458" s="233"/>
      <c r="U458" s="233"/>
      <c r="V458" s="233"/>
      <c r="W458" s="233"/>
      <c r="X458" s="233"/>
      <c r="Y458" s="233"/>
      <c r="Z458" s="233"/>
    </row>
    <row r="459" spans="10:26" s="2033" customFormat="1" ht="21.75" customHeight="1">
      <c r="J459" s="233"/>
      <c r="K459" s="233"/>
      <c r="L459" s="233"/>
      <c r="M459" s="233"/>
      <c r="N459" s="233"/>
      <c r="O459" s="233"/>
      <c r="P459" s="233"/>
      <c r="Q459" s="233"/>
      <c r="R459" s="233"/>
      <c r="S459" s="233"/>
      <c r="T459" s="233"/>
      <c r="U459" s="233"/>
      <c r="V459" s="233"/>
      <c r="W459" s="233"/>
      <c r="X459" s="233"/>
      <c r="Y459" s="233"/>
      <c r="Z459" s="233"/>
    </row>
    <row r="460" spans="10:26" s="2033" customFormat="1" ht="21.75" customHeight="1">
      <c r="J460" s="233"/>
      <c r="K460" s="233"/>
      <c r="L460" s="233"/>
      <c r="M460" s="233"/>
      <c r="N460" s="233"/>
      <c r="O460" s="233"/>
      <c r="P460" s="233"/>
      <c r="Q460" s="233"/>
      <c r="R460" s="233"/>
      <c r="S460" s="233"/>
      <c r="T460" s="233"/>
      <c r="U460" s="233"/>
      <c r="V460" s="233"/>
      <c r="W460" s="233"/>
      <c r="X460" s="233"/>
      <c r="Y460" s="233"/>
      <c r="Z460" s="233"/>
    </row>
    <row r="461" spans="10:26" s="2033" customFormat="1" ht="21.75" customHeight="1">
      <c r="J461" s="233"/>
      <c r="K461" s="233"/>
      <c r="L461" s="233"/>
      <c r="M461" s="233"/>
      <c r="N461" s="233"/>
      <c r="O461" s="233"/>
      <c r="P461" s="233"/>
      <c r="Q461" s="233"/>
      <c r="R461" s="233"/>
      <c r="S461" s="233"/>
      <c r="T461" s="233"/>
      <c r="U461" s="233"/>
      <c r="V461" s="233"/>
      <c r="W461" s="233"/>
      <c r="X461" s="233"/>
      <c r="Y461" s="233"/>
      <c r="Z461" s="233"/>
    </row>
    <row r="462" spans="10:26" s="2033" customFormat="1" ht="21.75" customHeight="1">
      <c r="J462" s="233"/>
      <c r="K462" s="233"/>
      <c r="L462" s="233"/>
      <c r="M462" s="233"/>
      <c r="N462" s="233"/>
      <c r="O462" s="233"/>
      <c r="P462" s="233"/>
      <c r="Q462" s="233"/>
      <c r="R462" s="233"/>
      <c r="S462" s="233"/>
      <c r="T462" s="233"/>
      <c r="U462" s="233"/>
      <c r="V462" s="233"/>
      <c r="W462" s="233"/>
      <c r="X462" s="233"/>
      <c r="Y462" s="233"/>
      <c r="Z462" s="233"/>
    </row>
    <row r="463" spans="10:26" s="2033" customFormat="1" ht="21.75" customHeight="1">
      <c r="J463" s="233"/>
      <c r="K463" s="233"/>
      <c r="L463" s="233"/>
      <c r="M463" s="233"/>
      <c r="N463" s="233"/>
      <c r="O463" s="233"/>
      <c r="P463" s="233"/>
      <c r="Q463" s="233"/>
      <c r="R463" s="233"/>
      <c r="S463" s="233"/>
      <c r="T463" s="233"/>
      <c r="U463" s="233"/>
      <c r="V463" s="233"/>
      <c r="W463" s="233"/>
      <c r="X463" s="233"/>
      <c r="Y463" s="233"/>
      <c r="Z463" s="233"/>
    </row>
    <row r="464" spans="10:26" s="2033" customFormat="1" ht="21.75" customHeight="1">
      <c r="J464" s="233"/>
      <c r="K464" s="233"/>
      <c r="L464" s="233"/>
      <c r="M464" s="233"/>
      <c r="N464" s="233"/>
      <c r="O464" s="233"/>
      <c r="P464" s="233"/>
      <c r="Q464" s="233"/>
      <c r="R464" s="233"/>
      <c r="S464" s="233"/>
      <c r="T464" s="233"/>
      <c r="U464" s="233"/>
      <c r="V464" s="233"/>
      <c r="W464" s="233"/>
      <c r="X464" s="233"/>
      <c r="Y464" s="233"/>
      <c r="Z464" s="233"/>
    </row>
    <row r="465" spans="10:26" s="2033" customFormat="1" ht="21.75" customHeight="1">
      <c r="J465" s="233"/>
      <c r="K465" s="233"/>
      <c r="L465" s="233"/>
      <c r="M465" s="233"/>
      <c r="N465" s="233"/>
      <c r="O465" s="233"/>
      <c r="P465" s="233"/>
      <c r="Q465" s="233"/>
      <c r="R465" s="233"/>
      <c r="S465" s="233"/>
      <c r="T465" s="233"/>
      <c r="U465" s="233"/>
      <c r="V465" s="233"/>
      <c r="W465" s="233"/>
      <c r="X465" s="233"/>
      <c r="Y465" s="233"/>
      <c r="Z465" s="233"/>
    </row>
    <row r="466" spans="10:26" s="2033" customFormat="1" ht="21.75" customHeight="1">
      <c r="J466" s="233"/>
      <c r="K466" s="233"/>
      <c r="L466" s="233"/>
      <c r="M466" s="233"/>
      <c r="N466" s="233"/>
      <c r="O466" s="233"/>
      <c r="P466" s="233"/>
      <c r="Q466" s="233"/>
      <c r="R466" s="233"/>
      <c r="S466" s="233"/>
      <c r="T466" s="233"/>
      <c r="U466" s="233"/>
      <c r="V466" s="233"/>
      <c r="W466" s="233"/>
      <c r="X466" s="233"/>
      <c r="Y466" s="233"/>
      <c r="Z466" s="233"/>
    </row>
    <row r="467" spans="10:26" s="2033" customFormat="1" ht="21.75" customHeight="1">
      <c r="J467" s="233"/>
      <c r="K467" s="233"/>
      <c r="L467" s="233"/>
      <c r="M467" s="233"/>
      <c r="N467" s="233"/>
      <c r="O467" s="233"/>
      <c r="P467" s="233"/>
      <c r="Q467" s="233"/>
      <c r="R467" s="233"/>
      <c r="S467" s="233"/>
      <c r="T467" s="233"/>
      <c r="U467" s="233"/>
      <c r="V467" s="233"/>
      <c r="W467" s="233"/>
      <c r="X467" s="233"/>
      <c r="Y467" s="233"/>
      <c r="Z467" s="233"/>
    </row>
    <row r="468" spans="10:26" s="2033" customFormat="1" ht="21.75" customHeight="1">
      <c r="J468" s="233"/>
      <c r="K468" s="233"/>
      <c r="L468" s="233"/>
      <c r="M468" s="233"/>
      <c r="N468" s="233"/>
      <c r="O468" s="233"/>
      <c r="P468" s="233"/>
      <c r="Q468" s="233"/>
      <c r="R468" s="233"/>
      <c r="S468" s="233"/>
      <c r="T468" s="233"/>
      <c r="U468" s="233"/>
      <c r="V468" s="233"/>
      <c r="W468" s="233"/>
      <c r="X468" s="233"/>
      <c r="Y468" s="233"/>
      <c r="Z468" s="233"/>
    </row>
    <row r="469" spans="10:26" s="2033" customFormat="1" ht="21.75" customHeight="1">
      <c r="J469" s="233"/>
      <c r="K469" s="233"/>
      <c r="L469" s="233"/>
      <c r="M469" s="233"/>
      <c r="N469" s="233"/>
      <c r="O469" s="233"/>
      <c r="P469" s="233"/>
      <c r="Q469" s="233"/>
      <c r="R469" s="233"/>
      <c r="S469" s="233"/>
      <c r="T469" s="233"/>
      <c r="U469" s="233"/>
      <c r="V469" s="233"/>
      <c r="W469" s="233"/>
      <c r="X469" s="233"/>
      <c r="Y469" s="233"/>
      <c r="Z469" s="233"/>
    </row>
    <row r="470" spans="10:26" s="2033" customFormat="1" ht="21.75" customHeight="1">
      <c r="J470" s="233"/>
      <c r="K470" s="233"/>
      <c r="L470" s="233"/>
      <c r="M470" s="233"/>
      <c r="N470" s="233"/>
      <c r="O470" s="233"/>
      <c r="P470" s="233"/>
      <c r="Q470" s="233"/>
      <c r="R470" s="233"/>
      <c r="S470" s="233"/>
      <c r="T470" s="233"/>
      <c r="U470" s="233"/>
      <c r="V470" s="233"/>
      <c r="W470" s="233"/>
      <c r="X470" s="233"/>
      <c r="Y470" s="233"/>
      <c r="Z470" s="233"/>
    </row>
    <row r="471" spans="10:26" s="2033" customFormat="1" ht="21.75" customHeight="1">
      <c r="J471" s="233"/>
      <c r="K471" s="233"/>
      <c r="L471" s="233"/>
      <c r="M471" s="233"/>
      <c r="N471" s="233"/>
      <c r="O471" s="233"/>
      <c r="P471" s="233"/>
      <c r="Q471" s="233"/>
      <c r="R471" s="233"/>
      <c r="S471" s="233"/>
      <c r="T471" s="233"/>
      <c r="U471" s="233"/>
      <c r="V471" s="233"/>
      <c r="W471" s="233"/>
      <c r="X471" s="233"/>
      <c r="Y471" s="233"/>
      <c r="Z471" s="233"/>
    </row>
    <row r="472" spans="10:26" s="2033" customFormat="1" ht="21.75" customHeight="1">
      <c r="J472" s="233"/>
      <c r="K472" s="233"/>
      <c r="L472" s="233"/>
      <c r="M472" s="233"/>
      <c r="N472" s="233"/>
      <c r="O472" s="233"/>
      <c r="P472" s="233"/>
      <c r="Q472" s="233"/>
      <c r="R472" s="233"/>
      <c r="S472" s="233"/>
      <c r="T472" s="233"/>
      <c r="U472" s="233"/>
      <c r="V472" s="233"/>
      <c r="W472" s="233"/>
      <c r="X472" s="233"/>
      <c r="Y472" s="233"/>
      <c r="Z472" s="233"/>
    </row>
    <row r="473" spans="10:26" s="2033" customFormat="1" ht="21.75" customHeight="1">
      <c r="J473" s="233"/>
      <c r="K473" s="233"/>
      <c r="L473" s="233"/>
      <c r="M473" s="233"/>
      <c r="N473" s="233"/>
      <c r="O473" s="233"/>
      <c r="P473" s="233"/>
      <c r="Q473" s="233"/>
      <c r="R473" s="233"/>
      <c r="S473" s="233"/>
      <c r="T473" s="233"/>
      <c r="U473" s="233"/>
      <c r="V473" s="233"/>
      <c r="W473" s="233"/>
      <c r="X473" s="233"/>
      <c r="Y473" s="233"/>
      <c r="Z473" s="233"/>
    </row>
    <row r="474" spans="10:26" s="2033" customFormat="1" ht="21.75" customHeight="1">
      <c r="J474" s="233"/>
      <c r="K474" s="233"/>
      <c r="L474" s="233"/>
      <c r="M474" s="233"/>
      <c r="N474" s="233"/>
      <c r="O474" s="233"/>
      <c r="P474" s="233"/>
      <c r="Q474" s="233"/>
      <c r="R474" s="233"/>
      <c r="S474" s="233"/>
      <c r="T474" s="233"/>
      <c r="U474" s="233"/>
      <c r="V474" s="233"/>
      <c r="W474" s="233"/>
      <c r="X474" s="233"/>
      <c r="Y474" s="233"/>
      <c r="Z474" s="233"/>
    </row>
    <row r="475" spans="10:26" s="2033" customFormat="1" ht="21.75" customHeight="1">
      <c r="J475" s="233"/>
      <c r="K475" s="233"/>
      <c r="L475" s="233"/>
      <c r="M475" s="233"/>
      <c r="N475" s="233"/>
      <c r="O475" s="233"/>
      <c r="P475" s="233"/>
      <c r="Q475" s="233"/>
      <c r="R475" s="233"/>
      <c r="S475" s="233"/>
      <c r="T475" s="233"/>
      <c r="U475" s="233"/>
      <c r="V475" s="233"/>
      <c r="W475" s="233"/>
      <c r="X475" s="233"/>
      <c r="Y475" s="233"/>
      <c r="Z475" s="233"/>
    </row>
    <row r="476" spans="10:26" s="2033" customFormat="1" ht="21.75" customHeight="1">
      <c r="J476" s="233"/>
      <c r="K476" s="233"/>
      <c r="L476" s="233"/>
      <c r="M476" s="233"/>
      <c r="N476" s="233"/>
      <c r="O476" s="233"/>
      <c r="P476" s="233"/>
      <c r="Q476" s="233"/>
      <c r="R476" s="233"/>
      <c r="S476" s="233"/>
      <c r="T476" s="233"/>
      <c r="U476" s="233"/>
      <c r="V476" s="233"/>
      <c r="W476" s="233"/>
      <c r="X476" s="233"/>
      <c r="Y476" s="233"/>
      <c r="Z476" s="233"/>
    </row>
    <row r="477" spans="10:26" s="2033" customFormat="1" ht="21.75" customHeight="1">
      <c r="J477" s="233"/>
      <c r="K477" s="233"/>
      <c r="L477" s="233"/>
      <c r="M477" s="233"/>
      <c r="N477" s="233"/>
      <c r="O477" s="233"/>
      <c r="P477" s="233"/>
      <c r="Q477" s="233"/>
      <c r="R477" s="233"/>
      <c r="S477" s="233"/>
      <c r="T477" s="233"/>
      <c r="U477" s="233"/>
      <c r="V477" s="233"/>
      <c r="W477" s="233"/>
      <c r="X477" s="233"/>
      <c r="Y477" s="233"/>
      <c r="Z477" s="233"/>
    </row>
    <row r="478" spans="10:26" s="2033" customFormat="1" ht="21.75" customHeight="1">
      <c r="J478" s="233"/>
      <c r="K478" s="233"/>
      <c r="L478" s="233"/>
      <c r="M478" s="233"/>
      <c r="N478" s="233"/>
      <c r="O478" s="233"/>
      <c r="P478" s="233"/>
      <c r="Q478" s="233"/>
      <c r="R478" s="233"/>
      <c r="S478" s="233"/>
      <c r="T478" s="233"/>
      <c r="U478" s="233"/>
      <c r="V478" s="233"/>
      <c r="W478" s="233"/>
      <c r="X478" s="233"/>
      <c r="Y478" s="233"/>
      <c r="Z478" s="233"/>
    </row>
    <row r="479" spans="10:26" s="2033" customFormat="1" ht="21.75" customHeight="1">
      <c r="J479" s="233"/>
      <c r="K479" s="233"/>
      <c r="L479" s="233"/>
      <c r="M479" s="233"/>
      <c r="N479" s="233"/>
      <c r="O479" s="233"/>
      <c r="P479" s="233"/>
      <c r="Q479" s="233"/>
      <c r="R479" s="233"/>
      <c r="S479" s="233"/>
      <c r="T479" s="233"/>
      <c r="U479" s="233"/>
      <c r="V479" s="233"/>
      <c r="W479" s="233"/>
      <c r="X479" s="233"/>
      <c r="Y479" s="233"/>
      <c r="Z479" s="233"/>
    </row>
    <row r="480" spans="10:26" s="2033" customFormat="1" ht="21.75" customHeight="1">
      <c r="J480" s="233"/>
      <c r="K480" s="233"/>
      <c r="L480" s="233"/>
      <c r="M480" s="233"/>
      <c r="N480" s="233"/>
      <c r="O480" s="233"/>
      <c r="P480" s="233"/>
      <c r="Q480" s="233"/>
      <c r="R480" s="233"/>
      <c r="S480" s="233"/>
      <c r="T480" s="233"/>
      <c r="U480" s="233"/>
      <c r="V480" s="233"/>
      <c r="W480" s="233"/>
      <c r="X480" s="233"/>
      <c r="Y480" s="233"/>
      <c r="Z480" s="233"/>
    </row>
    <row r="481" spans="10:26" s="2033" customFormat="1" ht="21.75" customHeight="1">
      <c r="J481" s="233"/>
      <c r="K481" s="233"/>
      <c r="L481" s="233"/>
      <c r="M481" s="233"/>
      <c r="N481" s="233"/>
      <c r="O481" s="233"/>
      <c r="P481" s="233"/>
      <c r="Q481" s="233"/>
      <c r="R481" s="233"/>
      <c r="S481" s="233"/>
      <c r="T481" s="233"/>
      <c r="U481" s="233"/>
      <c r="V481" s="233"/>
      <c r="W481" s="233"/>
      <c r="X481" s="233"/>
      <c r="Y481" s="233"/>
      <c r="Z481" s="233"/>
    </row>
    <row r="482" spans="10:26" s="2033" customFormat="1" ht="21.75" customHeight="1">
      <c r="J482" s="233"/>
      <c r="K482" s="233"/>
      <c r="L482" s="233"/>
      <c r="M482" s="233"/>
      <c r="N482" s="233"/>
      <c r="O482" s="233"/>
      <c r="P482" s="233"/>
      <c r="Q482" s="233"/>
      <c r="R482" s="233"/>
      <c r="S482" s="233"/>
      <c r="T482" s="233"/>
      <c r="U482" s="233"/>
      <c r="V482" s="233"/>
      <c r="W482" s="233"/>
      <c r="X482" s="233"/>
      <c r="Y482" s="233"/>
      <c r="Z482" s="233"/>
    </row>
    <row r="483" spans="10:26" s="2033" customFormat="1" ht="21.75" customHeight="1">
      <c r="J483" s="233"/>
      <c r="K483" s="233"/>
      <c r="L483" s="233"/>
      <c r="M483" s="233"/>
      <c r="N483" s="233"/>
      <c r="O483" s="233"/>
      <c r="P483" s="233"/>
      <c r="Q483" s="233"/>
      <c r="R483" s="233"/>
      <c r="S483" s="233"/>
      <c r="T483" s="233"/>
      <c r="U483" s="233"/>
      <c r="V483" s="233"/>
      <c r="W483" s="233"/>
      <c r="X483" s="233"/>
      <c r="Y483" s="233"/>
      <c r="Z483" s="233"/>
    </row>
    <row r="484" spans="10:26" s="2033" customFormat="1" ht="21.75" customHeight="1">
      <c r="J484" s="233"/>
      <c r="K484" s="233"/>
      <c r="L484" s="233"/>
      <c r="M484" s="233"/>
      <c r="N484" s="233"/>
      <c r="O484" s="233"/>
      <c r="P484" s="233"/>
      <c r="Q484" s="233"/>
      <c r="R484" s="233"/>
      <c r="S484" s="233"/>
      <c r="T484" s="233"/>
      <c r="U484" s="233"/>
      <c r="V484" s="233"/>
      <c r="W484" s="233"/>
      <c r="X484" s="233"/>
      <c r="Y484" s="233"/>
      <c r="Z484" s="233"/>
    </row>
    <row r="485" spans="10:26" s="2033" customFormat="1" ht="21.75" customHeight="1">
      <c r="J485" s="233"/>
      <c r="K485" s="233"/>
      <c r="L485" s="233"/>
      <c r="M485" s="233"/>
      <c r="N485" s="233"/>
      <c r="O485" s="233"/>
      <c r="P485" s="233"/>
      <c r="Q485" s="233"/>
      <c r="R485" s="233"/>
      <c r="S485" s="233"/>
      <c r="T485" s="233"/>
      <c r="U485" s="233"/>
      <c r="V485" s="233"/>
      <c r="W485" s="233"/>
      <c r="X485" s="233"/>
      <c r="Y485" s="233"/>
      <c r="Z485" s="233"/>
    </row>
    <row r="486" spans="10:26" s="2033" customFormat="1" ht="21.75" customHeight="1">
      <c r="J486" s="233"/>
      <c r="K486" s="233"/>
      <c r="L486" s="233"/>
      <c r="M486" s="233"/>
      <c r="N486" s="233"/>
      <c r="O486" s="233"/>
      <c r="P486" s="233"/>
      <c r="Q486" s="233"/>
      <c r="R486" s="233"/>
      <c r="S486" s="233"/>
      <c r="T486" s="233"/>
      <c r="U486" s="233"/>
      <c r="V486" s="233"/>
      <c r="W486" s="233"/>
      <c r="X486" s="233"/>
      <c r="Y486" s="233"/>
      <c r="Z486" s="233"/>
    </row>
    <row r="487" spans="10:26" s="2033" customFormat="1" ht="21.75" customHeight="1">
      <c r="J487" s="233"/>
      <c r="K487" s="233"/>
      <c r="L487" s="233"/>
      <c r="M487" s="233"/>
      <c r="N487" s="233"/>
      <c r="O487" s="233"/>
      <c r="P487" s="233"/>
      <c r="Q487" s="233"/>
      <c r="R487" s="233"/>
      <c r="S487" s="233"/>
      <c r="T487" s="233"/>
      <c r="U487" s="233"/>
      <c r="V487" s="233"/>
      <c r="W487" s="233"/>
      <c r="X487" s="233"/>
      <c r="Y487" s="233"/>
      <c r="Z487" s="233"/>
    </row>
    <row r="488" spans="10:26" s="2033" customFormat="1" ht="21.75" customHeight="1">
      <c r="J488" s="233"/>
      <c r="K488" s="233"/>
      <c r="L488" s="233"/>
      <c r="M488" s="233"/>
      <c r="N488" s="233"/>
      <c r="O488" s="233"/>
      <c r="P488" s="233"/>
      <c r="Q488" s="233"/>
      <c r="R488" s="233"/>
      <c r="S488" s="233"/>
      <c r="T488" s="233"/>
      <c r="U488" s="233"/>
      <c r="V488" s="233"/>
      <c r="W488" s="233"/>
      <c r="X488" s="233"/>
      <c r="Y488" s="233"/>
      <c r="Z488" s="233"/>
    </row>
    <row r="489" spans="10:26" s="2033" customFormat="1" ht="21.75" customHeight="1">
      <c r="J489" s="233"/>
      <c r="K489" s="233"/>
      <c r="L489" s="233"/>
      <c r="M489" s="233"/>
      <c r="N489" s="233"/>
      <c r="O489" s="233"/>
      <c r="P489" s="233"/>
      <c r="Q489" s="233"/>
      <c r="R489" s="233"/>
      <c r="S489" s="233"/>
      <c r="T489" s="233"/>
      <c r="U489" s="233"/>
      <c r="V489" s="233"/>
      <c r="W489" s="233"/>
      <c r="X489" s="233"/>
      <c r="Y489" s="233"/>
      <c r="Z489" s="233"/>
    </row>
    <row r="490" spans="10:26" s="2033" customFormat="1" ht="21.75" customHeight="1">
      <c r="J490" s="233"/>
      <c r="K490" s="233"/>
      <c r="L490" s="233"/>
      <c r="M490" s="233"/>
      <c r="N490" s="233"/>
      <c r="O490" s="233"/>
      <c r="P490" s="233"/>
      <c r="Q490" s="233"/>
      <c r="R490" s="233"/>
      <c r="S490" s="233"/>
      <c r="T490" s="233"/>
      <c r="U490" s="233"/>
      <c r="V490" s="233"/>
      <c r="W490" s="233"/>
      <c r="X490" s="233"/>
      <c r="Y490" s="233"/>
      <c r="Z490" s="233"/>
    </row>
    <row r="491" spans="10:26" s="2033" customFormat="1" ht="21.75" customHeight="1">
      <c r="J491" s="233"/>
      <c r="K491" s="233"/>
      <c r="L491" s="233"/>
      <c r="M491" s="233"/>
      <c r="N491" s="233"/>
      <c r="O491" s="233"/>
      <c r="P491" s="233"/>
      <c r="Q491" s="233"/>
      <c r="R491" s="233"/>
      <c r="S491" s="233"/>
      <c r="T491" s="233"/>
      <c r="U491" s="233"/>
      <c r="V491" s="233"/>
      <c r="W491" s="233"/>
      <c r="X491" s="233"/>
      <c r="Y491" s="233"/>
      <c r="Z491" s="233"/>
    </row>
    <row r="492" spans="10:26" s="2033" customFormat="1" ht="21.75" customHeight="1">
      <c r="J492" s="233"/>
      <c r="K492" s="233"/>
      <c r="L492" s="233"/>
      <c r="M492" s="233"/>
      <c r="N492" s="233"/>
      <c r="O492" s="233"/>
      <c r="P492" s="233"/>
      <c r="Q492" s="233"/>
      <c r="R492" s="233"/>
      <c r="S492" s="233"/>
      <c r="T492" s="233"/>
      <c r="U492" s="233"/>
      <c r="V492" s="233"/>
      <c r="W492" s="233"/>
      <c r="X492" s="233"/>
      <c r="Y492" s="233"/>
      <c r="Z492" s="233"/>
    </row>
    <row r="493" spans="10:26" s="2033" customFormat="1" ht="21.75" customHeight="1">
      <c r="J493" s="233"/>
      <c r="K493" s="233"/>
      <c r="L493" s="233"/>
      <c r="M493" s="233"/>
      <c r="N493" s="233"/>
      <c r="O493" s="233"/>
      <c r="P493" s="233"/>
      <c r="Q493" s="233"/>
      <c r="R493" s="233"/>
      <c r="S493" s="233"/>
      <c r="T493" s="233"/>
      <c r="U493" s="233"/>
      <c r="V493" s="233"/>
      <c r="W493" s="233"/>
      <c r="X493" s="233"/>
      <c r="Y493" s="233"/>
      <c r="Z493" s="233"/>
    </row>
    <row r="494" spans="10:26" s="2033" customFormat="1" ht="21.75" customHeight="1">
      <c r="J494" s="233"/>
      <c r="K494" s="233"/>
      <c r="L494" s="233"/>
      <c r="M494" s="233"/>
      <c r="N494" s="233"/>
      <c r="O494" s="233"/>
      <c r="P494" s="233"/>
      <c r="Q494" s="233"/>
      <c r="R494" s="233"/>
      <c r="S494" s="233"/>
      <c r="T494" s="233"/>
      <c r="U494" s="233"/>
      <c r="V494" s="233"/>
      <c r="W494" s="233"/>
      <c r="X494" s="233"/>
      <c r="Y494" s="233"/>
      <c r="Z494" s="233"/>
    </row>
    <row r="495" spans="10:26" s="2033" customFormat="1" ht="21.75" customHeight="1">
      <c r="J495" s="233"/>
      <c r="K495" s="233"/>
      <c r="L495" s="233"/>
      <c r="M495" s="233"/>
      <c r="N495" s="233"/>
      <c r="O495" s="233"/>
      <c r="P495" s="233"/>
      <c r="Q495" s="233"/>
      <c r="R495" s="233"/>
      <c r="S495" s="233"/>
      <c r="T495" s="233"/>
      <c r="U495" s="233"/>
      <c r="V495" s="233"/>
      <c r="W495" s="233"/>
      <c r="X495" s="233"/>
      <c r="Y495" s="233"/>
      <c r="Z495" s="233"/>
    </row>
    <row r="496" spans="10:26" s="2033" customFormat="1" ht="21.75" customHeight="1">
      <c r="J496" s="233"/>
      <c r="K496" s="233"/>
      <c r="L496" s="233"/>
      <c r="M496" s="233"/>
      <c r="N496" s="233"/>
      <c r="O496" s="233"/>
      <c r="P496" s="233"/>
      <c r="Q496" s="233"/>
      <c r="R496" s="233"/>
      <c r="S496" s="233"/>
      <c r="T496" s="233"/>
      <c r="U496" s="233"/>
      <c r="V496" s="233"/>
      <c r="W496" s="233"/>
      <c r="X496" s="233"/>
      <c r="Y496" s="233"/>
      <c r="Z496" s="233"/>
    </row>
    <row r="497" spans="10:26" s="2033" customFormat="1" ht="21.75" customHeight="1">
      <c r="J497" s="233"/>
      <c r="K497" s="233"/>
      <c r="L497" s="233"/>
      <c r="M497" s="233"/>
      <c r="N497" s="233"/>
      <c r="O497" s="233"/>
      <c r="P497" s="233"/>
      <c r="Q497" s="233"/>
      <c r="R497" s="233"/>
      <c r="S497" s="233"/>
      <c r="T497" s="233"/>
      <c r="U497" s="233"/>
      <c r="V497" s="233"/>
      <c r="W497" s="233"/>
      <c r="X497" s="233"/>
      <c r="Y497" s="233"/>
      <c r="Z497" s="233"/>
    </row>
    <row r="498" spans="10:26" s="2033" customFormat="1" ht="21.75" customHeight="1">
      <c r="J498" s="233"/>
      <c r="K498" s="233"/>
      <c r="L498" s="233"/>
      <c r="M498" s="233"/>
      <c r="N498" s="233"/>
      <c r="O498" s="233"/>
      <c r="P498" s="233"/>
      <c r="Q498" s="233"/>
      <c r="R498" s="233"/>
      <c r="S498" s="233"/>
      <c r="T498" s="233"/>
      <c r="U498" s="233"/>
      <c r="V498" s="233"/>
      <c r="W498" s="233"/>
      <c r="X498" s="233"/>
      <c r="Y498" s="233"/>
      <c r="Z498" s="233"/>
    </row>
    <row r="499" spans="10:26" s="2033" customFormat="1" ht="21.75" customHeight="1">
      <c r="J499" s="233"/>
      <c r="K499" s="233"/>
      <c r="L499" s="233"/>
      <c r="M499" s="233"/>
      <c r="N499" s="233"/>
      <c r="O499" s="233"/>
      <c r="P499" s="233"/>
      <c r="Q499" s="233"/>
      <c r="R499" s="233"/>
      <c r="S499" s="233"/>
      <c r="T499" s="233"/>
      <c r="U499" s="233"/>
      <c r="V499" s="233"/>
      <c r="W499" s="233"/>
      <c r="X499" s="233"/>
      <c r="Y499" s="233"/>
      <c r="Z499" s="233"/>
    </row>
    <row r="500" spans="10:26" s="2033" customFormat="1" ht="21.75" customHeight="1">
      <c r="J500" s="233"/>
      <c r="K500" s="233"/>
      <c r="L500" s="233"/>
      <c r="M500" s="233"/>
      <c r="N500" s="233"/>
      <c r="O500" s="233"/>
      <c r="P500" s="233"/>
      <c r="Q500" s="233"/>
      <c r="R500" s="233"/>
      <c r="S500" s="233"/>
      <c r="T500" s="233"/>
      <c r="U500" s="233"/>
      <c r="V500" s="233"/>
      <c r="W500" s="233"/>
      <c r="X500" s="233"/>
      <c r="Y500" s="233"/>
      <c r="Z500" s="233"/>
    </row>
    <row r="501" spans="10:26" s="2033" customFormat="1" ht="21.75" customHeight="1">
      <c r="J501" s="233"/>
      <c r="K501" s="233"/>
      <c r="L501" s="233"/>
      <c r="M501" s="233"/>
      <c r="N501" s="233"/>
      <c r="O501" s="233"/>
      <c r="P501" s="233"/>
      <c r="Q501" s="233"/>
      <c r="R501" s="233"/>
      <c r="S501" s="233"/>
      <c r="T501" s="233"/>
      <c r="U501" s="233"/>
      <c r="V501" s="233"/>
      <c r="W501" s="233"/>
      <c r="X501" s="233"/>
      <c r="Y501" s="233"/>
      <c r="Z501" s="233"/>
    </row>
    <row r="502" spans="10:26" s="2033" customFormat="1" ht="21.75" customHeight="1">
      <c r="J502" s="233"/>
      <c r="K502" s="233"/>
      <c r="L502" s="233"/>
      <c r="M502" s="233"/>
      <c r="N502" s="233"/>
      <c r="O502" s="233"/>
      <c r="P502" s="233"/>
      <c r="Q502" s="233"/>
      <c r="R502" s="233"/>
      <c r="S502" s="233"/>
      <c r="T502" s="233"/>
      <c r="U502" s="233"/>
      <c r="V502" s="233"/>
      <c r="W502" s="233"/>
      <c r="X502" s="233"/>
      <c r="Y502" s="233"/>
      <c r="Z502" s="233"/>
    </row>
    <row r="503" spans="10:26" s="2033" customFormat="1" ht="21.75" customHeight="1">
      <c r="J503" s="233"/>
      <c r="K503" s="233"/>
      <c r="L503" s="233"/>
      <c r="M503" s="233"/>
      <c r="N503" s="233"/>
      <c r="O503" s="233"/>
      <c r="P503" s="233"/>
      <c r="Q503" s="233"/>
      <c r="R503" s="233"/>
      <c r="S503" s="233"/>
      <c r="T503" s="233"/>
      <c r="U503" s="233"/>
      <c r="V503" s="233"/>
      <c r="W503" s="233"/>
      <c r="X503" s="233"/>
      <c r="Y503" s="233"/>
      <c r="Z503" s="233"/>
    </row>
    <row r="504" spans="10:26" s="2033" customFormat="1" ht="21.75" customHeight="1">
      <c r="J504" s="233"/>
      <c r="K504" s="233"/>
      <c r="L504" s="233"/>
      <c r="M504" s="233"/>
      <c r="N504" s="233"/>
      <c r="O504" s="233"/>
      <c r="P504" s="233"/>
      <c r="Q504" s="233"/>
      <c r="R504" s="233"/>
      <c r="S504" s="233"/>
      <c r="T504" s="233"/>
      <c r="U504" s="233"/>
      <c r="V504" s="233"/>
      <c r="W504" s="233"/>
      <c r="X504" s="233"/>
      <c r="Y504" s="233"/>
      <c r="Z504" s="233"/>
    </row>
    <row r="505" spans="10:26" s="2033" customFormat="1" ht="21.75" customHeight="1">
      <c r="J505" s="233"/>
      <c r="K505" s="233"/>
      <c r="L505" s="233"/>
      <c r="M505" s="233"/>
      <c r="N505" s="233"/>
      <c r="O505" s="233"/>
      <c r="P505" s="233"/>
      <c r="Q505" s="233"/>
      <c r="R505" s="233"/>
      <c r="S505" s="233"/>
      <c r="T505" s="233"/>
      <c r="U505" s="233"/>
      <c r="V505" s="233"/>
      <c r="W505" s="233"/>
      <c r="X505" s="233"/>
      <c r="Y505" s="233"/>
      <c r="Z505" s="233"/>
    </row>
    <row r="506" spans="10:26" s="2033" customFormat="1" ht="21.75" customHeight="1">
      <c r="J506" s="233"/>
      <c r="K506" s="233"/>
      <c r="L506" s="233"/>
      <c r="M506" s="233"/>
      <c r="N506" s="233"/>
      <c r="O506" s="233"/>
      <c r="P506" s="233"/>
      <c r="Q506" s="233"/>
      <c r="R506" s="233"/>
      <c r="S506" s="233"/>
      <c r="T506" s="233"/>
      <c r="U506" s="233"/>
      <c r="V506" s="233"/>
      <c r="W506" s="233"/>
      <c r="X506" s="233"/>
      <c r="Y506" s="233"/>
      <c r="Z506" s="233"/>
    </row>
    <row r="507" spans="10:26" s="2033" customFormat="1" ht="21.75" customHeight="1">
      <c r="J507" s="233"/>
      <c r="K507" s="233"/>
      <c r="L507" s="233"/>
      <c r="M507" s="233"/>
      <c r="N507" s="233"/>
      <c r="O507" s="233"/>
      <c r="P507" s="233"/>
      <c r="Q507" s="233"/>
      <c r="R507" s="233"/>
      <c r="S507" s="233"/>
      <c r="T507" s="233"/>
      <c r="U507" s="233"/>
      <c r="V507" s="233"/>
      <c r="W507" s="233"/>
      <c r="X507" s="233"/>
      <c r="Y507" s="233"/>
      <c r="Z507" s="233"/>
    </row>
    <row r="508" spans="10:26" s="2033" customFormat="1" ht="21.75" customHeight="1">
      <c r="J508" s="233"/>
      <c r="K508" s="233"/>
      <c r="L508" s="233"/>
      <c r="M508" s="233"/>
      <c r="N508" s="233"/>
      <c r="O508" s="233"/>
      <c r="P508" s="233"/>
      <c r="Q508" s="233"/>
      <c r="R508" s="233"/>
      <c r="S508" s="233"/>
      <c r="T508" s="233"/>
      <c r="U508" s="233"/>
      <c r="V508" s="233"/>
      <c r="W508" s="233"/>
      <c r="X508" s="233"/>
      <c r="Y508" s="233"/>
      <c r="Z508" s="233"/>
    </row>
    <row r="509" spans="10:26" s="2033" customFormat="1" ht="21.75" customHeight="1">
      <c r="J509" s="233"/>
      <c r="K509" s="233"/>
      <c r="L509" s="233"/>
      <c r="M509" s="233"/>
      <c r="N509" s="233"/>
      <c r="O509" s="233"/>
      <c r="P509" s="233"/>
      <c r="Q509" s="233"/>
      <c r="R509" s="233"/>
      <c r="S509" s="233"/>
      <c r="T509" s="233"/>
      <c r="U509" s="233"/>
      <c r="V509" s="233"/>
      <c r="W509" s="233"/>
      <c r="X509" s="233"/>
      <c r="Y509" s="233"/>
      <c r="Z509" s="233"/>
    </row>
    <row r="510" spans="10:26" s="2033" customFormat="1" ht="21.75" customHeight="1">
      <c r="J510" s="233"/>
      <c r="K510" s="233"/>
      <c r="L510" s="233"/>
      <c r="M510" s="233"/>
      <c r="N510" s="233"/>
      <c r="O510" s="233"/>
      <c r="P510" s="233"/>
      <c r="Q510" s="233"/>
      <c r="R510" s="233"/>
      <c r="S510" s="233"/>
      <c r="T510" s="233"/>
      <c r="U510" s="233"/>
      <c r="V510" s="233"/>
      <c r="W510" s="233"/>
      <c r="X510" s="233"/>
      <c r="Y510" s="233"/>
      <c r="Z510" s="233"/>
    </row>
    <row r="511" spans="10:26" s="2033" customFormat="1" ht="21.75" customHeight="1">
      <c r="J511" s="233"/>
      <c r="K511" s="233"/>
      <c r="L511" s="233"/>
      <c r="M511" s="233"/>
      <c r="N511" s="233"/>
      <c r="O511" s="233"/>
      <c r="P511" s="233"/>
      <c r="Q511" s="233"/>
      <c r="R511" s="233"/>
      <c r="S511" s="233"/>
      <c r="T511" s="233"/>
      <c r="U511" s="233"/>
      <c r="V511" s="233"/>
      <c r="W511" s="233"/>
      <c r="X511" s="233"/>
      <c r="Y511" s="233"/>
      <c r="Z511" s="233"/>
    </row>
    <row r="512" spans="10:26" s="2033" customFormat="1" ht="21.75" customHeight="1">
      <c r="J512" s="233"/>
      <c r="K512" s="233"/>
      <c r="L512" s="233"/>
      <c r="M512" s="233"/>
      <c r="N512" s="233"/>
      <c r="O512" s="233"/>
      <c r="P512" s="233"/>
      <c r="Q512" s="233"/>
      <c r="R512" s="233"/>
      <c r="S512" s="233"/>
      <c r="T512" s="233"/>
      <c r="U512" s="233"/>
      <c r="V512" s="233"/>
      <c r="W512" s="233"/>
      <c r="X512" s="233"/>
      <c r="Y512" s="233"/>
      <c r="Z512" s="233"/>
    </row>
  </sheetData>
  <sheetProtection password="C66D" sheet="1" objects="1" scenarios="1" formatCells="0" formatColumns="0" formatRows="0"/>
  <mergeCells count="11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A120:C120"/>
    <mergeCell ref="D120:I120"/>
    <mergeCell ref="A121:C121"/>
    <mergeCell ref="D121:I121"/>
    <mergeCell ref="A122:C122"/>
    <mergeCell ref="D122:I122"/>
    <mergeCell ref="A123:C123"/>
    <mergeCell ref="D123:I123"/>
    <mergeCell ref="A124:C124"/>
    <mergeCell ref="D124:I124"/>
    <mergeCell ref="A101:B101"/>
    <mergeCell ref="E103:F103"/>
    <mergeCell ref="E113:H113"/>
    <mergeCell ref="A115:I115"/>
    <mergeCell ref="D116:E116"/>
    <mergeCell ref="F116:G116"/>
    <mergeCell ref="H116:I116"/>
    <mergeCell ref="A119:C119"/>
    <mergeCell ref="D119:E119"/>
    <mergeCell ref="F119:G119"/>
    <mergeCell ref="H119:I119"/>
    <mergeCell ref="C116:C117"/>
    <mergeCell ref="E109:F110"/>
    <mergeCell ref="E107:F108"/>
    <mergeCell ref="E111:F112"/>
    <mergeCell ref="E101:F102"/>
    <mergeCell ref="E76:H76"/>
    <mergeCell ref="E78:H78"/>
    <mergeCell ref="A83:H83"/>
    <mergeCell ref="A84:B84"/>
    <mergeCell ref="E91:G91"/>
    <mergeCell ref="E92:H92"/>
    <mergeCell ref="E93:H93"/>
    <mergeCell ref="E94:H94"/>
    <mergeCell ref="A100:D100"/>
    <mergeCell ref="E100:H100"/>
    <mergeCell ref="N56:O56"/>
    <mergeCell ref="B57:C57"/>
    <mergeCell ref="B58:C58"/>
    <mergeCell ref="A59:C59"/>
    <mergeCell ref="A61:E61"/>
    <mergeCell ref="K61:L61"/>
    <mergeCell ref="A62:B62"/>
    <mergeCell ref="A70:H70"/>
    <mergeCell ref="A71:B71"/>
    <mergeCell ref="J57:J58"/>
    <mergeCell ref="J59:J60"/>
    <mergeCell ref="J63:J69"/>
    <mergeCell ref="K57:K58"/>
    <mergeCell ref="K59:K60"/>
    <mergeCell ref="B52:C52"/>
    <mergeCell ref="K52:L52"/>
    <mergeCell ref="B53:C53"/>
    <mergeCell ref="K53:L53"/>
    <mergeCell ref="B54:C54"/>
    <mergeCell ref="K54:L54"/>
    <mergeCell ref="A55:C55"/>
    <mergeCell ref="K55:L55"/>
    <mergeCell ref="A56:C56"/>
    <mergeCell ref="K56:L56"/>
    <mergeCell ref="A48:C48"/>
    <mergeCell ref="K48:L48"/>
    <mergeCell ref="M48:O48"/>
    <mergeCell ref="B49:C49"/>
    <mergeCell ref="K49:L49"/>
    <mergeCell ref="M49:O49"/>
    <mergeCell ref="B50:C50"/>
    <mergeCell ref="J50:O50"/>
    <mergeCell ref="B51:C51"/>
    <mergeCell ref="K51:L51"/>
    <mergeCell ref="G49:G51"/>
    <mergeCell ref="A2:I2"/>
    <mergeCell ref="A3:I3"/>
    <mergeCell ref="E4:I4"/>
    <mergeCell ref="A45:C45"/>
    <mergeCell ref="J45:O45"/>
    <mergeCell ref="A46:G46"/>
    <mergeCell ref="K46:L46"/>
    <mergeCell ref="M46:O46"/>
    <mergeCell ref="K47:L47"/>
    <mergeCell ref="M47:O47"/>
    <mergeCell ref="C8:C9"/>
    <mergeCell ref="C10:C11"/>
    <mergeCell ref="C12:C13"/>
    <mergeCell ref="C14:C16"/>
    <mergeCell ref="D5:D7"/>
    <mergeCell ref="D8:D9"/>
    <mergeCell ref="D10:D11"/>
    <mergeCell ref="D12:D13"/>
    <mergeCell ref="D14:D16"/>
  </mergeCells>
  <phoneticPr fontId="225" type="noConversion"/>
  <conditionalFormatting sqref="E36">
    <cfRule type="expression" dxfId="157" priority="1" stopIfTrue="1">
      <formula>$D$36="同一抵押权人同一抵押物续贷"</formula>
    </cfRule>
  </conditionalFormatting>
  <conditionalFormatting sqref="C90">
    <cfRule type="expression" dxfId="156" priority="3" stopIfTrue="1">
      <formula>$H$88&lt;&gt;"仅含出让金"</formula>
    </cfRule>
  </conditionalFormatting>
  <conditionalFormatting sqref="C91">
    <cfRule type="expression" dxfId="155" priority="2" stopIfTrue="1">
      <formula>$H$91="由企业提供"</formula>
    </cfRule>
  </conditionalFormatting>
  <conditionalFormatting sqref="C5:C7">
    <cfRule type="cellIs" dxfId="154" priority="21" stopIfTrue="1" operator="equal">
      <formula>25</formula>
    </cfRule>
  </conditionalFormatting>
  <conditionalFormatting sqref="C8:C9">
    <cfRule type="cellIs" dxfId="153" priority="19" stopIfTrue="1" operator="equal">
      <formula>15</formula>
    </cfRule>
  </conditionalFormatting>
  <conditionalFormatting sqref="C14:C16">
    <cfRule type="cellIs" dxfId="152" priority="13" stopIfTrue="1" operator="equal">
      <formula>30</formula>
    </cfRule>
  </conditionalFormatting>
  <conditionalFormatting sqref="D5:D7">
    <cfRule type="cellIs" dxfId="151" priority="10" stopIfTrue="1" operator="equal">
      <formula>25</formula>
    </cfRule>
  </conditionalFormatting>
  <conditionalFormatting sqref="D8:D9">
    <cfRule type="cellIs" dxfId="150" priority="9" stopIfTrue="1" operator="equal">
      <formula>15</formula>
    </cfRule>
  </conditionalFormatting>
  <conditionalFormatting sqref="D14:D16">
    <cfRule type="cellIs" dxfId="149" priority="6" stopIfTrue="1" operator="equal">
      <formula>30</formula>
    </cfRule>
  </conditionalFormatting>
  <conditionalFormatting sqref="C10:D13">
    <cfRule type="cellIs" dxfId="148" priority="8" stopIfTrue="1" operator="equal">
      <formula>15</formula>
    </cfRule>
  </conditionalFormatting>
  <dataValidations disablePrompts="1" count="22">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"100%,80%,60%,64%"</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"非个人房产,个人住宅,个人非住宅"</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263888888888902" right="0.43263888888888902" top="0.35416666666666702" bottom="0.156944444444444" header="0.31458333333333299" footer="0.31458333333333299"/>
  <pageSetup paperSize="9" scale="82" orientation="portrait" r:id="rId1"/>
  <rowBreaks count="3" manualBreakCount="3">
    <brk id="43" max="8" man="1"/>
    <brk id="97" max="8" man="1"/>
    <brk id="142" max="8"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6" sqref="C6"/>
    </sheetView>
  </sheetViews>
  <sheetFormatPr defaultColWidth="8.375" defaultRowHeight="12.75"/>
  <cols>
    <col min="1" max="1" width="10.375" style="137" customWidth="1"/>
    <col min="2" max="2" width="29.25" style="138" customWidth="1"/>
    <col min="3" max="3" width="12.125" style="138" customWidth="1"/>
    <col min="4" max="5" width="11.25" style="139" customWidth="1"/>
    <col min="6" max="6" width="9.5" style="138" customWidth="1"/>
    <col min="7" max="7" width="31.875" style="138" customWidth="1"/>
    <col min="8" max="254" width="9" style="138" customWidth="1"/>
    <col min="255" max="16384" width="8.375" style="138"/>
  </cols>
  <sheetData>
    <row r="1" spans="1:9" s="132" customFormat="1" ht="20.25">
      <c r="A1" s="140" t="s">
        <v>894</v>
      </c>
      <c r="B1" s="2017"/>
      <c r="C1" s="142"/>
      <c r="D1" s="142"/>
      <c r="E1" s="142"/>
      <c r="F1" s="142"/>
      <c r="G1" s="2019">
        <f>MATCH(B1,'数据-取费表'!A6:A16,0)+5</f>
        <v>10</v>
      </c>
    </row>
    <row r="2" spans="1:9" s="132" customFormat="1" ht="18" customHeight="1">
      <c r="A2" s="144" t="s">
        <v>895</v>
      </c>
      <c r="B2" s="145">
        <f ca="1">IF(D2="——",C52,C52-E2)</f>
        <v>80600</v>
      </c>
      <c r="C2" s="143" t="s">
        <v>896</v>
      </c>
      <c r="D2" s="2020" t="s">
        <v>124</v>
      </c>
      <c r="E2" s="2021" t="e">
        <f ca="1">SUMIF(INDIRECT("'"&amp;G2&amp;"'"&amp;"!A:A"),"承租人权益价值",INDIRECT("'"&amp;G2&amp;"'"&amp;"!c:c"))</f>
        <v>#REF!</v>
      </c>
      <c r="F2" s="2022" t="s">
        <v>896</v>
      </c>
      <c r="G2" s="2023"/>
    </row>
    <row r="3" spans="1:9" s="132" customFormat="1" ht="18" customHeight="1">
      <c r="A3" s="147" t="s">
        <v>897</v>
      </c>
      <c r="B3" s="148">
        <f ca="1">ROUND(B2*10000/(IF(B1="",'数据-汇总表'!E3,INDIRECT("'数据-取费表'!k"&amp;$G$1))),0)</f>
        <v>8152</v>
      </c>
      <c r="C3" s="143" t="s">
        <v>898</v>
      </c>
      <c r="D3" s="143"/>
      <c r="E3" s="143"/>
      <c r="F3" s="143"/>
      <c r="G3" s="143"/>
    </row>
    <row r="4" spans="1:9" s="133" customFormat="1" ht="15.75">
      <c r="A4" s="149" t="s">
        <v>899</v>
      </c>
      <c r="B4" s="150"/>
      <c r="C4" s="150"/>
      <c r="D4" s="150"/>
      <c r="E4" s="150"/>
      <c r="F4" s="150"/>
      <c r="G4" s="151"/>
    </row>
    <row r="5" spans="1:9" s="134" customFormat="1" ht="13.5" customHeight="1">
      <c r="A5" s="152" t="s">
        <v>900</v>
      </c>
      <c r="B5" s="153" t="s">
        <v>901</v>
      </c>
      <c r="C5" s="154">
        <f ca="1">C6+C7+C8</f>
        <v>25445</v>
      </c>
      <c r="D5" s="154" t="s">
        <v>902</v>
      </c>
      <c r="E5" s="155" t="s">
        <v>903</v>
      </c>
      <c r="F5" s="155" t="s">
        <v>801</v>
      </c>
      <c r="G5" s="156"/>
    </row>
    <row r="6" spans="1:9" s="134" customFormat="1" ht="13.5" customHeight="1">
      <c r="A6" s="157" t="s">
        <v>904</v>
      </c>
      <c r="B6" s="158" t="s">
        <v>905</v>
      </c>
      <c r="C6" s="159">
        <f>'土地比较法-商业'!B2</f>
        <v>23828</v>
      </c>
      <c r="D6" s="160"/>
      <c r="E6" s="161"/>
      <c r="F6" s="161"/>
      <c r="G6" s="162"/>
    </row>
    <row r="7" spans="1:9" s="134" customFormat="1" ht="13.5" customHeight="1">
      <c r="A7" s="157" t="s">
        <v>906</v>
      </c>
      <c r="B7" s="158" t="s">
        <v>907</v>
      </c>
      <c r="C7" s="163">
        <f>ROUND(C6*F7,0)</f>
        <v>727</v>
      </c>
      <c r="D7" s="163"/>
      <c r="E7" s="161"/>
      <c r="F7" s="164">
        <f>'数据-取费表'!B48+'数据-取费表'!B49</f>
        <v>3.0499999999999999E-2</v>
      </c>
      <c r="G7" s="162"/>
    </row>
    <row r="8" spans="1:9" s="135" customFormat="1">
      <c r="A8" s="157" t="s">
        <v>908</v>
      </c>
      <c r="B8" s="158" t="s">
        <v>909</v>
      </c>
      <c r="C8" s="163">
        <f ca="1">IF(G8="已包含在土地购买价格中","0",IF(B1="",'数据-取费表'!B29,IF(G9="全部缴纳",C9+C10,H9)))</f>
        <v>890</v>
      </c>
      <c r="D8" s="165"/>
      <c r="E8" s="163"/>
      <c r="F8" s="164"/>
      <c r="G8" s="2024" t="s">
        <v>3356</v>
      </c>
    </row>
    <row r="9" spans="1:9" s="134" customFormat="1" ht="13.5" customHeight="1">
      <c r="A9" s="167" t="s">
        <v>910</v>
      </c>
      <c r="B9" s="168" t="s">
        <v>911</v>
      </c>
      <c r="C9" s="169">
        <f ca="1">ROUND(D9*E9/10000,0)</f>
        <v>0</v>
      </c>
      <c r="D9" s="170">
        <f ca="1">IF(B1="",'数据-汇总表'!E5,IF(INDIRECT("'数据-取费表'!c"&amp;$G$1)="住宅",INDIRECT("'数据-取费表'!k"&amp;$G$1),0))</f>
        <v>0</v>
      </c>
      <c r="E9" s="169">
        <f>'数据-取费表'!B27</f>
        <v>50</v>
      </c>
      <c r="F9" s="164"/>
      <c r="G9" s="2028" t="s">
        <v>3357</v>
      </c>
      <c r="H9" s="2029"/>
      <c r="I9" s="2030" t="s">
        <v>912</v>
      </c>
    </row>
    <row r="10" spans="1:9" s="134" customFormat="1" ht="13.5" customHeight="1">
      <c r="A10" s="167" t="s">
        <v>913</v>
      </c>
      <c r="B10" s="168" t="s">
        <v>914</v>
      </c>
      <c r="C10" s="169">
        <f ca="1">ROUND(D10*E10/10000,0)</f>
        <v>890</v>
      </c>
      <c r="D10" s="170">
        <f ca="1">IF(B1="",'数据-汇总表'!E6,IF(INDIRECT("'数据-取费表'!c"&amp;$G$1)="住宅",INDIRECT("'数据-取费表'!s"&amp;$G$1),INDIRECT("'数据-取费表'!k"&amp;$G$1)+INDIRECT("'数据-取费表'!s"&amp;$G$1)))</f>
        <v>98873.18</v>
      </c>
      <c r="E10" s="169">
        <f>'数据-取费表'!B28</f>
        <v>90</v>
      </c>
      <c r="F10" s="164"/>
      <c r="G10" s="171"/>
    </row>
    <row r="11" spans="1:9" s="134" customFormat="1" ht="13.5" hidden="1" customHeight="1">
      <c r="A11" s="172" t="s">
        <v>915</v>
      </c>
      <c r="B11" s="158" t="s">
        <v>916</v>
      </c>
      <c r="C11" s="154"/>
      <c r="D11" s="173"/>
      <c r="E11" s="161"/>
      <c r="F11" s="161"/>
      <c r="G11" s="162"/>
    </row>
    <row r="12" spans="1:9" s="134" customFormat="1" ht="13.5" hidden="1" customHeight="1">
      <c r="A12" s="172" t="s">
        <v>917</v>
      </c>
      <c r="B12" s="158" t="s">
        <v>838</v>
      </c>
      <c r="C12" s="154">
        <v>0</v>
      </c>
      <c r="D12" s="173"/>
      <c r="E12" s="174"/>
      <c r="F12" s="164">
        <v>3.0499999999999999E-2</v>
      </c>
      <c r="G12" s="162"/>
    </row>
    <row r="13" spans="1:9" s="134" customFormat="1" ht="13.5" hidden="1" customHeight="1">
      <c r="A13" s="172" t="s">
        <v>918</v>
      </c>
      <c r="B13" s="158" t="s">
        <v>919</v>
      </c>
      <c r="C13" s="154"/>
      <c r="D13" s="173"/>
      <c r="E13" s="161"/>
      <c r="F13" s="161"/>
      <c r="G13" s="162"/>
    </row>
    <row r="14" spans="1:9" s="134" customFormat="1" ht="13.5" hidden="1" customHeight="1">
      <c r="A14" s="172" t="s">
        <v>920</v>
      </c>
      <c r="B14" s="158" t="s">
        <v>909</v>
      </c>
      <c r="C14" s="154"/>
      <c r="D14" s="173"/>
      <c r="E14" s="161"/>
      <c r="F14" s="161"/>
      <c r="G14" s="162" t="s">
        <v>921</v>
      </c>
    </row>
    <row r="15" spans="1:9" s="134" customFormat="1" ht="13.5" hidden="1" customHeight="1">
      <c r="A15" s="172" t="s">
        <v>922</v>
      </c>
      <c r="B15" s="158" t="s">
        <v>923</v>
      </c>
      <c r="C15" s="163"/>
      <c r="D15" s="173"/>
      <c r="E15" s="161"/>
      <c r="F15" s="161"/>
      <c r="G15" s="162" t="s">
        <v>924</v>
      </c>
    </row>
    <row r="16" spans="1:9" s="134" customFormat="1" ht="13.5" hidden="1" customHeight="1">
      <c r="A16" s="172" t="s">
        <v>925</v>
      </c>
      <c r="B16" s="158" t="s">
        <v>909</v>
      </c>
      <c r="C16" s="163"/>
      <c r="D16" s="173"/>
      <c r="E16" s="161"/>
      <c r="F16" s="161"/>
      <c r="G16" s="162"/>
    </row>
    <row r="17" spans="1:7" s="134" customFormat="1" ht="13.5" hidden="1" customHeight="1">
      <c r="A17" s="172" t="s">
        <v>926</v>
      </c>
      <c r="B17" s="158" t="s">
        <v>927</v>
      </c>
      <c r="C17" s="175"/>
      <c r="D17" s="176"/>
      <c r="E17" s="175"/>
      <c r="F17" s="175"/>
      <c r="G17" s="162" t="s">
        <v>924</v>
      </c>
    </row>
    <row r="18" spans="1:7" s="134" customFormat="1" ht="13.5" hidden="1" customHeight="1">
      <c r="A18" s="172" t="s">
        <v>928</v>
      </c>
      <c r="B18" s="158" t="s">
        <v>929</v>
      </c>
      <c r="C18" s="163">
        <v>0</v>
      </c>
      <c r="D18" s="173"/>
      <c r="E18" s="161"/>
      <c r="F18" s="164">
        <v>3.0499999999999999E-2</v>
      </c>
      <c r="G18" s="162" t="s">
        <v>930</v>
      </c>
    </row>
    <row r="19" spans="1:7" s="135" customFormat="1" ht="13.5" customHeight="1">
      <c r="A19" s="152" t="s">
        <v>931</v>
      </c>
      <c r="B19" s="153" t="s">
        <v>932</v>
      </c>
      <c r="C19" s="154" t="str">
        <f>IF(G19="已包含在土地取得成本中","0",ROUND(D19*E19/10000,0))</f>
        <v>0</v>
      </c>
      <c r="D19" s="178">
        <f ca="1">D9+D10</f>
        <v>98873.18</v>
      </c>
      <c r="E19" s="154">
        <f>'数据-取费表'!B31</f>
        <v>200</v>
      </c>
      <c r="F19" s="179"/>
      <c r="G19" s="2024" t="s">
        <v>3358</v>
      </c>
    </row>
    <row r="20" spans="1:7" s="134" customFormat="1" ht="13.5" customHeight="1">
      <c r="A20" s="152" t="s">
        <v>933</v>
      </c>
      <c r="B20" s="153" t="s">
        <v>934</v>
      </c>
      <c r="C20" s="180">
        <f ca="1">ROUND((C5+C19)*F20,0)</f>
        <v>636</v>
      </c>
      <c r="D20" s="180"/>
      <c r="E20" s="180"/>
      <c r="F20" s="181">
        <f>'数据-取费表'!B37</f>
        <v>2.5000000000000001E-2</v>
      </c>
      <c r="G20" s="185" t="s">
        <v>935</v>
      </c>
    </row>
    <row r="21" spans="1:7" s="134" customFormat="1" ht="13.5" customHeight="1">
      <c r="A21" s="152" t="s">
        <v>936</v>
      </c>
      <c r="B21" s="153" t="s">
        <v>937</v>
      </c>
      <c r="C21" s="183">
        <f>F21</f>
        <v>0.03</v>
      </c>
      <c r="D21" s="184" t="s">
        <v>938</v>
      </c>
      <c r="E21" s="180"/>
      <c r="F21" s="181">
        <f>'数据-取费表'!B38</f>
        <v>0.03</v>
      </c>
      <c r="G21" s="185" t="s">
        <v>939</v>
      </c>
    </row>
    <row r="22" spans="1:7" s="134" customFormat="1" ht="13.5" customHeight="1">
      <c r="A22" s="152" t="s">
        <v>940</v>
      </c>
      <c r="B22" s="153" t="s">
        <v>941</v>
      </c>
      <c r="C22" s="186">
        <f ca="1">ROUND(SUM(C23:C25),0)</f>
        <v>2505</v>
      </c>
      <c r="D22" s="183">
        <f ca="1">C26</f>
        <v>1.4E-3</v>
      </c>
      <c r="E22" s="184" t="s">
        <v>938</v>
      </c>
      <c r="F22" s="187">
        <f ca="1">'数据-取费表'!B40</f>
        <v>4.7500000000000001E-2</v>
      </c>
      <c r="G22" s="185" t="str">
        <f>IF('数据-取费表'!B22&lt;=1,"单利计息","复利计息")</f>
        <v>复利计息</v>
      </c>
    </row>
    <row r="23" spans="1:7" s="134" customFormat="1" ht="13.5" customHeight="1">
      <c r="A23" s="188" t="s">
        <v>904</v>
      </c>
      <c r="B23" s="158" t="s">
        <v>942</v>
      </c>
      <c r="C23" s="189">
        <f ca="1">ROUND(IF('数据-取费表'!B22&lt;=1,C5*F22*'数据-取费表'!B23,C5*(POWER((1+F22),'数据-取费表'!B23)-1)),0)</f>
        <v>2475</v>
      </c>
      <c r="D23" s="190"/>
      <c r="E23" s="190"/>
      <c r="F23" s="191"/>
      <c r="G23" s="192" t="s">
        <v>943</v>
      </c>
    </row>
    <row r="24" spans="1:7" s="134" customFormat="1" ht="13.5" customHeight="1">
      <c r="A24" s="188" t="s">
        <v>906</v>
      </c>
      <c r="B24" s="158" t="s">
        <v>944</v>
      </c>
      <c r="C24" s="189">
        <f ca="1">ROUND(IF('数据-取费表'!B22&lt;=1,C19*F22*('数据-取费表'!B19/2+'数据-取费表'!B21),C19*(POWER((1+F22),('数据-取费表'!B19/2+'数据-取费表'!B21))-1)),0)</f>
        <v>0</v>
      </c>
      <c r="D24" s="190"/>
      <c r="E24" s="190"/>
      <c r="F24" s="191"/>
      <c r="G24" s="192" t="s">
        <v>945</v>
      </c>
    </row>
    <row r="25" spans="1:7" s="134" customFormat="1" ht="24">
      <c r="A25" s="188" t="s">
        <v>908</v>
      </c>
      <c r="B25" s="158" t="s">
        <v>946</v>
      </c>
      <c r="C25" s="189">
        <f ca="1">ROUND(IF('数据-取费表'!B22&lt;=1,C20*F22*'数据-取费表'!B23/2,C20*(POWER((1+F22),'数据-取费表'!B23/2)-1)),0)</f>
        <v>30</v>
      </c>
      <c r="D25" s="190"/>
      <c r="E25" s="193"/>
      <c r="F25" s="191"/>
      <c r="G25" s="194" t="s">
        <v>947</v>
      </c>
    </row>
    <row r="26" spans="1:7" s="134" customFormat="1">
      <c r="A26" s="188" t="s">
        <v>948</v>
      </c>
      <c r="B26" s="158" t="s">
        <v>949</v>
      </c>
      <c r="C26" s="190">
        <f ca="1">ROUND(IF('数据-取费表'!B22&lt;=1,F21*F22*'数据-取费表'!B23/2,F21*(POWER((1+F22),'数据-取费表'!B23/2)-1)),4)</f>
        <v>1.4E-3</v>
      </c>
      <c r="D26" s="190"/>
      <c r="E26" s="193"/>
      <c r="F26" s="191"/>
      <c r="G26" s="195"/>
    </row>
    <row r="27" spans="1:7" s="134" customFormat="1" ht="24.75">
      <c r="A27" s="152" t="s">
        <v>950</v>
      </c>
      <c r="B27" s="196" t="s">
        <v>951</v>
      </c>
      <c r="C27" s="197">
        <f ca="1">C28</f>
        <v>5216</v>
      </c>
      <c r="D27" s="183">
        <f ca="1">C29</f>
        <v>6.0000000000000001E-3</v>
      </c>
      <c r="E27" s="184" t="s">
        <v>938</v>
      </c>
      <c r="F27" s="198">
        <f ca="1">IF(B1="",'数据-取费表'!Q16,INDIRECT("'数据-取费表'!q"&amp;$G$1))</f>
        <v>0.2</v>
      </c>
      <c r="G27" s="199" t="s">
        <v>952</v>
      </c>
    </row>
    <row r="28" spans="1:7" s="134" customFormat="1" ht="13.5" customHeight="1">
      <c r="A28" s="188" t="s">
        <v>904</v>
      </c>
      <c r="B28" s="200" t="s">
        <v>953</v>
      </c>
      <c r="C28" s="201">
        <f ca="1">ROUND((C5+C19+C20)*F27*'数据-取费表'!B21/'数据-取费表'!B20,0)</f>
        <v>5216</v>
      </c>
      <c r="D28" s="183"/>
      <c r="E28" s="184"/>
      <c r="F28" s="198"/>
      <c r="G28" s="199"/>
    </row>
    <row r="29" spans="1:7" s="134" customFormat="1" ht="13.5" customHeight="1">
      <c r="A29" s="188" t="s">
        <v>906</v>
      </c>
      <c r="B29" s="200" t="s">
        <v>954</v>
      </c>
      <c r="C29" s="190">
        <f ca="1">ROUND(C21*F27*'数据-取费表'!B21/'数据-取费表'!B20,4)</f>
        <v>6.0000000000000001E-3</v>
      </c>
      <c r="D29" s="183"/>
      <c r="E29" s="184"/>
      <c r="F29" s="198"/>
      <c r="G29" s="199"/>
    </row>
    <row r="30" spans="1:7" s="134" customFormat="1" ht="13.5" customHeight="1">
      <c r="A30" s="152" t="s">
        <v>955</v>
      </c>
      <c r="B30" s="153" t="s">
        <v>956</v>
      </c>
      <c r="C30" s="183">
        <f>ROUND(F30/(1+'数据-取费表'!C42),4)</f>
        <v>5.33E-2</v>
      </c>
      <c r="D30" s="184" t="s">
        <v>938</v>
      </c>
      <c r="E30" s="193"/>
      <c r="F30" s="187">
        <f>'数据-取费表'!B41</f>
        <v>5.6000000000000001E-2</v>
      </c>
      <c r="G30" s="185" t="s">
        <v>957</v>
      </c>
    </row>
    <row r="31" spans="1:7" ht="16.5" customHeight="1">
      <c r="A31" s="202">
        <v>1</v>
      </c>
      <c r="B31" s="153" t="s">
        <v>958</v>
      </c>
      <c r="C31" s="154">
        <f ca="1">ROUND((C5+C19+C20+C22+C27)/(1-C21-D22-D27-C30),0)</f>
        <v>37174</v>
      </c>
      <c r="D31" s="203"/>
      <c r="E31" s="154"/>
      <c r="F31" s="204"/>
      <c r="G31" s="185" t="s">
        <v>959</v>
      </c>
    </row>
    <row r="32" spans="1:7" s="133" customFormat="1" ht="15.75">
      <c r="A32" s="205" t="s">
        <v>960</v>
      </c>
      <c r="B32" s="206"/>
      <c r="C32" s="206"/>
      <c r="D32" s="206"/>
      <c r="E32" s="206"/>
      <c r="F32" s="206"/>
      <c r="G32" s="207"/>
    </row>
    <row r="33" spans="1:7" s="134" customFormat="1" ht="13.5" customHeight="1">
      <c r="A33" s="152" t="s">
        <v>900</v>
      </c>
      <c r="B33" s="153" t="s">
        <v>961</v>
      </c>
      <c r="C33" s="208">
        <f ca="1">SUM(C34:C38)</f>
        <v>33567</v>
      </c>
      <c r="D33" s="180"/>
      <c r="E33" s="155"/>
      <c r="F33" s="193"/>
      <c r="G33" s="185"/>
    </row>
    <row r="34" spans="1:7" s="136" customFormat="1" ht="13.5" customHeight="1">
      <c r="A34" s="188" t="s">
        <v>904</v>
      </c>
      <c r="B34" s="158" t="s">
        <v>962</v>
      </c>
      <c r="C34" s="163">
        <f ca="1">IF(B1="",IF(F34=100%,'数据-取费表'!M16,'数据-取费表'!O16),IF(F34=100%,INDIRECT("'数据-取费表'!m"&amp;$G$1)+INDIRECT("'数据-取费表'!t"&amp;$G$1),INDIRECT("'数据-取费表'!o"&amp;$G$1)+INDIRECT("'数据-取费表'!aq"&amp;$G$1)))</f>
        <v>29662</v>
      </c>
      <c r="D34" s="160"/>
      <c r="E34" s="163"/>
      <c r="F34" s="209">
        <f ca="1">IF('数据-取费表'!B24=0,1,IF(B1="",'数据-取费表'!N16,INDIRECT("'数据-取费表'!n"&amp;$G$1)))</f>
        <v>1</v>
      </c>
      <c r="G34" s="162" t="s">
        <v>963</v>
      </c>
    </row>
    <row r="35" spans="1:7" ht="13.5" customHeight="1">
      <c r="A35" s="188" t="s">
        <v>906</v>
      </c>
      <c r="B35" s="158" t="s">
        <v>964</v>
      </c>
      <c r="C35" s="163">
        <f ca="1">ROUND(C34*F35,0)</f>
        <v>1483</v>
      </c>
      <c r="D35" s="163"/>
      <c r="E35" s="163"/>
      <c r="F35" s="210">
        <f>'数据-取费表'!B33</f>
        <v>0.05</v>
      </c>
      <c r="G35" s="162" t="s">
        <v>965</v>
      </c>
    </row>
    <row r="36" spans="1:7" ht="24">
      <c r="A36" s="188" t="s">
        <v>908</v>
      </c>
      <c r="B36" s="158" t="s">
        <v>966</v>
      </c>
      <c r="C36" s="163">
        <f ca="1">ROUND(IF(B1="",SUMIF('数据-取费表'!C:C,"住宅",IF(F34=100%,'数据-取费表'!M:M,'数据-取费表'!O:O))*F36,IF(INDIRECT("'数据-取费表'!c"&amp;$G$1)="住宅",IF(F34=100%,INDIRECT("'数据-取费表'!m"&amp;$G$1)*F36,INDIRECT("'数据-取费表'!o"&amp;$G$1)*F36),0)),0)</f>
        <v>0</v>
      </c>
      <c r="D36" s="163"/>
      <c r="E36" s="163"/>
      <c r="F36" s="210">
        <f>'数据-取费表'!B34</f>
        <v>0</v>
      </c>
      <c r="G36" s="211" t="s">
        <v>967</v>
      </c>
    </row>
    <row r="37" spans="1:7" s="136" customFormat="1" ht="13.5" customHeight="1">
      <c r="A37" s="188" t="s">
        <v>948</v>
      </c>
      <c r="B37" s="158" t="s">
        <v>968</v>
      </c>
      <c r="C37" s="201">
        <f ca="1">ROUND(E37*D37*F34/10000,0)</f>
        <v>1977</v>
      </c>
      <c r="D37" s="160">
        <f ca="1">D19</f>
        <v>98873.18</v>
      </c>
      <c r="E37" s="201">
        <f>'数据-取费表'!B35</f>
        <v>200</v>
      </c>
      <c r="F37" s="210"/>
      <c r="G37" s="212" t="s">
        <v>969</v>
      </c>
    </row>
    <row r="38" spans="1:7" ht="13.5" customHeight="1">
      <c r="A38" s="188" t="s">
        <v>970</v>
      </c>
      <c r="B38" s="158" t="s">
        <v>838</v>
      </c>
      <c r="C38" s="163">
        <f ca="1">ROUND(C34*F38,0)</f>
        <v>445</v>
      </c>
      <c r="D38" s="163"/>
      <c r="E38" s="163"/>
      <c r="F38" s="210">
        <f>'数据-取费表'!B36</f>
        <v>1.4999999999999999E-2</v>
      </c>
      <c r="G38" s="162" t="s">
        <v>965</v>
      </c>
    </row>
    <row r="39" spans="1:7" s="134" customFormat="1" ht="13.5" customHeight="1">
      <c r="A39" s="152" t="s">
        <v>931</v>
      </c>
      <c r="B39" s="153" t="s">
        <v>934</v>
      </c>
      <c r="C39" s="180">
        <f ca="1">ROUND(C33*F20,0)</f>
        <v>839</v>
      </c>
      <c r="D39" s="180"/>
      <c r="E39" s="180"/>
      <c r="F39" s="181"/>
      <c r="G39" s="185" t="s">
        <v>971</v>
      </c>
    </row>
    <row r="40" spans="1:7" s="134" customFormat="1" ht="13.5" customHeight="1">
      <c r="A40" s="152" t="s">
        <v>933</v>
      </c>
      <c r="B40" s="153" t="s">
        <v>937</v>
      </c>
      <c r="C40" s="2027">
        <f>F21</f>
        <v>0.03</v>
      </c>
      <c r="D40" s="184" t="s">
        <v>972</v>
      </c>
      <c r="E40" s="180"/>
      <c r="F40" s="181"/>
      <c r="G40" s="185" t="s">
        <v>973</v>
      </c>
    </row>
    <row r="41" spans="1:7" s="134" customFormat="1" ht="13.5" customHeight="1">
      <c r="A41" s="152" t="s">
        <v>936</v>
      </c>
      <c r="B41" s="153" t="s">
        <v>941</v>
      </c>
      <c r="C41" s="180">
        <f ca="1">ROUND(SUM(C42:C43),0)</f>
        <v>1634</v>
      </c>
      <c r="D41" s="183">
        <f ca="1">C44</f>
        <v>1.4E-3</v>
      </c>
      <c r="E41" s="184" t="s">
        <v>972</v>
      </c>
      <c r="F41" s="187"/>
      <c r="G41" s="185" t="str">
        <f>IF('数据-取费表'!B22&lt;=1,"单利计息","复利计息")</f>
        <v>复利计息</v>
      </c>
    </row>
    <row r="42" spans="1:7" ht="13.5" customHeight="1">
      <c r="A42" s="188" t="s">
        <v>904</v>
      </c>
      <c r="B42" s="158" t="s">
        <v>942</v>
      </c>
      <c r="C42" s="190">
        <f ca="1">ROUND(IF('数据-取费表'!B22&lt;=1,C33*F22*'数据-取费表'!B21/2,C33*(POWER((1+F22),'数据-取费表'!B21/2)-1)),0)</f>
        <v>1594</v>
      </c>
      <c r="D42" s="190"/>
      <c r="E42" s="190"/>
      <c r="F42" s="191"/>
      <c r="G42" s="3454" t="s">
        <v>974</v>
      </c>
    </row>
    <row r="43" spans="1:7" ht="13.5" customHeight="1">
      <c r="A43" s="188" t="s">
        <v>906</v>
      </c>
      <c r="B43" s="158" t="s">
        <v>944</v>
      </c>
      <c r="C43" s="190">
        <f ca="1">ROUND(IF('数据-取费表'!B22&lt;=1,C39*F22*'数据-取费表'!B21/2,C39*(POWER((1+F22),'数据-取费表'!B21/2)-1)),0)</f>
        <v>40</v>
      </c>
      <c r="D43" s="190"/>
      <c r="E43" s="190"/>
      <c r="F43" s="191"/>
      <c r="G43" s="3455"/>
    </row>
    <row r="44" spans="1:7" ht="13.5" customHeight="1">
      <c r="A44" s="188" t="s">
        <v>908</v>
      </c>
      <c r="B44" s="158" t="s">
        <v>946</v>
      </c>
      <c r="C44" s="190">
        <f ca="1">ROUND(IF('数据-取费表'!B22&lt;=1,C40*F22*'数据-取费表'!B21/2,C40*(POWER((1+F22),'数据-取费表'!B21/2)-1)),4)</f>
        <v>1.4E-3</v>
      </c>
      <c r="D44" s="190"/>
      <c r="E44" s="190"/>
      <c r="F44" s="191"/>
      <c r="G44" s="3456"/>
    </row>
    <row r="45" spans="1:7" s="134" customFormat="1" ht="13.5" customHeight="1">
      <c r="A45" s="152" t="s">
        <v>940</v>
      </c>
      <c r="B45" s="196" t="s">
        <v>951</v>
      </c>
      <c r="C45" s="197">
        <f ca="1">C46</f>
        <v>6881</v>
      </c>
      <c r="D45" s="183">
        <f ca="1">C47</f>
        <v>6.0000000000000001E-3</v>
      </c>
      <c r="E45" s="184" t="s">
        <v>972</v>
      </c>
      <c r="F45" s="198"/>
      <c r="G45" s="199" t="s">
        <v>975</v>
      </c>
    </row>
    <row r="46" spans="1:7" s="134" customFormat="1" ht="13.5" customHeight="1">
      <c r="A46" s="188" t="s">
        <v>904</v>
      </c>
      <c r="B46" s="200" t="s">
        <v>976</v>
      </c>
      <c r="C46" s="201">
        <f ca="1">ROUND((C33+C39)*F27,0)</f>
        <v>6881</v>
      </c>
      <c r="D46" s="214"/>
      <c r="E46" s="184"/>
      <c r="F46" s="198"/>
      <c r="G46" s="199"/>
    </row>
    <row r="47" spans="1:7" s="134" customFormat="1" ht="13.5" customHeight="1">
      <c r="A47" s="188" t="s">
        <v>906</v>
      </c>
      <c r="B47" s="200" t="s">
        <v>977</v>
      </c>
      <c r="C47" s="190">
        <f ca="1">ROUND(C40*F27,4)</f>
        <v>6.0000000000000001E-3</v>
      </c>
      <c r="D47" s="214"/>
      <c r="E47" s="184"/>
      <c r="F47" s="198"/>
      <c r="G47" s="199"/>
    </row>
    <row r="48" spans="1:7" s="134" customFormat="1" ht="13.5" customHeight="1">
      <c r="A48" s="152" t="s">
        <v>950</v>
      </c>
      <c r="B48" s="153" t="s">
        <v>956</v>
      </c>
      <c r="C48" s="2027">
        <f>ROUND(F30/(1+'数据-取费表'!C42),4)</f>
        <v>5.33E-2</v>
      </c>
      <c r="D48" s="184" t="s">
        <v>972</v>
      </c>
      <c r="E48" s="180"/>
      <c r="F48" s="187"/>
      <c r="G48" s="185" t="s">
        <v>978</v>
      </c>
    </row>
    <row r="49" spans="1:7" ht="16.5" customHeight="1">
      <c r="A49" s="152" t="s">
        <v>955</v>
      </c>
      <c r="B49" s="153" t="s">
        <v>979</v>
      </c>
      <c r="C49" s="180">
        <f ca="1">ROUND((C33+C39+C41+C45)/(1-C40-D41-D45-C48),0)</f>
        <v>47202</v>
      </c>
      <c r="D49" s="180"/>
      <c r="E49" s="180"/>
      <c r="F49" s="215"/>
      <c r="G49" s="185" t="s">
        <v>980</v>
      </c>
    </row>
    <row r="50" spans="1:7" s="136" customFormat="1" ht="24">
      <c r="A50" s="152" t="s">
        <v>981</v>
      </c>
      <c r="B50" s="153" t="s">
        <v>982</v>
      </c>
      <c r="C50" s="180"/>
      <c r="D50" s="180"/>
      <c r="E50" s="180"/>
      <c r="F50" s="215">
        <f>IF('数据-取费表'!B24=0,'数据-取费表'!N16,1)</f>
        <v>0.92</v>
      </c>
      <c r="G50" s="199" t="s">
        <v>983</v>
      </c>
    </row>
    <row r="51" spans="1:7" ht="16.5" customHeight="1">
      <c r="A51" s="152" t="s">
        <v>984</v>
      </c>
      <c r="B51" s="153" t="s">
        <v>985</v>
      </c>
      <c r="C51" s="180">
        <f ca="1">ROUND(C49*F50,0)</f>
        <v>43426</v>
      </c>
      <c r="D51" s="180"/>
      <c r="E51" s="180"/>
      <c r="F51" s="215"/>
      <c r="G51" s="185" t="s">
        <v>986</v>
      </c>
    </row>
    <row r="52" spans="1:7" s="133" customFormat="1" ht="15.75">
      <c r="A52" s="216" t="s">
        <v>987</v>
      </c>
      <c r="B52" s="217"/>
      <c r="C52" s="218">
        <f ca="1">C31+C51</f>
        <v>80600</v>
      </c>
      <c r="D52" s="217"/>
      <c r="E52" s="217"/>
      <c r="F52" s="217"/>
      <c r="G52" s="219"/>
    </row>
    <row r="55" spans="1:7" ht="15">
      <c r="B55" s="220" t="s">
        <v>988</v>
      </c>
      <c r="C55" s="221"/>
    </row>
    <row r="56" spans="1:7">
      <c r="B56" s="222" t="s">
        <v>989</v>
      </c>
      <c r="C56" s="224">
        <f ca="1">1-C57</f>
        <v>0.46099999999999997</v>
      </c>
    </row>
    <row r="57" spans="1:7">
      <c r="B57" s="222" t="s">
        <v>990</v>
      </c>
      <c r="C57" s="223">
        <f ca="1">ROUND(C51/C52,3)</f>
        <v>0.53900000000000003</v>
      </c>
    </row>
  </sheetData>
  <sheetProtection password="C66D" sheet="1" objects="1" scenarios="1" formatCells="0"/>
  <mergeCells count="1">
    <mergeCell ref="G42:G44"/>
  </mergeCells>
  <phoneticPr fontId="225"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69930555555555596" right="0.69930555555555596" top="0.75" bottom="0.75" header="0.3" footer="0.3"/>
  <pageSetup paperSize="9" scale="77" orientation="portrait"/>
  <legacy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137" customWidth="1"/>
    <col min="2" max="2" width="29.25" style="138" customWidth="1"/>
    <col min="3" max="3" width="12.125" style="138" customWidth="1"/>
    <col min="4" max="5" width="11.25" style="139" customWidth="1"/>
    <col min="6" max="6" width="9.5" style="138" customWidth="1"/>
    <col min="7" max="7" width="31.875" style="138" customWidth="1"/>
    <col min="8" max="8" width="10.75" style="138" customWidth="1"/>
    <col min="9" max="254" width="9" style="138" customWidth="1"/>
    <col min="255" max="16384" width="8.375" style="138"/>
  </cols>
  <sheetData>
    <row r="1" spans="1:8" s="132" customFormat="1" ht="20.25">
      <c r="A1" s="140" t="s">
        <v>894</v>
      </c>
      <c r="B1" s="2017"/>
      <c r="C1" s="2018" t="s">
        <v>991</v>
      </c>
      <c r="D1" s="142"/>
      <c r="E1" s="142"/>
      <c r="F1" s="142"/>
      <c r="G1" s="2019">
        <f>MATCH(B1,'数据-取费表'!A6:A16,0)+5</f>
        <v>10</v>
      </c>
      <c r="H1" s="1545" t="str">
        <f>IF(ISERROR(FIND("住宅",B1)),"非住宅","住宅")</f>
        <v>非住宅</v>
      </c>
    </row>
    <row r="2" spans="1:8" s="132" customFormat="1" ht="18" customHeight="1">
      <c r="A2" s="144" t="s">
        <v>895</v>
      </c>
      <c r="B2" s="145">
        <f ca="1">ROUND(IF(D2="——",C52/10000,C52/10000-E2),0)</f>
        <v>47616</v>
      </c>
      <c r="C2" s="143" t="s">
        <v>896</v>
      </c>
      <c r="D2" s="2020" t="s">
        <v>124</v>
      </c>
      <c r="E2" s="2021" t="e">
        <f ca="1">SUMIF(INDIRECT("'"&amp;G2&amp;"'"&amp;"!A:A"),"承租人权益价值",INDIRECT("'"&amp;G2&amp;"'"&amp;"!c:c"))</f>
        <v>#REF!</v>
      </c>
      <c r="F2" s="2022" t="s">
        <v>896</v>
      </c>
      <c r="G2" s="2023"/>
    </row>
    <row r="3" spans="1:8" s="132" customFormat="1" ht="18" customHeight="1">
      <c r="A3" s="147" t="s">
        <v>897</v>
      </c>
      <c r="B3" s="148">
        <f ca="1">ROUND(B2*10000/(IF(B1="",'数据-汇总表'!E3,INDIRECT("'数据-取费表'!k"&amp;$G$1))),0)</f>
        <v>4816</v>
      </c>
      <c r="C3" s="143" t="s">
        <v>898</v>
      </c>
      <c r="D3" s="143"/>
      <c r="E3" s="143"/>
      <c r="F3" s="143"/>
      <c r="G3" s="143"/>
    </row>
    <row r="4" spans="1:8" s="133" customFormat="1" ht="15.75">
      <c r="A4" s="149" t="s">
        <v>899</v>
      </c>
      <c r="B4" s="150"/>
      <c r="C4" s="150"/>
      <c r="D4" s="150"/>
      <c r="E4" s="150"/>
      <c r="F4" s="150"/>
      <c r="G4" s="151"/>
    </row>
    <row r="5" spans="1:8" s="134" customFormat="1" ht="13.5" customHeight="1">
      <c r="A5" s="152" t="s">
        <v>900</v>
      </c>
      <c r="B5" s="153" t="s">
        <v>901</v>
      </c>
      <c r="C5" s="154">
        <f ca="1">C6+C7+C8</f>
        <v>8898586</v>
      </c>
      <c r="D5" s="154" t="s">
        <v>902</v>
      </c>
      <c r="E5" s="155" t="s">
        <v>903</v>
      </c>
      <c r="F5" s="155" t="s">
        <v>801</v>
      </c>
      <c r="G5" s="156"/>
    </row>
    <row r="6" spans="1:8" s="134" customFormat="1" ht="13.5" customHeight="1">
      <c r="A6" s="157" t="s">
        <v>904</v>
      </c>
      <c r="B6" s="158" t="s">
        <v>905</v>
      </c>
      <c r="C6" s="159"/>
      <c r="D6" s="160"/>
      <c r="E6" s="161"/>
      <c r="F6" s="161"/>
      <c r="G6" s="162"/>
    </row>
    <row r="7" spans="1:8" s="134" customFormat="1" ht="13.5" customHeight="1">
      <c r="A7" s="157" t="s">
        <v>906</v>
      </c>
      <c r="B7" s="158" t="s">
        <v>907</v>
      </c>
      <c r="C7" s="163">
        <f>ROUND(C6*F7,0)</f>
        <v>0</v>
      </c>
      <c r="D7" s="163"/>
      <c r="E7" s="161"/>
      <c r="F7" s="164">
        <f>'数据-取费表'!B48+'数据-取费表'!B49</f>
        <v>3.0499999999999999E-2</v>
      </c>
      <c r="G7" s="162"/>
    </row>
    <row r="8" spans="1:8" s="135" customFormat="1">
      <c r="A8" s="157" t="s">
        <v>908</v>
      </c>
      <c r="B8" s="158" t="s">
        <v>909</v>
      </c>
      <c r="C8" s="163">
        <f ca="1">IF(G8="已包含在土地购买价格中",0,C9+C10)</f>
        <v>8898586</v>
      </c>
      <c r="D8" s="165"/>
      <c r="E8" s="163"/>
      <c r="F8" s="164"/>
      <c r="G8" s="2024"/>
    </row>
    <row r="9" spans="1:8" s="134" customFormat="1" ht="13.5" customHeight="1">
      <c r="A9" s="167" t="s">
        <v>910</v>
      </c>
      <c r="B9" s="168" t="s">
        <v>911</v>
      </c>
      <c r="C9" s="169">
        <f ca="1">ROUND(D9*E9,0)</f>
        <v>0</v>
      </c>
      <c r="D9" s="170">
        <f ca="1">IF(B1="",'数据-汇总表'!E5,IF(INDIRECT("'数据-取费表'!c"&amp;$G$1)="住宅",INDIRECT("'数据-取费表'!k"&amp;$G$1),0))</f>
        <v>0</v>
      </c>
      <c r="E9" s="169">
        <f>'数据-取费表'!B27</f>
        <v>50</v>
      </c>
      <c r="F9" s="164"/>
      <c r="G9" s="171"/>
    </row>
    <row r="10" spans="1:8" s="134" customFormat="1" ht="13.5" customHeight="1">
      <c r="A10" s="167" t="s">
        <v>913</v>
      </c>
      <c r="B10" s="168" t="s">
        <v>914</v>
      </c>
      <c r="C10" s="169">
        <f ca="1">ROUND(D10*E10,0)</f>
        <v>8898586</v>
      </c>
      <c r="D10" s="170">
        <f ca="1">IF(B1="",'数据-汇总表'!E6,IF(INDIRECT("'数据-取费表'!c"&amp;$G$1)="住宅",INDIRECT("'数据-取费表'!s"&amp;$G$1),INDIRECT("'数据-取费表'!k"&amp;$G$1)+INDIRECT("'数据-取费表'!s"&amp;$G$1)))</f>
        <v>98873.18</v>
      </c>
      <c r="E10" s="169">
        <f>'数据-取费表'!B28</f>
        <v>90</v>
      </c>
      <c r="F10" s="164"/>
      <c r="G10" s="171"/>
    </row>
    <row r="11" spans="1:8" s="134" customFormat="1" ht="13.5" hidden="1" customHeight="1">
      <c r="A11" s="172" t="s">
        <v>915</v>
      </c>
      <c r="B11" s="158" t="s">
        <v>916</v>
      </c>
      <c r="C11" s="154"/>
      <c r="D11" s="173"/>
      <c r="E11" s="161"/>
      <c r="F11" s="161"/>
      <c r="G11" s="162"/>
    </row>
    <row r="12" spans="1:8" s="134" customFormat="1" ht="13.5" hidden="1" customHeight="1">
      <c r="A12" s="172" t="s">
        <v>917</v>
      </c>
      <c r="B12" s="158" t="s">
        <v>838</v>
      </c>
      <c r="C12" s="154">
        <v>0</v>
      </c>
      <c r="D12" s="173"/>
      <c r="E12" s="174"/>
      <c r="F12" s="164">
        <v>3.0499999999999999E-2</v>
      </c>
      <c r="G12" s="162"/>
    </row>
    <row r="13" spans="1:8" s="134" customFormat="1" ht="13.5" hidden="1" customHeight="1">
      <c r="A13" s="172" t="s">
        <v>918</v>
      </c>
      <c r="B13" s="158" t="s">
        <v>919</v>
      </c>
      <c r="C13" s="154"/>
      <c r="D13" s="173"/>
      <c r="E13" s="161"/>
      <c r="F13" s="161"/>
      <c r="G13" s="162"/>
    </row>
    <row r="14" spans="1:8" s="134" customFormat="1" ht="13.5" hidden="1" customHeight="1">
      <c r="A14" s="172" t="s">
        <v>920</v>
      </c>
      <c r="B14" s="158" t="s">
        <v>909</v>
      </c>
      <c r="C14" s="154"/>
      <c r="D14" s="173"/>
      <c r="E14" s="161"/>
      <c r="F14" s="161"/>
      <c r="G14" s="162" t="s">
        <v>921</v>
      </c>
    </row>
    <row r="15" spans="1:8" s="134" customFormat="1" ht="13.5" hidden="1" customHeight="1">
      <c r="A15" s="172" t="s">
        <v>922</v>
      </c>
      <c r="B15" s="158" t="s">
        <v>923</v>
      </c>
      <c r="C15" s="163"/>
      <c r="D15" s="173"/>
      <c r="E15" s="161"/>
      <c r="F15" s="161"/>
      <c r="G15" s="162" t="s">
        <v>924</v>
      </c>
    </row>
    <row r="16" spans="1:8" s="134" customFormat="1" ht="13.5" hidden="1" customHeight="1">
      <c r="A16" s="172" t="s">
        <v>925</v>
      </c>
      <c r="B16" s="158" t="s">
        <v>909</v>
      </c>
      <c r="C16" s="163"/>
      <c r="D16" s="173"/>
      <c r="E16" s="161"/>
      <c r="F16" s="161"/>
      <c r="G16" s="162"/>
    </row>
    <row r="17" spans="1:7" s="134" customFormat="1" ht="13.5" hidden="1" customHeight="1">
      <c r="A17" s="172" t="s">
        <v>926</v>
      </c>
      <c r="B17" s="158" t="s">
        <v>927</v>
      </c>
      <c r="C17" s="175"/>
      <c r="D17" s="176"/>
      <c r="E17" s="175"/>
      <c r="F17" s="175"/>
      <c r="G17" s="162" t="s">
        <v>924</v>
      </c>
    </row>
    <row r="18" spans="1:7" s="134" customFormat="1" ht="13.5" hidden="1" customHeight="1">
      <c r="A18" s="172" t="s">
        <v>928</v>
      </c>
      <c r="B18" s="158" t="s">
        <v>929</v>
      </c>
      <c r="C18" s="163">
        <v>0</v>
      </c>
      <c r="D18" s="173"/>
      <c r="E18" s="161"/>
      <c r="F18" s="164">
        <v>3.0499999999999999E-2</v>
      </c>
      <c r="G18" s="162" t="s">
        <v>930</v>
      </c>
    </row>
    <row r="19" spans="1:7" s="135" customFormat="1" ht="13.5" customHeight="1">
      <c r="A19" s="152" t="s">
        <v>931</v>
      </c>
      <c r="B19" s="153" t="s">
        <v>932</v>
      </c>
      <c r="C19" s="154">
        <f ca="1">IF(G19="已包含在土地取得成本中","0",ROUND(D19*E19,0))</f>
        <v>19774636</v>
      </c>
      <c r="D19" s="178">
        <f ca="1">D9+D10</f>
        <v>98873.18</v>
      </c>
      <c r="E19" s="154">
        <f>'数据-取费表'!B31</f>
        <v>200</v>
      </c>
      <c r="F19" s="179"/>
      <c r="G19" s="2024"/>
    </row>
    <row r="20" spans="1:7" s="134" customFormat="1" ht="13.5" customHeight="1">
      <c r="A20" s="152" t="s">
        <v>933</v>
      </c>
      <c r="B20" s="153" t="s">
        <v>934</v>
      </c>
      <c r="C20" s="180">
        <f ca="1">ROUND((C5+C19)*F20,0)</f>
        <v>716831</v>
      </c>
      <c r="D20" s="180"/>
      <c r="E20" s="180"/>
      <c r="F20" s="181">
        <f>'数据-取费表'!B37</f>
        <v>2.5000000000000001E-2</v>
      </c>
      <c r="G20" s="185" t="s">
        <v>935</v>
      </c>
    </row>
    <row r="21" spans="1:7" s="134" customFormat="1" ht="13.5" customHeight="1">
      <c r="A21" s="152" t="s">
        <v>936</v>
      </c>
      <c r="B21" s="153" t="s">
        <v>937</v>
      </c>
      <c r="C21" s="183">
        <f>F21</f>
        <v>0.03</v>
      </c>
      <c r="D21" s="184" t="s">
        <v>938</v>
      </c>
      <c r="E21" s="180"/>
      <c r="F21" s="181">
        <f>'数据-取费表'!B38</f>
        <v>0.03</v>
      </c>
      <c r="G21" s="185" t="s">
        <v>939</v>
      </c>
    </row>
    <row r="22" spans="1:7" s="134" customFormat="1" ht="13.5" customHeight="1">
      <c r="A22" s="152" t="s">
        <v>940</v>
      </c>
      <c r="B22" s="153" t="s">
        <v>941</v>
      </c>
      <c r="C22" s="2025">
        <f ca="1">ROUND(SUM(C23:C25),0)</f>
        <v>2822699</v>
      </c>
      <c r="D22" s="183">
        <f ca="1">C26</f>
        <v>1.4E-3</v>
      </c>
      <c r="E22" s="184" t="s">
        <v>938</v>
      </c>
      <c r="F22" s="187">
        <f ca="1">'数据-取费表'!B40</f>
        <v>4.7500000000000001E-2</v>
      </c>
      <c r="G22" s="185" t="str">
        <f>IF('数据-取费表'!B22&lt;=1,"单利计息","复利计息")</f>
        <v>复利计息</v>
      </c>
    </row>
    <row r="23" spans="1:7" s="134" customFormat="1" ht="13.5" customHeight="1">
      <c r="A23" s="188" t="s">
        <v>904</v>
      </c>
      <c r="B23" s="158" t="s">
        <v>942</v>
      </c>
      <c r="C23" s="2026">
        <f ca="1">ROUND(IF('数据-取费表'!B22&lt;=1,C5*F22*'数据-取费表'!B22,C5*(POWER((1+F22),'数据-取费表'!B22)-1)),0)</f>
        <v>865443</v>
      </c>
      <c r="D23" s="190"/>
      <c r="E23" s="190"/>
      <c r="F23" s="191"/>
      <c r="G23" s="192" t="s">
        <v>943</v>
      </c>
    </row>
    <row r="24" spans="1:7" s="134" customFormat="1" ht="13.5" customHeight="1">
      <c r="A24" s="188" t="s">
        <v>906</v>
      </c>
      <c r="B24" s="158" t="s">
        <v>944</v>
      </c>
      <c r="C24" s="2026">
        <f ca="1">ROUND(IF('数据-取费表'!B22&lt;=1,C19*F22*('数据-取费表'!B19/2+'数据-取费表'!B20),C19*(POWER((1+F22),('数据-取费表'!B19/2+'数据-取费表'!B20))-1)),0)</f>
        <v>1923207</v>
      </c>
      <c r="D24" s="190"/>
      <c r="E24" s="190"/>
      <c r="F24" s="191"/>
      <c r="G24" s="192" t="s">
        <v>945</v>
      </c>
    </row>
    <row r="25" spans="1:7" s="134" customFormat="1" ht="24">
      <c r="A25" s="188" t="s">
        <v>908</v>
      </c>
      <c r="B25" s="158" t="s">
        <v>946</v>
      </c>
      <c r="C25" s="2026">
        <f ca="1">ROUND(IF('数据-取费表'!B22&lt;=1,C20*F22*'数据-取费表'!B22/2,C20*(POWER((1+F22),'数据-取费表'!B22/2)-1)),0)</f>
        <v>34049</v>
      </c>
      <c r="D25" s="190"/>
      <c r="E25" s="193"/>
      <c r="F25" s="191"/>
      <c r="G25" s="194" t="s">
        <v>947</v>
      </c>
    </row>
    <row r="26" spans="1:7" s="134" customFormat="1">
      <c r="A26" s="188" t="s">
        <v>948</v>
      </c>
      <c r="B26" s="158" t="s">
        <v>949</v>
      </c>
      <c r="C26" s="190">
        <f ca="1">ROUND(IF('数据-取费表'!B22&lt;=1,F21*F22*'数据-取费表'!B22/2,F21*(POWER((1+F22),'数据-取费表'!B22/2)-1)),4)</f>
        <v>1.4E-3</v>
      </c>
      <c r="D26" s="190"/>
      <c r="E26" s="193"/>
      <c r="F26" s="191"/>
      <c r="G26" s="195"/>
    </row>
    <row r="27" spans="1:7" s="134" customFormat="1" ht="24.75">
      <c r="A27" s="152" t="s">
        <v>950</v>
      </c>
      <c r="B27" s="196" t="s">
        <v>951</v>
      </c>
      <c r="C27" s="197">
        <f ca="1">C28</f>
        <v>5878011</v>
      </c>
      <c r="D27" s="183">
        <f ca="1">C29</f>
        <v>6.0000000000000001E-3</v>
      </c>
      <c r="E27" s="184" t="s">
        <v>938</v>
      </c>
      <c r="F27" s="198">
        <f ca="1">IF(B1="",'数据-取费表'!Q16,INDIRECT("'数据-取费表'!q"&amp;$G$1))</f>
        <v>0.2</v>
      </c>
      <c r="G27" s="199" t="s">
        <v>952</v>
      </c>
    </row>
    <row r="28" spans="1:7" s="134" customFormat="1" ht="13.5" customHeight="1">
      <c r="A28" s="188" t="s">
        <v>904</v>
      </c>
      <c r="B28" s="200" t="s">
        <v>953</v>
      </c>
      <c r="C28" s="201">
        <f ca="1">ROUND((C5+C19+C20)*F27,0)</f>
        <v>5878011</v>
      </c>
      <c r="D28" s="183"/>
      <c r="E28" s="184"/>
      <c r="F28" s="198"/>
      <c r="G28" s="199"/>
    </row>
    <row r="29" spans="1:7" s="134" customFormat="1" ht="13.5" customHeight="1">
      <c r="A29" s="188" t="s">
        <v>906</v>
      </c>
      <c r="B29" s="200" t="s">
        <v>954</v>
      </c>
      <c r="C29" s="190">
        <f ca="1">ROUND(C21*F27,4)</f>
        <v>6.0000000000000001E-3</v>
      </c>
      <c r="D29" s="183"/>
      <c r="E29" s="184"/>
      <c r="F29" s="198"/>
      <c r="G29" s="199"/>
    </row>
    <row r="30" spans="1:7" s="134" customFormat="1" ht="13.5" customHeight="1">
      <c r="A30" s="152" t="s">
        <v>955</v>
      </c>
      <c r="B30" s="153" t="s">
        <v>956</v>
      </c>
      <c r="C30" s="183">
        <f>ROUND(F30/(1+'数据-取费表'!C42),4)</f>
        <v>5.33E-2</v>
      </c>
      <c r="D30" s="184" t="s">
        <v>938</v>
      </c>
      <c r="E30" s="193"/>
      <c r="F30" s="187">
        <f>'数据-取费表'!B41</f>
        <v>5.6000000000000001E-2</v>
      </c>
      <c r="G30" s="185" t="s">
        <v>957</v>
      </c>
    </row>
    <row r="31" spans="1:7" ht="16.5" customHeight="1">
      <c r="A31" s="202">
        <v>1</v>
      </c>
      <c r="B31" s="153" t="s">
        <v>958</v>
      </c>
      <c r="C31" s="154">
        <f ca="1">ROUND((C5+C19+C20+C22+C27)/(1-C21-D22-D27-C30),0)</f>
        <v>41890205</v>
      </c>
      <c r="D31" s="203"/>
      <c r="E31" s="154"/>
      <c r="F31" s="204"/>
      <c r="G31" s="185" t="s">
        <v>959</v>
      </c>
    </row>
    <row r="32" spans="1:7" s="133" customFormat="1" ht="15.75">
      <c r="A32" s="205" t="s">
        <v>992</v>
      </c>
      <c r="B32" s="206"/>
      <c r="C32" s="206"/>
      <c r="D32" s="206"/>
      <c r="E32" s="206"/>
      <c r="F32" s="206"/>
      <c r="G32" s="207"/>
    </row>
    <row r="33" spans="1:7" s="134" customFormat="1" ht="13.5" customHeight="1">
      <c r="A33" s="152" t="s">
        <v>900</v>
      </c>
      <c r="B33" s="153" t="s">
        <v>993</v>
      </c>
      <c r="C33" s="208">
        <f ca="1">SUM(C34:C38)</f>
        <v>335674446</v>
      </c>
      <c r="D33" s="180"/>
      <c r="E33" s="155"/>
      <c r="F33" s="193"/>
      <c r="G33" s="185"/>
    </row>
    <row r="34" spans="1:7" s="136" customFormat="1" ht="13.5" customHeight="1">
      <c r="A34" s="188" t="s">
        <v>904</v>
      </c>
      <c r="B34" s="158" t="s">
        <v>962</v>
      </c>
      <c r="C34" s="163">
        <f ca="1">ROUND(IF(B1="",SUMPRODUCT('数据-取费表'!K6:K14,'数据-取费表'!L6:L14),INDIRECT("'数据-取费表'!l"&amp;$G$1)*INDIRECT("'数据-取费表'!k"&amp;$G$1)+'数据-取费表'!L14*INDIRECT("'数据-取费表'!S"&amp;$G$1)),0)</f>
        <v>296619540</v>
      </c>
      <c r="D34" s="160"/>
      <c r="E34" s="163"/>
      <c r="F34" s="209"/>
      <c r="G34" s="162"/>
    </row>
    <row r="35" spans="1:7" ht="13.5" customHeight="1">
      <c r="A35" s="188" t="s">
        <v>906</v>
      </c>
      <c r="B35" s="158" t="s">
        <v>964</v>
      </c>
      <c r="C35" s="163">
        <f ca="1">ROUND(C34*F35,0)</f>
        <v>14830977</v>
      </c>
      <c r="D35" s="163"/>
      <c r="E35" s="163"/>
      <c r="F35" s="210">
        <f>'数据-取费表'!B33</f>
        <v>0.05</v>
      </c>
      <c r="G35" s="162" t="s">
        <v>965</v>
      </c>
    </row>
    <row r="36" spans="1:7" ht="24">
      <c r="A36" s="188" t="s">
        <v>908</v>
      </c>
      <c r="B36" s="158" t="s">
        <v>966</v>
      </c>
      <c r="C36" s="163">
        <f ca="1">ROUND(IF(B1="",SUM('数据-取费表'!AP6:AP13)*F36,IF(INDIRECT("'数据-取费表'!c"&amp;$G$1)="住宅",INDIRECT("'数据-取费表'!k"&amp;$G$1)*INDIRECT("'数据-取费表'!l"&amp;$G$1)*F36,0)),0)</f>
        <v>0</v>
      </c>
      <c r="D36" s="163"/>
      <c r="E36" s="163"/>
      <c r="F36" s="210">
        <f>'数据-取费表'!B34</f>
        <v>0</v>
      </c>
      <c r="G36" s="211" t="s">
        <v>967</v>
      </c>
    </row>
    <row r="37" spans="1:7" s="136" customFormat="1" ht="13.5" customHeight="1">
      <c r="A37" s="188" t="s">
        <v>948</v>
      </c>
      <c r="B37" s="158" t="s">
        <v>968</v>
      </c>
      <c r="C37" s="201">
        <f ca="1">ROUND(E37*D37,0)</f>
        <v>19774636</v>
      </c>
      <c r="D37" s="160">
        <f ca="1">D19</f>
        <v>98873.18</v>
      </c>
      <c r="E37" s="201">
        <f>'数据-取费表'!B35</f>
        <v>200</v>
      </c>
      <c r="F37" s="210"/>
      <c r="G37" s="212"/>
    </row>
    <row r="38" spans="1:7" ht="13.5" customHeight="1">
      <c r="A38" s="188" t="s">
        <v>970</v>
      </c>
      <c r="B38" s="158" t="s">
        <v>838</v>
      </c>
      <c r="C38" s="163">
        <f ca="1">ROUND(C34*F38,0)</f>
        <v>4449293</v>
      </c>
      <c r="D38" s="163"/>
      <c r="E38" s="163"/>
      <c r="F38" s="210">
        <f>'数据-取费表'!B36</f>
        <v>1.4999999999999999E-2</v>
      </c>
      <c r="G38" s="162" t="s">
        <v>965</v>
      </c>
    </row>
    <row r="39" spans="1:7" s="134" customFormat="1" ht="13.5" customHeight="1">
      <c r="A39" s="152" t="s">
        <v>931</v>
      </c>
      <c r="B39" s="153" t="s">
        <v>934</v>
      </c>
      <c r="C39" s="180">
        <f ca="1">ROUND(C33*F20,0)</f>
        <v>8391861</v>
      </c>
      <c r="D39" s="180"/>
      <c r="E39" s="180"/>
      <c r="F39" s="181"/>
      <c r="G39" s="185" t="s">
        <v>971</v>
      </c>
    </row>
    <row r="40" spans="1:7" s="134" customFormat="1" ht="13.5" customHeight="1">
      <c r="A40" s="152" t="s">
        <v>933</v>
      </c>
      <c r="B40" s="153" t="s">
        <v>937</v>
      </c>
      <c r="C40" s="2027">
        <f>F21</f>
        <v>0.03</v>
      </c>
      <c r="D40" s="184" t="s">
        <v>972</v>
      </c>
      <c r="E40" s="180"/>
      <c r="F40" s="181"/>
      <c r="G40" s="185" t="s">
        <v>973</v>
      </c>
    </row>
    <row r="41" spans="1:7" s="134" customFormat="1" ht="13.5" customHeight="1">
      <c r="A41" s="152" t="s">
        <v>936</v>
      </c>
      <c r="B41" s="153" t="s">
        <v>941</v>
      </c>
      <c r="C41" s="180">
        <f ca="1">ROUND(SUM(C42:C43),0)</f>
        <v>16343149</v>
      </c>
      <c r="D41" s="183">
        <f ca="1">C44</f>
        <v>1.4E-3</v>
      </c>
      <c r="E41" s="184" t="s">
        <v>972</v>
      </c>
      <c r="F41" s="187"/>
      <c r="G41" s="185" t="str">
        <f>IF('数据-取费表'!B22&lt;=1,"单利计息","复利计息")</f>
        <v>复利计息</v>
      </c>
    </row>
    <row r="42" spans="1:7" ht="13.5" customHeight="1">
      <c r="A42" s="188" t="s">
        <v>904</v>
      </c>
      <c r="B42" s="158" t="s">
        <v>942</v>
      </c>
      <c r="C42" s="190">
        <f ca="1">ROUND(IF('数据-取费表'!B22&lt;=1,C33*F22*'数据-取费表'!B20/2,C33*(POWER((1+F22),'数据-取费表'!B20/2)-1)),0)</f>
        <v>15944536</v>
      </c>
      <c r="D42" s="190"/>
      <c r="E42" s="190"/>
      <c r="F42" s="191"/>
      <c r="G42" s="3454" t="s">
        <v>994</v>
      </c>
    </row>
    <row r="43" spans="1:7" ht="13.5" customHeight="1">
      <c r="A43" s="188" t="s">
        <v>906</v>
      </c>
      <c r="B43" s="158" t="s">
        <v>944</v>
      </c>
      <c r="C43" s="190">
        <f ca="1">ROUND(IF('数据-取费表'!B22&lt;=1,C39*F22*'数据-取费表'!B20/2,C39*(POWER((1+F22),'数据-取费表'!B20/2)-1)),0)</f>
        <v>398613</v>
      </c>
      <c r="D43" s="190"/>
      <c r="E43" s="190"/>
      <c r="F43" s="191"/>
      <c r="G43" s="3455"/>
    </row>
    <row r="44" spans="1:7" ht="13.5" customHeight="1">
      <c r="A44" s="188" t="s">
        <v>908</v>
      </c>
      <c r="B44" s="158" t="s">
        <v>946</v>
      </c>
      <c r="C44" s="190">
        <f ca="1">ROUND(IF('数据-取费表'!B22&lt;=1,C40*F22*'数据-取费表'!B20/2,C40*(POWER((1+F22),'数据-取费表'!B20/2)-1)),4)</f>
        <v>1.4E-3</v>
      </c>
      <c r="D44" s="190"/>
      <c r="E44" s="190"/>
      <c r="F44" s="191"/>
      <c r="G44" s="3456"/>
    </row>
    <row r="45" spans="1:7" s="134" customFormat="1" ht="13.5" customHeight="1">
      <c r="A45" s="152" t="s">
        <v>940</v>
      </c>
      <c r="B45" s="196" t="s">
        <v>951</v>
      </c>
      <c r="C45" s="197">
        <f ca="1">C46</f>
        <v>68813261</v>
      </c>
      <c r="D45" s="183">
        <f ca="1">C47</f>
        <v>6.0000000000000001E-3</v>
      </c>
      <c r="E45" s="184" t="s">
        <v>972</v>
      </c>
      <c r="F45" s="198"/>
      <c r="G45" s="199" t="s">
        <v>975</v>
      </c>
    </row>
    <row r="46" spans="1:7" s="134" customFormat="1" ht="13.5" customHeight="1">
      <c r="A46" s="188" t="s">
        <v>904</v>
      </c>
      <c r="B46" s="200" t="s">
        <v>976</v>
      </c>
      <c r="C46" s="201">
        <f ca="1">ROUND((C33+C39)*F27,0)</f>
        <v>68813261</v>
      </c>
      <c r="D46" s="214"/>
      <c r="E46" s="184"/>
      <c r="F46" s="198"/>
      <c r="G46" s="199"/>
    </row>
    <row r="47" spans="1:7" s="134" customFormat="1" ht="13.5" customHeight="1">
      <c r="A47" s="188" t="s">
        <v>906</v>
      </c>
      <c r="B47" s="200" t="s">
        <v>977</v>
      </c>
      <c r="C47" s="190">
        <f ca="1">ROUND(C40*F27,4)</f>
        <v>6.0000000000000001E-3</v>
      </c>
      <c r="D47" s="214"/>
      <c r="E47" s="184"/>
      <c r="F47" s="198"/>
      <c r="G47" s="199"/>
    </row>
    <row r="48" spans="1:7" s="134" customFormat="1" ht="13.5" customHeight="1">
      <c r="A48" s="152" t="s">
        <v>950</v>
      </c>
      <c r="B48" s="153" t="s">
        <v>956</v>
      </c>
      <c r="C48" s="213">
        <f>ROUND(F30/(1+'数据-取费表'!C42),4)</f>
        <v>5.33E-2</v>
      </c>
      <c r="D48" s="184" t="s">
        <v>972</v>
      </c>
      <c r="E48" s="180"/>
      <c r="F48" s="187"/>
      <c r="G48" s="185" t="s">
        <v>978</v>
      </c>
    </row>
    <row r="49" spans="1:7" ht="16.5" customHeight="1">
      <c r="A49" s="152" t="s">
        <v>955</v>
      </c>
      <c r="B49" s="153" t="s">
        <v>995</v>
      </c>
      <c r="C49" s="180">
        <f ca="1">ROUND((C33+C39+C41+C45)/(1-C40-D41-D45-C48),0)</f>
        <v>472036420</v>
      </c>
      <c r="D49" s="180"/>
      <c r="E49" s="180"/>
      <c r="F49" s="215"/>
      <c r="G49" s="185" t="s">
        <v>980</v>
      </c>
    </row>
    <row r="50" spans="1:7" s="136" customFormat="1">
      <c r="A50" s="152" t="s">
        <v>981</v>
      </c>
      <c r="B50" s="153" t="s">
        <v>982</v>
      </c>
      <c r="C50" s="180"/>
      <c r="D50" s="180"/>
      <c r="E50" s="180"/>
      <c r="F50" s="215">
        <f>IF('数据-取费表'!B24=0,'数据-取费表'!N16,1)</f>
        <v>0.92</v>
      </c>
      <c r="G50" s="199"/>
    </row>
    <row r="51" spans="1:7" ht="16.5" customHeight="1">
      <c r="A51" s="152" t="s">
        <v>984</v>
      </c>
      <c r="B51" s="153" t="s">
        <v>996</v>
      </c>
      <c r="C51" s="180">
        <f ca="1">ROUND(C49*F50,0)</f>
        <v>434273506</v>
      </c>
      <c r="D51" s="180"/>
      <c r="E51" s="180"/>
      <c r="F51" s="215"/>
      <c r="G51" s="185" t="s">
        <v>986</v>
      </c>
    </row>
    <row r="52" spans="1:7" s="133" customFormat="1" ht="15.75">
      <c r="A52" s="216" t="s">
        <v>987</v>
      </c>
      <c r="B52" s="217"/>
      <c r="C52" s="218">
        <f ca="1">C31+C51</f>
        <v>476163711</v>
      </c>
      <c r="D52" s="217"/>
      <c r="E52" s="217"/>
      <c r="F52" s="217"/>
      <c r="G52" s="219"/>
    </row>
    <row r="55" spans="1:7" ht="15">
      <c r="B55" s="220" t="s">
        <v>988</v>
      </c>
      <c r="C55" s="221"/>
    </row>
    <row r="56" spans="1:7">
      <c r="B56" s="222" t="s">
        <v>989</v>
      </c>
      <c r="C56" s="224">
        <f ca="1">1-C57</f>
        <v>8.7999999999999967E-2</v>
      </c>
    </row>
    <row r="57" spans="1:7">
      <c r="B57" s="222" t="s">
        <v>990</v>
      </c>
      <c r="C57" s="223">
        <f ca="1">ROUND(C51/C52,3)</f>
        <v>0.91200000000000003</v>
      </c>
    </row>
  </sheetData>
  <sheetProtection password="C66D" sheet="1" objects="1" scenarios="1" formatCells="0"/>
  <mergeCells count="1">
    <mergeCell ref="G42:G44"/>
  </mergeCells>
  <phoneticPr fontId="225"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69930555555555596" right="0.69930555555555596" top="0.75" bottom="0.75" header="0.3" footer="0.3"/>
  <pageSetup paperSize="9" scale="77" orientation="portrai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132"/>
  <sheetViews>
    <sheetView topLeftCell="A5" zoomScale="80" zoomScaleNormal="80" workbookViewId="0">
      <selection activeCell="C5" sqref="C5:L21"/>
    </sheetView>
  </sheetViews>
  <sheetFormatPr defaultColWidth="9" defaultRowHeight="14.25"/>
  <cols>
    <col min="1" max="1" width="14.375" style="872" customWidth="1"/>
    <col min="2" max="2" width="15.75" style="872" customWidth="1"/>
    <col min="3" max="3" width="14.375" style="872" customWidth="1"/>
    <col min="4" max="4" width="14.125" style="872" customWidth="1"/>
    <col min="5" max="5" width="14.375" style="872" customWidth="1"/>
    <col min="6" max="6" width="12.25" style="872" customWidth="1"/>
    <col min="7" max="7" width="22" style="872" customWidth="1"/>
    <col min="8" max="8" width="17.375" style="872" customWidth="1"/>
    <col min="9" max="9" width="19.625" style="872" customWidth="1"/>
    <col min="10" max="10" width="12.25" style="872" customWidth="1"/>
    <col min="11" max="11" width="12.25" style="873" customWidth="1"/>
    <col min="12" max="12" width="12.25" style="874" customWidth="1"/>
    <col min="13" max="15" width="12.25" style="872" customWidth="1"/>
    <col min="16" max="16" width="4.75" style="872" customWidth="1"/>
    <col min="17" max="17" width="19.5" style="872" customWidth="1"/>
    <col min="18" max="22" width="6.125" style="872" customWidth="1"/>
    <col min="23" max="23" width="5.75" style="872" customWidth="1"/>
    <col min="24" max="24" width="4.25" style="872" customWidth="1"/>
    <col min="25" max="25" width="3.5" style="872" customWidth="1"/>
    <col min="26" max="26" width="19.75" style="872" customWidth="1"/>
    <col min="27" max="28" width="9.375" style="872" customWidth="1"/>
    <col min="29" max="16384" width="9" style="872"/>
  </cols>
  <sheetData>
    <row r="1" spans="1:30" s="865" customFormat="1" ht="28.5" customHeight="1">
      <c r="A1" s="875" t="s">
        <v>1443</v>
      </c>
      <c r="B1" s="876"/>
      <c r="C1" s="877" t="s">
        <v>1444</v>
      </c>
      <c r="D1" s="878"/>
      <c r="E1" s="878"/>
      <c r="F1" s="879" t="s">
        <v>1319</v>
      </c>
      <c r="G1" s="878"/>
      <c r="H1" s="878"/>
      <c r="I1" s="878"/>
      <c r="J1" s="878"/>
      <c r="K1" s="1020"/>
      <c r="L1" s="1021"/>
      <c r="M1" s="1022"/>
      <c r="N1" s="1022"/>
      <c r="O1" s="1022"/>
      <c r="P1" s="1023"/>
      <c r="Q1" s="1023"/>
      <c r="R1" s="1023"/>
      <c r="S1" s="1023"/>
      <c r="T1" s="1023"/>
      <c r="U1" s="1023"/>
      <c r="V1" s="1023"/>
      <c r="W1" s="1023"/>
      <c r="X1" s="1023"/>
      <c r="Y1" s="1023"/>
      <c r="Z1" s="1023"/>
      <c r="AA1" s="1023"/>
      <c r="AB1" s="1023"/>
      <c r="AC1" s="1081"/>
      <c r="AD1" s="1304"/>
    </row>
    <row r="2" spans="1:30" s="865" customFormat="1" ht="28.5" customHeight="1">
      <c r="A2" s="144" t="s">
        <v>895</v>
      </c>
      <c r="B2" s="880">
        <f>F66</f>
        <v>23828</v>
      </c>
      <c r="C2" s="1281"/>
      <c r="D2" s="1281"/>
      <c r="E2" s="881"/>
      <c r="F2" s="882"/>
      <c r="G2" s="881"/>
      <c r="H2" s="881"/>
      <c r="I2" s="881"/>
      <c r="J2" s="881"/>
      <c r="K2" s="1024"/>
      <c r="L2" s="1025"/>
      <c r="M2" s="1026"/>
      <c r="N2" s="1026"/>
      <c r="O2" s="1026"/>
      <c r="P2" s="1023"/>
      <c r="Q2" s="1023"/>
      <c r="R2" s="1023"/>
      <c r="S2" s="1023"/>
      <c r="T2" s="1023"/>
      <c r="U2" s="1023"/>
      <c r="V2" s="1023"/>
      <c r="W2" s="1023"/>
      <c r="X2" s="1023"/>
      <c r="Y2" s="1023"/>
      <c r="Z2" s="1023"/>
      <c r="AA2" s="1023"/>
      <c r="AB2" s="1023"/>
      <c r="AC2" s="1081"/>
      <c r="AD2" s="1304"/>
    </row>
    <row r="3" spans="1:30" s="865" customFormat="1" ht="28.5" customHeight="1">
      <c r="A3" s="147" t="s">
        <v>897</v>
      </c>
      <c r="B3" s="883">
        <f>ROUND(IF(D3="",B2*10000/'数据-汇总表'!E3,B2*10000/D3),0)</f>
        <v>2410</v>
      </c>
      <c r="C3" s="147" t="s">
        <v>1320</v>
      </c>
      <c r="D3" s="884"/>
      <c r="E3" s="881"/>
      <c r="F3" s="882"/>
      <c r="G3" s="881"/>
      <c r="H3" s="881"/>
      <c r="I3" s="881"/>
      <c r="J3" s="881"/>
      <c r="K3" s="1024"/>
      <c r="L3" s="1025"/>
      <c r="M3" s="1026"/>
      <c r="N3" s="1026"/>
      <c r="O3" s="1026"/>
      <c r="P3" s="1023"/>
      <c r="Q3" s="1023"/>
      <c r="R3" s="1023"/>
      <c r="S3" s="1023"/>
      <c r="T3" s="1023"/>
      <c r="U3" s="1023"/>
      <c r="V3" s="1023"/>
      <c r="W3" s="1023"/>
      <c r="X3" s="1023"/>
      <c r="Y3" s="1023"/>
      <c r="Z3" s="1023"/>
      <c r="AA3" s="1023"/>
      <c r="AB3" s="1082"/>
      <c r="AC3" s="1083"/>
    </row>
    <row r="4" spans="1:30" ht="15">
      <c r="A4" s="885" t="s">
        <v>1321</v>
      </c>
      <c r="B4" s="886"/>
      <c r="C4" s="3457" t="s">
        <v>1322</v>
      </c>
      <c r="D4" s="3458"/>
      <c r="E4" s="3459" t="s">
        <v>1323</v>
      </c>
      <c r="F4" s="3460"/>
      <c r="G4" s="3457" t="s">
        <v>1324</v>
      </c>
      <c r="H4" s="3458"/>
      <c r="I4" s="3457" t="s">
        <v>1325</v>
      </c>
      <c r="J4" s="3458"/>
      <c r="K4" s="1027" t="s">
        <v>1326</v>
      </c>
      <c r="L4" s="1028"/>
      <c r="M4" s="1029"/>
      <c r="N4" s="1029"/>
      <c r="O4" s="1029"/>
      <c r="P4" s="3487" t="s">
        <v>1327</v>
      </c>
      <c r="Q4" s="3488"/>
      <c r="R4" s="3493" t="s">
        <v>1323</v>
      </c>
      <c r="S4" s="3494"/>
      <c r="T4" s="3493" t="s">
        <v>1324</v>
      </c>
      <c r="U4" s="3494"/>
      <c r="V4" s="3481" t="s">
        <v>1325</v>
      </c>
      <c r="W4" s="3481"/>
      <c r="X4" s="1069"/>
      <c r="Y4" s="3493" t="s">
        <v>1327</v>
      </c>
      <c r="Z4" s="3494"/>
      <c r="AA4" s="3482" t="s">
        <v>1323</v>
      </c>
      <c r="AB4" s="3483" t="s">
        <v>1324</v>
      </c>
      <c r="AC4" s="3482" t="s">
        <v>1325</v>
      </c>
    </row>
    <row r="5" spans="1:30" ht="15">
      <c r="A5" s="887"/>
      <c r="B5" s="888"/>
      <c r="C5" s="3461" t="s">
        <v>1328</v>
      </c>
      <c r="D5" s="3462"/>
      <c r="E5" s="3463" t="s">
        <v>3326</v>
      </c>
      <c r="F5" s="3462"/>
      <c r="G5" s="3463" t="s">
        <v>3327</v>
      </c>
      <c r="H5" s="3462"/>
      <c r="I5" s="3463" t="s">
        <v>3328</v>
      </c>
      <c r="J5" s="3462"/>
      <c r="K5" s="1027"/>
      <c r="L5" s="1028"/>
      <c r="M5" s="1029"/>
      <c r="N5" s="1029"/>
      <c r="O5" s="1029"/>
      <c r="P5" s="3489"/>
      <c r="Q5" s="3490"/>
      <c r="R5" s="3495"/>
      <c r="S5" s="3496"/>
      <c r="T5" s="3495"/>
      <c r="U5" s="3496"/>
      <c r="V5" s="3481"/>
      <c r="W5" s="3481"/>
      <c r="X5" s="1069"/>
      <c r="Y5" s="3495"/>
      <c r="Z5" s="3496"/>
      <c r="AA5" s="3483"/>
      <c r="AB5" s="3483"/>
      <c r="AC5" s="3483"/>
    </row>
    <row r="6" spans="1:30" ht="15.75" thickBot="1">
      <c r="A6" s="889"/>
      <c r="B6" s="890"/>
      <c r="C6" s="3464" t="s">
        <v>1332</v>
      </c>
      <c r="D6" s="3465"/>
      <c r="E6" s="3466" t="s">
        <v>3329</v>
      </c>
      <c r="F6" s="3467"/>
      <c r="G6" s="3468" t="s">
        <v>3330</v>
      </c>
      <c r="H6" s="3465"/>
      <c r="I6" s="3468" t="s">
        <v>3330</v>
      </c>
      <c r="J6" s="3465"/>
      <c r="K6" s="1027" t="s">
        <v>1333</v>
      </c>
      <c r="L6" s="1028"/>
      <c r="M6" s="1029"/>
      <c r="N6" s="1029"/>
      <c r="O6" s="1029"/>
      <c r="P6" s="3491"/>
      <c r="Q6" s="3492"/>
      <c r="R6" s="3495"/>
      <c r="S6" s="3496"/>
      <c r="T6" s="3497"/>
      <c r="U6" s="3498"/>
      <c r="V6" s="3481"/>
      <c r="W6" s="3481"/>
      <c r="X6" s="1069"/>
      <c r="Y6" s="3497"/>
      <c r="Z6" s="3498"/>
      <c r="AA6" s="3484"/>
      <c r="AB6" s="3484"/>
      <c r="AC6" s="3484"/>
    </row>
    <row r="7" spans="1:30" s="866" customFormat="1" ht="15.75" thickBot="1">
      <c r="A7" s="891" t="s">
        <v>1334</v>
      </c>
      <c r="B7" s="892"/>
      <c r="C7" s="893">
        <f>'数据-取费表'!B2</f>
        <v>43361</v>
      </c>
      <c r="D7" s="894">
        <v>100</v>
      </c>
      <c r="E7" s="895">
        <v>42944</v>
      </c>
      <c r="F7" s="896">
        <f>SUMIF(70:70,YEAR(E7)&amp;"-"&amp;INT((MONTH(E7)+2)/3),71:71)</f>
        <v>98</v>
      </c>
      <c r="G7" s="897">
        <v>43080</v>
      </c>
      <c r="H7" s="894">
        <f>SUMIF(70:70,YEAR(G7)&amp;"-"&amp;INT((MONTH(G7)+2)/3),71:71)</f>
        <v>98.5</v>
      </c>
      <c r="I7" s="897">
        <v>43080</v>
      </c>
      <c r="J7" s="894">
        <f>SUMIF(70:70,YEAR(I7)&amp;"-"&amp;INT((MONTH(I7)+2)/3),71:71)</f>
        <v>98.5</v>
      </c>
      <c r="K7" s="1030"/>
      <c r="L7" s="1031"/>
      <c r="M7" s="1032"/>
      <c r="N7" s="1032"/>
      <c r="O7" s="1032"/>
      <c r="P7" s="3469" t="s">
        <v>1335</v>
      </c>
      <c r="Q7" s="3470"/>
      <c r="R7" s="1070" t="s">
        <v>1336</v>
      </c>
      <c r="S7" s="1071">
        <f t="shared" ref="S7:S15" si="0">F7</f>
        <v>98</v>
      </c>
      <c r="T7" s="1070" t="s">
        <v>1336</v>
      </c>
      <c r="U7" s="1071">
        <f t="shared" ref="U7:U15" si="1">H7</f>
        <v>98.5</v>
      </c>
      <c r="V7" s="1070" t="s">
        <v>1336</v>
      </c>
      <c r="W7" s="1071">
        <f t="shared" ref="W7:W15" si="2">J7</f>
        <v>98.5</v>
      </c>
      <c r="X7" s="1072"/>
      <c r="Y7" s="3469" t="s">
        <v>1335</v>
      </c>
      <c r="Z7" s="3499"/>
      <c r="AA7" s="1084">
        <f>D7/F7</f>
        <v>1.0204081632653061</v>
      </c>
      <c r="AB7" s="1084">
        <f>D7/H7</f>
        <v>1.015228426395939</v>
      </c>
      <c r="AC7" s="1084">
        <f>D7/J7</f>
        <v>1.015228426395939</v>
      </c>
    </row>
    <row r="8" spans="1:30" s="866" customFormat="1" ht="15">
      <c r="A8" s="891" t="s">
        <v>1337</v>
      </c>
      <c r="B8" s="892"/>
      <c r="C8" s="898" t="s">
        <v>1338</v>
      </c>
      <c r="D8" s="894">
        <v>100</v>
      </c>
      <c r="E8" s="898" t="s">
        <v>1338</v>
      </c>
      <c r="F8" s="896">
        <f>SUMIF(73:73,E8,74:74)-SUMIF(73:73,C8,74:74)+100</f>
        <v>100</v>
      </c>
      <c r="G8" s="898" t="s">
        <v>1338</v>
      </c>
      <c r="H8" s="894">
        <f>SUMIF(73:73,G8,74:74)-SUMIF(73:73,C8,74:74)+100</f>
        <v>100</v>
      </c>
      <c r="I8" s="898" t="s">
        <v>1338</v>
      </c>
      <c r="J8" s="894">
        <f>SUMIF(73:73,I8,74:74)-SUMIF(73:73,C8,74:74)+100</f>
        <v>100</v>
      </c>
      <c r="K8" s="1030"/>
      <c r="L8" s="1031"/>
      <c r="M8" s="1032"/>
      <c r="N8" s="1032"/>
      <c r="O8" s="1032"/>
      <c r="P8" s="3469" t="s">
        <v>1339</v>
      </c>
      <c r="Q8" s="3499"/>
      <c r="R8" s="1070" t="s">
        <v>1336</v>
      </c>
      <c r="S8" s="1071">
        <f t="shared" si="0"/>
        <v>100</v>
      </c>
      <c r="T8" s="1070" t="s">
        <v>1336</v>
      </c>
      <c r="U8" s="1071">
        <f t="shared" si="1"/>
        <v>100</v>
      </c>
      <c r="V8" s="1070" t="s">
        <v>1336</v>
      </c>
      <c r="W8" s="1071">
        <f t="shared" si="2"/>
        <v>100</v>
      </c>
      <c r="X8" s="1072"/>
      <c r="Y8" s="3469" t="s">
        <v>1339</v>
      </c>
      <c r="Z8" s="3499"/>
      <c r="AA8" s="1084">
        <f t="shared" ref="AA8:AA45" si="3">D8/F8</f>
        <v>1</v>
      </c>
      <c r="AB8" s="1084">
        <f t="shared" ref="AB8:AB45" si="4">D8/H8</f>
        <v>1</v>
      </c>
      <c r="AC8" s="1084">
        <f t="shared" ref="AC8:AC45" si="5">D8/J8</f>
        <v>1</v>
      </c>
    </row>
    <row r="9" spans="1:30" s="866" customFormat="1">
      <c r="A9" s="899" t="s">
        <v>1340</v>
      </c>
      <c r="B9" s="900" t="s">
        <v>346</v>
      </c>
      <c r="C9" s="901" t="s">
        <v>2041</v>
      </c>
      <c r="D9" s="902">
        <v>100</v>
      </c>
      <c r="E9" s="901" t="s">
        <v>2041</v>
      </c>
      <c r="F9" s="902">
        <f>SUMIF(75:75,E9,76:76)-SUMIF(75:75,C9,76:76)+100</f>
        <v>100</v>
      </c>
      <c r="G9" s="901" t="s">
        <v>2041</v>
      </c>
      <c r="H9" s="902">
        <f>SUMIF(75:75,G9,76:76)-SUMIF(75:75,C9,76:76)+100</f>
        <v>100</v>
      </c>
      <c r="I9" s="901" t="s">
        <v>2041</v>
      </c>
      <c r="J9" s="902">
        <f>SUMIF(75:75,I9,76:76)-SUMIF(75:75,C9,76:76)+100</f>
        <v>100</v>
      </c>
      <c r="K9" s="1030"/>
      <c r="L9" s="1031"/>
      <c r="M9" s="1032"/>
      <c r="N9" s="1032"/>
      <c r="O9" s="1033"/>
      <c r="P9" s="3472" t="s">
        <v>1341</v>
      </c>
      <c r="Q9" s="1074" t="str">
        <f t="shared" ref="Q9:Q15" si="6">B9</f>
        <v>用途</v>
      </c>
      <c r="R9" s="1070" t="s">
        <v>1336</v>
      </c>
      <c r="S9" s="1071">
        <f t="shared" si="0"/>
        <v>100</v>
      </c>
      <c r="T9" s="1070" t="s">
        <v>1336</v>
      </c>
      <c r="U9" s="1071">
        <f t="shared" si="1"/>
        <v>100</v>
      </c>
      <c r="V9" s="1070" t="s">
        <v>1336</v>
      </c>
      <c r="W9" s="1071">
        <f t="shared" si="2"/>
        <v>100</v>
      </c>
      <c r="X9" s="1072"/>
      <c r="Y9" s="3245" t="s">
        <v>1342</v>
      </c>
      <c r="Z9" s="1085" t="str">
        <f t="shared" ref="Z9:Z15" si="7">Q9</f>
        <v>用途</v>
      </c>
      <c r="AA9" s="1084">
        <f t="shared" si="3"/>
        <v>1</v>
      </c>
      <c r="AB9" s="1084">
        <f t="shared" si="4"/>
        <v>1</v>
      </c>
      <c r="AC9" s="1084">
        <f t="shared" si="5"/>
        <v>1</v>
      </c>
    </row>
    <row r="10" spans="1:30" s="867" customFormat="1" ht="27">
      <c r="A10" s="903"/>
      <c r="B10" s="904" t="s">
        <v>1343</v>
      </c>
      <c r="C10" s="905"/>
      <c r="D10" s="906">
        <v>100</v>
      </c>
      <c r="E10" s="1282"/>
      <c r="F10" s="906">
        <f>ROUND(100/'数据-取费表'!G16,0)</f>
        <v>106</v>
      </c>
      <c r="G10" s="1283"/>
      <c r="H10" s="906">
        <f>ROUND(100/'数据-取费表'!G16,0)</f>
        <v>106</v>
      </c>
      <c r="I10" s="1283"/>
      <c r="J10" s="906">
        <f>ROUND(100/'数据-取费表'!G16,0)</f>
        <v>106</v>
      </c>
      <c r="K10" s="1034"/>
      <c r="L10" s="1035"/>
      <c r="M10" s="1036"/>
      <c r="N10" s="1036"/>
      <c r="O10" s="1037"/>
      <c r="P10" s="3472"/>
      <c r="Q10" s="1074" t="str">
        <f t="shared" si="6"/>
        <v>土地使用年限（年）</v>
      </c>
      <c r="R10" s="1070" t="s">
        <v>1336</v>
      </c>
      <c r="S10" s="1071">
        <f t="shared" si="0"/>
        <v>106</v>
      </c>
      <c r="T10" s="1070" t="s">
        <v>1336</v>
      </c>
      <c r="U10" s="1071">
        <f t="shared" si="1"/>
        <v>106</v>
      </c>
      <c r="V10" s="1070" t="s">
        <v>1336</v>
      </c>
      <c r="W10" s="1071">
        <f t="shared" si="2"/>
        <v>106</v>
      </c>
      <c r="X10" s="1072"/>
      <c r="Y10" s="3245"/>
      <c r="Z10" s="1085" t="str">
        <f t="shared" si="7"/>
        <v>土地使用年限（年）</v>
      </c>
      <c r="AA10" s="1084">
        <f t="shared" si="3"/>
        <v>0.94339622641509435</v>
      </c>
      <c r="AB10" s="1084">
        <f t="shared" si="4"/>
        <v>0.94339622641509435</v>
      </c>
      <c r="AC10" s="1084">
        <f t="shared" si="5"/>
        <v>0.94339622641509435</v>
      </c>
    </row>
    <row r="11" spans="1:30" ht="15">
      <c r="A11" s="907"/>
      <c r="B11" s="904" t="s">
        <v>1344</v>
      </c>
      <c r="C11" s="908">
        <f>'数据-汇总表'!I7</f>
        <v>2.16</v>
      </c>
      <c r="D11" s="906">
        <v>100</v>
      </c>
      <c r="E11" s="908">
        <v>5</v>
      </c>
      <c r="F11" s="906">
        <f>LOOKUP(E11,80:80,81:81)-LOOKUP(C11,80:80,81:81)+100</f>
        <v>94</v>
      </c>
      <c r="G11" s="909">
        <v>3</v>
      </c>
      <c r="H11" s="906">
        <f>LOOKUP(G11,80:80,81:81)-LOOKUP(C11,80:80,81:81)+100</f>
        <v>98</v>
      </c>
      <c r="I11" s="908">
        <v>3</v>
      </c>
      <c r="J11" s="906">
        <f>LOOKUP(I11,80:80,81:81)-LOOKUP(C11,80:80,81:81)+100</f>
        <v>98</v>
      </c>
      <c r="K11" s="1038">
        <v>2</v>
      </c>
      <c r="L11" s="1039"/>
      <c r="M11" s="1029"/>
      <c r="N11" s="1029"/>
      <c r="O11" s="1040"/>
      <c r="P11" s="3472"/>
      <c r="Q11" s="1074" t="str">
        <f t="shared" si="6"/>
        <v>容积率</v>
      </c>
      <c r="R11" s="1070" t="s">
        <v>1336</v>
      </c>
      <c r="S11" s="1071">
        <f t="shared" si="0"/>
        <v>94</v>
      </c>
      <c r="T11" s="1070" t="s">
        <v>1336</v>
      </c>
      <c r="U11" s="1071">
        <f t="shared" si="1"/>
        <v>98</v>
      </c>
      <c r="V11" s="1070" t="s">
        <v>1336</v>
      </c>
      <c r="W11" s="1071">
        <f t="shared" si="2"/>
        <v>98</v>
      </c>
      <c r="X11" s="1072"/>
      <c r="Y11" s="3245"/>
      <c r="Z11" s="1085" t="str">
        <f t="shared" si="7"/>
        <v>容积率</v>
      </c>
      <c r="AA11" s="1084">
        <f t="shared" si="3"/>
        <v>1.0638297872340425</v>
      </c>
      <c r="AB11" s="1084">
        <f t="shared" si="4"/>
        <v>1.0204081632653061</v>
      </c>
      <c r="AC11" s="1084">
        <f t="shared" si="5"/>
        <v>1.0204081632653061</v>
      </c>
    </row>
    <row r="12" spans="1:30" s="866" customFormat="1" ht="15" hidden="1">
      <c r="A12" s="910"/>
      <c r="B12" s="911" t="s">
        <v>1445</v>
      </c>
      <c r="C12" s="905"/>
      <c r="D12" s="912">
        <v>100</v>
      </c>
      <c r="E12" s="1282"/>
      <c r="F12" s="906">
        <f>SUMIF(82:82,E12,83:83)-SUMIF(82:82,C12,83:83)+100</f>
        <v>100</v>
      </c>
      <c r="G12" s="1283"/>
      <c r="H12" s="906">
        <f>SUMIF(82:82,G12,83:83)-SUMIF(82:82,C12,83:83)+100</f>
        <v>100</v>
      </c>
      <c r="I12" s="1282"/>
      <c r="J12" s="906">
        <f>SUMIF(82:82,I12,83:83)-SUMIF(82:82,C12,83:83)+100</f>
        <v>100</v>
      </c>
      <c r="K12" s="1034"/>
      <c r="L12" s="1031"/>
      <c r="M12" s="1032"/>
      <c r="N12" s="1032"/>
      <c r="O12" s="1033"/>
      <c r="P12" s="3472"/>
      <c r="Q12" s="1074" t="str">
        <f t="shared" si="6"/>
        <v>配建</v>
      </c>
      <c r="R12" s="1070" t="s">
        <v>1336</v>
      </c>
      <c r="S12" s="1071">
        <f t="shared" si="0"/>
        <v>100</v>
      </c>
      <c r="T12" s="1070" t="s">
        <v>1336</v>
      </c>
      <c r="U12" s="1071">
        <f t="shared" si="1"/>
        <v>100</v>
      </c>
      <c r="V12" s="1070" t="s">
        <v>1336</v>
      </c>
      <c r="W12" s="1071">
        <f t="shared" si="2"/>
        <v>100</v>
      </c>
      <c r="X12" s="1072"/>
      <c r="Y12" s="3245"/>
      <c r="Z12" s="1085" t="str">
        <f t="shared" si="7"/>
        <v>配建</v>
      </c>
      <c r="AA12" s="1084">
        <f t="shared" si="3"/>
        <v>1</v>
      </c>
      <c r="AB12" s="1084">
        <f t="shared" si="4"/>
        <v>1</v>
      </c>
      <c r="AC12" s="1084">
        <f t="shared" si="5"/>
        <v>1</v>
      </c>
    </row>
    <row r="13" spans="1:30" ht="15" hidden="1">
      <c r="A13" s="907"/>
      <c r="B13" s="911">
        <v>111</v>
      </c>
      <c r="C13" s="915"/>
      <c r="D13" s="916">
        <v>100</v>
      </c>
      <c r="E13" s="913"/>
      <c r="F13" s="906">
        <f>SUMIF(84:84,E13,85:85)-SUMIF(84:84,C13,85:85)+100</f>
        <v>100</v>
      </c>
      <c r="G13" s="914"/>
      <c r="H13" s="916">
        <f>SUMIF(84:84,G13,85:85)-SUMIF(84:84,C13,85:85)+100</f>
        <v>100</v>
      </c>
      <c r="I13" s="914"/>
      <c r="J13" s="916">
        <f>SUMIF(84:84,I13,85:85)-SUMIF(84:84,C13,85:85)+100</f>
        <v>100</v>
      </c>
      <c r="K13" s="1034"/>
      <c r="L13" s="1041"/>
      <c r="M13" s="1029"/>
      <c r="N13" s="1029"/>
      <c r="O13" s="1040"/>
      <c r="P13" s="3472"/>
      <c r="Q13" s="1074">
        <f t="shared" si="6"/>
        <v>111</v>
      </c>
      <c r="R13" s="1070" t="s">
        <v>1336</v>
      </c>
      <c r="S13" s="1071">
        <f t="shared" si="0"/>
        <v>100</v>
      </c>
      <c r="T13" s="1070" t="s">
        <v>1336</v>
      </c>
      <c r="U13" s="1071">
        <f t="shared" si="1"/>
        <v>100</v>
      </c>
      <c r="V13" s="1070" t="s">
        <v>1336</v>
      </c>
      <c r="W13" s="1071">
        <f t="shared" si="2"/>
        <v>100</v>
      </c>
      <c r="X13" s="1072"/>
      <c r="Y13" s="3245"/>
      <c r="Z13" s="1085">
        <f t="shared" si="7"/>
        <v>111</v>
      </c>
      <c r="AA13" s="1084">
        <f t="shared" si="3"/>
        <v>1</v>
      </c>
      <c r="AB13" s="1084">
        <f t="shared" si="4"/>
        <v>1</v>
      </c>
      <c r="AC13" s="1084">
        <f t="shared" si="5"/>
        <v>1</v>
      </c>
    </row>
    <row r="14" spans="1:30" ht="15.75" hidden="1" thickBot="1">
      <c r="A14" s="917"/>
      <c r="B14" s="918">
        <v>111</v>
      </c>
      <c r="C14" s="919"/>
      <c r="D14" s="920">
        <v>100</v>
      </c>
      <c r="E14" s="913"/>
      <c r="F14" s="920">
        <f>SUMIF(86:86,E14,87:87)-SUMIF(86:86,C14,87:87)+100</f>
        <v>100</v>
      </c>
      <c r="G14" s="914"/>
      <c r="H14" s="920">
        <f>SUMIF(86:86,G14,87:87)-SUMIF(86:86,C14,87:87)+100</f>
        <v>100</v>
      </c>
      <c r="I14" s="914"/>
      <c r="J14" s="920">
        <f>SUMIF(86:86,I14,87:87)-SUMIF(86:86,C14,87:87)+100</f>
        <v>100</v>
      </c>
      <c r="K14" s="1034"/>
      <c r="L14" s="1041"/>
      <c r="M14" s="1029"/>
      <c r="N14" s="1029"/>
      <c r="O14" s="1040"/>
      <c r="P14" s="3472"/>
      <c r="Q14" s="1074">
        <f t="shared" si="6"/>
        <v>111</v>
      </c>
      <c r="R14" s="1070" t="s">
        <v>1336</v>
      </c>
      <c r="S14" s="1071">
        <f t="shared" si="0"/>
        <v>100</v>
      </c>
      <c r="T14" s="1070" t="s">
        <v>1336</v>
      </c>
      <c r="U14" s="1071">
        <f t="shared" si="1"/>
        <v>100</v>
      </c>
      <c r="V14" s="1070" t="s">
        <v>1336</v>
      </c>
      <c r="W14" s="1071">
        <f t="shared" si="2"/>
        <v>100</v>
      </c>
      <c r="X14" s="1072"/>
      <c r="Y14" s="3245"/>
      <c r="Z14" s="1085">
        <f t="shared" si="7"/>
        <v>111</v>
      </c>
      <c r="AA14" s="1084">
        <f t="shared" si="3"/>
        <v>1</v>
      </c>
      <c r="AB14" s="1084">
        <f t="shared" si="4"/>
        <v>1</v>
      </c>
      <c r="AC14" s="1084">
        <f t="shared" si="5"/>
        <v>1</v>
      </c>
    </row>
    <row r="15" spans="1:30" ht="99.75" hidden="1">
      <c r="A15" s="921" t="s">
        <v>1345</v>
      </c>
      <c r="B15" s="1284" t="s">
        <v>642</v>
      </c>
      <c r="C15" s="1285" t="str">
        <f>估价对象房地状况!C15</f>
        <v>估价对象周边居住用地比例、居住小区规模和社区发展完善程度，综合评价居住社区成熟度一般</v>
      </c>
      <c r="D15" s="924">
        <v>100</v>
      </c>
      <c r="E15" s="925"/>
      <c r="F15" s="924">
        <f>SUMIF(88:88,E16,89:89)-SUMIF(88:88,C16,89:89)+100</f>
        <v>100</v>
      </c>
      <c r="G15" s="925"/>
      <c r="H15" s="924">
        <f>SUMIF(88:88,G16,89:89)-SUMIF(88:88,C16,89:89)+100</f>
        <v>100</v>
      </c>
      <c r="I15" s="1042"/>
      <c r="J15" s="924">
        <f>SUMIF(88:88,I16,89:89)-SUMIF(88:88,C16,89:89)+100</f>
        <v>100</v>
      </c>
      <c r="K15" s="1038"/>
      <c r="L15" s="1041"/>
      <c r="M15" s="1029"/>
      <c r="N15" s="1029"/>
      <c r="O15" s="1040"/>
      <c r="P15" s="3473" t="s">
        <v>1346</v>
      </c>
      <c r="Q15" s="652" t="str">
        <f t="shared" si="6"/>
        <v>居住社区成熟度</v>
      </c>
      <c r="R15" s="1075" t="s">
        <v>1336</v>
      </c>
      <c r="S15" s="1076">
        <f t="shared" si="0"/>
        <v>100</v>
      </c>
      <c r="T15" s="1075" t="s">
        <v>1336</v>
      </c>
      <c r="U15" s="1076">
        <f t="shared" si="1"/>
        <v>100</v>
      </c>
      <c r="V15" s="1075" t="s">
        <v>1336</v>
      </c>
      <c r="W15" s="1076">
        <f t="shared" si="2"/>
        <v>100</v>
      </c>
      <c r="X15" s="1069"/>
      <c r="Y15" s="3473" t="s">
        <v>1346</v>
      </c>
      <c r="Z15" s="1061" t="str">
        <f t="shared" si="7"/>
        <v>居住社区成熟度</v>
      </c>
      <c r="AA15" s="1086">
        <f t="shared" si="3"/>
        <v>1</v>
      </c>
      <c r="AB15" s="1086">
        <f t="shared" si="4"/>
        <v>1</v>
      </c>
      <c r="AC15" s="1086">
        <f t="shared" si="5"/>
        <v>1</v>
      </c>
    </row>
    <row r="16" spans="1:30" ht="15" hidden="1">
      <c r="A16" s="907"/>
      <c r="B16" s="1286"/>
      <c r="C16" s="927"/>
      <c r="D16" s="928"/>
      <c r="E16" s="936"/>
      <c r="F16" s="928"/>
      <c r="G16" s="936"/>
      <c r="H16" s="930"/>
      <c r="I16" s="1044"/>
      <c r="J16" s="928"/>
      <c r="K16" s="1034"/>
      <c r="L16" s="1041"/>
      <c r="M16" s="1029"/>
      <c r="N16" s="1029"/>
      <c r="O16" s="1040"/>
      <c r="P16" s="3474"/>
      <c r="Q16" s="652"/>
      <c r="R16" s="1075"/>
      <c r="S16" s="1076"/>
      <c r="T16" s="1075"/>
      <c r="U16" s="1076"/>
      <c r="V16" s="1075"/>
      <c r="W16" s="1076"/>
      <c r="X16" s="1069"/>
      <c r="Y16" s="3474"/>
      <c r="Z16" s="1061"/>
      <c r="AA16" s="1086">
        <v>1</v>
      </c>
      <c r="AB16" s="1086">
        <v>1</v>
      </c>
      <c r="AC16" s="1086">
        <v>1</v>
      </c>
    </row>
    <row r="17" spans="1:29" ht="71.25">
      <c r="A17" s="907"/>
      <c r="B17" s="1287" t="s">
        <v>646</v>
      </c>
      <c r="C17" s="650" t="str">
        <f>估价对象房地状况!C16</f>
        <v>估价对象位于XX商圈，周边商业氛围成熟，人流量大，商业繁华度好</v>
      </c>
      <c r="D17" s="930">
        <v>100</v>
      </c>
      <c r="E17" s="933"/>
      <c r="F17" s="930">
        <f>SUMIF(90:90,E18,91:91)-SUMIF(90:90,C18,91:91)+100</f>
        <v>100</v>
      </c>
      <c r="G17" s="933"/>
      <c r="H17" s="934">
        <f>SUMIF(90:90,G18,91:91)-SUMIF(90:90,C18,91:91)+100</f>
        <v>100</v>
      </c>
      <c r="I17" s="1043"/>
      <c r="J17" s="934">
        <f>SUMIF(90:90,I18,91:91)-SUMIF(90:90,C18,91:91)+100</f>
        <v>100</v>
      </c>
      <c r="K17" s="1038">
        <v>2</v>
      </c>
      <c r="L17" s="1041"/>
      <c r="M17" s="1029"/>
      <c r="N17" s="1029"/>
      <c r="O17" s="1040"/>
      <c r="P17" s="3474"/>
      <c r="Q17" s="652" t="str">
        <f>B17</f>
        <v>商业繁华度</v>
      </c>
      <c r="R17" s="1075" t="s">
        <v>1336</v>
      </c>
      <c r="S17" s="1076">
        <f>F17</f>
        <v>100</v>
      </c>
      <c r="T17" s="1075" t="s">
        <v>1336</v>
      </c>
      <c r="U17" s="1076">
        <f>H17</f>
        <v>100</v>
      </c>
      <c r="V17" s="1075" t="s">
        <v>1336</v>
      </c>
      <c r="W17" s="1076">
        <f>J17</f>
        <v>100</v>
      </c>
      <c r="X17" s="1069"/>
      <c r="Y17" s="3474"/>
      <c r="Z17" s="1061" t="str">
        <f>Q17</f>
        <v>商业繁华度</v>
      </c>
      <c r="AA17" s="1086">
        <f t="shared" si="3"/>
        <v>1</v>
      </c>
      <c r="AB17" s="1086">
        <f t="shared" si="4"/>
        <v>1</v>
      </c>
      <c r="AC17" s="1086">
        <f t="shared" si="5"/>
        <v>1</v>
      </c>
    </row>
    <row r="18" spans="1:29" ht="15">
      <c r="A18" s="907"/>
      <c r="B18" s="955"/>
      <c r="C18" s="1288" t="s">
        <v>3370</v>
      </c>
      <c r="D18" s="930"/>
      <c r="E18" s="1288" t="s">
        <v>3370</v>
      </c>
      <c r="F18" s="930"/>
      <c r="G18" s="1288" t="s">
        <v>3370</v>
      </c>
      <c r="H18" s="928"/>
      <c r="I18" s="1288" t="s">
        <v>3370</v>
      </c>
      <c r="J18" s="928"/>
      <c r="K18" s="1034"/>
      <c r="L18" s="1041"/>
      <c r="M18" s="1029"/>
      <c r="N18" s="1029"/>
      <c r="O18" s="1040"/>
      <c r="P18" s="3474"/>
      <c r="Q18" s="652"/>
      <c r="R18" s="1075"/>
      <c r="S18" s="1076"/>
      <c r="T18" s="1075"/>
      <c r="U18" s="1076"/>
      <c r="V18" s="1075"/>
      <c r="W18" s="1076"/>
      <c r="X18" s="1069"/>
      <c r="Y18" s="3474"/>
      <c r="Z18" s="1061"/>
      <c r="AA18" s="1086">
        <v>1</v>
      </c>
      <c r="AB18" s="1086">
        <v>1</v>
      </c>
      <c r="AC18" s="1086">
        <v>1</v>
      </c>
    </row>
    <row r="19" spans="1:29" ht="71.25">
      <c r="A19" s="907"/>
      <c r="B19" s="1287" t="s">
        <v>650</v>
      </c>
      <c r="C19" s="650" t="str">
        <f>估价对象房地状况!C17</f>
        <v>估价对象位于XX商圈，周边办公楼项目较多，入驻率高，办公集聚程度较好</v>
      </c>
      <c r="D19" s="934">
        <v>100</v>
      </c>
      <c r="E19" s="1290"/>
      <c r="F19" s="934">
        <f>SUMIF(92:92,E20,93:93)-SUMIF(92:92,C20,93:93)+100</f>
        <v>100</v>
      </c>
      <c r="G19" s="1290"/>
      <c r="H19" s="930">
        <f>SUMIF(92:92,G20,93:93)-SUMIF(92:92,C20,93:93)+100</f>
        <v>100</v>
      </c>
      <c r="I19" s="1298"/>
      <c r="J19" s="930">
        <f>SUMIF(92:92,I20,93:93)-SUMIF(92:92,C20,93:93)+100</f>
        <v>100</v>
      </c>
      <c r="K19" s="1038">
        <v>2</v>
      </c>
      <c r="L19" s="1041"/>
      <c r="M19" s="1029"/>
      <c r="N19" s="1029"/>
      <c r="O19" s="1040"/>
      <c r="P19" s="3474"/>
      <c r="Q19" s="652" t="str">
        <f>B19</f>
        <v>办公集聚程度</v>
      </c>
      <c r="R19" s="1075" t="s">
        <v>1336</v>
      </c>
      <c r="S19" s="1076">
        <f>F19</f>
        <v>100</v>
      </c>
      <c r="T19" s="1075" t="s">
        <v>1336</v>
      </c>
      <c r="U19" s="1076">
        <f>H19</f>
        <v>100</v>
      </c>
      <c r="V19" s="1075" t="s">
        <v>1336</v>
      </c>
      <c r="W19" s="1076">
        <f>J19</f>
        <v>100</v>
      </c>
      <c r="X19" s="1069"/>
      <c r="Y19" s="3474"/>
      <c r="Z19" s="1061" t="str">
        <f>Q19</f>
        <v>办公集聚程度</v>
      </c>
      <c r="AA19" s="1086">
        <f t="shared" si="3"/>
        <v>1</v>
      </c>
      <c r="AB19" s="1086">
        <f t="shared" si="4"/>
        <v>1</v>
      </c>
      <c r="AC19" s="1086">
        <f t="shared" si="5"/>
        <v>1</v>
      </c>
    </row>
    <row r="20" spans="1:29" ht="15">
      <c r="A20" s="907"/>
      <c r="B20" s="955"/>
      <c r="C20" s="927" t="s">
        <v>3370</v>
      </c>
      <c r="D20" s="928"/>
      <c r="E20" s="927" t="s">
        <v>3370</v>
      </c>
      <c r="F20" s="928"/>
      <c r="G20" s="927" t="s">
        <v>3370</v>
      </c>
      <c r="H20" s="928"/>
      <c r="I20" s="927" t="s">
        <v>3370</v>
      </c>
      <c r="J20" s="928"/>
      <c r="K20" s="1034"/>
      <c r="L20" s="1041"/>
      <c r="M20" s="1029"/>
      <c r="N20" s="1029"/>
      <c r="O20" s="1040"/>
      <c r="P20" s="3474"/>
      <c r="Q20" s="652"/>
      <c r="R20" s="1075"/>
      <c r="S20" s="1076"/>
      <c r="T20" s="1075"/>
      <c r="U20" s="1076"/>
      <c r="V20" s="1075"/>
      <c r="W20" s="1076"/>
      <c r="X20" s="1069"/>
      <c r="Y20" s="3474"/>
      <c r="Z20" s="1061"/>
      <c r="AA20" s="1086">
        <v>1</v>
      </c>
      <c r="AB20" s="1086">
        <v>1</v>
      </c>
      <c r="AC20" s="1086">
        <v>1</v>
      </c>
    </row>
    <row r="21" spans="1:29" ht="85.5">
      <c r="A21" s="907"/>
      <c r="B21" s="1287" t="s">
        <v>648</v>
      </c>
      <c r="C21" s="932" t="str">
        <f>估价对象房地状况!C18</f>
        <v>估价对象周边道路状况、公共交通通达情况、停车便捷程度，综合评价交通便捷度较好</v>
      </c>
      <c r="D21" s="930">
        <v>100</v>
      </c>
      <c r="E21" s="933"/>
      <c r="F21" s="934">
        <f>SUMIF(94:94,E22,95:95)-SUMIF(94:94,C22,95:95)+100</f>
        <v>100</v>
      </c>
      <c r="G21" s="933"/>
      <c r="H21" s="930">
        <f>SUMIF(94:94,G22,95:95)-SUMIF(94:94,C22,95:95)+100</f>
        <v>100</v>
      </c>
      <c r="I21" s="1043"/>
      <c r="J21" s="930">
        <f>SUMIF(94:94,I22,95:95)-SUMIF(94:94,C22,95:95)+100</f>
        <v>100</v>
      </c>
      <c r="K21" s="1038">
        <v>2</v>
      </c>
      <c r="L21" s="1041"/>
      <c r="M21" s="1029"/>
      <c r="N21" s="1029"/>
      <c r="O21" s="1040"/>
      <c r="P21" s="3474"/>
      <c r="Q21" s="652" t="str">
        <f>B21</f>
        <v>交通便捷度</v>
      </c>
      <c r="R21" s="1075" t="s">
        <v>1336</v>
      </c>
      <c r="S21" s="1076">
        <f>F21</f>
        <v>100</v>
      </c>
      <c r="T21" s="1075" t="s">
        <v>1336</v>
      </c>
      <c r="U21" s="1076">
        <f>H21</f>
        <v>100</v>
      </c>
      <c r="V21" s="1075" t="s">
        <v>1336</v>
      </c>
      <c r="W21" s="1076">
        <f>J21</f>
        <v>100</v>
      </c>
      <c r="X21" s="1069"/>
      <c r="Y21" s="3474"/>
      <c r="Z21" s="1061" t="str">
        <f>Q21</f>
        <v>交通便捷度</v>
      </c>
      <c r="AA21" s="1086">
        <f t="shared" si="3"/>
        <v>1</v>
      </c>
      <c r="AB21" s="1086">
        <f t="shared" si="4"/>
        <v>1</v>
      </c>
      <c r="AC21" s="1086">
        <f t="shared" si="5"/>
        <v>1</v>
      </c>
    </row>
    <row r="22" spans="1:29" ht="15">
      <c r="A22" s="907"/>
      <c r="B22" s="1291"/>
      <c r="C22" s="927" t="s">
        <v>3370</v>
      </c>
      <c r="D22" s="930"/>
      <c r="E22" s="927" t="s">
        <v>3370</v>
      </c>
      <c r="F22" s="928"/>
      <c r="G22" s="927" t="s">
        <v>3370</v>
      </c>
      <c r="H22" s="928"/>
      <c r="I22" s="927" t="s">
        <v>3370</v>
      </c>
      <c r="J22" s="928"/>
      <c r="K22" s="1034"/>
      <c r="L22" s="1041"/>
      <c r="M22" s="1029"/>
      <c r="N22" s="1029"/>
      <c r="O22" s="1040"/>
      <c r="P22" s="3474"/>
      <c r="Q22" s="652"/>
      <c r="R22" s="1075"/>
      <c r="S22" s="1076"/>
      <c r="T22" s="1075"/>
      <c r="U22" s="1076"/>
      <c r="V22" s="1075"/>
      <c r="W22" s="1076"/>
      <c r="X22" s="1069"/>
      <c r="Y22" s="3474"/>
      <c r="Z22" s="1061"/>
      <c r="AA22" s="1086">
        <v>1</v>
      </c>
      <c r="AB22" s="1086">
        <v>1</v>
      </c>
      <c r="AC22" s="1086">
        <v>1</v>
      </c>
    </row>
    <row r="23" spans="1:29" ht="15">
      <c r="A23" s="887"/>
      <c r="B23" s="1287" t="s">
        <v>662</v>
      </c>
      <c r="C23" s="945">
        <f>估价对象房地状况!C19</f>
        <v>0</v>
      </c>
      <c r="D23" s="934">
        <v>100</v>
      </c>
      <c r="E23" s="933"/>
      <c r="F23" s="934">
        <f>SUMIF(96:96,E24,97:97)-SUMIF(96:96,C24,97:97)+100</f>
        <v>100</v>
      </c>
      <c r="G23" s="1043"/>
      <c r="H23" s="934">
        <f>SUMIF(96:96,G24,97:97)-SUMIF(96:96,C24,97:97)+100</f>
        <v>100</v>
      </c>
      <c r="I23" s="1043"/>
      <c r="J23" s="934">
        <f>SUMIF(96:96,I24,97:97)-SUMIF(96:96,C24,97:97)+100</f>
        <v>100</v>
      </c>
      <c r="K23" s="1038">
        <v>2</v>
      </c>
      <c r="L23" s="1041"/>
      <c r="M23" s="1029"/>
      <c r="N23" s="1029"/>
      <c r="O23" s="1040"/>
      <c r="P23" s="3474"/>
      <c r="Q23" s="652" t="str">
        <f t="shared" ref="Q23:Q38" si="8">B23</f>
        <v>区域土地利用方向</v>
      </c>
      <c r="R23" s="1075" t="s">
        <v>1336</v>
      </c>
      <c r="S23" s="1076">
        <f>F23</f>
        <v>100</v>
      </c>
      <c r="T23" s="1075" t="s">
        <v>1336</v>
      </c>
      <c r="U23" s="1076">
        <f>H23</f>
        <v>100</v>
      </c>
      <c r="V23" s="1075" t="s">
        <v>1336</v>
      </c>
      <c r="W23" s="1076">
        <f>J23</f>
        <v>100</v>
      </c>
      <c r="X23" s="1069"/>
      <c r="Y23" s="3474"/>
      <c r="Z23" s="1061" t="str">
        <f>Q23</f>
        <v>区域土地利用方向</v>
      </c>
      <c r="AA23" s="1086">
        <f t="shared" si="3"/>
        <v>1</v>
      </c>
      <c r="AB23" s="1086">
        <f t="shared" si="4"/>
        <v>1</v>
      </c>
      <c r="AC23" s="1086">
        <f t="shared" si="5"/>
        <v>1</v>
      </c>
    </row>
    <row r="24" spans="1:29" ht="15">
      <c r="A24" s="887"/>
      <c r="B24" s="955"/>
      <c r="C24" s="941" t="s">
        <v>3363</v>
      </c>
      <c r="D24" s="928"/>
      <c r="E24" s="941" t="s">
        <v>3363</v>
      </c>
      <c r="F24" s="928"/>
      <c r="G24" s="941" t="s">
        <v>3363</v>
      </c>
      <c r="H24" s="928"/>
      <c r="I24" s="941" t="s">
        <v>3363</v>
      </c>
      <c r="J24" s="928"/>
      <c r="K24" s="1045"/>
      <c r="L24" s="1041"/>
      <c r="M24" s="1029"/>
      <c r="N24" s="1029"/>
      <c r="O24" s="1040"/>
      <c r="P24" s="3474"/>
      <c r="Q24" s="652"/>
      <c r="R24" s="1075"/>
      <c r="S24" s="1076"/>
      <c r="T24" s="1075"/>
      <c r="U24" s="1076"/>
      <c r="V24" s="1075"/>
      <c r="W24" s="1076"/>
      <c r="X24" s="1069"/>
      <c r="Y24" s="3474"/>
      <c r="Z24" s="1061"/>
      <c r="AA24" s="1086"/>
      <c r="AB24" s="1086"/>
      <c r="AC24" s="1086"/>
    </row>
    <row r="25" spans="1:29" ht="57">
      <c r="A25" s="887"/>
      <c r="B25" s="1291" t="s">
        <v>663</v>
      </c>
      <c r="C25" s="650" t="str">
        <f>估价对象房地状况!C20</f>
        <v>区域自然环境：；人文环境；综合评价环境状况一般</v>
      </c>
      <c r="D25" s="930">
        <v>100</v>
      </c>
      <c r="E25" s="933"/>
      <c r="F25" s="930">
        <f>SUMIF(98:98,E26,99:99)-SUMIF(98:98,C26,99:99)+100</f>
        <v>100</v>
      </c>
      <c r="G25" s="933"/>
      <c r="H25" s="930">
        <f>SUMIF(98:98,G26,99:99)-SUMIF(98:98,C26,99:99)+100</f>
        <v>100</v>
      </c>
      <c r="I25" s="1043"/>
      <c r="J25" s="930">
        <f>SUMIF(98:98,I26,99:99)-SUMIF(98:98,C26,99:99)+100</f>
        <v>100</v>
      </c>
      <c r="K25" s="1038">
        <v>2</v>
      </c>
      <c r="L25" s="1041"/>
      <c r="M25" s="1029"/>
      <c r="N25" s="1029"/>
      <c r="O25" s="1040"/>
      <c r="P25" s="3474"/>
      <c r="Q25" s="652" t="str">
        <f t="shared" si="8"/>
        <v>自然及人文环境状况</v>
      </c>
      <c r="R25" s="1075" t="s">
        <v>1336</v>
      </c>
      <c r="S25" s="1076">
        <f>F25</f>
        <v>100</v>
      </c>
      <c r="T25" s="1075" t="s">
        <v>1336</v>
      </c>
      <c r="U25" s="1076">
        <f>H25</f>
        <v>100</v>
      </c>
      <c r="V25" s="1075" t="s">
        <v>1336</v>
      </c>
      <c r="W25" s="1076">
        <f>J25</f>
        <v>100</v>
      </c>
      <c r="X25" s="1069"/>
      <c r="Y25" s="3474"/>
      <c r="Z25" s="1061" t="str">
        <f>Q25</f>
        <v>自然及人文环境状况</v>
      </c>
      <c r="AA25" s="1086">
        <f t="shared" si="3"/>
        <v>1</v>
      </c>
      <c r="AB25" s="1086">
        <f t="shared" si="4"/>
        <v>1</v>
      </c>
      <c r="AC25" s="1086">
        <f t="shared" si="5"/>
        <v>1</v>
      </c>
    </row>
    <row r="26" spans="1:29" ht="15">
      <c r="A26" s="887"/>
      <c r="B26" s="955"/>
      <c r="C26" s="927" t="s">
        <v>3370</v>
      </c>
      <c r="D26" s="928"/>
      <c r="E26" s="927" t="s">
        <v>3370</v>
      </c>
      <c r="F26" s="928"/>
      <c r="G26" s="927" t="s">
        <v>3370</v>
      </c>
      <c r="H26" s="928"/>
      <c r="I26" s="927" t="s">
        <v>3370</v>
      </c>
      <c r="J26" s="928"/>
      <c r="K26" s="1034"/>
      <c r="L26" s="1041"/>
      <c r="M26" s="1029"/>
      <c r="N26" s="1029"/>
      <c r="O26" s="1040"/>
      <c r="P26" s="3474"/>
      <c r="Q26" s="652"/>
      <c r="R26" s="1075"/>
      <c r="S26" s="1076"/>
      <c r="T26" s="1075"/>
      <c r="U26" s="1076"/>
      <c r="V26" s="1075"/>
      <c r="W26" s="1076"/>
      <c r="X26" s="1069"/>
      <c r="Y26" s="3474"/>
      <c r="Z26" s="1061"/>
      <c r="AA26" s="1086">
        <v>1</v>
      </c>
      <c r="AB26" s="1086">
        <v>1</v>
      </c>
      <c r="AC26" s="1086">
        <v>1</v>
      </c>
    </row>
    <row r="27" spans="1:29" s="866" customFormat="1" ht="42.75">
      <c r="A27" s="937"/>
      <c r="B27" s="1291" t="s">
        <v>652</v>
      </c>
      <c r="C27" s="932" t="str">
        <f>估价对象房地状况!C21</f>
        <v>估价对象所在区域公共配套设施齐备情况</v>
      </c>
      <c r="D27" s="930">
        <v>100</v>
      </c>
      <c r="E27" s="933"/>
      <c r="F27" s="930">
        <f>SUMIF(100:100,E28,101:101)-SUMIF(100:100,C28,101:101)+100</f>
        <v>100</v>
      </c>
      <c r="G27" s="933"/>
      <c r="H27" s="930">
        <f>SUMIF(100:100,G28,101:101)-SUMIF(100:100,C28,101:101)+100</f>
        <v>100</v>
      </c>
      <c r="I27" s="1043"/>
      <c r="J27" s="930">
        <f>SUMIF(100:100,I28,101:101)-SUMIF(100:100,C28,101:101)+100</f>
        <v>100</v>
      </c>
      <c r="K27" s="1038">
        <v>2</v>
      </c>
      <c r="L27" s="1031"/>
      <c r="M27" s="1032"/>
      <c r="N27" s="1032"/>
      <c r="O27" s="1033"/>
      <c r="P27" s="3474"/>
      <c r="Q27" s="1074" t="str">
        <f t="shared" si="8"/>
        <v>公共配套设施</v>
      </c>
      <c r="R27" s="1070" t="s">
        <v>1336</v>
      </c>
      <c r="S27" s="1071">
        <f>F27</f>
        <v>100</v>
      </c>
      <c r="T27" s="1070" t="s">
        <v>1336</v>
      </c>
      <c r="U27" s="1071">
        <f>H27</f>
        <v>100</v>
      </c>
      <c r="V27" s="1070" t="s">
        <v>1336</v>
      </c>
      <c r="W27" s="1071">
        <f>J27</f>
        <v>100</v>
      </c>
      <c r="X27" s="1072"/>
      <c r="Y27" s="3474"/>
      <c r="Z27" s="1085" t="str">
        <f>Q27</f>
        <v>公共配套设施</v>
      </c>
      <c r="AA27" s="1086">
        <f>D27/F27</f>
        <v>1</v>
      </c>
      <c r="AB27" s="1086">
        <f>D27/H27</f>
        <v>1</v>
      </c>
      <c r="AC27" s="1086">
        <f>D27/J27</f>
        <v>1</v>
      </c>
    </row>
    <row r="28" spans="1:29" s="866" customFormat="1" ht="15">
      <c r="A28" s="937"/>
      <c r="B28" s="955"/>
      <c r="C28" s="939" t="s">
        <v>3370</v>
      </c>
      <c r="D28" s="928"/>
      <c r="E28" s="939" t="s">
        <v>3370</v>
      </c>
      <c r="F28" s="928"/>
      <c r="G28" s="939" t="s">
        <v>3370</v>
      </c>
      <c r="H28" s="928"/>
      <c r="I28" s="939" t="s">
        <v>3370</v>
      </c>
      <c r="J28" s="928"/>
      <c r="K28" s="1034"/>
      <c r="L28" s="1031"/>
      <c r="M28" s="1032"/>
      <c r="N28" s="1032"/>
      <c r="O28" s="1033"/>
      <c r="P28" s="3474"/>
      <c r="Q28" s="1074"/>
      <c r="R28" s="1070"/>
      <c r="S28" s="1071"/>
      <c r="T28" s="1070"/>
      <c r="U28" s="1071"/>
      <c r="V28" s="1070"/>
      <c r="W28" s="1071"/>
      <c r="X28" s="1072"/>
      <c r="Y28" s="3474"/>
      <c r="Z28" s="1085"/>
      <c r="AA28" s="1086">
        <v>1</v>
      </c>
      <c r="AB28" s="1086">
        <v>1</v>
      </c>
      <c r="AC28" s="1086">
        <v>1</v>
      </c>
    </row>
    <row r="29" spans="1:29" s="866" customFormat="1" ht="28.5">
      <c r="A29" s="937"/>
      <c r="B29" s="1291" t="s">
        <v>654</v>
      </c>
      <c r="C29" s="932" t="str">
        <f>估价对象房地状况!C22</f>
        <v>估价对象所在区域基础设施水平</v>
      </c>
      <c r="D29" s="930">
        <v>100</v>
      </c>
      <c r="E29" s="933"/>
      <c r="F29" s="930">
        <f>SUMIF(102:102,E30,103:103)-SUMIF(102:102,C30,103:103)+100</f>
        <v>100</v>
      </c>
      <c r="G29" s="933"/>
      <c r="H29" s="930">
        <f>SUMIF(102:102,G30,103:103)-SUMIF(102:102,C30,103:103)+100</f>
        <v>100</v>
      </c>
      <c r="I29" s="1043"/>
      <c r="J29" s="930">
        <f>SUMIF(102:102,I30,103:103)-SUMIF(102:102,C30,103:103)+100</f>
        <v>100</v>
      </c>
      <c r="K29" s="1038">
        <v>1</v>
      </c>
      <c r="L29" s="1031"/>
      <c r="M29" s="1032"/>
      <c r="N29" s="1032"/>
      <c r="O29" s="1033"/>
      <c r="P29" s="3474"/>
      <c r="Q29" s="1074" t="str">
        <f t="shared" ref="Q29" si="9">B29</f>
        <v>基础设施水平</v>
      </c>
      <c r="R29" s="1070" t="s">
        <v>1336</v>
      </c>
      <c r="S29" s="1071">
        <f>F29</f>
        <v>100</v>
      </c>
      <c r="T29" s="1070" t="s">
        <v>1336</v>
      </c>
      <c r="U29" s="1071">
        <f>H29</f>
        <v>100</v>
      </c>
      <c r="V29" s="1070" t="s">
        <v>1336</v>
      </c>
      <c r="W29" s="1071">
        <f>J29</f>
        <v>100</v>
      </c>
      <c r="X29" s="1072"/>
      <c r="Y29" s="3474"/>
      <c r="Z29" s="1085" t="str">
        <f>Q29</f>
        <v>基础设施水平</v>
      </c>
      <c r="AA29" s="1086">
        <f>D29/F29</f>
        <v>1</v>
      </c>
      <c r="AB29" s="1086">
        <f>D29/H29</f>
        <v>1</v>
      </c>
      <c r="AC29" s="1086">
        <f>D29/J29</f>
        <v>1</v>
      </c>
    </row>
    <row r="30" spans="1:29" s="866" customFormat="1" ht="15">
      <c r="A30" s="937"/>
      <c r="B30" s="955"/>
      <c r="C30" s="939" t="s">
        <v>249</v>
      </c>
      <c r="D30" s="928"/>
      <c r="E30" s="939" t="s">
        <v>249</v>
      </c>
      <c r="F30" s="928"/>
      <c r="G30" s="939" t="s">
        <v>249</v>
      </c>
      <c r="H30" s="928"/>
      <c r="I30" s="939" t="s">
        <v>249</v>
      </c>
      <c r="J30" s="928"/>
      <c r="K30" s="1034"/>
      <c r="L30" s="1031"/>
      <c r="M30" s="1032"/>
      <c r="N30" s="1032"/>
      <c r="O30" s="1033"/>
      <c r="P30" s="3474"/>
      <c r="Q30" s="1074"/>
      <c r="R30" s="1070"/>
      <c r="S30" s="1071"/>
      <c r="T30" s="1070"/>
      <c r="U30" s="1071"/>
      <c r="V30" s="1070"/>
      <c r="W30" s="1071"/>
      <c r="X30" s="1072"/>
      <c r="Y30" s="3474"/>
      <c r="Z30" s="1085"/>
      <c r="AA30" s="1086">
        <v>1</v>
      </c>
      <c r="AB30" s="1086">
        <v>1</v>
      </c>
      <c r="AC30" s="1086">
        <v>1</v>
      </c>
    </row>
    <row r="31" spans="1:29" ht="15">
      <c r="A31" s="907"/>
      <c r="B31" s="955" t="s">
        <v>664</v>
      </c>
      <c r="C31" s="941" t="s">
        <v>3369</v>
      </c>
      <c r="D31" s="916">
        <v>100</v>
      </c>
      <c r="E31" s="941" t="s">
        <v>3369</v>
      </c>
      <c r="F31" s="916">
        <f>SUMIF(104:104,E31,105:105)-SUMIF(104:104,C31,105:105)+100</f>
        <v>100</v>
      </c>
      <c r="G31" s="941" t="s">
        <v>3369</v>
      </c>
      <c r="H31" s="916">
        <f>SUMIF(104:104,G31,105:105)-SUMIF(104:104,C31,105:105)+100</f>
        <v>100</v>
      </c>
      <c r="I31" s="941" t="s">
        <v>3369</v>
      </c>
      <c r="J31" s="916">
        <f>SUMIF(104:104,I31,105:105)-SUMIF(104:104,C31,105:105)+100</f>
        <v>100</v>
      </c>
      <c r="K31" s="1038">
        <v>1</v>
      </c>
      <c r="L31" s="1041"/>
      <c r="M31" s="1029"/>
      <c r="N31" s="1029"/>
      <c r="O31" s="1040"/>
      <c r="P31" s="3474"/>
      <c r="Q31" s="652" t="str">
        <f t="shared" si="8"/>
        <v>临街状况</v>
      </c>
      <c r="R31" s="1075" t="s">
        <v>1336</v>
      </c>
      <c r="S31" s="1076">
        <f t="shared" ref="S31:S45" si="10">F31</f>
        <v>100</v>
      </c>
      <c r="T31" s="1075" t="s">
        <v>1336</v>
      </c>
      <c r="U31" s="1076">
        <f t="shared" ref="U31:U45" si="11">H31</f>
        <v>100</v>
      </c>
      <c r="V31" s="1075" t="s">
        <v>1336</v>
      </c>
      <c r="W31" s="1076">
        <f t="shared" ref="W31:W45" si="12">J31</f>
        <v>100</v>
      </c>
      <c r="X31" s="1069"/>
      <c r="Y31" s="3474"/>
      <c r="Z31" s="1061" t="str">
        <f t="shared" ref="Z31:Z45" si="13">Q31</f>
        <v>临街状况</v>
      </c>
      <c r="AA31" s="1086">
        <f t="shared" si="3"/>
        <v>1</v>
      </c>
      <c r="AB31" s="1086">
        <f t="shared" si="4"/>
        <v>1</v>
      </c>
      <c r="AC31" s="1086">
        <f t="shared" si="5"/>
        <v>1</v>
      </c>
    </row>
    <row r="32" spans="1:29" ht="27">
      <c r="A32" s="907"/>
      <c r="B32" s="3158" t="s">
        <v>660</v>
      </c>
      <c r="C32" s="1043"/>
      <c r="D32" s="930">
        <v>100</v>
      </c>
      <c r="E32" s="933"/>
      <c r="F32" s="930">
        <f>SUMIF(106:106,E33,107:107)-SUMIF(106:106,C33,107:107)+100</f>
        <v>102</v>
      </c>
      <c r="G32" s="933"/>
      <c r="H32" s="930">
        <f>SUMIF(106:106,G33,107:107)-SUMIF(106:106,C33,107:107)+100</f>
        <v>102</v>
      </c>
      <c r="I32" s="1043"/>
      <c r="J32" s="930">
        <f>SUMIF(106:106,I33,107:107)-SUMIF(106:106,C33,107:107)+100</f>
        <v>102</v>
      </c>
      <c r="K32" s="1038">
        <v>1</v>
      </c>
      <c r="L32" s="1041"/>
      <c r="M32" s="1029"/>
      <c r="N32" s="1029"/>
      <c r="O32" s="1040"/>
      <c r="P32" s="3474"/>
      <c r="Q32" s="652" t="str">
        <f t="shared" si="8"/>
        <v>毗邻道路的类型与等级</v>
      </c>
      <c r="R32" s="1075" t="s">
        <v>1336</v>
      </c>
      <c r="S32" s="1076">
        <f t="shared" si="10"/>
        <v>102</v>
      </c>
      <c r="T32" s="1075" t="s">
        <v>1336</v>
      </c>
      <c r="U32" s="1076">
        <f t="shared" si="11"/>
        <v>102</v>
      </c>
      <c r="V32" s="1075" t="s">
        <v>1336</v>
      </c>
      <c r="W32" s="1076">
        <f t="shared" si="12"/>
        <v>102</v>
      </c>
      <c r="X32" s="1069"/>
      <c r="Y32" s="3474"/>
      <c r="Z32" s="1061" t="str">
        <f t="shared" si="13"/>
        <v>毗邻道路的类型与等级</v>
      </c>
      <c r="AA32" s="1086">
        <f t="shared" si="3"/>
        <v>0.98039215686274506</v>
      </c>
      <c r="AB32" s="1086">
        <f t="shared" si="4"/>
        <v>0.98039215686274506</v>
      </c>
      <c r="AC32" s="1086">
        <f t="shared" si="5"/>
        <v>0.98039215686274506</v>
      </c>
    </row>
    <row r="33" spans="1:29" ht="15.75" thickBot="1">
      <c r="A33" s="907"/>
      <c r="B33" s="955"/>
      <c r="C33" s="927" t="s">
        <v>3384</v>
      </c>
      <c r="D33" s="928"/>
      <c r="E33" s="929" t="s">
        <v>3366</v>
      </c>
      <c r="F33" s="928"/>
      <c r="G33" s="929" t="s">
        <v>3366</v>
      </c>
      <c r="H33" s="928"/>
      <c r="I33" s="929" t="s">
        <v>3366</v>
      </c>
      <c r="J33" s="928"/>
      <c r="K33" s="1046"/>
      <c r="L33" s="1041"/>
      <c r="M33" s="1029"/>
      <c r="N33" s="1029"/>
      <c r="O33" s="1040"/>
      <c r="P33" s="3474"/>
      <c r="Q33" s="652"/>
      <c r="R33" s="1075"/>
      <c r="S33" s="1076"/>
      <c r="T33" s="1075"/>
      <c r="U33" s="1076"/>
      <c r="V33" s="1075"/>
      <c r="W33" s="1076"/>
      <c r="X33" s="1069"/>
      <c r="Y33" s="3474"/>
      <c r="Z33" s="1061"/>
      <c r="AA33" s="1086">
        <v>1</v>
      </c>
      <c r="AB33" s="1086">
        <v>1</v>
      </c>
      <c r="AC33" s="1086">
        <v>1</v>
      </c>
    </row>
    <row r="34" spans="1:29" ht="15" hidden="1">
      <c r="A34" s="907"/>
      <c r="B34" s="904" t="s">
        <v>665</v>
      </c>
      <c r="C34" s="941"/>
      <c r="D34" s="916">
        <v>100</v>
      </c>
      <c r="E34" s="942"/>
      <c r="F34" s="916">
        <f>SUMIF(108:108,E34,109:109)-SUMIF(108:108,C34,109:109)+100</f>
        <v>100</v>
      </c>
      <c r="G34" s="942"/>
      <c r="H34" s="916">
        <f>SUMIF(108:108,G34,109:109)-SUMIF(108:108,C34,109:109)+100</f>
        <v>100</v>
      </c>
      <c r="I34" s="941"/>
      <c r="J34" s="916">
        <f>SUMIF(108:108,I34,109:109)-SUMIF(108:108,C34,109:109)+100</f>
        <v>100</v>
      </c>
      <c r="K34" s="1047"/>
      <c r="L34" s="1041"/>
      <c r="M34" s="1029"/>
      <c r="N34" s="1029"/>
      <c r="O34" s="1040"/>
      <c r="P34" s="3474"/>
      <c r="Q34" s="652" t="str">
        <f t="shared" si="8"/>
        <v>土地级别</v>
      </c>
      <c r="R34" s="1075" t="s">
        <v>1336</v>
      </c>
      <c r="S34" s="1076">
        <f t="shared" si="10"/>
        <v>100</v>
      </c>
      <c r="T34" s="1075" t="s">
        <v>1336</v>
      </c>
      <c r="U34" s="1076">
        <f t="shared" si="11"/>
        <v>100</v>
      </c>
      <c r="V34" s="1075" t="s">
        <v>1336</v>
      </c>
      <c r="W34" s="1076">
        <f t="shared" si="12"/>
        <v>100</v>
      </c>
      <c r="X34" s="1069"/>
      <c r="Y34" s="3474"/>
      <c r="Z34" s="1061" t="str">
        <f t="shared" si="13"/>
        <v>土地级别</v>
      </c>
      <c r="AA34" s="1086">
        <f t="shared" si="3"/>
        <v>1</v>
      </c>
      <c r="AB34" s="1086">
        <f t="shared" si="4"/>
        <v>1</v>
      </c>
      <c r="AC34" s="1086">
        <f t="shared" si="5"/>
        <v>1</v>
      </c>
    </row>
    <row r="35" spans="1:29" ht="15" hidden="1">
      <c r="A35" s="887"/>
      <c r="B35" s="1292">
        <v>111</v>
      </c>
      <c r="C35" s="914"/>
      <c r="D35" s="916">
        <v>100</v>
      </c>
      <c r="E35" s="947"/>
      <c r="F35" s="916">
        <f>SUMIF(110:110,E35,111:111)-SUMIF(110:110,C35,111:111)+100</f>
        <v>100</v>
      </c>
      <c r="G35" s="947"/>
      <c r="H35" s="916">
        <f>SUMIF(110:110,G35,111:111)-SUMIF(110:110,C35,111:111)+100</f>
        <v>100</v>
      </c>
      <c r="I35" s="914"/>
      <c r="J35" s="916">
        <f>SUMIF(110:110,I35,111:111)-SUMIF(110:110,C35,111:111)+100</f>
        <v>100</v>
      </c>
      <c r="K35" s="1046"/>
      <c r="L35" s="1041"/>
      <c r="M35" s="1029"/>
      <c r="N35" s="1029"/>
      <c r="O35" s="1040"/>
      <c r="P35" s="3474"/>
      <c r="Q35" s="652">
        <f t="shared" si="8"/>
        <v>111</v>
      </c>
      <c r="R35" s="1075" t="s">
        <v>1336</v>
      </c>
      <c r="S35" s="1076">
        <f t="shared" si="10"/>
        <v>100</v>
      </c>
      <c r="T35" s="1075" t="s">
        <v>1336</v>
      </c>
      <c r="U35" s="1076">
        <f t="shared" si="11"/>
        <v>100</v>
      </c>
      <c r="V35" s="1075" t="s">
        <v>1336</v>
      </c>
      <c r="W35" s="1076">
        <f t="shared" si="12"/>
        <v>100</v>
      </c>
      <c r="X35" s="1069"/>
      <c r="Y35" s="3474"/>
      <c r="Z35" s="1061">
        <f t="shared" si="13"/>
        <v>111</v>
      </c>
      <c r="AA35" s="1086">
        <f t="shared" si="3"/>
        <v>1</v>
      </c>
      <c r="AB35" s="1086">
        <f t="shared" si="4"/>
        <v>1</v>
      </c>
      <c r="AC35" s="1086">
        <f t="shared" si="5"/>
        <v>1</v>
      </c>
    </row>
    <row r="36" spans="1:29" ht="15" hidden="1">
      <c r="A36" s="948"/>
      <c r="B36" s="962">
        <v>111</v>
      </c>
      <c r="C36" s="914"/>
      <c r="D36" s="916">
        <v>100</v>
      </c>
      <c r="E36" s="947"/>
      <c r="F36" s="916">
        <f>SUMIF(112:112,E37,113:113)-SUMIF(112:112,C37,113:113)+100</f>
        <v>100</v>
      </c>
      <c r="G36" s="947"/>
      <c r="H36" s="916">
        <f>SUMIF(112:112,G36,113:113)-SUMIF(112:112,C36,113:113)+100</f>
        <v>100</v>
      </c>
      <c r="I36" s="914"/>
      <c r="J36" s="916">
        <f>SUMIF(112:112,I36,113:113)-SUMIF(112:112,C36,113:113)+100</f>
        <v>100</v>
      </c>
      <c r="K36" s="1046"/>
      <c r="L36" s="1041"/>
      <c r="M36" s="1029"/>
      <c r="N36" s="1029"/>
      <c r="O36" s="1040"/>
      <c r="P36" s="3475" t="s">
        <v>1351</v>
      </c>
      <c r="Q36" s="652">
        <f t="shared" si="8"/>
        <v>111</v>
      </c>
      <c r="R36" s="1075" t="s">
        <v>1336</v>
      </c>
      <c r="S36" s="1076">
        <f t="shared" si="10"/>
        <v>100</v>
      </c>
      <c r="T36" s="1075" t="s">
        <v>1336</v>
      </c>
      <c r="U36" s="1076">
        <f t="shared" si="11"/>
        <v>100</v>
      </c>
      <c r="V36" s="1075" t="s">
        <v>1336</v>
      </c>
      <c r="W36" s="1076">
        <f t="shared" si="12"/>
        <v>100</v>
      </c>
      <c r="X36" s="1069"/>
      <c r="Y36" s="3476" t="s">
        <v>1351</v>
      </c>
      <c r="Z36" s="1061">
        <f t="shared" si="13"/>
        <v>111</v>
      </c>
      <c r="AA36" s="1086">
        <f t="shared" si="3"/>
        <v>1</v>
      </c>
      <c r="AB36" s="1086">
        <f t="shared" si="4"/>
        <v>1</v>
      </c>
      <c r="AC36" s="1086">
        <f t="shared" si="5"/>
        <v>1</v>
      </c>
    </row>
    <row r="37" spans="1:29" s="868" customFormat="1" ht="15" hidden="1">
      <c r="A37" s="950"/>
      <c r="B37" s="1293">
        <v>111</v>
      </c>
      <c r="C37" s="952"/>
      <c r="D37" s="953">
        <v>100</v>
      </c>
      <c r="E37" s="954"/>
      <c r="F37" s="920">
        <f>SUMIF(114:114,E37,115:115)-SUMIF(114:114,C37,115:115)+100</f>
        <v>100</v>
      </c>
      <c r="G37" s="954"/>
      <c r="H37" s="920">
        <f>SUMIF(114:114,G37,115:115)-SUMIF(114:114,C37,115:115)+100</f>
        <v>100</v>
      </c>
      <c r="I37" s="952"/>
      <c r="J37" s="920">
        <f>SUMIF(114:114,I37,115:115)-SUMIF(114:114,C37,115:115)+100</f>
        <v>100</v>
      </c>
      <c r="K37" s="1046"/>
      <c r="L37" s="1039"/>
      <c r="M37" s="1048"/>
      <c r="N37" s="1048"/>
      <c r="O37" s="1049"/>
      <c r="P37" s="3476"/>
      <c r="Q37" s="652">
        <f t="shared" si="8"/>
        <v>111</v>
      </c>
      <c r="R37" s="1077" t="s">
        <v>1336</v>
      </c>
      <c r="S37" s="1078">
        <f t="shared" si="10"/>
        <v>100</v>
      </c>
      <c r="T37" s="1077" t="s">
        <v>1336</v>
      </c>
      <c r="U37" s="1078">
        <f t="shared" si="11"/>
        <v>100</v>
      </c>
      <c r="V37" s="1077" t="s">
        <v>1336</v>
      </c>
      <c r="W37" s="1078">
        <f t="shared" si="12"/>
        <v>100</v>
      </c>
      <c r="X37" s="1079"/>
      <c r="Y37" s="3476"/>
      <c r="Z37" s="1087">
        <f t="shared" si="13"/>
        <v>111</v>
      </c>
      <c r="AA37" s="1086">
        <f t="shared" si="3"/>
        <v>1</v>
      </c>
      <c r="AB37" s="1086">
        <f t="shared" si="4"/>
        <v>1</v>
      </c>
      <c r="AC37" s="1086">
        <f t="shared" si="5"/>
        <v>1</v>
      </c>
    </row>
    <row r="38" spans="1:29" ht="15">
      <c r="A38" s="958" t="s">
        <v>1349</v>
      </c>
      <c r="B38" s="955" t="s">
        <v>1446</v>
      </c>
      <c r="C38" s="956">
        <v>136022</v>
      </c>
      <c r="D38" s="957">
        <v>100</v>
      </c>
      <c r="E38" s="956">
        <v>33337.599999999999</v>
      </c>
      <c r="F38" s="957">
        <f>LOOKUP(E38,117:117,118:118)-LOOKUP(C38,117:117,118:118)+100</f>
        <v>98</v>
      </c>
      <c r="G38" s="956">
        <v>84475.6</v>
      </c>
      <c r="H38" s="957">
        <f>LOOKUP(G38,117:117,118:118)-LOOKUP(C38,117:117,118:118)+100</f>
        <v>99</v>
      </c>
      <c r="I38" s="1050">
        <v>8456.9</v>
      </c>
      <c r="J38" s="957">
        <f>LOOKUP(I38,117:117,118:118)-LOOKUP(C38,117:117,118:118)+100</f>
        <v>97.5</v>
      </c>
      <c r="K38" s="1046"/>
      <c r="L38" s="1041"/>
      <c r="M38" s="1029"/>
      <c r="N38" s="1029"/>
      <c r="O38" s="1040"/>
      <c r="P38" s="3476"/>
      <c r="Q38" s="652" t="str">
        <f t="shared" si="8"/>
        <v>宗地面积</v>
      </c>
      <c r="R38" s="1075" t="s">
        <v>1336</v>
      </c>
      <c r="S38" s="1076">
        <f t="shared" si="10"/>
        <v>98</v>
      </c>
      <c r="T38" s="1075" t="s">
        <v>1336</v>
      </c>
      <c r="U38" s="1076">
        <f t="shared" si="11"/>
        <v>99</v>
      </c>
      <c r="V38" s="1075" t="s">
        <v>1336</v>
      </c>
      <c r="W38" s="1076">
        <f t="shared" si="12"/>
        <v>97.5</v>
      </c>
      <c r="X38" s="1069"/>
      <c r="Y38" s="3476"/>
      <c r="Z38" s="1061" t="str">
        <f t="shared" si="13"/>
        <v>宗地面积</v>
      </c>
      <c r="AA38" s="1086">
        <f t="shared" si="3"/>
        <v>1.0204081632653061</v>
      </c>
      <c r="AB38" s="1086">
        <f t="shared" si="4"/>
        <v>1.0101010101010102</v>
      </c>
      <c r="AC38" s="1086">
        <f t="shared" si="5"/>
        <v>1.0256410256410255</v>
      </c>
    </row>
    <row r="39" spans="1:29" ht="15">
      <c r="A39" s="958"/>
      <c r="B39" s="904" t="s">
        <v>1447</v>
      </c>
      <c r="C39" s="959" t="s">
        <v>3359</v>
      </c>
      <c r="D39" s="916">
        <v>100</v>
      </c>
      <c r="E39" s="959" t="s">
        <v>3359</v>
      </c>
      <c r="F39" s="916">
        <f>SUMIF(119:119,E39,120:120)-SUMIF(119:119,C39,120:120)+100</f>
        <v>100</v>
      </c>
      <c r="G39" s="959" t="s">
        <v>3359</v>
      </c>
      <c r="H39" s="916">
        <f>SUMIF(119:119,G39,120:120)-SUMIF(119:119,C39,120:120)+100</f>
        <v>100</v>
      </c>
      <c r="I39" s="959" t="s">
        <v>3359</v>
      </c>
      <c r="J39" s="916">
        <f>SUMIF(119:119,I39,120:120)-SUMIF(119:119,C39,120:120)+100</f>
        <v>100</v>
      </c>
      <c r="K39" s="1047">
        <v>1</v>
      </c>
      <c r="L39" s="1041"/>
      <c r="M39" s="1029"/>
      <c r="N39" s="1029"/>
      <c r="O39" s="1040"/>
      <c r="P39" s="3476"/>
      <c r="Q39" s="652" t="str">
        <f t="shared" ref="Q39:Q45" si="14">B39</f>
        <v>宗地形状</v>
      </c>
      <c r="R39" s="1075" t="s">
        <v>1336</v>
      </c>
      <c r="S39" s="1076">
        <f t="shared" si="10"/>
        <v>100</v>
      </c>
      <c r="T39" s="1075" t="s">
        <v>1336</v>
      </c>
      <c r="U39" s="1076">
        <f t="shared" si="11"/>
        <v>100</v>
      </c>
      <c r="V39" s="1075" t="s">
        <v>1336</v>
      </c>
      <c r="W39" s="1076">
        <f t="shared" si="12"/>
        <v>100</v>
      </c>
      <c r="X39" s="1069"/>
      <c r="Y39" s="3476"/>
      <c r="Z39" s="1061" t="str">
        <f t="shared" si="13"/>
        <v>宗地形状</v>
      </c>
      <c r="AA39" s="1086">
        <f t="shared" si="3"/>
        <v>1</v>
      </c>
      <c r="AB39" s="1086">
        <f t="shared" si="4"/>
        <v>1</v>
      </c>
      <c r="AC39" s="1086">
        <f t="shared" si="5"/>
        <v>1</v>
      </c>
    </row>
    <row r="40" spans="1:29" ht="15">
      <c r="A40" s="958"/>
      <c r="B40" s="904" t="s">
        <v>1448</v>
      </c>
      <c r="C40" s="959" t="s">
        <v>3361</v>
      </c>
      <c r="D40" s="916">
        <v>100</v>
      </c>
      <c r="E40" s="959" t="s">
        <v>3361</v>
      </c>
      <c r="F40" s="916">
        <f>SUMIF(121:121,E40,122:122)-SUMIF(121:121,C40,122:122)+100</f>
        <v>100</v>
      </c>
      <c r="G40" s="959" t="s">
        <v>3361</v>
      </c>
      <c r="H40" s="916">
        <f>SUMIF(121:121,G40,122:122)-SUMIF(121:121,C40,122:122)+100</f>
        <v>100</v>
      </c>
      <c r="I40" s="959" t="s">
        <v>3361</v>
      </c>
      <c r="J40" s="916">
        <f>SUMIF(121:121,I40,122:122)-SUMIF(121:121,C40,122:122)+100</f>
        <v>100</v>
      </c>
      <c r="K40" s="1047">
        <v>1</v>
      </c>
      <c r="L40" s="1041"/>
      <c r="M40" s="1029"/>
      <c r="N40" s="1029"/>
      <c r="O40" s="1040"/>
      <c r="P40" s="3476"/>
      <c r="Q40" s="652" t="str">
        <f t="shared" si="14"/>
        <v>临街宽度及深度</v>
      </c>
      <c r="R40" s="1075" t="s">
        <v>1336</v>
      </c>
      <c r="S40" s="1076">
        <f t="shared" si="10"/>
        <v>100</v>
      </c>
      <c r="T40" s="1075" t="s">
        <v>1336</v>
      </c>
      <c r="U40" s="1076">
        <f t="shared" si="11"/>
        <v>100</v>
      </c>
      <c r="V40" s="1075" t="s">
        <v>1336</v>
      </c>
      <c r="W40" s="1076">
        <f t="shared" si="12"/>
        <v>100</v>
      </c>
      <c r="X40" s="1069"/>
      <c r="Y40" s="3476"/>
      <c r="Z40" s="1061" t="str">
        <f t="shared" si="13"/>
        <v>临街宽度及深度</v>
      </c>
      <c r="AA40" s="1086">
        <f t="shared" si="3"/>
        <v>1</v>
      </c>
      <c r="AB40" s="1086">
        <f t="shared" si="4"/>
        <v>1</v>
      </c>
      <c r="AC40" s="1086">
        <f t="shared" si="5"/>
        <v>1</v>
      </c>
    </row>
    <row r="41" spans="1:29" s="866" customFormat="1" ht="15">
      <c r="A41" s="960"/>
      <c r="B41" s="904" t="s">
        <v>1449</v>
      </c>
      <c r="C41" s="961" t="s">
        <v>249</v>
      </c>
      <c r="D41" s="906">
        <v>100</v>
      </c>
      <c r="E41" s="961" t="s">
        <v>249</v>
      </c>
      <c r="F41" s="916">
        <f>SUMIF(123:123,E41,124:124)-SUMIF(123:123,C41,124:124)+100</f>
        <v>100</v>
      </c>
      <c r="G41" s="961" t="s">
        <v>249</v>
      </c>
      <c r="H41" s="916">
        <f>SUMIF(123:123,G41,124:124)-SUMIF(123:123,C41,124:124)+100</f>
        <v>100</v>
      </c>
      <c r="I41" s="961" t="s">
        <v>249</v>
      </c>
      <c r="J41" s="916">
        <f>SUMIF(123:123,I41,124:124)-SUMIF(123:123,C41,124:124)+100</f>
        <v>100</v>
      </c>
      <c r="K41" s="1047">
        <v>1</v>
      </c>
      <c r="L41" s="1031"/>
      <c r="M41" s="1032"/>
      <c r="N41" s="1032"/>
      <c r="O41" s="1033"/>
      <c r="P41" s="3476"/>
      <c r="Q41" s="652" t="str">
        <f t="shared" si="14"/>
        <v>宗地开发程度</v>
      </c>
      <c r="R41" s="1070" t="s">
        <v>1336</v>
      </c>
      <c r="S41" s="1071">
        <f t="shared" si="10"/>
        <v>100</v>
      </c>
      <c r="T41" s="1070" t="s">
        <v>1336</v>
      </c>
      <c r="U41" s="1071">
        <f t="shared" si="11"/>
        <v>100</v>
      </c>
      <c r="V41" s="1070" t="s">
        <v>1336</v>
      </c>
      <c r="W41" s="1071">
        <f t="shared" si="12"/>
        <v>100</v>
      </c>
      <c r="X41" s="1072"/>
      <c r="Y41" s="3476"/>
      <c r="Z41" s="1085" t="str">
        <f t="shared" si="13"/>
        <v>宗地开发程度</v>
      </c>
      <c r="AA41" s="1084">
        <f t="shared" si="3"/>
        <v>1</v>
      </c>
      <c r="AB41" s="1084">
        <f t="shared" si="4"/>
        <v>1</v>
      </c>
      <c r="AC41" s="1084">
        <f t="shared" si="5"/>
        <v>1</v>
      </c>
    </row>
    <row r="42" spans="1:29" ht="15.75" thickBot="1">
      <c r="A42" s="958"/>
      <c r="B42" s="904" t="s">
        <v>1450</v>
      </c>
      <c r="C42" s="959" t="s">
        <v>3363</v>
      </c>
      <c r="D42" s="916">
        <v>100</v>
      </c>
      <c r="E42" s="959" t="s">
        <v>3363</v>
      </c>
      <c r="F42" s="916">
        <f>SUMIF(125:125,E42,126:126)-SUMIF(125:125,C42,126:126)+100</f>
        <v>100</v>
      </c>
      <c r="G42" s="959" t="s">
        <v>3363</v>
      </c>
      <c r="H42" s="916">
        <f>SUMIF(125:125,G42,126:126)-SUMIF(125:125,C42,126:126)+100</f>
        <v>100</v>
      </c>
      <c r="I42" s="959" t="s">
        <v>3363</v>
      </c>
      <c r="J42" s="916">
        <f>SUMIF(125:125,I42,126:126)-SUMIF(125:125,C42,126:126)+100</f>
        <v>100</v>
      </c>
      <c r="K42" s="1047">
        <v>1</v>
      </c>
      <c r="L42" s="1041"/>
      <c r="M42" s="1029"/>
      <c r="N42" s="1029"/>
      <c r="O42" s="1040"/>
      <c r="P42" s="3476" t="s">
        <v>1351</v>
      </c>
      <c r="Q42" s="652" t="str">
        <f t="shared" si="14"/>
        <v>工程地质条件</v>
      </c>
      <c r="R42" s="1075" t="s">
        <v>1336</v>
      </c>
      <c r="S42" s="1076">
        <f t="shared" si="10"/>
        <v>100</v>
      </c>
      <c r="T42" s="1075" t="s">
        <v>1336</v>
      </c>
      <c r="U42" s="1076">
        <f t="shared" si="11"/>
        <v>100</v>
      </c>
      <c r="V42" s="1075" t="s">
        <v>1336</v>
      </c>
      <c r="W42" s="1076">
        <f t="shared" si="12"/>
        <v>100</v>
      </c>
      <c r="X42" s="1069"/>
      <c r="Y42" s="3476" t="s">
        <v>1351</v>
      </c>
      <c r="Z42" s="1061" t="str">
        <f t="shared" si="13"/>
        <v>工程地质条件</v>
      </c>
      <c r="AA42" s="1086">
        <f t="shared" si="3"/>
        <v>1</v>
      </c>
      <c r="AB42" s="1086">
        <f t="shared" si="4"/>
        <v>1</v>
      </c>
      <c r="AC42" s="1086">
        <f t="shared" si="5"/>
        <v>1</v>
      </c>
    </row>
    <row r="43" spans="1:29" ht="15" hidden="1">
      <c r="A43" s="958"/>
      <c r="B43" s="962">
        <v>111</v>
      </c>
      <c r="C43" s="914"/>
      <c r="D43" s="916">
        <v>100</v>
      </c>
      <c r="E43" s="914"/>
      <c r="F43" s="916">
        <f>SUMIF(127:127,E43,128:128)-SUMIF(127:127,C43,128:128)+100</f>
        <v>100</v>
      </c>
      <c r="G43" s="914"/>
      <c r="H43" s="916">
        <f>SUMIF(127:127,G43,128:128)-SUMIF(127:127,C43,128:128)+100</f>
        <v>100</v>
      </c>
      <c r="I43" s="913"/>
      <c r="J43" s="916">
        <f>SUMIF(127:127,I43,128:128)-SUMIF(127:127,C43,128:128)+100</f>
        <v>100</v>
      </c>
      <c r="K43" s="1046"/>
      <c r="L43" s="1041"/>
      <c r="M43" s="1029"/>
      <c r="N43" s="1029"/>
      <c r="O43" s="1040"/>
      <c r="P43" s="3476"/>
      <c r="Q43" s="652">
        <f t="shared" si="14"/>
        <v>111</v>
      </c>
      <c r="R43" s="1075" t="s">
        <v>1336</v>
      </c>
      <c r="S43" s="1076">
        <f t="shared" si="10"/>
        <v>100</v>
      </c>
      <c r="T43" s="1075" t="s">
        <v>1336</v>
      </c>
      <c r="U43" s="1076">
        <f t="shared" si="11"/>
        <v>100</v>
      </c>
      <c r="V43" s="1075" t="s">
        <v>1336</v>
      </c>
      <c r="W43" s="1076">
        <f t="shared" si="12"/>
        <v>100</v>
      </c>
      <c r="X43" s="1069"/>
      <c r="Y43" s="3476"/>
      <c r="Z43" s="1061">
        <f t="shared" si="13"/>
        <v>111</v>
      </c>
      <c r="AA43" s="1086">
        <f t="shared" si="3"/>
        <v>1</v>
      </c>
      <c r="AB43" s="1086">
        <f t="shared" si="4"/>
        <v>1</v>
      </c>
      <c r="AC43" s="1086">
        <f t="shared" si="5"/>
        <v>1</v>
      </c>
    </row>
    <row r="44" spans="1:29" ht="15" hidden="1">
      <c r="A44" s="958"/>
      <c r="B44" s="962">
        <v>111</v>
      </c>
      <c r="C44" s="914"/>
      <c r="D44" s="916">
        <v>100</v>
      </c>
      <c r="E44" s="914"/>
      <c r="F44" s="916">
        <f>SUMIF(129:129,E44,130:130)-SUMIF(129:129,C44,130:130)+100</f>
        <v>100</v>
      </c>
      <c r="G44" s="914"/>
      <c r="H44" s="916">
        <f>SUMIF(129:129,G44,130:130)-SUMIF(129:129,C44,130:130)+100</f>
        <v>100</v>
      </c>
      <c r="I44" s="913"/>
      <c r="J44" s="916">
        <f>SUMIF(129:129,I44,130:130)-SUMIF(129:129,C44,130:130)+100</f>
        <v>100</v>
      </c>
      <c r="K44" s="1046"/>
      <c r="L44" s="1041"/>
      <c r="M44" s="1029"/>
      <c r="N44" s="1029"/>
      <c r="O44" s="1040"/>
      <c r="P44" s="3476"/>
      <c r="Q44" s="652">
        <f t="shared" si="14"/>
        <v>111</v>
      </c>
      <c r="R44" s="1075" t="s">
        <v>1336</v>
      </c>
      <c r="S44" s="1076">
        <f t="shared" si="10"/>
        <v>100</v>
      </c>
      <c r="T44" s="1075" t="s">
        <v>1336</v>
      </c>
      <c r="U44" s="1076">
        <f t="shared" si="11"/>
        <v>100</v>
      </c>
      <c r="V44" s="1075" t="s">
        <v>1336</v>
      </c>
      <c r="W44" s="1076">
        <f t="shared" si="12"/>
        <v>100</v>
      </c>
      <c r="X44" s="1069"/>
      <c r="Y44" s="3476"/>
      <c r="Z44" s="1061">
        <f t="shared" si="13"/>
        <v>111</v>
      </c>
      <c r="AA44" s="1086">
        <f t="shared" si="3"/>
        <v>1</v>
      </c>
      <c r="AB44" s="1086">
        <f t="shared" si="4"/>
        <v>1</v>
      </c>
      <c r="AC44" s="1086">
        <f t="shared" si="5"/>
        <v>1</v>
      </c>
    </row>
    <row r="45" spans="1:29" s="868" customFormat="1" ht="15" hidden="1">
      <c r="A45" s="963"/>
      <c r="B45" s="962">
        <v>111</v>
      </c>
      <c r="C45" s="964"/>
      <c r="D45" s="1294">
        <v>100</v>
      </c>
      <c r="E45" s="914"/>
      <c r="F45" s="920">
        <f>SUMIF(131:131,E45,132:132)-SUMIF(131:131,C45,132:132)+100</f>
        <v>100</v>
      </c>
      <c r="G45" s="914"/>
      <c r="H45" s="920">
        <f>SUMIF(131:131,G45,132:132)-SUMIF(131:131,C45,132:132)+100</f>
        <v>100</v>
      </c>
      <c r="I45" s="914"/>
      <c r="J45" s="920">
        <f>SUMIF(131:131,I45,132:132)-SUMIF(131:131,C45,132:132)+100</f>
        <v>100</v>
      </c>
      <c r="K45" s="1051"/>
      <c r="L45" s="1039"/>
      <c r="M45" s="1048"/>
      <c r="N45" s="1048"/>
      <c r="O45" s="1049"/>
      <c r="P45" s="3476"/>
      <c r="Q45" s="652">
        <f t="shared" si="14"/>
        <v>111</v>
      </c>
      <c r="R45" s="1077" t="s">
        <v>1336</v>
      </c>
      <c r="S45" s="1078">
        <f t="shared" si="10"/>
        <v>100</v>
      </c>
      <c r="T45" s="1077" t="s">
        <v>1336</v>
      </c>
      <c r="U45" s="1078">
        <f t="shared" si="11"/>
        <v>100</v>
      </c>
      <c r="V45" s="1077" t="s">
        <v>1336</v>
      </c>
      <c r="W45" s="1078">
        <f t="shared" si="12"/>
        <v>100</v>
      </c>
      <c r="X45" s="1079"/>
      <c r="Y45" s="3476"/>
      <c r="Z45" s="1087">
        <f t="shared" si="13"/>
        <v>111</v>
      </c>
      <c r="AA45" s="1086">
        <f t="shared" si="3"/>
        <v>1</v>
      </c>
      <c r="AB45" s="1086">
        <f t="shared" si="4"/>
        <v>1</v>
      </c>
      <c r="AC45" s="1086">
        <f t="shared" si="5"/>
        <v>1</v>
      </c>
    </row>
    <row r="46" spans="1:29" ht="15">
      <c r="A46" s="965" t="s">
        <v>1436</v>
      </c>
      <c r="B46" s="966" t="s">
        <v>1451</v>
      </c>
      <c r="C46" s="967" t="s">
        <v>124</v>
      </c>
      <c r="D46" s="968"/>
      <c r="E46" s="969">
        <v>2305</v>
      </c>
      <c r="F46" s="970"/>
      <c r="G46" s="971">
        <v>2369</v>
      </c>
      <c r="H46" s="972"/>
      <c r="I46" s="969">
        <v>2620</v>
      </c>
      <c r="J46" s="972"/>
      <c r="K46" s="1052"/>
      <c r="L46" s="1053"/>
      <c r="M46" s="982"/>
      <c r="N46" s="1029"/>
      <c r="O46" s="982"/>
      <c r="P46" s="3472" t="str">
        <f>A46</f>
        <v>成交单价</v>
      </c>
      <c r="Q46" s="3472"/>
      <c r="R46" s="3481">
        <f>E46</f>
        <v>2305</v>
      </c>
      <c r="S46" s="3481"/>
      <c r="T46" s="3481">
        <f>G46</f>
        <v>2369</v>
      </c>
      <c r="U46" s="3481"/>
      <c r="V46" s="3481">
        <f>I46</f>
        <v>2620</v>
      </c>
      <c r="W46" s="3481"/>
      <c r="X46" s="1017"/>
      <c r="Y46" s="1088"/>
      <c r="Z46" s="1017"/>
      <c r="AA46" s="1017"/>
      <c r="AB46" s="1017"/>
      <c r="AC46" s="1017"/>
    </row>
    <row r="47" spans="1:29" ht="15.75" thickBot="1">
      <c r="A47" s="973" t="s">
        <v>1363</v>
      </c>
      <c r="B47" s="974"/>
      <c r="C47" s="975">
        <f>R48</f>
        <v>2410</v>
      </c>
      <c r="D47" s="976"/>
      <c r="E47" s="975">
        <f>R47</f>
        <v>2361</v>
      </c>
      <c r="F47" s="977"/>
      <c r="G47" s="978">
        <f>T47</f>
        <v>2293</v>
      </c>
      <c r="H47" s="976"/>
      <c r="I47" s="975">
        <f>V47</f>
        <v>2575</v>
      </c>
      <c r="J47" s="976"/>
      <c r="K47" s="1054"/>
      <c r="L47" s="1053"/>
      <c r="M47" s="982"/>
      <c r="N47" s="982"/>
      <c r="O47" s="982"/>
      <c r="P47" s="3472" t="str">
        <f>A47</f>
        <v>比较价值（元/平方米）</v>
      </c>
      <c r="Q47" s="3472"/>
      <c r="R47" s="3477">
        <f>ROUND(PRODUCT(R46,AA7:AA45),0)</f>
        <v>2361</v>
      </c>
      <c r="S47" s="3477"/>
      <c r="T47" s="3477">
        <f>ROUND(PRODUCT(T46,AB7:AB45),0)</f>
        <v>2293</v>
      </c>
      <c r="U47" s="3477"/>
      <c r="V47" s="3477">
        <f>ROUND(PRODUCT(V46,AC7:AC45),0)</f>
        <v>2575</v>
      </c>
      <c r="W47" s="3477"/>
      <c r="X47" s="1017"/>
      <c r="Y47" s="1017"/>
      <c r="Z47" s="1017"/>
      <c r="AA47" s="1017"/>
      <c r="AB47" s="1017"/>
      <c r="AC47" s="1017"/>
    </row>
    <row r="48" spans="1:29" ht="15">
      <c r="A48" s="979" t="s">
        <v>1452</v>
      </c>
      <c r="B48" s="980"/>
      <c r="C48" s="981">
        <f>R48</f>
        <v>2410</v>
      </c>
      <c r="D48" s="981"/>
      <c r="E48" s="981"/>
      <c r="F48" s="981"/>
      <c r="G48" s="981"/>
      <c r="H48" s="981"/>
      <c r="I48" s="981"/>
      <c r="J48" s="981"/>
      <c r="K48" s="1055"/>
      <c r="L48" s="1053"/>
      <c r="M48" s="982"/>
      <c r="N48" s="982"/>
      <c r="O48" s="982"/>
      <c r="P48" s="3478" t="str">
        <f>A48</f>
        <v>估价对象XX用房的比较价值（楼面单价，元/平方米）</v>
      </c>
      <c r="Q48" s="3479"/>
      <c r="R48" s="3480">
        <f>ROUND(AVERAGE(R47:V47),0)</f>
        <v>2410</v>
      </c>
      <c r="S48" s="3480"/>
      <c r="T48" s="3480"/>
      <c r="U48" s="3480"/>
      <c r="V48" s="3480"/>
      <c r="W48" s="3480"/>
      <c r="X48" s="1017"/>
      <c r="Y48" s="1017"/>
      <c r="Z48" s="1017"/>
      <c r="AA48" s="1017"/>
      <c r="AB48" s="1017"/>
      <c r="AC48" s="1017"/>
    </row>
    <row r="49" spans="1:15">
      <c r="A49" s="982"/>
      <c r="B49" s="982"/>
      <c r="C49" s="982"/>
      <c r="D49" s="982"/>
      <c r="E49" s="982"/>
      <c r="F49" s="982"/>
      <c r="G49" s="983"/>
      <c r="H49" s="982"/>
      <c r="I49" s="982"/>
      <c r="J49" s="982"/>
      <c r="K49" s="1057"/>
      <c r="L49" s="1058"/>
      <c r="M49" s="982"/>
      <c r="N49" s="982"/>
      <c r="O49" s="982"/>
    </row>
    <row r="50" spans="1:15">
      <c r="A50" s="982"/>
      <c r="B50" s="982"/>
      <c r="C50" s="982"/>
      <c r="D50" s="982"/>
      <c r="E50" s="982"/>
      <c r="F50" s="982"/>
      <c r="G50" s="982"/>
      <c r="H50" s="982"/>
      <c r="I50" s="982"/>
      <c r="J50" s="982"/>
      <c r="K50" s="1057"/>
      <c r="L50" s="1058"/>
      <c r="M50" s="982"/>
      <c r="N50" s="982"/>
      <c r="O50" s="982"/>
    </row>
    <row r="51" spans="1:15" ht="13.5" customHeight="1">
      <c r="A51" s="982"/>
      <c r="B51" s="982"/>
      <c r="C51" s="984" t="s">
        <v>1365</v>
      </c>
      <c r="D51" s="692"/>
      <c r="E51" s="985">
        <f>IF(E46&lt;E47,E47/E46-1,E46/E47-1)</f>
        <v>2.4295010845986953E-2</v>
      </c>
      <c r="F51" s="986" t="str">
        <f>IF(OR(E51&gt;=0.3,E51&lt;=-0.3),"超过30%","")</f>
        <v/>
      </c>
      <c r="G51" s="985">
        <f>IF(G46&lt;G47,G47/G46-1,G46/G47-1)</f>
        <v>3.3144352376798913E-2</v>
      </c>
      <c r="H51" s="986" t="str">
        <f>IF(OR(G51&gt;=0.3,G51&lt;=-0.3),"超过30%","")</f>
        <v/>
      </c>
      <c r="I51" s="985">
        <f>IF(I46&lt;I47,I47/I46-1,I46/I47-1)</f>
        <v>1.7475728155339709E-2</v>
      </c>
      <c r="J51" s="986" t="str">
        <f>IF(OR(I51&gt;=0.3,I51&lt;=-0.3),"超过30%","")</f>
        <v/>
      </c>
      <c r="K51" s="1057"/>
      <c r="L51" s="1058"/>
      <c r="M51" s="982"/>
      <c r="N51" s="982"/>
      <c r="O51" s="982"/>
    </row>
    <row r="52" spans="1:15" ht="13.5" customHeight="1">
      <c r="A52" s="982"/>
      <c r="B52" s="982"/>
      <c r="C52" s="984" t="s">
        <v>1366</v>
      </c>
      <c r="D52" s="691"/>
      <c r="E52" s="985">
        <f>IF(E47&lt;G47,G47/E47-1,E47/G47-1)</f>
        <v>2.965547317924111E-2</v>
      </c>
      <c r="F52" s="986" t="str">
        <f>IF(OR(E52&gt;=0.2,E52&lt;=-0.2),"超过20%","")</f>
        <v/>
      </c>
      <c r="G52" s="985">
        <f>IF(G47&lt;I47,I47/G47-1,G47/I47-1)</f>
        <v>0.1229829917139118</v>
      </c>
      <c r="H52" s="986" t="str">
        <f>IF(OR(G52&gt;=0.2,G52&lt;=-0.2),"超过20%","")</f>
        <v/>
      </c>
      <c r="I52" s="985">
        <f>IF(I47&lt;E47,E47/I47-1,I47/E47-1)</f>
        <v>9.0639559508682854E-2</v>
      </c>
      <c r="J52" s="986" t="str">
        <f>IF(OR(I52&gt;=0.2,I52&lt;=-0.2),"超过20%","")</f>
        <v/>
      </c>
      <c r="K52" s="1057"/>
      <c r="L52" s="1058"/>
      <c r="M52" s="982"/>
      <c r="N52" s="982"/>
      <c r="O52" s="982"/>
    </row>
    <row r="53" spans="1:15" s="869" customFormat="1" ht="13.5" customHeight="1">
      <c r="A53" s="987"/>
      <c r="B53" s="987"/>
      <c r="C53" s="984" t="s">
        <v>1367</v>
      </c>
      <c r="D53" s="691"/>
      <c r="E53" s="985">
        <f>IF(E46&lt;G46,G46/E46-1,E46/G46-1)</f>
        <v>2.7765726681127978E-2</v>
      </c>
      <c r="F53" s="986" t="str">
        <f>IF(OR(E53&gt;=0.3,E53&lt;=-0.3),"超过30%","")</f>
        <v/>
      </c>
      <c r="G53" s="985">
        <f>IF(G46&lt;I46,I46/G46-1,G46/I46-1)</f>
        <v>0.10595187842971709</v>
      </c>
      <c r="H53" s="986" t="str">
        <f>IF(OR(G53&gt;=0.3,G53&lt;=-0.3),"超过30%","")</f>
        <v/>
      </c>
      <c r="I53" s="985">
        <f>IF(I46&lt;E46,E46/I46-1,I46/E46-1)</f>
        <v>0.1366594360086768</v>
      </c>
      <c r="J53" s="986" t="str">
        <f>IF(OR(I53&gt;=0.3,I53&lt;=-0.3),"超过30%","")</f>
        <v/>
      </c>
      <c r="K53" s="1059"/>
      <c r="L53" s="1060"/>
      <c r="M53" s="987"/>
      <c r="N53" s="987"/>
      <c r="O53" s="987"/>
    </row>
    <row r="54" spans="1:15" s="869" customFormat="1">
      <c r="A54" s="987"/>
      <c r="B54" s="988"/>
      <c r="C54" s="989"/>
      <c r="D54" s="990"/>
      <c r="E54" s="990"/>
      <c r="F54" s="990"/>
      <c r="G54" s="990"/>
      <c r="H54" s="990"/>
      <c r="I54" s="990"/>
      <c r="J54" s="990"/>
      <c r="K54" s="1059"/>
      <c r="L54" s="1060"/>
      <c r="M54" s="987"/>
      <c r="N54" s="987"/>
      <c r="O54" s="987"/>
    </row>
    <row r="55" spans="1:15" ht="27" customHeight="1">
      <c r="A55" s="991" t="s">
        <v>1453</v>
      </c>
      <c r="B55" s="992" t="s">
        <v>1454</v>
      </c>
      <c r="C55" s="993" t="s">
        <v>1455</v>
      </c>
      <c r="D55" s="994" t="s">
        <v>1456</v>
      </c>
      <c r="E55" s="995" t="s">
        <v>1457</v>
      </c>
      <c r="F55" s="1295" t="s">
        <v>1458</v>
      </c>
      <c r="G55" s="3457" t="s">
        <v>1459</v>
      </c>
      <c r="H55" s="3485"/>
      <c r="I55" s="1299" t="s">
        <v>1460</v>
      </c>
      <c r="J55" s="1300" t="str">
        <f>项目基本情况!F35</f>
        <v>贵州省贵阳市</v>
      </c>
      <c r="K55" s="1062" t="s">
        <v>1461</v>
      </c>
      <c r="L55" s="1058"/>
      <c r="M55" s="982"/>
      <c r="N55" s="982"/>
      <c r="O55" s="982"/>
    </row>
    <row r="56" spans="1:15" s="870" customFormat="1">
      <c r="A56" s="997" t="s">
        <v>1462</v>
      </c>
      <c r="B56" s="998">
        <f>C48</f>
        <v>2410</v>
      </c>
      <c r="C56" s="999">
        <v>1</v>
      </c>
      <c r="D56" s="1000">
        <v>1</v>
      </c>
      <c r="E56" s="999">
        <f>'数据-汇总表'!E8+'数据-汇总表'!E9</f>
        <v>98873.18</v>
      </c>
      <c r="F56" s="1296">
        <f t="shared" ref="F56:F65" si="15">ROUND(B56*E56/10000,0)</f>
        <v>23828</v>
      </c>
      <c r="G56" s="3486"/>
      <c r="H56" s="3472"/>
      <c r="I56" s="1301">
        <v>1</v>
      </c>
      <c r="J56" s="1302">
        <v>1</v>
      </c>
      <c r="K56" s="987"/>
      <c r="L56" s="1063"/>
      <c r="M56" s="1063"/>
      <c r="N56" s="1063"/>
      <c r="O56" s="1063"/>
    </row>
    <row r="57" spans="1:15" s="870" customFormat="1">
      <c r="A57" s="1002" t="s">
        <v>1463</v>
      </c>
      <c r="B57" s="161">
        <f>ROUND($C$48*C57*D57,0)</f>
        <v>0</v>
      </c>
      <c r="C57" s="597">
        <f t="shared" ref="C57:C65" si="16">IF($C$55="北京市系数",I57,J57)</f>
        <v>0</v>
      </c>
      <c r="D57" s="1003">
        <v>0.25</v>
      </c>
      <c r="E57" s="1004"/>
      <c r="F57" s="1296">
        <f t="shared" si="15"/>
        <v>0</v>
      </c>
      <c r="G57" s="3471" t="s">
        <v>1464</v>
      </c>
      <c r="H57" s="1006">
        <f>项目基本情况!B37</f>
        <v>0</v>
      </c>
      <c r="I57" s="1301">
        <f>SUMIF(修正!A45:A56,H57,修正!B45:B56)</f>
        <v>0</v>
      </c>
      <c r="J57" s="1303"/>
      <c r="K57" s="982"/>
      <c r="L57" s="1063"/>
      <c r="M57" s="1063"/>
      <c r="N57" s="1063"/>
      <c r="O57" s="1063"/>
    </row>
    <row r="58" spans="1:15" s="870" customFormat="1">
      <c r="A58" s="1002" t="s">
        <v>1465</v>
      </c>
      <c r="B58" s="161">
        <f t="shared" ref="B58:B65" si="17">ROUND($C$48*C58*D58,0)</f>
        <v>0</v>
      </c>
      <c r="C58" s="597">
        <f t="shared" si="16"/>
        <v>0</v>
      </c>
      <c r="D58" s="1003">
        <v>0.25</v>
      </c>
      <c r="E58" s="1004"/>
      <c r="F58" s="1296">
        <f t="shared" si="15"/>
        <v>0</v>
      </c>
      <c r="G58" s="3471"/>
      <c r="H58" s="1006">
        <f>项目基本情况!B37</f>
        <v>0</v>
      </c>
      <c r="I58" s="1301">
        <f>SUMIF(修正!A45:A56,H58,修正!C45:C56)</f>
        <v>0</v>
      </c>
      <c r="J58" s="1303"/>
      <c r="K58" s="987"/>
      <c r="L58" s="1063"/>
      <c r="M58" s="1063"/>
      <c r="N58" s="1063"/>
      <c r="O58" s="1063"/>
    </row>
    <row r="59" spans="1:15" s="870" customFormat="1">
      <c r="A59" s="1002" t="s">
        <v>1466</v>
      </c>
      <c r="B59" s="161">
        <f t="shared" si="17"/>
        <v>0</v>
      </c>
      <c r="C59" s="597">
        <f t="shared" si="16"/>
        <v>0</v>
      </c>
      <c r="D59" s="1003">
        <v>0.25</v>
      </c>
      <c r="E59" s="1004"/>
      <c r="F59" s="1296">
        <f t="shared" si="15"/>
        <v>0</v>
      </c>
      <c r="G59" s="3471"/>
      <c r="H59" s="1006">
        <f>项目基本情况!B37</f>
        <v>0</v>
      </c>
      <c r="I59" s="1301">
        <f>SUMIF(修正!A45:A56,H59,修正!D45:D56)</f>
        <v>0</v>
      </c>
      <c r="J59" s="1303"/>
      <c r="K59" s="982"/>
      <c r="L59" s="1063"/>
      <c r="M59" s="1063"/>
      <c r="N59" s="1063"/>
      <c r="O59" s="1063"/>
    </row>
    <row r="60" spans="1:15" s="870" customFormat="1">
      <c r="A60" s="1002" t="s">
        <v>1467</v>
      </c>
      <c r="B60" s="161">
        <f t="shared" si="17"/>
        <v>0</v>
      </c>
      <c r="C60" s="597">
        <f t="shared" si="16"/>
        <v>0</v>
      </c>
      <c r="D60" s="1003">
        <v>0.25</v>
      </c>
      <c r="E60" s="1004"/>
      <c r="F60" s="1296">
        <f t="shared" si="15"/>
        <v>0</v>
      </c>
      <c r="G60" s="3471"/>
      <c r="H60" s="1006">
        <f>项目基本情况!B37</f>
        <v>0</v>
      </c>
      <c r="I60" s="1301">
        <f>SUMIF(修正!A45:A56,H60,修正!E45:E56)</f>
        <v>0</v>
      </c>
      <c r="J60" s="1303"/>
      <c r="K60" s="987"/>
      <c r="L60" s="1063"/>
      <c r="M60" s="1063"/>
      <c r="N60" s="1063"/>
      <c r="O60" s="1063"/>
    </row>
    <row r="61" spans="1:15" s="870" customFormat="1">
      <c r="A61" s="1002" t="s">
        <v>1468</v>
      </c>
      <c r="B61" s="161">
        <f t="shared" si="17"/>
        <v>0</v>
      </c>
      <c r="C61" s="597">
        <f t="shared" si="16"/>
        <v>0</v>
      </c>
      <c r="D61" s="1003">
        <v>0.25</v>
      </c>
      <c r="E61" s="160">
        <f>'数据-汇总表'!E11</f>
        <v>0</v>
      </c>
      <c r="F61" s="1296">
        <f t="shared" si="15"/>
        <v>0</v>
      </c>
      <c r="G61" s="1005" t="s">
        <v>1469</v>
      </c>
      <c r="H61" s="1006">
        <f>项目基本情况!C37</f>
        <v>0</v>
      </c>
      <c r="I61" s="1301">
        <f>SUMIF(修正!A45:A56,H61,修正!F45:F56)</f>
        <v>0</v>
      </c>
      <c r="J61" s="1303"/>
      <c r="K61" s="982"/>
      <c r="L61" s="1063"/>
      <c r="M61" s="1063"/>
      <c r="N61" s="1063"/>
      <c r="O61" s="1063"/>
    </row>
    <row r="62" spans="1:15" s="870" customFormat="1">
      <c r="A62" s="1002" t="s">
        <v>1470</v>
      </c>
      <c r="B62" s="161">
        <f t="shared" si="17"/>
        <v>0</v>
      </c>
      <c r="C62" s="597">
        <f t="shared" si="16"/>
        <v>0</v>
      </c>
      <c r="D62" s="1003">
        <v>0.25</v>
      </c>
      <c r="E62" s="160">
        <f>'数据-汇总表'!E12</f>
        <v>0</v>
      </c>
      <c r="F62" s="1296">
        <f t="shared" si="15"/>
        <v>0</v>
      </c>
      <c r="G62" s="1007" t="s">
        <v>1471</v>
      </c>
      <c r="H62" s="1006">
        <f>IF(G62="商业",项目基本情况!B37,IF(G62="办公",项目基本情况!C37,IF(G62="住宅",项目基本情况!D37,项目基本情况!E37)))</f>
        <v>0</v>
      </c>
      <c r="I62" s="1301">
        <f>SUMIF(修正!A45:A56,H62,修正!G45:G56)</f>
        <v>0</v>
      </c>
      <c r="J62" s="1303"/>
      <c r="K62" s="987"/>
      <c r="L62" s="1063"/>
      <c r="M62" s="1063"/>
      <c r="N62" s="1063"/>
      <c r="O62" s="1063"/>
    </row>
    <row r="63" spans="1:15" s="870" customFormat="1">
      <c r="A63" s="1002" t="s">
        <v>1472</v>
      </c>
      <c r="B63" s="161">
        <f t="shared" si="17"/>
        <v>0</v>
      </c>
      <c r="C63" s="597">
        <f t="shared" si="16"/>
        <v>0</v>
      </c>
      <c r="D63" s="1003">
        <v>0.25</v>
      </c>
      <c r="E63" s="160">
        <f>'数据-汇总表'!E13</f>
        <v>0</v>
      </c>
      <c r="F63" s="1296">
        <f t="shared" si="15"/>
        <v>0</v>
      </c>
      <c r="G63" s="1007" t="s">
        <v>1473</v>
      </c>
      <c r="H63" s="1006">
        <f>IF(G63="商业",项目基本情况!B37,IF(G63="办公",项目基本情况!C37,IF(G63="住宅",项目基本情况!D37,项目基本情况!E37)))</f>
        <v>0</v>
      </c>
      <c r="I63" s="1301">
        <f>SUMIF(修正!A45:A56,H63,修正!H45:H56)</f>
        <v>0</v>
      </c>
      <c r="J63" s="1303"/>
      <c r="K63" s="982"/>
      <c r="L63" s="1063"/>
      <c r="M63" s="1063"/>
      <c r="N63" s="1063"/>
      <c r="O63" s="1063"/>
    </row>
    <row r="64" spans="1:15" s="870" customFormat="1">
      <c r="A64" s="1002" t="s">
        <v>1474</v>
      </c>
      <c r="B64" s="161">
        <f t="shared" si="17"/>
        <v>0</v>
      </c>
      <c r="C64" s="597">
        <f t="shared" si="16"/>
        <v>0</v>
      </c>
      <c r="D64" s="1003">
        <v>0.25</v>
      </c>
      <c r="E64" s="160">
        <f>'数据-汇总表'!E14</f>
        <v>0</v>
      </c>
      <c r="F64" s="1296">
        <f t="shared" si="15"/>
        <v>0</v>
      </c>
      <c r="G64" s="1005" t="s">
        <v>1464</v>
      </c>
      <c r="H64" s="1006">
        <f>项目基本情况!B37</f>
        <v>0</v>
      </c>
      <c r="I64" s="1301">
        <f>SUMIF(修正!A45:A56,H64,修正!H45:H56)</f>
        <v>0</v>
      </c>
      <c r="J64" s="1303"/>
      <c r="K64" s="987"/>
      <c r="L64" s="1063"/>
      <c r="M64" s="1063"/>
      <c r="N64" s="1063"/>
      <c r="O64" s="1063"/>
    </row>
    <row r="65" spans="1:17" s="870" customFormat="1">
      <c r="A65" s="1002" t="s">
        <v>1475</v>
      </c>
      <c r="B65" s="161">
        <f t="shared" si="17"/>
        <v>0</v>
      </c>
      <c r="C65" s="597">
        <f t="shared" si="16"/>
        <v>0</v>
      </c>
      <c r="D65" s="1003">
        <v>0.25</v>
      </c>
      <c r="E65" s="160">
        <f>'数据-汇总表'!E15</f>
        <v>0</v>
      </c>
      <c r="F65" s="1296">
        <f t="shared" si="15"/>
        <v>0</v>
      </c>
      <c r="G65" s="1008" t="s">
        <v>1469</v>
      </c>
      <c r="H65" s="1009">
        <f>项目基本情况!C37</f>
        <v>0</v>
      </c>
      <c r="I65" s="1307">
        <f>SUMIF(修正!A45:A56,H65,修正!H45:H56)</f>
        <v>0</v>
      </c>
      <c r="J65" s="1308"/>
      <c r="K65" s="982"/>
      <c r="L65" s="1063"/>
      <c r="M65" s="1063"/>
      <c r="N65" s="1063"/>
      <c r="O65" s="1063"/>
    </row>
    <row r="66" spans="1:17" s="870" customFormat="1" ht="12.75">
      <c r="A66" s="1010" t="s">
        <v>1476</v>
      </c>
      <c r="B66" s="1011" t="s">
        <v>1417</v>
      </c>
      <c r="C66" s="1011" t="s">
        <v>1417</v>
      </c>
      <c r="D66" s="1011" t="s">
        <v>1417</v>
      </c>
      <c r="E66" s="1011">
        <f>IF(B46="楼面地价",SUM(E56:E65),'数据-汇总表'!D3)</f>
        <v>98873.18</v>
      </c>
      <c r="F66" s="1012">
        <f>IF(B46="楼面地价",SUM(F56:F65),ROUND(C48*E66/10000,0))</f>
        <v>23828</v>
      </c>
      <c r="G66" s="1305"/>
      <c r="H66" s="1305"/>
      <c r="I66" s="1305"/>
      <c r="J66" s="1305"/>
      <c r="K66" s="1013"/>
      <c r="L66" s="1063"/>
      <c r="M66" s="1063"/>
      <c r="N66" s="1063"/>
      <c r="O66" s="1063"/>
    </row>
    <row r="67" spans="1:17">
      <c r="A67" s="1017"/>
      <c r="B67" s="1015"/>
      <c r="C67" s="989"/>
      <c r="D67" s="1017"/>
      <c r="E67" s="1017"/>
      <c r="F67" s="1017"/>
      <c r="G67" s="1017"/>
      <c r="H67" s="1017"/>
      <c r="I67" s="1017"/>
      <c r="J67" s="982"/>
      <c r="K67" s="1057"/>
      <c r="L67" s="1058"/>
      <c r="M67" s="982"/>
      <c r="N67" s="982"/>
      <c r="O67" s="982"/>
    </row>
    <row r="68" spans="1:17">
      <c r="A68" s="1017"/>
      <c r="B68" s="1015"/>
      <c r="C68" s="1015" t="str">
        <f>YEAR(C7)&amp;"-"&amp;MONTH(C7)&amp;"-1"</f>
        <v>2018-9-1</v>
      </c>
      <c r="D68" s="1015">
        <f>EDATE(C68,-3)</f>
        <v>43252</v>
      </c>
      <c r="E68" s="1015">
        <f>EDATE(D68,-3)</f>
        <v>43160</v>
      </c>
      <c r="F68" s="1015">
        <f t="shared" ref="F68:O68" si="18">EDATE(E68,-3)</f>
        <v>43070</v>
      </c>
      <c r="G68" s="1015">
        <f t="shared" si="18"/>
        <v>42979</v>
      </c>
      <c r="H68" s="1015">
        <f t="shared" si="18"/>
        <v>42887</v>
      </c>
      <c r="I68" s="1015">
        <f t="shared" si="18"/>
        <v>42795</v>
      </c>
      <c r="J68" s="1015">
        <f t="shared" si="18"/>
        <v>42705</v>
      </c>
      <c r="K68" s="1015">
        <f t="shared" si="18"/>
        <v>42614</v>
      </c>
      <c r="L68" s="1015">
        <f t="shared" si="18"/>
        <v>42522</v>
      </c>
      <c r="M68" s="1015">
        <f t="shared" si="18"/>
        <v>42430</v>
      </c>
      <c r="N68" s="1015">
        <f t="shared" si="18"/>
        <v>42339</v>
      </c>
      <c r="O68" s="1015">
        <f t="shared" si="18"/>
        <v>42248</v>
      </c>
    </row>
    <row r="69" spans="1:17" ht="21">
      <c r="A69" s="1016" t="s">
        <v>1368</v>
      </c>
      <c r="B69" s="1017"/>
      <c r="C69" s="1018"/>
      <c r="D69" s="1018"/>
      <c r="E69" s="1018"/>
      <c r="F69" s="1019"/>
      <c r="G69" s="1019"/>
      <c r="H69" s="1018"/>
      <c r="I69" s="1018"/>
      <c r="J69" s="1067"/>
      <c r="K69" s="1309"/>
      <c r="L69" s="1310"/>
      <c r="M69" s="1067"/>
      <c r="N69" s="1067"/>
      <c r="O69" s="1067"/>
      <c r="P69" s="1068"/>
      <c r="Q69" s="1080"/>
    </row>
    <row r="70" spans="1:17" s="871" customFormat="1" ht="15">
      <c r="A70" s="1089" t="s">
        <v>1477</v>
      </c>
      <c r="B70" s="1090"/>
      <c r="C70" s="1091" t="str">
        <f>YEAR(C68)&amp;"-"&amp;ROUNDUP(MONTH(C68)/3,0)</f>
        <v>2018-3</v>
      </c>
      <c r="D70" s="1091" t="str">
        <f>YEAR(D68)&amp;"-"&amp;ROUNDUP(MONTH(D68)/3,0)</f>
        <v>2018-2</v>
      </c>
      <c r="E70" s="1091" t="str">
        <f t="shared" ref="E70:O70" si="19">YEAR(E68)&amp;"-"&amp;ROUNDUP(MONTH(E68)/3,0)</f>
        <v>2018-1</v>
      </c>
      <c r="F70" s="1091" t="str">
        <f t="shared" si="19"/>
        <v>2017-4</v>
      </c>
      <c r="G70" s="1091" t="str">
        <f t="shared" si="19"/>
        <v>2017-3</v>
      </c>
      <c r="H70" s="1091" t="str">
        <f t="shared" si="19"/>
        <v>2017-2</v>
      </c>
      <c r="I70" s="1091" t="str">
        <f t="shared" si="19"/>
        <v>2017-1</v>
      </c>
      <c r="J70" s="1091" t="str">
        <f t="shared" si="19"/>
        <v>2016-4</v>
      </c>
      <c r="K70" s="1091" t="str">
        <f t="shared" si="19"/>
        <v>2016-3</v>
      </c>
      <c r="L70" s="1091" t="str">
        <f t="shared" si="19"/>
        <v>2016-2</v>
      </c>
      <c r="M70" s="1091" t="str">
        <f t="shared" si="19"/>
        <v>2016-1</v>
      </c>
      <c r="N70" s="1091" t="str">
        <f t="shared" si="19"/>
        <v>2015-4</v>
      </c>
      <c r="O70" s="1091" t="str">
        <f t="shared" si="19"/>
        <v>2015-3</v>
      </c>
      <c r="P70" s="1143"/>
    </row>
    <row r="71" spans="1:17" s="866" customFormat="1" ht="30" customHeight="1">
      <c r="A71" s="1306" t="s">
        <v>1478</v>
      </c>
      <c r="B71" s="1093" t="str">
        <f>"北京市平均增长率"&amp;TEXT(SUMIF(基准地价修正!N21:N25,A71,基准地价修正!P21:P25),"0.00%")</f>
        <v>北京市平均增长率2.45%</v>
      </c>
      <c r="C71" s="801">
        <v>100</v>
      </c>
      <c r="D71" s="1094">
        <f>C71-0.5</f>
        <v>99.5</v>
      </c>
      <c r="E71" s="1094">
        <f t="shared" ref="E71:O71" si="20">D71-0.5</f>
        <v>99</v>
      </c>
      <c r="F71" s="1094">
        <f t="shared" si="20"/>
        <v>98.5</v>
      </c>
      <c r="G71" s="1094">
        <f t="shared" si="20"/>
        <v>98</v>
      </c>
      <c r="H71" s="1094">
        <f t="shared" si="20"/>
        <v>97.5</v>
      </c>
      <c r="I71" s="1094">
        <f t="shared" si="20"/>
        <v>97</v>
      </c>
      <c r="J71" s="1094">
        <f t="shared" si="20"/>
        <v>96.5</v>
      </c>
      <c r="K71" s="1094">
        <f t="shared" si="20"/>
        <v>96</v>
      </c>
      <c r="L71" s="1094">
        <f t="shared" si="20"/>
        <v>95.5</v>
      </c>
      <c r="M71" s="1094">
        <f t="shared" si="20"/>
        <v>95</v>
      </c>
      <c r="N71" s="1094">
        <f t="shared" si="20"/>
        <v>94.5</v>
      </c>
      <c r="O71" s="1094">
        <f t="shared" si="20"/>
        <v>94</v>
      </c>
      <c r="P71" s="1080"/>
    </row>
    <row r="72" spans="1:17" s="866" customFormat="1" ht="15">
      <c r="A72" s="1095" t="s">
        <v>1369</v>
      </c>
      <c r="B72" s="1096"/>
      <c r="C72" s="1097"/>
      <c r="D72" s="1098"/>
      <c r="E72" s="1098"/>
      <c r="F72" s="1098"/>
      <c r="G72" s="1098"/>
      <c r="H72" s="1098"/>
      <c r="I72" s="1098"/>
      <c r="J72" s="1098"/>
      <c r="K72" s="1098"/>
      <c r="L72" s="1098"/>
      <c r="M72" s="1146"/>
      <c r="N72" s="1098"/>
      <c r="O72" s="1311"/>
      <c r="P72" s="1080"/>
      <c r="Q72" s="1080"/>
    </row>
    <row r="73" spans="1:17" s="866" customFormat="1" ht="15">
      <c r="A73" s="1099" t="s">
        <v>1337</v>
      </c>
      <c r="B73" s="1100"/>
      <c r="C73" s="1101" t="s">
        <v>1338</v>
      </c>
      <c r="D73" s="1102"/>
      <c r="E73" s="1102"/>
      <c r="F73" s="1102"/>
      <c r="G73" s="1102"/>
      <c r="H73" s="1102"/>
      <c r="I73" s="1102"/>
      <c r="J73" s="1102"/>
      <c r="K73" s="1102"/>
      <c r="L73" s="1148"/>
      <c r="M73" s="1149"/>
      <c r="N73" s="1150"/>
      <c r="O73" s="1150"/>
      <c r="P73" s="1151"/>
      <c r="Q73" s="1080"/>
    </row>
    <row r="74" spans="1:17" s="866" customFormat="1" ht="15">
      <c r="A74" s="1099"/>
      <c r="B74" s="1100"/>
      <c r="C74" s="1103">
        <v>100</v>
      </c>
      <c r="D74" s="1104"/>
      <c r="E74" s="1104"/>
      <c r="F74" s="1104"/>
      <c r="G74" s="1104"/>
      <c r="H74" s="1104"/>
      <c r="I74" s="1104"/>
      <c r="J74" s="1104"/>
      <c r="K74" s="1104"/>
      <c r="L74" s="1104"/>
      <c r="M74" s="1152"/>
      <c r="N74" s="1150"/>
      <c r="O74" s="1150"/>
      <c r="P74" s="1080"/>
      <c r="Q74" s="1080"/>
    </row>
    <row r="75" spans="1:17">
      <c r="A75" s="1105" t="s">
        <v>1370</v>
      </c>
      <c r="B75" s="1106" t="s">
        <v>346</v>
      </c>
      <c r="C75" s="3155" t="s">
        <v>3279</v>
      </c>
      <c r="D75" s="1050"/>
      <c r="E75" s="1050"/>
      <c r="F75" s="1050"/>
      <c r="G75" s="1050"/>
      <c r="H75" s="1050"/>
      <c r="I75" s="1050"/>
      <c r="J75" s="1050"/>
      <c r="K75" s="1153"/>
      <c r="L75" s="1154"/>
      <c r="M75" s="1155"/>
      <c r="N75" s="1156"/>
      <c r="O75" s="1156"/>
      <c r="P75" s="1157"/>
      <c r="Q75" s="1080"/>
    </row>
    <row r="76" spans="1:17" ht="15">
      <c r="A76" s="1107"/>
      <c r="B76" s="1108"/>
      <c r="C76" s="1109">
        <v>100</v>
      </c>
      <c r="D76" s="1109"/>
      <c r="E76" s="1109"/>
      <c r="F76" s="1109"/>
      <c r="G76" s="1109"/>
      <c r="H76" s="1109"/>
      <c r="I76" s="1109"/>
      <c r="J76" s="1109"/>
      <c r="K76" s="1109"/>
      <c r="L76" s="1109"/>
      <c r="M76" s="1158"/>
      <c r="N76" s="1159"/>
      <c r="O76" s="1159"/>
      <c r="P76" s="1157"/>
      <c r="Q76" s="1080"/>
    </row>
    <row r="77" spans="1:17" ht="27">
      <c r="A77" s="1107"/>
      <c r="B77" s="1110" t="s">
        <v>1343</v>
      </c>
      <c r="C77" s="1111"/>
      <c r="D77" s="1111"/>
      <c r="E77" s="1111"/>
      <c r="F77" s="1111"/>
      <c r="G77" s="1111"/>
      <c r="H77" s="1111"/>
      <c r="I77" s="1111"/>
      <c r="J77" s="1111"/>
      <c r="K77" s="1160"/>
      <c r="L77" s="1161"/>
      <c r="M77" s="1162"/>
      <c r="N77" s="1156"/>
      <c r="O77" s="1156"/>
      <c r="P77" s="1157"/>
      <c r="Q77" s="1080"/>
    </row>
    <row r="78" spans="1:17" ht="15">
      <c r="A78" s="1107"/>
      <c r="B78" s="1112"/>
      <c r="C78" s="1113"/>
      <c r="D78" s="1113"/>
      <c r="E78" s="1113"/>
      <c r="F78" s="1113"/>
      <c r="G78" s="1113"/>
      <c r="H78" s="1113"/>
      <c r="I78" s="1113"/>
      <c r="J78" s="1113"/>
      <c r="K78" s="1113"/>
      <c r="L78" s="1113"/>
      <c r="M78" s="1163"/>
      <c r="N78" s="1159"/>
      <c r="O78" s="1159"/>
      <c r="P78" s="1157"/>
      <c r="Q78" s="1080"/>
    </row>
    <row r="79" spans="1:17" ht="15">
      <c r="A79" s="1107"/>
      <c r="B79" s="1114" t="s">
        <v>1344</v>
      </c>
      <c r="C79" s="1115" t="str">
        <f>C80&amp;"（含）"&amp;"-"&amp;D80</f>
        <v>0（含）-1</v>
      </c>
      <c r="D79" s="1115" t="str">
        <f t="shared" ref="D79:L79" si="21">D80&amp;"（含）"&amp;"-"&amp;E80</f>
        <v>1（含）-2</v>
      </c>
      <c r="E79" s="1115" t="str">
        <f t="shared" si="21"/>
        <v>2（含）-3</v>
      </c>
      <c r="F79" s="1115" t="str">
        <f t="shared" si="21"/>
        <v>3（含）-4</v>
      </c>
      <c r="G79" s="1115" t="str">
        <f t="shared" si="21"/>
        <v>4（含）-5</v>
      </c>
      <c r="H79" s="1115" t="str">
        <f t="shared" si="21"/>
        <v>5（含）-6</v>
      </c>
      <c r="I79" s="1115" t="str">
        <f t="shared" si="21"/>
        <v>6（含）-7</v>
      </c>
      <c r="J79" s="1115" t="str">
        <f t="shared" si="21"/>
        <v>7（含）-</v>
      </c>
      <c r="K79" s="1115" t="str">
        <f t="shared" si="21"/>
        <v>（含）-</v>
      </c>
      <c r="L79" s="1115" t="str">
        <f t="shared" si="21"/>
        <v>（含）-</v>
      </c>
      <c r="M79" s="928" t="str">
        <f>M80&amp;"（含）"&amp;"-"&amp;P80</f>
        <v>（含）-</v>
      </c>
      <c r="N79" s="1159"/>
      <c r="O79" s="1159"/>
      <c r="P79" s="1157"/>
      <c r="Q79" s="1080"/>
    </row>
    <row r="80" spans="1:17" ht="15">
      <c r="A80" s="1107"/>
      <c r="B80" s="1116"/>
      <c r="C80" s="913">
        <v>0</v>
      </c>
      <c r="D80" s="913">
        <f>C80+1</f>
        <v>1</v>
      </c>
      <c r="E80" s="913">
        <f t="shared" ref="E80:J80" si="22">D80+1</f>
        <v>2</v>
      </c>
      <c r="F80" s="913">
        <f t="shared" si="22"/>
        <v>3</v>
      </c>
      <c r="G80" s="913">
        <f t="shared" si="22"/>
        <v>4</v>
      </c>
      <c r="H80" s="913">
        <f t="shared" si="22"/>
        <v>5</v>
      </c>
      <c r="I80" s="913">
        <f t="shared" si="22"/>
        <v>6</v>
      </c>
      <c r="J80" s="913">
        <f t="shared" si="22"/>
        <v>7</v>
      </c>
      <c r="K80" s="1164"/>
      <c r="L80" s="1165"/>
      <c r="M80" s="1166"/>
      <c r="N80" s="1156"/>
      <c r="O80" s="1156"/>
      <c r="P80" s="1157"/>
      <c r="Q80" s="1080"/>
    </row>
    <row r="81" spans="1:17" ht="15">
      <c r="A81" s="1107"/>
      <c r="B81" s="1108"/>
      <c r="C81" s="1113">
        <v>100</v>
      </c>
      <c r="D81" s="1113">
        <f t="shared" ref="D81:M81" si="23">IF($B$46="单位面积地价",C81+$K11,C81-$K11)</f>
        <v>98</v>
      </c>
      <c r="E81" s="1113">
        <f t="shared" si="23"/>
        <v>96</v>
      </c>
      <c r="F81" s="1113">
        <f t="shared" si="23"/>
        <v>94</v>
      </c>
      <c r="G81" s="1113">
        <f t="shared" si="23"/>
        <v>92</v>
      </c>
      <c r="H81" s="1113">
        <f t="shared" si="23"/>
        <v>90</v>
      </c>
      <c r="I81" s="1113">
        <f t="shared" si="23"/>
        <v>88</v>
      </c>
      <c r="J81" s="1113">
        <f t="shared" si="23"/>
        <v>86</v>
      </c>
      <c r="K81" s="1113">
        <f t="shared" si="23"/>
        <v>84</v>
      </c>
      <c r="L81" s="1113">
        <f t="shared" si="23"/>
        <v>82</v>
      </c>
      <c r="M81" s="1113">
        <f t="shared" si="23"/>
        <v>80</v>
      </c>
      <c r="N81" s="1159"/>
      <c r="O81" s="1159"/>
      <c r="P81" s="1157"/>
      <c r="Q81" s="1080"/>
    </row>
    <row r="82" spans="1:17" s="868" customFormat="1" ht="15">
      <c r="A82" s="1117"/>
      <c r="B82" s="1110" t="str">
        <f>B12</f>
        <v>配建</v>
      </c>
      <c r="C82" s="1118"/>
      <c r="D82" s="1118"/>
      <c r="E82" s="1118"/>
      <c r="F82" s="1118"/>
      <c r="G82" s="1118"/>
      <c r="H82" s="1119"/>
      <c r="I82" s="1119"/>
      <c r="J82" s="1119"/>
      <c r="K82" s="1119"/>
      <c r="L82" s="1167"/>
      <c r="M82" s="1168"/>
      <c r="N82" s="1169"/>
      <c r="O82" s="1169"/>
      <c r="P82" s="1170"/>
      <c r="Q82" s="1200"/>
    </row>
    <row r="83" spans="1:17" s="868" customFormat="1" ht="15">
      <c r="A83" s="1117"/>
      <c r="B83" s="1112"/>
      <c r="C83" s="1120"/>
      <c r="D83" s="1109"/>
      <c r="E83" s="1109"/>
      <c r="F83" s="1109"/>
      <c r="G83" s="1109"/>
      <c r="H83" s="1109"/>
      <c r="I83" s="1109"/>
      <c r="J83" s="1109"/>
      <c r="K83" s="1109"/>
      <c r="L83" s="1109"/>
      <c r="M83" s="1158"/>
      <c r="N83" s="1159"/>
      <c r="O83" s="1159"/>
      <c r="P83" s="1170"/>
      <c r="Q83" s="1200"/>
    </row>
    <row r="84" spans="1:17" s="868" customFormat="1" ht="15">
      <c r="A84" s="1117"/>
      <c r="B84" s="1110">
        <f>B13</f>
        <v>111</v>
      </c>
      <c r="C84" s="1118"/>
      <c r="D84" s="1118"/>
      <c r="E84" s="1118"/>
      <c r="F84" s="1118"/>
      <c r="G84" s="1118"/>
      <c r="H84" s="1119"/>
      <c r="I84" s="1119"/>
      <c r="J84" s="1119"/>
      <c r="K84" s="1119"/>
      <c r="L84" s="1167"/>
      <c r="M84" s="1168"/>
      <c r="N84" s="1169"/>
      <c r="O84" s="1169"/>
      <c r="P84" s="1171"/>
      <c r="Q84" s="1201"/>
    </row>
    <row r="85" spans="1:17" s="868" customFormat="1" ht="15">
      <c r="A85" s="1117"/>
      <c r="B85" s="1112"/>
      <c r="C85" s="1120"/>
      <c r="D85" s="1120"/>
      <c r="E85" s="1120"/>
      <c r="F85" s="1120"/>
      <c r="G85" s="1120"/>
      <c r="H85" s="1121"/>
      <c r="I85" s="1121"/>
      <c r="J85" s="1121"/>
      <c r="K85" s="1121"/>
      <c r="L85" s="1121"/>
      <c r="M85" s="1172"/>
      <c r="N85" s="1169"/>
      <c r="O85" s="1169"/>
      <c r="P85" s="1170"/>
      <c r="Q85" s="1200"/>
    </row>
    <row r="86" spans="1:17" s="868" customFormat="1" ht="15">
      <c r="A86" s="1117"/>
      <c r="B86" s="1114">
        <f>B14</f>
        <v>111</v>
      </c>
      <c r="C86" s="1102"/>
      <c r="D86" s="1102"/>
      <c r="E86" s="1102"/>
      <c r="F86" s="1102"/>
      <c r="G86" s="1102"/>
      <c r="H86" s="1122"/>
      <c r="I86" s="1122"/>
      <c r="J86" s="1122"/>
      <c r="K86" s="1122"/>
      <c r="L86" s="1173"/>
      <c r="M86" s="1174"/>
      <c r="N86" s="1169"/>
      <c r="O86" s="1169"/>
      <c r="P86" s="1175"/>
      <c r="Q86" s="1200"/>
    </row>
    <row r="87" spans="1:17" s="868" customFormat="1" ht="15">
      <c r="A87" s="1123"/>
      <c r="B87" s="1124"/>
      <c r="C87" s="1125"/>
      <c r="D87" s="1125"/>
      <c r="E87" s="1125"/>
      <c r="F87" s="1125"/>
      <c r="G87" s="1125"/>
      <c r="H87" s="1126"/>
      <c r="I87" s="1126"/>
      <c r="J87" s="1126"/>
      <c r="K87" s="1126"/>
      <c r="L87" s="1126"/>
      <c r="M87" s="1176"/>
      <c r="N87" s="1169"/>
      <c r="O87" s="1169"/>
      <c r="P87" s="1170"/>
      <c r="Q87" s="1200"/>
    </row>
    <row r="88" spans="1:17">
      <c r="A88" s="1105" t="s">
        <v>1345</v>
      </c>
      <c r="B88" s="1106" t="s">
        <v>642</v>
      </c>
      <c r="C88" s="1127" t="s">
        <v>1378</v>
      </c>
      <c r="D88" s="1127" t="s">
        <v>1379</v>
      </c>
      <c r="E88" s="1127" t="s">
        <v>1380</v>
      </c>
      <c r="F88" s="1127" t="s">
        <v>1381</v>
      </c>
      <c r="G88" s="1127" t="s">
        <v>1382</v>
      </c>
      <c r="H88" s="1128"/>
      <c r="I88" s="1128"/>
      <c r="J88" s="1128"/>
      <c r="K88" s="1177"/>
      <c r="L88" s="1178"/>
      <c r="M88" s="1179"/>
      <c r="N88" s="1156"/>
      <c r="O88" s="1156"/>
      <c r="P88" s="1180"/>
      <c r="Q88" s="1080"/>
    </row>
    <row r="89" spans="1:17" ht="15">
      <c r="A89" s="1107"/>
      <c r="B89" s="1112"/>
      <c r="C89" s="1113">
        <v>100</v>
      </c>
      <c r="D89" s="1113">
        <f>C89-$K15</f>
        <v>100</v>
      </c>
      <c r="E89" s="1113">
        <f>D89-$K15</f>
        <v>100</v>
      </c>
      <c r="F89" s="1113">
        <f>E89-$K15</f>
        <v>100</v>
      </c>
      <c r="G89" s="1113">
        <f>F89-$K15</f>
        <v>100</v>
      </c>
      <c r="H89" s="1113"/>
      <c r="I89" s="1113"/>
      <c r="J89" s="1113"/>
      <c r="K89" s="1113"/>
      <c r="L89" s="1113"/>
      <c r="M89" s="1163"/>
      <c r="N89" s="1159"/>
      <c r="O89" s="1159"/>
      <c r="P89" s="1157"/>
      <c r="Q89" s="1080"/>
    </row>
    <row r="90" spans="1:17" ht="15">
      <c r="A90" s="1107"/>
      <c r="B90" s="1110" t="s">
        <v>646</v>
      </c>
      <c r="C90" s="1129" t="s">
        <v>1378</v>
      </c>
      <c r="D90" s="1129" t="s">
        <v>1379</v>
      </c>
      <c r="E90" s="1129" t="s">
        <v>1380</v>
      </c>
      <c r="F90" s="1129" t="s">
        <v>1381</v>
      </c>
      <c r="G90" s="1129" t="s">
        <v>1382</v>
      </c>
      <c r="H90" s="1111"/>
      <c r="I90" s="1111"/>
      <c r="J90" s="1111"/>
      <c r="K90" s="1160"/>
      <c r="L90" s="1161"/>
      <c r="M90" s="1162"/>
      <c r="N90" s="1156"/>
      <c r="O90" s="1156"/>
      <c r="P90" s="1157"/>
      <c r="Q90" s="1080"/>
    </row>
    <row r="91" spans="1:17" ht="15">
      <c r="A91" s="1107"/>
      <c r="B91" s="1112"/>
      <c r="C91" s="1113">
        <v>100</v>
      </c>
      <c r="D91" s="1113">
        <f>C91-$K17</f>
        <v>98</v>
      </c>
      <c r="E91" s="1113">
        <f>D91-$K17</f>
        <v>96</v>
      </c>
      <c r="F91" s="1113">
        <f>E91-$K17</f>
        <v>94</v>
      </c>
      <c r="G91" s="1113">
        <f>F91-$K17</f>
        <v>92</v>
      </c>
      <c r="H91" s="1113"/>
      <c r="I91" s="1113"/>
      <c r="J91" s="1113"/>
      <c r="K91" s="1113"/>
      <c r="L91" s="1113"/>
      <c r="M91" s="1163"/>
      <c r="N91" s="1159"/>
      <c r="O91" s="1159"/>
      <c r="P91" s="1157"/>
      <c r="Q91" s="1080"/>
    </row>
    <row r="92" spans="1:17" ht="15">
      <c r="A92" s="1107"/>
      <c r="B92" s="1110" t="s">
        <v>650</v>
      </c>
      <c r="C92" s="1129" t="s">
        <v>1378</v>
      </c>
      <c r="D92" s="1129" t="s">
        <v>1379</v>
      </c>
      <c r="E92" s="1129" t="s">
        <v>1380</v>
      </c>
      <c r="F92" s="1129" t="s">
        <v>1381</v>
      </c>
      <c r="G92" s="1129" t="s">
        <v>1382</v>
      </c>
      <c r="H92" s="1111"/>
      <c r="I92" s="1111"/>
      <c r="J92" s="1111"/>
      <c r="K92" s="1160"/>
      <c r="L92" s="1161"/>
      <c r="M92" s="1162"/>
      <c r="N92" s="1156"/>
      <c r="O92" s="1156"/>
      <c r="P92" s="1157"/>
      <c r="Q92" s="1080"/>
    </row>
    <row r="93" spans="1:17" ht="15">
      <c r="A93" s="1107"/>
      <c r="B93" s="1112"/>
      <c r="C93" s="1113">
        <v>100</v>
      </c>
      <c r="D93" s="1113">
        <f>C93-$K19</f>
        <v>98</v>
      </c>
      <c r="E93" s="1113">
        <f>D93-$K19</f>
        <v>96</v>
      </c>
      <c r="F93" s="1113">
        <f>E93-$K19</f>
        <v>94</v>
      </c>
      <c r="G93" s="1113">
        <f>F93-$K19</f>
        <v>92</v>
      </c>
      <c r="H93" s="1113"/>
      <c r="I93" s="1113"/>
      <c r="J93" s="1113"/>
      <c r="K93" s="1113"/>
      <c r="L93" s="1113"/>
      <c r="M93" s="1163"/>
      <c r="N93" s="1159"/>
      <c r="O93" s="1159"/>
      <c r="P93" s="1157"/>
      <c r="Q93" s="1080"/>
    </row>
    <row r="94" spans="1:17" ht="15">
      <c r="A94" s="1107"/>
      <c r="B94" s="1110" t="s">
        <v>648</v>
      </c>
      <c r="C94" s="1129" t="s">
        <v>1378</v>
      </c>
      <c r="D94" s="1129" t="s">
        <v>1379</v>
      </c>
      <c r="E94" s="1129" t="s">
        <v>1380</v>
      </c>
      <c r="F94" s="1129" t="s">
        <v>1381</v>
      </c>
      <c r="G94" s="1129" t="s">
        <v>1382</v>
      </c>
      <c r="H94" s="1111"/>
      <c r="I94" s="1111"/>
      <c r="J94" s="1111"/>
      <c r="K94" s="1160"/>
      <c r="L94" s="1161"/>
      <c r="M94" s="1162"/>
      <c r="N94" s="1156"/>
      <c r="O94" s="1156"/>
      <c r="P94" s="1157"/>
      <c r="Q94" s="1080"/>
    </row>
    <row r="95" spans="1:17" ht="15">
      <c r="A95" s="1107"/>
      <c r="B95" s="1112"/>
      <c r="C95" s="1113">
        <v>100</v>
      </c>
      <c r="D95" s="1113">
        <f>C95-$K21</f>
        <v>98</v>
      </c>
      <c r="E95" s="1113">
        <f>D95-$K21</f>
        <v>96</v>
      </c>
      <c r="F95" s="1113">
        <f>E95-$K21</f>
        <v>94</v>
      </c>
      <c r="G95" s="1113">
        <f>F95-$K21</f>
        <v>92</v>
      </c>
      <c r="H95" s="1113"/>
      <c r="I95" s="1113"/>
      <c r="J95" s="1113"/>
      <c r="K95" s="1113"/>
      <c r="L95" s="1113"/>
      <c r="M95" s="1163"/>
      <c r="N95" s="1159"/>
      <c r="O95" s="1159"/>
      <c r="P95" s="1157"/>
      <c r="Q95" s="1080"/>
    </row>
    <row r="96" spans="1:17" s="866" customFormat="1" ht="15">
      <c r="A96" s="1130"/>
      <c r="B96" s="1110" t="s">
        <v>662</v>
      </c>
      <c r="C96" s="1129" t="s">
        <v>1378</v>
      </c>
      <c r="D96" s="1129" t="s">
        <v>1379</v>
      </c>
      <c r="E96" s="1129" t="s">
        <v>1380</v>
      </c>
      <c r="F96" s="1129" t="s">
        <v>1381</v>
      </c>
      <c r="G96" s="1129" t="s">
        <v>1382</v>
      </c>
      <c r="H96" s="1129"/>
      <c r="I96" s="1129"/>
      <c r="J96" s="1129"/>
      <c r="K96" s="1129"/>
      <c r="L96" s="1181"/>
      <c r="M96" s="1182"/>
      <c r="N96" s="1150"/>
      <c r="O96" s="1150"/>
      <c r="P96" s="1157"/>
      <c r="Q96" s="1080"/>
    </row>
    <row r="97" spans="1:17" s="866" customFormat="1" ht="15">
      <c r="A97" s="1130"/>
      <c r="B97" s="1112"/>
      <c r="C97" s="1131">
        <v>100</v>
      </c>
      <c r="D97" s="1113">
        <f>C97-$K23</f>
        <v>98</v>
      </c>
      <c r="E97" s="1113">
        <f>D97-$K23</f>
        <v>96</v>
      </c>
      <c r="F97" s="1113">
        <f>E97-$K23</f>
        <v>94</v>
      </c>
      <c r="G97" s="1113">
        <f>F97-$K23</f>
        <v>92</v>
      </c>
      <c r="H97" s="1113"/>
      <c r="I97" s="1113"/>
      <c r="J97" s="1113"/>
      <c r="K97" s="1113"/>
      <c r="L97" s="1113"/>
      <c r="M97" s="1163"/>
      <c r="N97" s="1159"/>
      <c r="O97" s="1159"/>
      <c r="P97" s="1157"/>
      <c r="Q97" s="1080"/>
    </row>
    <row r="98" spans="1:17" s="866" customFormat="1" ht="27">
      <c r="A98" s="1130"/>
      <c r="B98" s="1110" t="s">
        <v>663</v>
      </c>
      <c r="C98" s="1127" t="s">
        <v>1378</v>
      </c>
      <c r="D98" s="1127" t="s">
        <v>1379</v>
      </c>
      <c r="E98" s="1127" t="s">
        <v>1380</v>
      </c>
      <c r="F98" s="1127" t="s">
        <v>1381</v>
      </c>
      <c r="G98" s="1127" t="s">
        <v>1382</v>
      </c>
      <c r="H98" s="1129"/>
      <c r="I98" s="1129"/>
      <c r="J98" s="1129"/>
      <c r="K98" s="1129"/>
      <c r="L98" s="1129"/>
      <c r="M98" s="1182"/>
      <c r="N98" s="1150"/>
      <c r="O98" s="1150"/>
      <c r="P98" s="1157"/>
      <c r="Q98" s="1080"/>
    </row>
    <row r="99" spans="1:17" s="866" customFormat="1" ht="15">
      <c r="A99" s="1130"/>
      <c r="B99" s="1112"/>
      <c r="C99" s="1113">
        <v>100</v>
      </c>
      <c r="D99" s="1113">
        <f>C99-$K25</f>
        <v>98</v>
      </c>
      <c r="E99" s="1113">
        <f>D99-$K25</f>
        <v>96</v>
      </c>
      <c r="F99" s="1113">
        <f>E99-$K25</f>
        <v>94</v>
      </c>
      <c r="G99" s="1113">
        <f>F99-$K25</f>
        <v>92</v>
      </c>
      <c r="H99" s="1113"/>
      <c r="I99" s="1113"/>
      <c r="J99" s="1113"/>
      <c r="K99" s="1113"/>
      <c r="L99" s="1113"/>
      <c r="M99" s="1163"/>
      <c r="N99" s="1159"/>
      <c r="O99" s="1159"/>
      <c r="P99" s="1157"/>
      <c r="Q99" s="1080"/>
    </row>
    <row r="100" spans="1:17" s="868" customFormat="1" ht="15">
      <c r="A100" s="1117"/>
      <c r="B100" s="1110" t="s">
        <v>652</v>
      </c>
      <c r="C100" s="1127" t="s">
        <v>1378</v>
      </c>
      <c r="D100" s="1127" t="s">
        <v>1379</v>
      </c>
      <c r="E100" s="1127" t="s">
        <v>1380</v>
      </c>
      <c r="F100" s="1127" t="s">
        <v>1381</v>
      </c>
      <c r="G100" s="1127" t="s">
        <v>1382</v>
      </c>
      <c r="H100" s="1132"/>
      <c r="I100" s="1132"/>
      <c r="J100" s="1132"/>
      <c r="K100" s="1132"/>
      <c r="L100" s="1183"/>
      <c r="M100" s="1184"/>
      <c r="N100" s="1169"/>
      <c r="O100" s="1169"/>
      <c r="P100" s="1170"/>
      <c r="Q100" s="1200"/>
    </row>
    <row r="101" spans="1:17" s="868" customFormat="1" ht="15">
      <c r="A101" s="1117"/>
      <c r="B101" s="1112"/>
      <c r="C101" s="1113">
        <v>100</v>
      </c>
      <c r="D101" s="1113">
        <f>C101-$K27</f>
        <v>98</v>
      </c>
      <c r="E101" s="1113">
        <f>D101-$K27</f>
        <v>96</v>
      </c>
      <c r="F101" s="1113">
        <f>E101-$K27</f>
        <v>94</v>
      </c>
      <c r="G101" s="1113">
        <f>F101-$K27</f>
        <v>92</v>
      </c>
      <c r="H101" s="1133"/>
      <c r="I101" s="1133"/>
      <c r="J101" s="1133"/>
      <c r="K101" s="1133"/>
      <c r="L101" s="1133"/>
      <c r="M101" s="1185"/>
      <c r="N101" s="1169"/>
      <c r="O101" s="1169"/>
      <c r="P101" s="1170"/>
      <c r="Q101" s="1200"/>
    </row>
    <row r="102" spans="1:17" s="868" customFormat="1" ht="15">
      <c r="A102" s="1117"/>
      <c r="B102" s="1114" t="s">
        <v>654</v>
      </c>
      <c r="C102" s="1134" t="s">
        <v>1383</v>
      </c>
      <c r="D102" s="1134" t="s">
        <v>1384</v>
      </c>
      <c r="E102" s="1134" t="s">
        <v>1385</v>
      </c>
      <c r="F102" s="1134" t="s">
        <v>1386</v>
      </c>
      <c r="G102" s="1134" t="s">
        <v>1387</v>
      </c>
      <c r="H102" s="1132"/>
      <c r="I102" s="1132"/>
      <c r="J102" s="1132"/>
      <c r="K102" s="1132"/>
      <c r="L102" s="1132"/>
      <c r="M102" s="1186"/>
      <c r="N102" s="1169"/>
      <c r="O102" s="1169"/>
      <c r="P102" s="1170"/>
      <c r="Q102" s="1200"/>
    </row>
    <row r="103" spans="1:17" s="868" customFormat="1" ht="15">
      <c r="A103" s="1117"/>
      <c r="B103" s="1114"/>
      <c r="C103" s="1113">
        <v>100</v>
      </c>
      <c r="D103" s="1113">
        <f>C103-$K29</f>
        <v>99</v>
      </c>
      <c r="E103" s="1113">
        <f>D103-$K29</f>
        <v>98</v>
      </c>
      <c r="F103" s="1113">
        <f>E103-$K29</f>
        <v>97</v>
      </c>
      <c r="G103" s="1113">
        <f>F103-$K29</f>
        <v>96</v>
      </c>
      <c r="H103" s="1116"/>
      <c r="I103" s="1116"/>
      <c r="J103" s="1116"/>
      <c r="K103" s="1116"/>
      <c r="L103" s="1116"/>
      <c r="M103" s="1186"/>
      <c r="N103" s="1169"/>
      <c r="O103" s="1169"/>
      <c r="P103" s="1170"/>
      <c r="Q103" s="1200"/>
    </row>
    <row r="104" spans="1:17" ht="15">
      <c r="A104" s="1107"/>
      <c r="B104" s="1110" t="str">
        <f>B31</f>
        <v>临街状况</v>
      </c>
      <c r="C104" s="1111" t="s">
        <v>1479</v>
      </c>
      <c r="D104" s="1111" t="s">
        <v>1480</v>
      </c>
      <c r="E104" s="1111" t="s">
        <v>1481</v>
      </c>
      <c r="F104" s="1111" t="s">
        <v>1482</v>
      </c>
      <c r="G104" s="1111"/>
      <c r="H104" s="1111"/>
      <c r="I104" s="1111"/>
      <c r="J104" s="1111"/>
      <c r="K104" s="1160"/>
      <c r="L104" s="1161"/>
      <c r="M104" s="1162"/>
      <c r="N104" s="1156"/>
      <c r="O104" s="1156"/>
      <c r="P104" s="1157"/>
      <c r="Q104" s="1080"/>
    </row>
    <row r="105" spans="1:17" ht="15">
      <c r="A105" s="1107"/>
      <c r="B105" s="1112"/>
      <c r="C105" s="1113">
        <v>100</v>
      </c>
      <c r="D105" s="1113">
        <f>C105-$K31</f>
        <v>99</v>
      </c>
      <c r="E105" s="1113">
        <f t="shared" ref="E105:M105" si="24">D105-$K31</f>
        <v>98</v>
      </c>
      <c r="F105" s="1113">
        <f t="shared" si="24"/>
        <v>97</v>
      </c>
      <c r="G105" s="1113">
        <f t="shared" si="24"/>
        <v>96</v>
      </c>
      <c r="H105" s="1113">
        <f t="shared" si="24"/>
        <v>95</v>
      </c>
      <c r="I105" s="1113">
        <f t="shared" si="24"/>
        <v>94</v>
      </c>
      <c r="J105" s="1113">
        <f t="shared" si="24"/>
        <v>93</v>
      </c>
      <c r="K105" s="1113">
        <f t="shared" si="24"/>
        <v>92</v>
      </c>
      <c r="L105" s="1113">
        <f t="shared" si="24"/>
        <v>91</v>
      </c>
      <c r="M105" s="1113">
        <f t="shared" si="24"/>
        <v>90</v>
      </c>
      <c r="N105" s="1159"/>
      <c r="O105" s="1159"/>
      <c r="P105" s="1157"/>
      <c r="Q105" s="1080"/>
    </row>
    <row r="106" spans="1:17" ht="27">
      <c r="A106" s="1107"/>
      <c r="B106" s="1110" t="s">
        <v>660</v>
      </c>
      <c r="C106" s="3157" t="s">
        <v>3367</v>
      </c>
      <c r="D106" s="3157" t="s">
        <v>3368</v>
      </c>
      <c r="E106" s="3157" t="s">
        <v>3385</v>
      </c>
      <c r="F106" s="1118"/>
      <c r="G106" s="1118"/>
      <c r="H106" s="1135"/>
      <c r="I106" s="1135"/>
      <c r="J106" s="1135"/>
      <c r="K106" s="1187"/>
      <c r="L106" s="1188"/>
      <c r="M106" s="1189"/>
      <c r="N106" s="1156"/>
      <c r="O106" s="1156"/>
      <c r="P106" s="1157"/>
      <c r="Q106" s="1080"/>
    </row>
    <row r="107" spans="1:17" ht="15">
      <c r="A107" s="1107"/>
      <c r="B107" s="1112"/>
      <c r="C107" s="1113">
        <v>100</v>
      </c>
      <c r="D107" s="1113">
        <f>C107-$K32</f>
        <v>99</v>
      </c>
      <c r="E107" s="1113">
        <f t="shared" ref="E107:M107" si="25">D107-$K32</f>
        <v>98</v>
      </c>
      <c r="F107" s="1113">
        <f t="shared" si="25"/>
        <v>97</v>
      </c>
      <c r="G107" s="1113">
        <f t="shared" si="25"/>
        <v>96</v>
      </c>
      <c r="H107" s="1113">
        <f t="shared" si="25"/>
        <v>95</v>
      </c>
      <c r="I107" s="1113">
        <f t="shared" si="25"/>
        <v>94</v>
      </c>
      <c r="J107" s="1113">
        <f t="shared" si="25"/>
        <v>93</v>
      </c>
      <c r="K107" s="1113">
        <f t="shared" si="25"/>
        <v>92</v>
      </c>
      <c r="L107" s="1113">
        <f t="shared" si="25"/>
        <v>91</v>
      </c>
      <c r="M107" s="1113">
        <f t="shared" si="25"/>
        <v>90</v>
      </c>
      <c r="N107" s="1159"/>
      <c r="O107" s="1159"/>
      <c r="P107" s="1157"/>
      <c r="Q107" s="1080"/>
    </row>
    <row r="108" spans="1:17" ht="15">
      <c r="A108" s="1107"/>
      <c r="B108" s="1110" t="s">
        <v>665</v>
      </c>
      <c r="C108" s="1135"/>
      <c r="D108" s="1135"/>
      <c r="E108" s="1135"/>
      <c r="F108" s="1135"/>
      <c r="G108" s="1135"/>
      <c r="H108" s="1135"/>
      <c r="I108" s="1135"/>
      <c r="J108" s="1135"/>
      <c r="K108" s="1187"/>
      <c r="L108" s="1188"/>
      <c r="M108" s="1189"/>
      <c r="N108" s="1156"/>
      <c r="O108" s="1156"/>
      <c r="P108" s="1157"/>
      <c r="Q108" s="1080"/>
    </row>
    <row r="109" spans="1:17" ht="15">
      <c r="A109" s="1107"/>
      <c r="B109" s="1112"/>
      <c r="C109" s="1113">
        <v>100</v>
      </c>
      <c r="D109" s="1113">
        <f>C109-$K34</f>
        <v>100</v>
      </c>
      <c r="E109" s="1113">
        <f t="shared" ref="E109:M109" si="26">D109-$K34</f>
        <v>100</v>
      </c>
      <c r="F109" s="1113">
        <f t="shared" si="26"/>
        <v>100</v>
      </c>
      <c r="G109" s="1113">
        <f t="shared" si="26"/>
        <v>100</v>
      </c>
      <c r="H109" s="1113">
        <f t="shared" si="26"/>
        <v>100</v>
      </c>
      <c r="I109" s="1113">
        <f t="shared" si="26"/>
        <v>100</v>
      </c>
      <c r="J109" s="1113">
        <f t="shared" si="26"/>
        <v>100</v>
      </c>
      <c r="K109" s="1113">
        <f t="shared" si="26"/>
        <v>100</v>
      </c>
      <c r="L109" s="1113">
        <f t="shared" si="26"/>
        <v>100</v>
      </c>
      <c r="M109" s="1113">
        <f t="shared" si="26"/>
        <v>100</v>
      </c>
      <c r="N109" s="1159"/>
      <c r="O109" s="1159"/>
      <c r="P109" s="1157"/>
      <c r="Q109" s="1080"/>
    </row>
    <row r="110" spans="1:17" ht="15">
      <c r="A110" s="1107"/>
      <c r="B110" s="1114">
        <f>B35</f>
        <v>111</v>
      </c>
      <c r="C110" s="1118"/>
      <c r="D110" s="1118"/>
      <c r="E110" s="1118"/>
      <c r="F110" s="1118"/>
      <c r="G110" s="1136"/>
      <c r="H110" s="1136"/>
      <c r="I110" s="1136"/>
      <c r="J110" s="1136"/>
      <c r="K110" s="1190"/>
      <c r="L110" s="1191"/>
      <c r="M110" s="1192"/>
      <c r="N110" s="1156"/>
      <c r="O110" s="1156"/>
      <c r="P110" s="1157"/>
      <c r="Q110" s="1080"/>
    </row>
    <row r="111" spans="1:17" ht="15">
      <c r="A111" s="1107"/>
      <c r="B111" s="1124"/>
      <c r="C111" s="1120"/>
      <c r="D111" s="1120"/>
      <c r="E111" s="1120"/>
      <c r="F111" s="1120"/>
      <c r="G111" s="1137"/>
      <c r="H111" s="1137"/>
      <c r="I111" s="1137"/>
      <c r="J111" s="1137"/>
      <c r="K111" s="1137"/>
      <c r="L111" s="1137"/>
      <c r="M111" s="1193"/>
      <c r="N111" s="1159"/>
      <c r="O111" s="1159"/>
      <c r="P111" s="1157"/>
      <c r="Q111" s="1080"/>
    </row>
    <row r="112" spans="1:17">
      <c r="A112" s="948"/>
      <c r="B112" s="1110">
        <f>B36</f>
        <v>111</v>
      </c>
      <c r="C112" s="1102"/>
      <c r="D112" s="1102"/>
      <c r="E112" s="1102"/>
      <c r="F112" s="1102"/>
      <c r="G112" s="1135"/>
      <c r="H112" s="1135"/>
      <c r="I112" s="1135"/>
      <c r="J112" s="1135"/>
      <c r="K112" s="1187"/>
      <c r="L112" s="1188"/>
      <c r="M112" s="1189"/>
      <c r="N112" s="1156"/>
      <c r="O112" s="1156"/>
      <c r="P112" s="1157"/>
      <c r="Q112" s="1080"/>
    </row>
    <row r="113" spans="1:17" ht="15">
      <c r="A113" s="1107"/>
      <c r="B113" s="1112"/>
      <c r="C113" s="1125"/>
      <c r="D113" s="1125"/>
      <c r="E113" s="1125"/>
      <c r="F113" s="1125"/>
      <c r="G113" s="1109"/>
      <c r="H113" s="1109"/>
      <c r="I113" s="1109"/>
      <c r="J113" s="1109"/>
      <c r="K113" s="1109"/>
      <c r="L113" s="1109"/>
      <c r="M113" s="1158"/>
      <c r="N113" s="1159"/>
      <c r="O113" s="1159"/>
      <c r="P113" s="1157"/>
      <c r="Q113" s="1080"/>
    </row>
    <row r="114" spans="1:17" s="868" customFormat="1">
      <c r="A114" s="1138"/>
      <c r="B114" s="1139">
        <f>B37</f>
        <v>111</v>
      </c>
      <c r="C114" s="1094"/>
      <c r="D114" s="1094"/>
      <c r="E114" s="1094"/>
      <c r="F114" s="1094"/>
      <c r="G114" s="1094"/>
      <c r="H114" s="1094"/>
      <c r="I114" s="1094"/>
      <c r="J114" s="1194"/>
      <c r="K114" s="1194"/>
      <c r="L114" s="1195"/>
      <c r="M114" s="1196"/>
      <c r="N114" s="1169"/>
      <c r="O114" s="1169"/>
      <c r="P114" s="1170"/>
      <c r="Q114" s="1200"/>
    </row>
    <row r="115" spans="1:17" s="868" customFormat="1" ht="15">
      <c r="A115" s="1117"/>
      <c r="B115" s="1114"/>
      <c r="C115" s="1104"/>
      <c r="D115" s="1140"/>
      <c r="E115" s="1140"/>
      <c r="F115" s="1140"/>
      <c r="G115" s="1140"/>
      <c r="H115" s="1140"/>
      <c r="I115" s="1140"/>
      <c r="J115" s="1140"/>
      <c r="K115" s="1140"/>
      <c r="L115" s="1140"/>
      <c r="M115" s="1197"/>
      <c r="N115" s="1159"/>
      <c r="O115" s="1159"/>
      <c r="P115" s="1170"/>
      <c r="Q115" s="1200"/>
    </row>
    <row r="116" spans="1:17" ht="28.5">
      <c r="A116" s="1105" t="s">
        <v>1349</v>
      </c>
      <c r="B116" s="1106" t="s">
        <v>1446</v>
      </c>
      <c r="C116" s="1128" t="str">
        <f>C117&amp;"(含)"&amp;"-"&amp;D117</f>
        <v>0(含)-25000</v>
      </c>
      <c r="D116" s="1128" t="str">
        <f t="shared" ref="D116:M116" si="27">D117&amp;"(含)"&amp;"-"&amp;E117</f>
        <v>25000(含)-50000</v>
      </c>
      <c r="E116" s="1128" t="str">
        <f t="shared" si="27"/>
        <v>50000(含)-75000</v>
      </c>
      <c r="F116" s="1128" t="str">
        <f t="shared" si="27"/>
        <v>75000(含)-100000</v>
      </c>
      <c r="G116" s="1128" t="str">
        <f t="shared" si="27"/>
        <v>100000(含)-125000</v>
      </c>
      <c r="H116" s="1128" t="str">
        <f t="shared" si="27"/>
        <v>125000(含)-150000</v>
      </c>
      <c r="I116" s="1128" t="str">
        <f t="shared" si="27"/>
        <v>150000(含)-175000</v>
      </c>
      <c r="J116" s="1128" t="str">
        <f t="shared" si="27"/>
        <v>175000(含)-200000</v>
      </c>
      <c r="K116" s="1128" t="str">
        <f t="shared" si="27"/>
        <v>200000(含)-225000</v>
      </c>
      <c r="L116" s="1128" t="str">
        <f t="shared" si="27"/>
        <v>225000(含)-</v>
      </c>
      <c r="M116" s="1128" t="str">
        <f t="shared" si="27"/>
        <v>(含)-</v>
      </c>
      <c r="N116" s="1156"/>
      <c r="O116" s="1156"/>
      <c r="P116" s="1157"/>
      <c r="Q116" s="1080"/>
    </row>
    <row r="117" spans="1:17" ht="15">
      <c r="A117" s="1107"/>
      <c r="B117" s="1114"/>
      <c r="C117" s="1094">
        <v>0</v>
      </c>
      <c r="D117" s="1094">
        <f>C117+25000</f>
        <v>25000</v>
      </c>
      <c r="E117" s="1094">
        <f t="shared" ref="E117:L117" si="28">D117+25000</f>
        <v>50000</v>
      </c>
      <c r="F117" s="1094">
        <f t="shared" si="28"/>
        <v>75000</v>
      </c>
      <c r="G117" s="1094">
        <f t="shared" si="28"/>
        <v>100000</v>
      </c>
      <c r="H117" s="1094">
        <f t="shared" si="28"/>
        <v>125000</v>
      </c>
      <c r="I117" s="1094">
        <f t="shared" si="28"/>
        <v>150000</v>
      </c>
      <c r="J117" s="1094">
        <f t="shared" si="28"/>
        <v>175000</v>
      </c>
      <c r="K117" s="1094">
        <f t="shared" si="28"/>
        <v>200000</v>
      </c>
      <c r="L117" s="1094">
        <f t="shared" si="28"/>
        <v>225000</v>
      </c>
      <c r="M117" s="1196"/>
      <c r="N117" s="1156"/>
      <c r="O117" s="1156"/>
      <c r="P117" s="1157"/>
      <c r="Q117" s="1080"/>
    </row>
    <row r="118" spans="1:17" ht="15">
      <c r="A118" s="1107"/>
      <c r="B118" s="1112"/>
      <c r="C118" s="1125">
        <v>100</v>
      </c>
      <c r="D118" s="1137">
        <f>C118+0.5</f>
        <v>100.5</v>
      </c>
      <c r="E118" s="1137">
        <f t="shared" ref="E118:L118" si="29">D118+0.5</f>
        <v>101</v>
      </c>
      <c r="F118" s="1137">
        <f t="shared" si="29"/>
        <v>101.5</v>
      </c>
      <c r="G118" s="1137">
        <f t="shared" si="29"/>
        <v>102</v>
      </c>
      <c r="H118" s="1137">
        <f t="shared" si="29"/>
        <v>102.5</v>
      </c>
      <c r="I118" s="1137">
        <f t="shared" si="29"/>
        <v>103</v>
      </c>
      <c r="J118" s="1137">
        <f t="shared" si="29"/>
        <v>103.5</v>
      </c>
      <c r="K118" s="1137">
        <f t="shared" si="29"/>
        <v>104</v>
      </c>
      <c r="L118" s="1137">
        <f t="shared" si="29"/>
        <v>104.5</v>
      </c>
      <c r="M118" s="1193"/>
      <c r="N118" s="1159"/>
      <c r="O118" s="1159"/>
      <c r="P118" s="1157"/>
      <c r="Q118" s="1080"/>
    </row>
    <row r="119" spans="1:17">
      <c r="A119" s="1141"/>
      <c r="B119" s="1110" t="s">
        <v>1447</v>
      </c>
      <c r="C119" s="3156" t="s">
        <v>3360</v>
      </c>
      <c r="D119" s="1135"/>
      <c r="E119" s="1135"/>
      <c r="F119" s="1135"/>
      <c r="G119" s="1135"/>
      <c r="H119" s="1135"/>
      <c r="I119" s="1135"/>
      <c r="J119" s="1135"/>
      <c r="K119" s="1187"/>
      <c r="L119" s="1188"/>
      <c r="M119" s="1189"/>
      <c r="N119" s="1156"/>
      <c r="O119" s="1156"/>
      <c r="P119" s="1157"/>
      <c r="Q119" s="1080"/>
    </row>
    <row r="120" spans="1:17" ht="15">
      <c r="A120" s="1107"/>
      <c r="B120" s="1112"/>
      <c r="C120" s="1113">
        <v>100</v>
      </c>
      <c r="D120" s="1113">
        <f t="shared" ref="D120:M120" si="30">C120-$K39</f>
        <v>99</v>
      </c>
      <c r="E120" s="1113">
        <f t="shared" si="30"/>
        <v>98</v>
      </c>
      <c r="F120" s="1113">
        <f t="shared" si="30"/>
        <v>97</v>
      </c>
      <c r="G120" s="1113">
        <f t="shared" si="30"/>
        <v>96</v>
      </c>
      <c r="H120" s="1113">
        <f t="shared" si="30"/>
        <v>95</v>
      </c>
      <c r="I120" s="1113">
        <f t="shared" si="30"/>
        <v>94</v>
      </c>
      <c r="J120" s="1113">
        <f t="shared" si="30"/>
        <v>93</v>
      </c>
      <c r="K120" s="1113">
        <f t="shared" si="30"/>
        <v>92</v>
      </c>
      <c r="L120" s="1113">
        <f t="shared" si="30"/>
        <v>91</v>
      </c>
      <c r="M120" s="1163">
        <f t="shared" si="30"/>
        <v>90</v>
      </c>
      <c r="N120" s="1159"/>
      <c r="O120" s="1159"/>
      <c r="P120" s="1157"/>
      <c r="Q120" s="1080"/>
    </row>
    <row r="121" spans="1:17">
      <c r="A121" s="1141"/>
      <c r="B121" s="1110" t="s">
        <v>1448</v>
      </c>
      <c r="C121" s="3157" t="s">
        <v>3362</v>
      </c>
      <c r="D121" s="1118"/>
      <c r="E121" s="1118"/>
      <c r="F121" s="1135"/>
      <c r="G121" s="1135"/>
      <c r="H121" s="1135"/>
      <c r="I121" s="1135"/>
      <c r="J121" s="1135"/>
      <c r="K121" s="1187"/>
      <c r="L121" s="1188"/>
      <c r="M121" s="1189"/>
      <c r="N121" s="1156"/>
      <c r="O121" s="1156"/>
      <c r="P121" s="1157"/>
      <c r="Q121" s="1080"/>
    </row>
    <row r="122" spans="1:17" ht="15">
      <c r="A122" s="1107"/>
      <c r="B122" s="1112"/>
      <c r="C122" s="1113">
        <v>100</v>
      </c>
      <c r="D122" s="1113">
        <f t="shared" ref="D122:M122" si="31">C122-$K40</f>
        <v>99</v>
      </c>
      <c r="E122" s="1113">
        <f t="shared" si="31"/>
        <v>98</v>
      </c>
      <c r="F122" s="1113">
        <f t="shared" si="31"/>
        <v>97</v>
      </c>
      <c r="G122" s="1113">
        <f t="shared" si="31"/>
        <v>96</v>
      </c>
      <c r="H122" s="1113">
        <f t="shared" si="31"/>
        <v>95</v>
      </c>
      <c r="I122" s="1113">
        <f t="shared" si="31"/>
        <v>94</v>
      </c>
      <c r="J122" s="1113">
        <f t="shared" si="31"/>
        <v>93</v>
      </c>
      <c r="K122" s="1113">
        <f t="shared" si="31"/>
        <v>92</v>
      </c>
      <c r="L122" s="1113">
        <f t="shared" si="31"/>
        <v>91</v>
      </c>
      <c r="M122" s="1163">
        <f t="shared" si="31"/>
        <v>90</v>
      </c>
      <c r="N122" s="1159"/>
      <c r="O122" s="1159"/>
      <c r="P122" s="1157"/>
      <c r="Q122" s="1080"/>
    </row>
    <row r="123" spans="1:17" s="868" customFormat="1">
      <c r="A123" s="1138"/>
      <c r="B123" s="1110" t="s">
        <v>1449</v>
      </c>
      <c r="C123" s="3157" t="s">
        <v>3365</v>
      </c>
      <c r="D123" s="1118"/>
      <c r="E123" s="1118"/>
      <c r="F123" s="1118"/>
      <c r="G123" s="1118"/>
      <c r="H123" s="1135"/>
      <c r="I123" s="1135"/>
      <c r="J123" s="1135"/>
      <c r="K123" s="1187"/>
      <c r="L123" s="1188"/>
      <c r="M123" s="1189"/>
      <c r="N123" s="1169"/>
      <c r="O123" s="1169"/>
      <c r="P123" s="1170"/>
      <c r="Q123" s="1200"/>
    </row>
    <row r="124" spans="1:17" s="868" customFormat="1" ht="15">
      <c r="A124" s="1117"/>
      <c r="B124" s="1112"/>
      <c r="C124" s="1113">
        <v>100</v>
      </c>
      <c r="D124" s="1113">
        <f>C124-$K41</f>
        <v>99</v>
      </c>
      <c r="E124" s="1113">
        <f t="shared" ref="E124:M124" si="32">D124-$K41</f>
        <v>98</v>
      </c>
      <c r="F124" s="1113">
        <f t="shared" si="32"/>
        <v>97</v>
      </c>
      <c r="G124" s="1113">
        <f t="shared" si="32"/>
        <v>96</v>
      </c>
      <c r="H124" s="1113">
        <f t="shared" si="32"/>
        <v>95</v>
      </c>
      <c r="I124" s="1113">
        <f t="shared" si="32"/>
        <v>94</v>
      </c>
      <c r="J124" s="1113">
        <f t="shared" si="32"/>
        <v>93</v>
      </c>
      <c r="K124" s="1113">
        <f t="shared" si="32"/>
        <v>92</v>
      </c>
      <c r="L124" s="1113">
        <f t="shared" si="32"/>
        <v>91</v>
      </c>
      <c r="M124" s="1163">
        <f t="shared" si="32"/>
        <v>90</v>
      </c>
      <c r="N124" s="1169"/>
      <c r="O124" s="1169"/>
      <c r="P124" s="1170"/>
      <c r="Q124" s="1200"/>
    </row>
    <row r="125" spans="1:17">
      <c r="A125" s="1141"/>
      <c r="B125" s="1110" t="s">
        <v>1450</v>
      </c>
      <c r="C125" s="3157" t="s">
        <v>3364</v>
      </c>
      <c r="D125" s="1118"/>
      <c r="E125" s="1135"/>
      <c r="F125" s="1135"/>
      <c r="G125" s="1135"/>
      <c r="H125" s="1135"/>
      <c r="I125" s="1135"/>
      <c r="J125" s="1135"/>
      <c r="K125" s="1187"/>
      <c r="L125" s="1188"/>
      <c r="M125" s="1189"/>
      <c r="N125" s="1156"/>
      <c r="O125" s="1156"/>
      <c r="P125" s="1157"/>
      <c r="Q125" s="1080"/>
    </row>
    <row r="126" spans="1:17" ht="15">
      <c r="A126" s="1107"/>
      <c r="B126" s="1112"/>
      <c r="C126" s="1113">
        <v>100</v>
      </c>
      <c r="D126" s="1113">
        <f t="shared" ref="D126:M126" si="33">C126-$K42</f>
        <v>99</v>
      </c>
      <c r="E126" s="1113">
        <f t="shared" si="33"/>
        <v>98</v>
      </c>
      <c r="F126" s="1113">
        <f t="shared" si="33"/>
        <v>97</v>
      </c>
      <c r="G126" s="1113">
        <f t="shared" si="33"/>
        <v>96</v>
      </c>
      <c r="H126" s="1113">
        <f t="shared" si="33"/>
        <v>95</v>
      </c>
      <c r="I126" s="1113">
        <f t="shared" si="33"/>
        <v>94</v>
      </c>
      <c r="J126" s="1113">
        <f t="shared" si="33"/>
        <v>93</v>
      </c>
      <c r="K126" s="1113">
        <f t="shared" si="33"/>
        <v>92</v>
      </c>
      <c r="L126" s="1113">
        <f t="shared" si="33"/>
        <v>91</v>
      </c>
      <c r="M126" s="1163">
        <f t="shared" si="33"/>
        <v>90</v>
      </c>
      <c r="N126" s="1159"/>
      <c r="O126" s="1159"/>
      <c r="P126" s="1157"/>
      <c r="Q126" s="1080"/>
    </row>
    <row r="127" spans="1:17">
      <c r="A127" s="1141"/>
      <c r="B127" s="1110">
        <f>B43</f>
        <v>111</v>
      </c>
      <c r="C127" s="1118"/>
      <c r="D127" s="1118"/>
      <c r="E127" s="1118"/>
      <c r="F127" s="1118"/>
      <c r="G127" s="1118"/>
      <c r="H127" s="1135"/>
      <c r="I127" s="1135"/>
      <c r="J127" s="1135"/>
      <c r="K127" s="1187"/>
      <c r="L127" s="1188"/>
      <c r="M127" s="1189"/>
      <c r="N127" s="1156"/>
      <c r="O127" s="1156"/>
      <c r="P127" s="1157"/>
      <c r="Q127" s="1080"/>
    </row>
    <row r="128" spans="1:17" ht="15">
      <c r="A128" s="1107"/>
      <c r="B128" s="1112"/>
      <c r="C128" s="1120"/>
      <c r="D128" s="1120"/>
      <c r="E128" s="1120"/>
      <c r="F128" s="1120"/>
      <c r="G128" s="1109"/>
      <c r="H128" s="1109"/>
      <c r="I128" s="1109"/>
      <c r="J128" s="1109"/>
      <c r="K128" s="1109"/>
      <c r="L128" s="1109"/>
      <c r="M128" s="1158"/>
      <c r="N128" s="1159"/>
      <c r="O128" s="1159"/>
      <c r="P128" s="1157"/>
      <c r="Q128" s="1080"/>
    </row>
    <row r="129" spans="1:17">
      <c r="A129" s="1141"/>
      <c r="B129" s="1110">
        <f>B44</f>
        <v>111</v>
      </c>
      <c r="C129" s="1102"/>
      <c r="D129" s="1102"/>
      <c r="E129" s="1102"/>
      <c r="F129" s="1102"/>
      <c r="G129" s="1135"/>
      <c r="H129" s="1135"/>
      <c r="I129" s="1135"/>
      <c r="J129" s="1135"/>
      <c r="K129" s="1187"/>
      <c r="L129" s="1188"/>
      <c r="M129" s="1189"/>
      <c r="N129" s="1156"/>
      <c r="O129" s="1156"/>
      <c r="P129" s="1157"/>
      <c r="Q129" s="1080"/>
    </row>
    <row r="130" spans="1:17" ht="15">
      <c r="A130" s="1107"/>
      <c r="B130" s="1112"/>
      <c r="C130" s="1125"/>
      <c r="D130" s="1125"/>
      <c r="E130" s="1125"/>
      <c r="F130" s="1125"/>
      <c r="G130" s="1109"/>
      <c r="H130" s="1109"/>
      <c r="I130" s="1109"/>
      <c r="J130" s="1109"/>
      <c r="K130" s="1109"/>
      <c r="L130" s="1109"/>
      <c r="M130" s="1158"/>
      <c r="N130" s="1159"/>
      <c r="O130" s="1159"/>
      <c r="P130" s="1157"/>
      <c r="Q130" s="1080"/>
    </row>
    <row r="131" spans="1:17" s="868" customFormat="1">
      <c r="A131" s="1138"/>
      <c r="B131" s="1110">
        <f>B45</f>
        <v>111</v>
      </c>
      <c r="C131" s="1102"/>
      <c r="D131" s="1102"/>
      <c r="E131" s="1102"/>
      <c r="F131" s="1102"/>
      <c r="G131" s="1119"/>
      <c r="H131" s="1119"/>
      <c r="I131" s="1119"/>
      <c r="J131" s="1119"/>
      <c r="K131" s="1119"/>
      <c r="L131" s="1167"/>
      <c r="M131" s="1168"/>
      <c r="N131" s="1169"/>
      <c r="O131" s="1169"/>
      <c r="P131" s="1170"/>
      <c r="Q131" s="1200"/>
    </row>
    <row r="132" spans="1:17" s="868" customFormat="1" ht="15">
      <c r="A132" s="1123"/>
      <c r="B132" s="1142"/>
      <c r="C132" s="1125"/>
      <c r="D132" s="1125"/>
      <c r="E132" s="1125"/>
      <c r="F132" s="1125"/>
      <c r="G132" s="1137"/>
      <c r="H132" s="1137"/>
      <c r="I132" s="1137"/>
      <c r="J132" s="1137"/>
      <c r="K132" s="1137"/>
      <c r="L132" s="1137"/>
      <c r="M132" s="1193"/>
      <c r="N132" s="1169"/>
      <c r="O132" s="1169"/>
      <c r="P132" s="1170"/>
      <c r="Q132" s="1200"/>
    </row>
  </sheetData>
  <sheetProtection password="C66D" sheet="1" objects="1" scenarios="1" formatCells="0" formatColumns="0" formatRows="0"/>
  <mergeCells count="42">
    <mergeCell ref="AA4:AA6"/>
    <mergeCell ref="AB4:AB6"/>
    <mergeCell ref="AC4:AC6"/>
    <mergeCell ref="G55:H56"/>
    <mergeCell ref="P4:Q6"/>
    <mergeCell ref="R4:S6"/>
    <mergeCell ref="T4:U6"/>
    <mergeCell ref="V4:W6"/>
    <mergeCell ref="Y4:Z6"/>
    <mergeCell ref="Y7:Z7"/>
    <mergeCell ref="P8:Q8"/>
    <mergeCell ref="Y8:Z8"/>
    <mergeCell ref="V46:W46"/>
    <mergeCell ref="G57:G60"/>
    <mergeCell ref="P9:P14"/>
    <mergeCell ref="P15:P35"/>
    <mergeCell ref="P36:P45"/>
    <mergeCell ref="Y9:Y14"/>
    <mergeCell ref="Y15:Y35"/>
    <mergeCell ref="Y36:Y45"/>
    <mergeCell ref="P47:Q47"/>
    <mergeCell ref="R47:S47"/>
    <mergeCell ref="T47:U47"/>
    <mergeCell ref="V47:W47"/>
    <mergeCell ref="P48:Q48"/>
    <mergeCell ref="R48:W48"/>
    <mergeCell ref="P46:Q46"/>
    <mergeCell ref="R46:S46"/>
    <mergeCell ref="T46:U46"/>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E51">
    <cfRule type="expression" dxfId="147" priority="9" stopIfTrue="1">
      <formula>$F$51="超过30%"</formula>
    </cfRule>
  </conditionalFormatting>
  <conditionalFormatting sqref="G51">
    <cfRule type="expression" dxfId="146" priority="5" stopIfTrue="1">
      <formula>$H$53+$H$51="超过30%"</formula>
    </cfRule>
  </conditionalFormatting>
  <conditionalFormatting sqref="I51">
    <cfRule type="expression" dxfId="145" priority="3" stopIfTrue="1">
      <formula>$J$51="超过30%"</formula>
    </cfRule>
  </conditionalFormatting>
  <conditionalFormatting sqref="E52">
    <cfRule type="expression" dxfId="144" priority="7" stopIfTrue="1">
      <formula>$F$52="超过20%"</formula>
    </cfRule>
  </conditionalFormatting>
  <conditionalFormatting sqref="G52">
    <cfRule type="expression" dxfId="143" priority="4" stopIfTrue="1">
      <formula>$H$52="超过20%"</formula>
    </cfRule>
  </conditionalFormatting>
  <conditionalFormatting sqref="I52">
    <cfRule type="expression" dxfId="142" priority="2" stopIfTrue="1">
      <formula>$J$52="超过20%"</formula>
    </cfRule>
  </conditionalFormatting>
  <conditionalFormatting sqref="E53">
    <cfRule type="expression" dxfId="141" priority="6" stopIfTrue="1">
      <formula>$F$53="超过30%"</formula>
    </cfRule>
  </conditionalFormatting>
  <conditionalFormatting sqref="F53">
    <cfRule type="containsText" dxfId="140" priority="11" stopIfTrue="1" operator="containsText" text="超过">
      <formula>NOT(ISERROR(SEARCH("超过",F53)))</formula>
    </cfRule>
  </conditionalFormatting>
  <conditionalFormatting sqref="G53">
    <cfRule type="expression" dxfId="139" priority="8" stopIfTrue="1">
      <formula>$H$53="超过30%"</formula>
    </cfRule>
  </conditionalFormatting>
  <conditionalFormatting sqref="H53">
    <cfRule type="containsText" dxfId="138" priority="12" stopIfTrue="1" operator="containsText" text="超过">
      <formula>NOT(ISERROR(SEARCH("超过",H53)))</formula>
    </cfRule>
  </conditionalFormatting>
  <conditionalFormatting sqref="I53">
    <cfRule type="expression" dxfId="137" priority="1" stopIfTrue="1">
      <formula>$J$53="超过30%"</formula>
    </cfRule>
  </conditionalFormatting>
  <conditionalFormatting sqref="J53">
    <cfRule type="containsText" dxfId="136" priority="13" stopIfTrue="1" operator="containsText" text="超过">
      <formula>NOT(ISERROR(SEARCH("超过",J53)))</formula>
    </cfRule>
  </conditionalFormatting>
  <conditionalFormatting sqref="F51 H51 J51">
    <cfRule type="containsText" dxfId="135" priority="14" stopIfTrue="1" operator="containsText" text="超过">
      <formula>NOT(ISERROR(SEARCH("超过",F51)))</formula>
    </cfRule>
  </conditionalFormatting>
  <conditionalFormatting sqref="F52 H52 J52">
    <cfRule type="containsText" dxfId="134" priority="10" stopIfTrue="1" operator="containsText" text="超过">
      <formula>NOT(ISERROR(SEARCH("超过",F52)))</formula>
    </cfRule>
  </conditionalFormatting>
  <dataValidations count="24">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A71">
      <formula1>"综合,商业,办公,住宅"</formula1>
    </dataValidation>
    <dataValidation type="list" allowBlank="1" showInputMessage="1" showErrorMessage="1" sqref="D57:D65">
      <formula1>"25%,1"</formula1>
    </dataValidation>
  </dataValidations>
  <pageMargins left="0.70833333333333304" right="0.70833333333333304" top="1.0625" bottom="0.94444444444444398" header="0.31458333333333299" footer="0.31458333333333299"/>
  <pageSetup paperSize="9" scale="28" orientation="portrait"/>
  <legacy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34"/>
  <sheetViews>
    <sheetView workbookViewId="0">
      <selection activeCell="G21" sqref="G21"/>
    </sheetView>
  </sheetViews>
  <sheetFormatPr defaultColWidth="6.625" defaultRowHeight="12.75"/>
  <cols>
    <col min="1" max="1" width="9.75" style="323" customWidth="1"/>
    <col min="2" max="2" width="25.75" style="1932" customWidth="1"/>
    <col min="3" max="3" width="10.375" style="1933" customWidth="1"/>
    <col min="4" max="4" width="9.875" style="1932" customWidth="1"/>
    <col min="5" max="5" width="9.5" style="323" customWidth="1"/>
    <col min="6" max="6" width="10.125" style="1932" customWidth="1"/>
    <col min="7" max="7" width="10.75" style="1932" customWidth="1"/>
    <col min="8" max="8" width="10" style="1932" customWidth="1"/>
    <col min="9" max="11" width="9.5" style="1932" customWidth="1"/>
    <col min="12" max="12" width="9" style="1932" customWidth="1"/>
    <col min="13" max="13" width="10.5" style="1932" customWidth="1"/>
    <col min="14" max="254" width="9" style="1932" customWidth="1"/>
    <col min="255" max="16384" width="6.625" style="1932"/>
  </cols>
  <sheetData>
    <row r="1" spans="1:33" ht="20.25">
      <c r="A1" s="140" t="s">
        <v>997</v>
      </c>
      <c r="B1" s="1934"/>
      <c r="C1" s="1935"/>
      <c r="D1" s="1936"/>
      <c r="E1" s="1937"/>
      <c r="F1" s="1937"/>
      <c r="G1" s="1934"/>
      <c r="H1" s="1937"/>
      <c r="I1" s="1937"/>
      <c r="J1" s="1937"/>
      <c r="K1" s="1937">
        <f>MATCH(C1,'数据-取费表'!A6:A16,0)+5</f>
        <v>10</v>
      </c>
    </row>
    <row r="2" spans="1:33" ht="18" customHeight="1">
      <c r="A2" s="144" t="s">
        <v>895</v>
      </c>
      <c r="B2" s="148">
        <f ca="1">C32</f>
        <v>0</v>
      </c>
      <c r="C2" s="1937" t="s">
        <v>998</v>
      </c>
      <c r="D2" s="1937"/>
      <c r="E2" s="1937"/>
      <c r="F2" s="1937"/>
      <c r="G2" s="1937"/>
      <c r="H2" s="1937"/>
      <c r="I2" s="1937"/>
      <c r="J2" s="1937"/>
      <c r="K2" s="1937"/>
    </row>
    <row r="3" spans="1:33" ht="18" customHeight="1">
      <c r="A3" s="147" t="s">
        <v>897</v>
      </c>
      <c r="B3" s="148">
        <f ca="1">ROUND(B2*10000/IF(C1="",'数据-汇总表'!E3,INDIRECT("'数据-取费表'!K"&amp;$K$1)),0)</f>
        <v>0</v>
      </c>
      <c r="C3" s="1937" t="s">
        <v>999</v>
      </c>
      <c r="D3" s="1937"/>
      <c r="E3" s="1937"/>
      <c r="F3" s="1937"/>
      <c r="G3" s="1937"/>
      <c r="H3" s="1937"/>
      <c r="I3" s="1937"/>
      <c r="J3" s="1937"/>
      <c r="K3" s="1937"/>
    </row>
    <row r="4" spans="1:33" s="1923" customFormat="1" ht="16.5" customHeight="1">
      <c r="A4" s="1938" t="s">
        <v>1000</v>
      </c>
      <c r="B4" s="1939"/>
      <c r="C4" s="1940">
        <f>SUM(C8:K8)</f>
        <v>0</v>
      </c>
      <c r="D4" s="1939"/>
      <c r="E4" s="1939"/>
      <c r="F4" s="1939"/>
      <c r="G4" s="1939"/>
      <c r="H4" s="1939"/>
      <c r="I4" s="1939"/>
      <c r="J4" s="1939"/>
      <c r="K4" s="2005"/>
    </row>
    <row r="5" spans="1:33" s="1924" customFormat="1" ht="24.75">
      <c r="A5" s="1941" t="s">
        <v>1001</v>
      </c>
      <c r="B5" s="1942" t="s">
        <v>1002</v>
      </c>
      <c r="C5" s="1943" t="s">
        <v>1003</v>
      </c>
      <c r="D5" s="1943" t="s">
        <v>1004</v>
      </c>
      <c r="E5" s="1943" t="s">
        <v>1005</v>
      </c>
      <c r="F5" s="1943"/>
      <c r="G5" s="1943"/>
      <c r="H5" s="1943"/>
      <c r="I5" s="1943"/>
      <c r="J5" s="1943"/>
      <c r="K5" s="1943"/>
      <c r="L5" s="2006"/>
      <c r="M5" s="2006"/>
      <c r="N5" s="2006"/>
      <c r="O5" s="2006"/>
      <c r="P5" s="2006"/>
      <c r="Q5" s="2006"/>
      <c r="R5" s="2006"/>
      <c r="S5" s="2006"/>
      <c r="T5" s="2006"/>
      <c r="U5" s="2006"/>
      <c r="V5" s="2006"/>
      <c r="W5" s="2006"/>
      <c r="X5" s="2006"/>
      <c r="Y5" s="2006"/>
      <c r="Z5" s="2006"/>
      <c r="AA5" s="2006"/>
      <c r="AB5" s="2006"/>
      <c r="AC5" s="2006"/>
      <c r="AD5" s="2006"/>
      <c r="AE5" s="2006"/>
      <c r="AF5" s="2006"/>
      <c r="AG5" s="2006"/>
    </row>
    <row r="6" spans="1:33" s="1925" customFormat="1" ht="13.5" customHeight="1">
      <c r="A6" s="1944" t="s">
        <v>806</v>
      </c>
      <c r="B6" s="1712" t="s">
        <v>1006</v>
      </c>
      <c r="C6" s="1945"/>
      <c r="D6" s="1945"/>
      <c r="E6" s="1945"/>
      <c r="F6" s="1945"/>
      <c r="G6" s="1945"/>
      <c r="H6" s="1945"/>
      <c r="I6" s="1945"/>
      <c r="J6" s="1945"/>
      <c r="K6" s="2007"/>
      <c r="L6" s="2008"/>
      <c r="M6" s="2008"/>
      <c r="N6" s="2008"/>
      <c r="O6" s="2008"/>
      <c r="P6" s="2008"/>
      <c r="Q6" s="2008"/>
      <c r="R6" s="2008"/>
      <c r="S6" s="2008"/>
      <c r="T6" s="2008"/>
      <c r="U6" s="2008"/>
      <c r="V6" s="2008"/>
      <c r="W6" s="2008"/>
      <c r="X6" s="2008"/>
      <c r="Y6" s="2008"/>
      <c r="Z6" s="2008"/>
      <c r="AA6" s="2008"/>
      <c r="AB6" s="2008"/>
      <c r="AC6" s="2008"/>
      <c r="AD6" s="2008"/>
      <c r="AE6" s="2008"/>
      <c r="AF6" s="2008"/>
      <c r="AG6" s="2008"/>
    </row>
    <row r="7" spans="1:33" s="1925" customFormat="1" ht="13.5" customHeight="1">
      <c r="A7" s="1944" t="s">
        <v>810</v>
      </c>
      <c r="B7" s="1712" t="s">
        <v>425</v>
      </c>
      <c r="C7" s="1946">
        <f>SUMIF('数据-汇总表'!$C19:$C33,假设开发法!C5,'数据-汇总表'!$E19:$E33)</f>
        <v>0</v>
      </c>
      <c r="D7" s="1946">
        <f>SUMIF('数据-汇总表'!$C19:$C33,假设开发法!D5,'数据-汇总表'!$E19:$E33)</f>
        <v>0</v>
      </c>
      <c r="E7" s="1946">
        <f>SUMIF('数据-汇总表'!$C19:$C33,假设开发法!E5,'数据-汇总表'!$E19:$E33)</f>
        <v>0</v>
      </c>
      <c r="F7" s="1946">
        <f>SUMIF('数据-汇总表'!$C19:$C33,假设开发法!F5,'数据-汇总表'!$E19:$E33)</f>
        <v>0</v>
      </c>
      <c r="G7" s="1946">
        <f>SUMIF('数据-汇总表'!$C19:$C33,假设开发法!G5,'数据-汇总表'!$E19:$E33)</f>
        <v>0</v>
      </c>
      <c r="H7" s="1946">
        <f>SUMIF('数据-汇总表'!$C19:$C33,假设开发法!H5,'数据-汇总表'!$E19:$E33)</f>
        <v>0</v>
      </c>
      <c r="I7" s="1946">
        <f>SUMIF('数据-汇总表'!$C19:$C33,假设开发法!I5,'数据-汇总表'!$E19:$E33)</f>
        <v>0</v>
      </c>
      <c r="J7" s="1946">
        <f>SUMIF('数据-汇总表'!$C19:$C33,假设开发法!J5,'数据-汇总表'!$E19:$E33)</f>
        <v>0</v>
      </c>
      <c r="K7" s="2009">
        <f>SUMIF('数据-汇总表'!$C19:$C33,假设开发法!K5,'数据-汇总表'!$E19:$E33)</f>
        <v>0</v>
      </c>
      <c r="L7" s="2008"/>
      <c r="M7" s="2008"/>
      <c r="N7" s="2008"/>
      <c r="O7" s="2008"/>
      <c r="P7" s="2008"/>
      <c r="Q7" s="2008"/>
      <c r="R7" s="2008"/>
      <c r="S7" s="2008"/>
      <c r="T7" s="2008"/>
      <c r="U7" s="2008"/>
      <c r="V7" s="2008"/>
      <c r="W7" s="2008"/>
      <c r="X7" s="2008"/>
      <c r="Y7" s="2008"/>
      <c r="Z7" s="2008"/>
      <c r="AA7" s="2008"/>
      <c r="AB7" s="2008"/>
      <c r="AC7" s="2008"/>
      <c r="AD7" s="2008"/>
      <c r="AE7" s="2008"/>
      <c r="AF7" s="2008"/>
      <c r="AG7" s="2008"/>
    </row>
    <row r="8" spans="1:33" s="1925" customFormat="1" ht="13.5" customHeight="1">
      <c r="A8" s="1947" t="s">
        <v>854</v>
      </c>
      <c r="B8" s="1948" t="s">
        <v>1007</v>
      </c>
      <c r="C8" s="1949"/>
      <c r="D8" s="1949"/>
      <c r="E8" s="1949"/>
      <c r="F8" s="1950"/>
      <c r="G8" s="1950"/>
      <c r="H8" s="1950"/>
      <c r="I8" s="1950"/>
      <c r="J8" s="1950"/>
      <c r="K8" s="2010"/>
      <c r="L8" s="2008"/>
      <c r="M8" s="2008"/>
      <c r="N8" s="2008"/>
      <c r="O8" s="2008"/>
      <c r="P8" s="2008"/>
      <c r="Q8" s="2008"/>
      <c r="R8" s="2008"/>
      <c r="S8" s="2008"/>
      <c r="T8" s="2008"/>
      <c r="U8" s="2008"/>
      <c r="V8" s="2008"/>
      <c r="W8" s="2008"/>
      <c r="X8" s="2008"/>
      <c r="Y8" s="2008"/>
      <c r="Z8" s="2008"/>
      <c r="AA8" s="2008"/>
      <c r="AB8" s="2008"/>
      <c r="AC8" s="2008"/>
      <c r="AD8" s="2008"/>
      <c r="AE8" s="2008"/>
      <c r="AF8" s="2008"/>
      <c r="AG8" s="2008"/>
    </row>
    <row r="9" spans="1:33" s="1923" customFormat="1" ht="16.5" customHeight="1">
      <c r="A9" s="1938" t="s">
        <v>1008</v>
      </c>
      <c r="B9" s="1939"/>
      <c r="C9" s="1939"/>
      <c r="D9" s="1939"/>
      <c r="E9" s="1939"/>
      <c r="F9" s="1939"/>
      <c r="G9" s="1939"/>
      <c r="H9" s="1939"/>
      <c r="I9" s="1939"/>
      <c r="J9" s="1939"/>
      <c r="K9" s="2005"/>
    </row>
    <row r="10" spans="1:33" s="1926" customFormat="1" ht="13.5" customHeight="1">
      <c r="A10" s="1941" t="s">
        <v>1001</v>
      </c>
      <c r="B10" s="1951" t="s">
        <v>1002</v>
      </c>
      <c r="C10" s="1952" t="s">
        <v>1009</v>
      </c>
      <c r="D10" s="1953" t="s">
        <v>1010</v>
      </c>
      <c r="E10" s="1953" t="s">
        <v>1011</v>
      </c>
      <c r="F10" s="1953" t="s">
        <v>1012</v>
      </c>
      <c r="G10" s="1951"/>
      <c r="H10" s="1954"/>
      <c r="I10" s="1954"/>
      <c r="J10" s="1954"/>
      <c r="K10" s="2011"/>
    </row>
    <row r="11" spans="1:33" s="1927" customFormat="1" ht="13.5" customHeight="1">
      <c r="A11" s="1955" t="s">
        <v>910</v>
      </c>
      <c r="B11" s="1956" t="s">
        <v>1013</v>
      </c>
      <c r="C11" s="1957">
        <f ca="1">IF(C1="",'数据-取费表'!P16,INDIRECT("'数据-取费表'!p"&amp;$K$1)+INDIRECT("'数据-取费表'!ar"&amp;$K$1))</f>
        <v>0</v>
      </c>
      <c r="D11" s="1958"/>
      <c r="E11" s="1715"/>
      <c r="F11" s="1959">
        <f ca="1">1-IF('数据-取费表'!B24=0,1,IF(C1="",'数据-取费表'!N16,INDIRECT("'数据-取费表'!n"&amp;$K$1)))</f>
        <v>0</v>
      </c>
      <c r="G11" s="1951"/>
      <c r="H11" s="1954"/>
      <c r="I11" s="1954"/>
      <c r="J11" s="1954"/>
      <c r="K11" s="2011"/>
    </row>
    <row r="12" spans="1:33" s="1927" customFormat="1" ht="13.5" customHeight="1">
      <c r="A12" s="1955" t="s">
        <v>913</v>
      </c>
      <c r="B12" s="1956" t="s">
        <v>1014</v>
      </c>
      <c r="C12" s="285">
        <f ca="1">ROUND(C11*F12,0)</f>
        <v>0</v>
      </c>
      <c r="D12" s="1958"/>
      <c r="E12" s="1715"/>
      <c r="F12" s="1960">
        <f>'数据-取费表'!B33</f>
        <v>0.05</v>
      </c>
      <c r="G12" s="1951" t="s">
        <v>1015</v>
      </c>
      <c r="H12" s="1954"/>
      <c r="I12" s="1954"/>
      <c r="J12" s="1954"/>
      <c r="K12" s="2011"/>
    </row>
    <row r="13" spans="1:33" s="1927" customFormat="1" ht="13.5" customHeight="1">
      <c r="A13" s="1955" t="s">
        <v>1016</v>
      </c>
      <c r="B13" s="1956" t="s">
        <v>1017</v>
      </c>
      <c r="C13" s="285">
        <f ca="1">ROUND(IF(C1="",SUMIF('数据-取费表'!C:C,"住宅",'数据-取费表'!P:P)*F13,IF(INDIRECT("'数据-取费表'!c"&amp;$K$1)="住宅",INDIRECT("'数据-取费表'!P"&amp;$K$1)*F13,0)),0)</f>
        <v>0</v>
      </c>
      <c r="D13" s="1961"/>
      <c r="E13" s="1715"/>
      <c r="F13" s="1960">
        <f>'数据-取费表'!B34</f>
        <v>0</v>
      </c>
      <c r="G13" s="1951" t="s">
        <v>1018</v>
      </c>
      <c r="H13" s="1954"/>
      <c r="I13" s="1954"/>
      <c r="J13" s="1954"/>
      <c r="K13" s="2011"/>
    </row>
    <row r="14" spans="1:33" s="1928" customFormat="1" ht="13.5" customHeight="1">
      <c r="A14" s="1955" t="s">
        <v>1019</v>
      </c>
      <c r="B14" s="1956" t="s">
        <v>1020</v>
      </c>
      <c r="C14" s="285">
        <f ca="1">ROUND(D14*E14*F11/10000,0)</f>
        <v>0</v>
      </c>
      <c r="D14" s="1961">
        <f ca="1">IF(C1="",'数据-汇总表'!E3,INDIRECT("'数据-取费表'!K"&amp;$K$1)+INDIRECT("'数据-取费表'!S"&amp;$K$1))</f>
        <v>98873.18</v>
      </c>
      <c r="E14" s="285">
        <f>'数据-取费表'!B35</f>
        <v>200</v>
      </c>
      <c r="F14" s="1960"/>
      <c r="G14" s="1951" t="s">
        <v>1021</v>
      </c>
      <c r="H14" s="1954"/>
      <c r="I14" s="1954"/>
      <c r="J14" s="1954"/>
      <c r="K14" s="2011"/>
      <c r="L14" s="1927"/>
      <c r="M14" s="1927"/>
      <c r="N14" s="1927"/>
      <c r="O14" s="1927"/>
      <c r="P14" s="1927"/>
      <c r="Q14" s="1927"/>
      <c r="R14" s="1927"/>
      <c r="S14" s="1927"/>
      <c r="T14" s="1927"/>
      <c r="U14" s="1927"/>
      <c r="V14" s="1927"/>
      <c r="W14" s="1927"/>
      <c r="X14" s="1927"/>
      <c r="Y14" s="1927"/>
      <c r="Z14" s="1927"/>
      <c r="AA14" s="1927"/>
      <c r="AB14" s="1927"/>
      <c r="AC14" s="1927"/>
      <c r="AD14" s="1927"/>
      <c r="AE14" s="1927"/>
      <c r="AF14" s="1927"/>
      <c r="AG14" s="1927"/>
    </row>
    <row r="15" spans="1:33" s="1928" customFormat="1" ht="13.5" customHeight="1">
      <c r="A15" s="1955" t="s">
        <v>1022</v>
      </c>
      <c r="B15" s="1956" t="s">
        <v>1023</v>
      </c>
      <c r="C15" s="1962">
        <f ca="1">ROUND(C11*F15,0)</f>
        <v>0</v>
      </c>
      <c r="D15" s="1963"/>
      <c r="E15" s="1962"/>
      <c r="F15" s="1964">
        <f>'数据-取费表'!B36</f>
        <v>1.4999999999999999E-2</v>
      </c>
      <c r="G15" s="1712" t="s">
        <v>1024</v>
      </c>
      <c r="H15" s="1822"/>
      <c r="I15" s="1822"/>
      <c r="J15" s="1822"/>
      <c r="K15" s="1823"/>
      <c r="L15" s="1927"/>
      <c r="M15" s="1927"/>
      <c r="N15" s="1927"/>
      <c r="O15" s="1927"/>
      <c r="P15" s="1927"/>
      <c r="Q15" s="1927"/>
      <c r="R15" s="1927"/>
      <c r="S15" s="1927"/>
      <c r="T15" s="1927"/>
      <c r="U15" s="1927"/>
      <c r="V15" s="1927"/>
      <c r="W15" s="1927"/>
      <c r="X15" s="1927"/>
      <c r="Y15" s="1927"/>
      <c r="Z15" s="1927"/>
      <c r="AA15" s="1927"/>
      <c r="AB15" s="1927"/>
      <c r="AC15" s="1927"/>
      <c r="AD15" s="1927"/>
      <c r="AE15" s="1927"/>
      <c r="AF15" s="1927"/>
      <c r="AG15" s="1927"/>
    </row>
    <row r="16" spans="1:33" s="1928" customFormat="1" ht="13.5" customHeight="1">
      <c r="A16" s="1955" t="s">
        <v>829</v>
      </c>
      <c r="B16" s="1956" t="s">
        <v>1025</v>
      </c>
      <c r="C16" s="1962">
        <f ca="1">SUM(C11:C15)</f>
        <v>0</v>
      </c>
      <c r="D16" s="1963"/>
      <c r="E16" s="1962"/>
      <c r="F16" s="1964"/>
      <c r="G16" s="1712"/>
      <c r="H16" s="1965"/>
      <c r="I16" s="1822"/>
      <c r="J16" s="1822"/>
      <c r="K16" s="1823"/>
      <c r="L16" s="1927"/>
      <c r="M16" s="1927"/>
      <c r="N16" s="1927"/>
      <c r="O16" s="1927"/>
      <c r="P16" s="1927"/>
      <c r="Q16" s="1927"/>
      <c r="R16" s="1927"/>
      <c r="S16" s="1927"/>
      <c r="T16" s="1927"/>
      <c r="U16" s="1927"/>
      <c r="V16" s="1927"/>
      <c r="W16" s="1927"/>
      <c r="X16" s="1927"/>
      <c r="Y16" s="1927"/>
      <c r="Z16" s="1927"/>
      <c r="AA16" s="1927"/>
      <c r="AB16" s="1927"/>
      <c r="AC16" s="1927"/>
      <c r="AD16" s="1927"/>
      <c r="AE16" s="1927"/>
      <c r="AF16" s="1927"/>
      <c r="AG16" s="1927"/>
    </row>
    <row r="17" spans="1:33" s="1928" customFormat="1" ht="13.5" customHeight="1">
      <c r="A17" s="1955" t="s">
        <v>834</v>
      </c>
      <c r="B17" s="1956" t="s">
        <v>1026</v>
      </c>
      <c r="C17" s="285">
        <f ca="1">ROUND(D17*E17/10000,0)</f>
        <v>0</v>
      </c>
      <c r="D17" s="1961">
        <f ca="1">D14</f>
        <v>98873.18</v>
      </c>
      <c r="E17" s="285">
        <f>'数据-取费表'!B32</f>
        <v>0</v>
      </c>
      <c r="F17" s="1963"/>
      <c r="G17" s="1712" t="s">
        <v>1027</v>
      </c>
      <c r="H17" s="1965"/>
      <c r="I17" s="1822"/>
      <c r="J17" s="1822"/>
      <c r="K17" s="1823"/>
      <c r="L17" s="1927"/>
      <c r="M17" s="1927"/>
      <c r="N17" s="1927"/>
      <c r="O17" s="1927"/>
      <c r="P17" s="1927"/>
      <c r="Q17" s="1927"/>
      <c r="R17" s="1927"/>
      <c r="S17" s="1927"/>
      <c r="T17" s="1927"/>
      <c r="U17" s="1927"/>
      <c r="V17" s="1927"/>
      <c r="W17" s="1927"/>
      <c r="X17" s="1927"/>
      <c r="Y17" s="1927"/>
      <c r="Z17" s="1927"/>
      <c r="AA17" s="1927"/>
      <c r="AB17" s="1927"/>
      <c r="AC17" s="1927"/>
      <c r="AD17" s="1927"/>
      <c r="AE17" s="1927"/>
      <c r="AF17" s="1927"/>
      <c r="AG17" s="1927"/>
    </row>
    <row r="18" spans="1:33" s="1927" customFormat="1" ht="13.5" customHeight="1">
      <c r="A18" s="1955" t="s">
        <v>1028</v>
      </c>
      <c r="B18" s="1956" t="s">
        <v>1029</v>
      </c>
      <c r="C18" s="285">
        <f ca="1">C19+C20-IF(C1="",'数据-取费表'!B29,IF(G18="已全部缴纳",C19+C20,H18))</f>
        <v>0</v>
      </c>
      <c r="D18" s="1961"/>
      <c r="E18" s="285"/>
      <c r="F18" s="1960"/>
      <c r="G18" s="1966" t="s">
        <v>3371</v>
      </c>
      <c r="H18" s="1967"/>
      <c r="I18" s="2012" t="s">
        <v>1030</v>
      </c>
      <c r="J18" s="1822"/>
      <c r="K18" s="1823"/>
    </row>
    <row r="19" spans="1:33" s="1927" customFormat="1" ht="13.5" customHeight="1">
      <c r="A19" s="1955" t="s">
        <v>910</v>
      </c>
      <c r="B19" s="1956" t="s">
        <v>1031</v>
      </c>
      <c r="C19" s="285">
        <f ca="1">ROUND(D19*E19/10000,0)</f>
        <v>0</v>
      </c>
      <c r="D19" s="1961">
        <f ca="1">IF(C1="",'数据-汇总表'!E5,IF(INDIRECT("'数据-取费表'!c"&amp;$K$1)="住宅",INDIRECT("'数据-取费表'!k"&amp;$K$1),0))</f>
        <v>0</v>
      </c>
      <c r="E19" s="285">
        <f>'数据-取费表'!B27</f>
        <v>50</v>
      </c>
      <c r="F19" s="1960"/>
      <c r="G19" s="1821"/>
      <c r="H19" s="1968"/>
      <c r="I19" s="1969"/>
      <c r="J19" s="1969"/>
      <c r="K19" s="2013"/>
    </row>
    <row r="20" spans="1:33" s="1927" customFormat="1" ht="13.5" customHeight="1">
      <c r="A20" s="1955" t="s">
        <v>913</v>
      </c>
      <c r="B20" s="1956" t="s">
        <v>1032</v>
      </c>
      <c r="C20" s="285">
        <f ca="1">ROUND(D20*E20/10000,0)</f>
        <v>890</v>
      </c>
      <c r="D20" s="1961">
        <f ca="1">IF(C1="",'数据-汇总表'!E6,IF(INDIRECT("'数据-取费表'!c"&amp;$K$1)="住宅",INDIRECT("'数据-取费表'!s"&amp;$K$1),INDIRECT("'数据-取费表'!k"&amp;$K$1)+INDIRECT("'数据-取费表'!s"&amp;$K$1)))</f>
        <v>98873.18</v>
      </c>
      <c r="E20" s="285">
        <f>'数据-取费表'!B28</f>
        <v>90</v>
      </c>
      <c r="F20" s="1960"/>
      <c r="G20" s="1821"/>
      <c r="H20" s="1969"/>
      <c r="I20" s="1969"/>
      <c r="J20" s="1969"/>
      <c r="K20" s="2013"/>
    </row>
    <row r="21" spans="1:33" s="1927" customFormat="1" ht="13.5" customHeight="1">
      <c r="A21" s="1944" t="s">
        <v>806</v>
      </c>
      <c r="B21" s="1970" t="s">
        <v>1033</v>
      </c>
      <c r="C21" s="1971">
        <f ca="1">C16+C17+C18</f>
        <v>0</v>
      </c>
      <c r="D21" s="1972"/>
      <c r="E21" s="1973"/>
      <c r="F21" s="1973"/>
      <c r="G21" s="1712" t="s">
        <v>1034</v>
      </c>
      <c r="H21" s="1822"/>
      <c r="I21" s="1822"/>
      <c r="J21" s="1822"/>
      <c r="K21" s="1823"/>
    </row>
    <row r="22" spans="1:33" s="1927" customFormat="1" ht="13.5" customHeight="1">
      <c r="A22" s="1944" t="s">
        <v>810</v>
      </c>
      <c r="B22" s="1970" t="s">
        <v>1035</v>
      </c>
      <c r="C22" s="1971">
        <f ca="1">ROUND(C21*F22,0)</f>
        <v>0</v>
      </c>
      <c r="D22" s="1973"/>
      <c r="E22" s="1973"/>
      <c r="F22" s="1974">
        <f>'数据-取费表'!B37</f>
        <v>2.5000000000000001E-2</v>
      </c>
      <c r="G22" s="1951" t="s">
        <v>1036</v>
      </c>
      <c r="H22" s="1954"/>
      <c r="I22" s="1954"/>
      <c r="J22" s="1954"/>
      <c r="K22" s="2011"/>
    </row>
    <row r="23" spans="1:33" s="1927" customFormat="1" ht="13.5" customHeight="1">
      <c r="A23" s="1944" t="s">
        <v>854</v>
      </c>
      <c r="B23" s="1970" t="s">
        <v>1037</v>
      </c>
      <c r="C23" s="1971">
        <f ca="1">ROUND(C4*F23*F11,0)</f>
        <v>0</v>
      </c>
      <c r="D23" s="1973"/>
      <c r="E23" s="1973"/>
      <c r="F23" s="1974">
        <f>'数据-取费表'!B38</f>
        <v>0.03</v>
      </c>
      <c r="G23" s="1951" t="s">
        <v>1038</v>
      </c>
      <c r="H23" s="1954"/>
      <c r="I23" s="1954"/>
      <c r="J23" s="1954"/>
      <c r="K23" s="2011"/>
    </row>
    <row r="24" spans="1:33" s="1927" customFormat="1" ht="13.5" customHeight="1">
      <c r="A24" s="1944" t="s">
        <v>858</v>
      </c>
      <c r="B24" s="1970" t="s">
        <v>1039</v>
      </c>
      <c r="C24" s="1975">
        <f>ROUND(F24/(1+'数据-取费表'!C42),4)</f>
        <v>2.9000000000000001E-2</v>
      </c>
      <c r="D24" s="1973" t="s">
        <v>1040</v>
      </c>
      <c r="E24" s="1973"/>
      <c r="F24" s="1974">
        <f>'数据-取费表'!B48+'数据-取费表'!B49</f>
        <v>3.0499999999999999E-2</v>
      </c>
      <c r="G24" s="1951" t="s">
        <v>1041</v>
      </c>
      <c r="H24" s="1976"/>
      <c r="I24" s="1976"/>
      <c r="J24" s="1976"/>
      <c r="K24" s="2014"/>
    </row>
    <row r="25" spans="1:33" s="1927" customFormat="1" ht="13.5" customHeight="1">
      <c r="A25" s="1944" t="s">
        <v>861</v>
      </c>
      <c r="B25" s="1972" t="s">
        <v>1042</v>
      </c>
      <c r="C25" s="1977">
        <f ca="1">C27</f>
        <v>0</v>
      </c>
      <c r="D25" s="1975">
        <f ca="1">C26</f>
        <v>0</v>
      </c>
      <c r="E25" s="1978" t="s">
        <v>1040</v>
      </c>
      <c r="F25" s="1979">
        <f ca="1">'数据-取费表'!B40</f>
        <v>4.7500000000000001E-2</v>
      </c>
      <c r="G25" s="1712" t="str">
        <f>IF('数据-取费表'!B22&lt;=1,"单利计息。","复利计息。")&amp;"后续开发成本、管理费用及销售费用产生的利息。"</f>
        <v>复利计息。后续开发成本、管理费用及销售费用产生的利息。</v>
      </c>
      <c r="H25" s="1976"/>
      <c r="I25" s="1976"/>
      <c r="J25" s="1976"/>
      <c r="K25" s="2014"/>
    </row>
    <row r="26" spans="1:33" s="1929" customFormat="1" ht="13.5" customHeight="1">
      <c r="A26" s="1955" t="s">
        <v>829</v>
      </c>
      <c r="B26" s="1980" t="s">
        <v>1043</v>
      </c>
      <c r="C26" s="1981">
        <f ca="1">ROUND(IF('数据-取费表'!B22&lt;=1,(1+C24)*F25*'数据-取费表'!B24,(1+C24)*(POWER((1+F25),'数据-取费表'!B24)-1)),4)</f>
        <v>0</v>
      </c>
      <c r="D26" s="1982"/>
      <c r="E26" s="1983"/>
      <c r="F26" s="1984"/>
      <c r="G26" s="1985" t="str">
        <f>IF('数据-取费表'!B22&lt;=1,"（(1)+取得税费率/(1+5%)）×年利率×建设期","（(1)+取得税费率）/(1+5%)×((1+年利率)^建设期-1)")</f>
        <v>（(1)+取得税费率）/(1+5%)×((1+年利率)^建设期-1)</v>
      </c>
      <c r="H26" s="1822"/>
      <c r="I26" s="1822"/>
      <c r="J26" s="1822"/>
      <c r="K26" s="1823"/>
    </row>
    <row r="27" spans="1:33" s="1929" customFormat="1" ht="13.5" customHeight="1">
      <c r="A27" s="1955" t="s">
        <v>834</v>
      </c>
      <c r="B27" s="1980" t="s">
        <v>1044</v>
      </c>
      <c r="C27" s="1986">
        <f ca="1">ROUND(IF('数据-取费表'!B22&lt;=1,(C21+C22+C23)*F25*'数据-取费表'!B24/2,(C21+C22+C23)*(POWER((1+F25),'数据-取费表'!B24/2)-1)),0)</f>
        <v>0</v>
      </c>
      <c r="D27" s="1982"/>
      <c r="E27" s="1983"/>
      <c r="F27" s="1984"/>
      <c r="G27" s="1985" t="str">
        <f>IF('数据-取费表'!B22&lt;=1,"（1）-（3）项×年利率×建设期÷2","（1）-（3）项×((1+年利率)^(建设期÷2)-1)")</f>
        <v>（1）-（3）项×((1+年利率)^(建设期÷2)-1)</v>
      </c>
      <c r="H27" s="1822"/>
      <c r="I27" s="1822"/>
      <c r="J27" s="1822"/>
      <c r="K27" s="1823"/>
    </row>
    <row r="28" spans="1:33" s="1930" customFormat="1" ht="13.5" customHeight="1">
      <c r="A28" s="1944" t="s">
        <v>862</v>
      </c>
      <c r="B28" s="1987" t="s">
        <v>1045</v>
      </c>
      <c r="C28" s="1988">
        <f ca="1">C30</f>
        <v>0</v>
      </c>
      <c r="D28" s="1975">
        <f ca="1">C29</f>
        <v>0</v>
      </c>
      <c r="E28" s="1978" t="s">
        <v>1040</v>
      </c>
      <c r="F28" s="1093">
        <f ca="1">IF(C1="",'数据-取费表'!Q16,INDIRECT("'数据-取费表'!q"&amp;$K$1))</f>
        <v>0.2</v>
      </c>
      <c r="G28" s="1989"/>
      <c r="H28" s="1976"/>
      <c r="I28" s="1976"/>
      <c r="J28" s="1976"/>
      <c r="K28" s="2014"/>
    </row>
    <row r="29" spans="1:33" s="1931" customFormat="1" ht="13.5" customHeight="1">
      <c r="A29" s="1955" t="s">
        <v>829</v>
      </c>
      <c r="B29" s="1990" t="s">
        <v>1046</v>
      </c>
      <c r="C29" s="1982">
        <f ca="1">ROUND((1+C24)*F28*'数据-取费表'!B24/'数据-取费表'!B20,4)</f>
        <v>0</v>
      </c>
      <c r="D29" s="1982"/>
      <c r="E29" s="1983"/>
      <c r="F29" s="1991"/>
      <c r="G29" s="1712" t="s">
        <v>1047</v>
      </c>
      <c r="H29" s="1822"/>
      <c r="I29" s="1822"/>
      <c r="J29" s="1822"/>
      <c r="K29" s="1823"/>
    </row>
    <row r="30" spans="1:33" s="1931" customFormat="1" ht="13.5" customHeight="1">
      <c r="A30" s="1955" t="s">
        <v>834</v>
      </c>
      <c r="B30" s="1990" t="s">
        <v>1048</v>
      </c>
      <c r="C30" s="1992">
        <f ca="1">ROUND((C21+C22+C23)*F28,0)</f>
        <v>0</v>
      </c>
      <c r="D30" s="1982"/>
      <c r="E30" s="1983"/>
      <c r="F30" s="1991"/>
      <c r="G30" s="1712"/>
      <c r="H30" s="1822"/>
      <c r="I30" s="1822"/>
      <c r="J30" s="1822"/>
      <c r="K30" s="1823"/>
    </row>
    <row r="31" spans="1:33" s="1927" customFormat="1" ht="13.5" customHeight="1">
      <c r="A31" s="1993" t="s">
        <v>1049</v>
      </c>
      <c r="B31" s="1994" t="s">
        <v>1050</v>
      </c>
      <c r="C31" s="1995">
        <f>ROUND(C4*F31/(1+'数据-取费表'!C42),0)</f>
        <v>0</v>
      </c>
      <c r="D31" s="1996"/>
      <c r="E31" s="1997"/>
      <c r="F31" s="1998">
        <f>'数据-取费表'!B41</f>
        <v>5.6000000000000001E-2</v>
      </c>
      <c r="G31" s="1999" t="s">
        <v>1051</v>
      </c>
      <c r="H31" s="2000"/>
      <c r="I31" s="2000"/>
      <c r="J31" s="2000"/>
      <c r="K31" s="2015"/>
    </row>
    <row r="32" spans="1:33" s="1926" customFormat="1" ht="13.5" customHeight="1">
      <c r="A32" s="2001" t="s">
        <v>1052</v>
      </c>
      <c r="B32" s="2002"/>
      <c r="C32" s="2003">
        <f ca="1">ROUND((C4-C21-C22-C23-C25-C28-C31)/(1+C24+D25+D28),0)</f>
        <v>0</v>
      </c>
      <c r="D32" s="2002"/>
      <c r="E32" s="2002"/>
      <c r="F32" s="2002"/>
      <c r="G32" s="2004" t="s">
        <v>1053</v>
      </c>
      <c r="H32" s="2002"/>
      <c r="I32" s="2002"/>
      <c r="J32" s="2002"/>
      <c r="K32" s="2016"/>
    </row>
    <row r="34" ht="12.75" customHeight="1"/>
  </sheetData>
  <sheetProtection password="C66D" sheet="1" objects="1" scenarios="1" formatCells="0" formatColumns="0" formatRows="0"/>
  <phoneticPr fontId="225"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69930555555555596" right="0.69930555555555596" top="0.75" bottom="0.75" header="0.3" footer="0.3"/>
  <pageSetup paperSize="9" scale="58" fitToHeight="0" orientation="portrait"/>
  <legacy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workbookViewId="0">
      <selection activeCell="D9" sqref="D9"/>
    </sheetView>
  </sheetViews>
  <sheetFormatPr defaultColWidth="9" defaultRowHeight="12.75"/>
  <cols>
    <col min="1" max="1" width="9" style="136" customWidth="1"/>
    <col min="2" max="2" width="20.625" style="225" customWidth="1"/>
    <col min="3" max="3" width="11.875" style="225" customWidth="1"/>
    <col min="4" max="4" width="40.5" style="136" customWidth="1"/>
    <col min="5" max="5" width="15.75" style="136" customWidth="1"/>
    <col min="6" max="6" width="10.625" style="136" customWidth="1"/>
    <col min="7" max="7" width="4.875" style="136" customWidth="1"/>
    <col min="8" max="8" width="8.5" style="136" customWidth="1"/>
    <col min="9" max="9" width="21.25" style="136" customWidth="1"/>
    <col min="10" max="10" width="12.25" style="136" customWidth="1"/>
    <col min="11" max="11" width="45.125" style="1639" customWidth="1"/>
    <col min="12" max="12" width="16.375" style="136" customWidth="1"/>
    <col min="13" max="13" width="13" style="136" customWidth="1"/>
    <col min="14" max="14" width="13.75" style="739" customWidth="1"/>
    <col min="15" max="15" width="5.125" style="739" customWidth="1"/>
    <col min="16" max="16" width="25.75" style="739" customWidth="1"/>
    <col min="17" max="17" width="13.75" style="739" customWidth="1"/>
    <col min="18" max="18" width="20.5" style="739" customWidth="1"/>
    <col min="19" max="19" width="13.25" style="739" customWidth="1"/>
    <col min="20" max="37" width="9" style="739"/>
    <col min="38" max="16384" width="9" style="136"/>
  </cols>
  <sheetData>
    <row r="1" spans="1:37" s="1637" customFormat="1" ht="21">
      <c r="A1" s="1640" t="s">
        <v>1054</v>
      </c>
      <c r="B1" s="1083"/>
      <c r="C1" s="1641" t="s">
        <v>3346</v>
      </c>
      <c r="D1" s="1642" t="s">
        <v>124</v>
      </c>
      <c r="E1" s="1643" t="s">
        <v>1055</v>
      </c>
      <c r="F1" s="1644">
        <f ca="1">J53</f>
        <v>34.03</v>
      </c>
      <c r="G1" s="1645">
        <f>MATCH(C1,'数据-取费表'!A6:A16,0)+5</f>
        <v>9</v>
      </c>
      <c r="H1" s="1646"/>
      <c r="I1" s="1808"/>
      <c r="J1" s="1808"/>
      <c r="K1" s="1809"/>
      <c r="L1" s="1808"/>
      <c r="M1" s="1808"/>
      <c r="N1" s="1810"/>
      <c r="O1" s="1810"/>
      <c r="P1" s="1810"/>
      <c r="Q1" s="1810"/>
      <c r="R1" s="1810"/>
      <c r="S1" s="1810"/>
      <c r="T1" s="1810"/>
      <c r="U1" s="1810"/>
      <c r="V1" s="1810"/>
      <c r="W1" s="1810"/>
      <c r="X1" s="1810"/>
      <c r="Y1" s="1810"/>
      <c r="Z1" s="1810"/>
      <c r="AA1" s="1810"/>
      <c r="AB1" s="1810"/>
      <c r="AC1" s="1810"/>
      <c r="AD1" s="1810"/>
      <c r="AE1" s="1810"/>
      <c r="AF1" s="1810"/>
      <c r="AG1" s="1810"/>
      <c r="AH1" s="1810"/>
      <c r="AI1" s="1810"/>
      <c r="AJ1" s="1810"/>
      <c r="AK1" s="1810"/>
    </row>
    <row r="2" spans="1:37" ht="18" customHeight="1">
      <c r="A2" s="1647" t="s">
        <v>1056</v>
      </c>
      <c r="B2" s="1648">
        <f ca="1">C40+J29+L46</f>
        <v>0</v>
      </c>
      <c r="C2" s="1649" t="s">
        <v>1057</v>
      </c>
      <c r="D2" s="1649"/>
      <c r="E2" s="1651"/>
      <c r="F2" s="1652"/>
      <c r="G2" s="1653"/>
      <c r="H2" s="1654"/>
      <c r="I2" s="1654"/>
      <c r="J2" s="1654"/>
      <c r="K2" s="1811"/>
      <c r="L2" s="1654"/>
      <c r="M2" s="1654"/>
    </row>
    <row r="3" spans="1:37" ht="18" customHeight="1" thickBot="1">
      <c r="A3" s="1655" t="s">
        <v>1058</v>
      </c>
      <c r="B3" s="1656">
        <f ca="1">IF(ISERROR(B2*10000/F43),0,ROUND(B2*10000/F43,0))</f>
        <v>0</v>
      </c>
      <c r="C3" s="1649" t="s">
        <v>1059</v>
      </c>
      <c r="D3" s="1649"/>
      <c r="E3" s="1651"/>
      <c r="F3" s="1652"/>
      <c r="G3" s="1653"/>
      <c r="H3" s="1657" t="s">
        <v>1060</v>
      </c>
      <c r="I3" s="1654"/>
      <c r="J3" s="1654"/>
      <c r="K3" s="1811"/>
      <c r="L3" s="1654"/>
      <c r="M3" s="1654"/>
    </row>
    <row r="4" spans="1:37" ht="18" customHeight="1">
      <c r="A4" s="1658" t="s">
        <v>1061</v>
      </c>
      <c r="B4" s="1659" t="s">
        <v>1062</v>
      </c>
      <c r="C4" s="1659" t="s">
        <v>1063</v>
      </c>
      <c r="D4" s="1659" t="s">
        <v>1064</v>
      </c>
      <c r="E4" s="1660" t="s">
        <v>1065</v>
      </c>
      <c r="F4" s="1661"/>
      <c r="G4" s="1662"/>
      <c r="H4" s="1658" t="s">
        <v>1061</v>
      </c>
      <c r="I4" s="1659" t="s">
        <v>1062</v>
      </c>
      <c r="J4" s="1659" t="s">
        <v>1063</v>
      </c>
      <c r="K4" s="1659" t="s">
        <v>1064</v>
      </c>
      <c r="L4" s="1660" t="s">
        <v>1065</v>
      </c>
      <c r="M4" s="1661"/>
    </row>
    <row r="5" spans="1:37" ht="18" customHeight="1">
      <c r="A5" s="1663">
        <v>1</v>
      </c>
      <c r="B5" s="1664" t="s">
        <v>1066</v>
      </c>
      <c r="C5" s="1665">
        <f ca="1">C6+C10+C12</f>
        <v>0</v>
      </c>
      <c r="D5" s="1666" t="s">
        <v>1067</v>
      </c>
      <c r="E5" s="1667"/>
      <c r="F5" s="1668"/>
      <c r="G5" s="1662"/>
      <c r="H5" s="1663">
        <v>1</v>
      </c>
      <c r="I5" s="1664" t="s">
        <v>1066</v>
      </c>
      <c r="J5" s="1665">
        <f ca="1">J6+J10+J12</f>
        <v>0</v>
      </c>
      <c r="K5" s="1666" t="s">
        <v>1067</v>
      </c>
      <c r="L5" s="1667"/>
      <c r="M5" s="1668"/>
    </row>
    <row r="6" spans="1:37" ht="18" customHeight="1">
      <c r="A6" s="1669" t="s">
        <v>806</v>
      </c>
      <c r="B6" s="3500" t="s">
        <v>1068</v>
      </c>
      <c r="C6" s="1670">
        <f ca="1">ROUND(F6*F8*F7*(1-F9)/10000,0)</f>
        <v>0</v>
      </c>
      <c r="D6" s="1671" t="s">
        <v>1069</v>
      </c>
      <c r="E6" s="1672" t="s">
        <v>1070</v>
      </c>
      <c r="F6" s="1673">
        <f ca="1">INDIRECT("'数据-取费表'!u"&amp;$G$1)</f>
        <v>0</v>
      </c>
      <c r="G6" s="1662"/>
      <c r="H6" s="1669" t="s">
        <v>806</v>
      </c>
      <c r="I6" s="3500" t="s">
        <v>1068</v>
      </c>
      <c r="J6" s="1742">
        <f ca="1">ROUND(M6*M8*M7*(1-M9)/10000,0)</f>
        <v>0</v>
      </c>
      <c r="K6" s="1671" t="s">
        <v>1071</v>
      </c>
      <c r="L6" s="1672" t="s">
        <v>1070</v>
      </c>
      <c r="M6" s="1673">
        <f ca="1">INDIRECT("'数据-取费表'!z"&amp;$G$1)</f>
        <v>0</v>
      </c>
    </row>
    <row r="7" spans="1:37" ht="18" customHeight="1">
      <c r="A7" s="1674"/>
      <c r="B7" s="3501"/>
      <c r="C7" s="1675"/>
      <c r="D7" s="1676"/>
      <c r="E7" s="3030" t="s">
        <v>1072</v>
      </c>
      <c r="F7" s="1673">
        <f ca="1">IF(INDIRECT("'数据-取费表'!ah"&amp;$G$1)="",INDIRECT("'数据-取费表'!k"&amp;$G$1),INDIRECT("'数据-取费表'!ah"&amp;$G$1))</f>
        <v>20855.97</v>
      </c>
      <c r="G7" s="1662"/>
      <c r="H7" s="1678"/>
      <c r="I7" s="3501"/>
      <c r="J7" s="1679"/>
      <c r="K7" s="1676"/>
      <c r="L7" s="1672" t="s">
        <v>1072</v>
      </c>
      <c r="M7" s="1673">
        <f ca="1">F7</f>
        <v>20855.97</v>
      </c>
    </row>
    <row r="8" spans="1:37" ht="18" customHeight="1">
      <c r="A8" s="1678"/>
      <c r="B8" s="3501"/>
      <c r="C8" s="1679"/>
      <c r="D8" s="1676"/>
      <c r="E8" s="1672" t="s">
        <v>1073</v>
      </c>
      <c r="F8" s="1673">
        <f ca="1">INDIRECT("'数据-取费表'!ai"&amp;$G$1)</f>
        <v>365</v>
      </c>
      <c r="G8" s="1662"/>
      <c r="H8" s="1678"/>
      <c r="I8" s="3501"/>
      <c r="J8" s="1679"/>
      <c r="K8" s="1676"/>
      <c r="L8" s="1672" t="s">
        <v>1073</v>
      </c>
      <c r="M8" s="1673">
        <f ca="1">INDIRECT("'数据-取费表'!ai"&amp;$G$1)</f>
        <v>365</v>
      </c>
    </row>
    <row r="9" spans="1:37" ht="18" customHeight="1">
      <c r="A9" s="1678"/>
      <c r="B9" s="3502"/>
      <c r="C9" s="1679"/>
      <c r="D9" s="1676"/>
      <c r="E9" s="1672" t="s">
        <v>1074</v>
      </c>
      <c r="F9" s="1680">
        <f ca="1">INDIRECT("'数据-取费表'!w"&amp;$G$1)</f>
        <v>0.15</v>
      </c>
      <c r="G9" s="1662"/>
      <c r="H9" s="1678"/>
      <c r="I9" s="3502"/>
      <c r="J9" s="1679"/>
      <c r="K9" s="1676"/>
      <c r="L9" s="1683" t="s">
        <v>1074</v>
      </c>
      <c r="M9" s="1688">
        <f ca="1">INDIRECT("'数据-取费表'!ab"&amp;$G$1)</f>
        <v>0</v>
      </c>
    </row>
    <row r="10" spans="1:37" ht="18" customHeight="1">
      <c r="A10" s="1669" t="s">
        <v>810</v>
      </c>
      <c r="B10" s="1681" t="s">
        <v>1075</v>
      </c>
      <c r="C10" s="284">
        <f ca="1">ROUND(IF(F10="押一",C6/12*F11,IF(F10="押二",C6/12*2*F11,IF(F10="押三",C6/12*3*F11,C11*F11))),0)</f>
        <v>0</v>
      </c>
      <c r="D10" s="1682" t="s">
        <v>1076</v>
      </c>
      <c r="E10" s="1683" t="s">
        <v>1077</v>
      </c>
      <c r="F10" s="1684"/>
      <c r="G10" s="1662"/>
      <c r="H10" s="1669" t="s">
        <v>810</v>
      </c>
      <c r="I10" s="1681" t="s">
        <v>1075</v>
      </c>
      <c r="J10" s="1742">
        <f ca="1">ROUND(IF(M10="押一",J6/12*M11,IF(M10="押二",J6/12*2*M11,IF(M10="押三",J6/12*3*M11,J11*M11))),0)</f>
        <v>0</v>
      </c>
      <c r="K10" s="1682" t="s">
        <v>1076</v>
      </c>
      <c r="L10" s="1683" t="s">
        <v>1077</v>
      </c>
      <c r="M10" s="1684" t="s">
        <v>1078</v>
      </c>
    </row>
    <row r="11" spans="1:37" ht="18" customHeight="1">
      <c r="A11" s="1685"/>
      <c r="B11" s="1686" t="s">
        <v>1079</v>
      </c>
      <c r="C11" s="1687"/>
      <c r="D11" s="1917"/>
      <c r="E11" s="1683" t="s">
        <v>1080</v>
      </c>
      <c r="F11" s="1688">
        <f ca="1">'数据-取费表'!B39</f>
        <v>1.4999999999999999E-2</v>
      </c>
      <c r="G11" s="1662"/>
      <c r="H11" s="1689"/>
      <c r="I11" s="1686" t="s">
        <v>1079</v>
      </c>
      <c r="J11" s="1687"/>
      <c r="K11" s="1814"/>
      <c r="L11" s="1683" t="s">
        <v>1080</v>
      </c>
      <c r="M11" s="1815">
        <f ca="1">'数据-取费表'!B39</f>
        <v>1.4999999999999999E-2</v>
      </c>
    </row>
    <row r="12" spans="1:37" ht="18" customHeight="1" thickBot="1">
      <c r="A12" s="1690" t="s">
        <v>854</v>
      </c>
      <c r="B12" s="1691" t="s">
        <v>1081</v>
      </c>
      <c r="C12" s="1692"/>
      <c r="D12" s="1693"/>
      <c r="E12" s="1694"/>
      <c r="F12" s="1695"/>
      <c r="G12" s="1662"/>
      <c r="H12" s="1690" t="s">
        <v>854</v>
      </c>
      <c r="I12" s="1691" t="s">
        <v>1081</v>
      </c>
      <c r="J12" s="1692"/>
      <c r="K12" s="1816"/>
      <c r="L12" s="1694"/>
      <c r="M12" s="1817"/>
    </row>
    <row r="13" spans="1:37" ht="18" customHeight="1" thickTop="1">
      <c r="A13" s="1696">
        <v>2</v>
      </c>
      <c r="B13" s="1697" t="s">
        <v>1082</v>
      </c>
      <c r="C13" s="1698">
        <f ca="1">ROUND(C29*F13,0)</f>
        <v>9160</v>
      </c>
      <c r="D13" s="1699" t="s">
        <v>1083</v>
      </c>
      <c r="E13" s="1699" t="s">
        <v>1084</v>
      </c>
      <c r="F13" s="1700">
        <f ca="1">INDIRECT("'数据-取费表'!y"&amp;$G$1)</f>
        <v>0.92</v>
      </c>
      <c r="G13" s="1662"/>
      <c r="H13" s="1696">
        <v>2</v>
      </c>
      <c r="I13" s="1697" t="s">
        <v>1082</v>
      </c>
      <c r="J13" s="1818">
        <f ca="1">ROUND(J14*J15,0)</f>
        <v>0</v>
      </c>
      <c r="K13" s="1722" t="s">
        <v>1083</v>
      </c>
      <c r="L13" s="1819"/>
      <c r="M13" s="1820"/>
    </row>
    <row r="14" spans="1:37" ht="18" customHeight="1">
      <c r="A14" s="1701" t="s">
        <v>829</v>
      </c>
      <c r="B14" s="1672" t="s">
        <v>1085</v>
      </c>
      <c r="C14" s="1702">
        <f ca="1">INDIRECT("'数据-取费表'!m"&amp;$G$1)+INDIRECT("'数据-取费表'!t"&amp;$G$1)</f>
        <v>6257</v>
      </c>
      <c r="D14" s="3027" t="s">
        <v>1086</v>
      </c>
      <c r="E14" s="3028"/>
      <c r="F14" s="1705"/>
      <c r="G14" s="1662"/>
      <c r="H14" s="1701" t="s">
        <v>806</v>
      </c>
      <c r="I14" s="1672" t="s">
        <v>1087</v>
      </c>
      <c r="J14" s="285">
        <f ca="1">C29</f>
        <v>9957</v>
      </c>
      <c r="K14" s="3029"/>
      <c r="L14" s="1822"/>
      <c r="M14" s="1823"/>
    </row>
    <row r="15" spans="1:37" s="1638" customFormat="1" ht="18" customHeight="1" thickBot="1">
      <c r="A15" s="1701" t="s">
        <v>834</v>
      </c>
      <c r="B15" s="1672" t="s">
        <v>1014</v>
      </c>
      <c r="C15" s="285">
        <f ca="1">ROUND(C14*F15,0)</f>
        <v>313</v>
      </c>
      <c r="D15" s="1706" t="s">
        <v>1088</v>
      </c>
      <c r="E15" s="1706" t="s">
        <v>1089</v>
      </c>
      <c r="F15" s="1707">
        <f>'数据-取费表'!B33</f>
        <v>0.05</v>
      </c>
      <c r="G15" s="1708"/>
      <c r="H15" s="1709" t="s">
        <v>810</v>
      </c>
      <c r="I15" s="1694" t="s">
        <v>1084</v>
      </c>
      <c r="J15" s="1817">
        <f ca="1">INDIRECT("'数据-取费表'!ad"&amp;$G$1)</f>
        <v>0</v>
      </c>
      <c r="K15" s="1824"/>
      <c r="L15" s="1825"/>
      <c r="M15" s="1826"/>
      <c r="N15" s="1827"/>
      <c r="O15" s="1827"/>
      <c r="P15" s="1827"/>
      <c r="Q15" s="1827"/>
      <c r="R15" s="1827"/>
      <c r="S15" s="1827"/>
      <c r="T15" s="1827"/>
      <c r="U15" s="1827"/>
      <c r="V15" s="1827"/>
      <c r="W15" s="1827"/>
      <c r="X15" s="1827"/>
      <c r="Y15" s="1827"/>
      <c r="Z15" s="1827"/>
      <c r="AA15" s="1827"/>
      <c r="AB15" s="1827"/>
      <c r="AC15" s="1827"/>
      <c r="AD15" s="1827"/>
      <c r="AE15" s="1827"/>
      <c r="AF15" s="1827"/>
      <c r="AG15" s="1827"/>
      <c r="AH15" s="1827"/>
      <c r="AI15" s="1827"/>
      <c r="AJ15" s="1827"/>
      <c r="AK15" s="1827"/>
    </row>
    <row r="16" spans="1:37" ht="18" customHeight="1" thickTop="1">
      <c r="A16" s="1701" t="s">
        <v>837</v>
      </c>
      <c r="B16" s="1672" t="s">
        <v>1017</v>
      </c>
      <c r="C16" s="285">
        <f ca="1">ROUND(INDIRECT("'数据-取费表'!m"&amp;$G$1)*F16,0)</f>
        <v>0</v>
      </c>
      <c r="D16" s="1672" t="s">
        <v>1088</v>
      </c>
      <c r="E16" s="1672" t="s">
        <v>1089</v>
      </c>
      <c r="F16" s="1710">
        <f ca="1">IF(INDIRECT("'数据-取费表'!c"&amp;$G$1)="住宅",'数据-取费表'!B34,0)</f>
        <v>0</v>
      </c>
      <c r="G16" s="1662"/>
      <c r="H16" s="1696" t="s">
        <v>1090</v>
      </c>
      <c r="I16" s="1697" t="s">
        <v>1091</v>
      </c>
      <c r="J16" s="1698">
        <f ca="1">ROUND(J17+J22+J23+J24,0)</f>
        <v>288</v>
      </c>
      <c r="K16" s="1722" t="s">
        <v>1092</v>
      </c>
      <c r="L16" s="3034"/>
      <c r="M16" s="1668"/>
    </row>
    <row r="17" spans="1:37" s="1638" customFormat="1" ht="18" customHeight="1">
      <c r="A17" s="1701" t="s">
        <v>1093</v>
      </c>
      <c r="B17" s="1672" t="s">
        <v>1094</v>
      </c>
      <c r="C17" s="285">
        <f ca="1">ROUND(F17*(F43+INDIRECT("'数据-取费表'!S"&amp;$G$1))/10000,0)</f>
        <v>417</v>
      </c>
      <c r="D17" s="1672" t="s">
        <v>1095</v>
      </c>
      <c r="E17" s="1672" t="s">
        <v>1096</v>
      </c>
      <c r="F17" s="1711">
        <f>'数据-取费表'!B35</f>
        <v>200</v>
      </c>
      <c r="G17" s="1708"/>
      <c r="H17" s="1701" t="s">
        <v>806</v>
      </c>
      <c r="I17" s="1672" t="s">
        <v>1097</v>
      </c>
      <c r="J17" s="285">
        <f ca="1">ROUND(IF(项目基本情况!B11="自然人",J5*M17,J18+J19+J20),1)</f>
        <v>88.5</v>
      </c>
      <c r="K17" s="3027" t="s">
        <v>1098</v>
      </c>
      <c r="L17" s="3031" t="s">
        <v>1099</v>
      </c>
      <c r="M17" s="1726" t="str">
        <f ca="1">IF(项目基本情况!B11="企业","",IF(INDIRECT("'数据-取费表'!c"&amp;$G$1)="住宅",5%,IF(M6*M7*M8/12/(1+'数据-取费表'!C42)&gt;20000,12%,7%)))</f>
        <v/>
      </c>
      <c r="N17" s="1827"/>
      <c r="O17" s="1827"/>
      <c r="P17" s="1827"/>
      <c r="Q17" s="1827"/>
      <c r="R17" s="1827"/>
      <c r="S17" s="1827"/>
      <c r="T17" s="1827"/>
      <c r="U17" s="1827"/>
      <c r="V17" s="1827"/>
      <c r="W17" s="1827"/>
      <c r="X17" s="1827"/>
      <c r="Y17" s="1827"/>
      <c r="Z17" s="1827"/>
      <c r="AA17" s="1827"/>
      <c r="AB17" s="1827"/>
      <c r="AC17" s="1827"/>
      <c r="AD17" s="1827"/>
      <c r="AE17" s="1827"/>
      <c r="AF17" s="1827"/>
      <c r="AG17" s="1827"/>
      <c r="AH17" s="1827"/>
      <c r="AI17" s="1827"/>
      <c r="AJ17" s="1827"/>
      <c r="AK17" s="1827"/>
    </row>
    <row r="18" spans="1:37" s="1638" customFormat="1" ht="18" customHeight="1">
      <c r="A18" s="1701" t="s">
        <v>1100</v>
      </c>
      <c r="B18" s="1672" t="s">
        <v>1023</v>
      </c>
      <c r="C18" s="285">
        <f ca="1">ROUND(C14*F18,0)</f>
        <v>94</v>
      </c>
      <c r="D18" s="1672" t="s">
        <v>1088</v>
      </c>
      <c r="E18" s="1672" t="s">
        <v>1089</v>
      </c>
      <c r="F18" s="1710">
        <f>'数据-取费表'!B36</f>
        <v>1.4999999999999999E-2</v>
      </c>
      <c r="G18" s="1708"/>
      <c r="H18" s="1701" t="s">
        <v>829</v>
      </c>
      <c r="I18" s="1672" t="s">
        <v>1101</v>
      </c>
      <c r="J18" s="285">
        <f ca="1">ROUND(J5*M18/(1+'数据-取费表'!C42),2)</f>
        <v>0</v>
      </c>
      <c r="K18" s="3031" t="s">
        <v>1102</v>
      </c>
      <c r="L18" s="1672" t="s">
        <v>1089</v>
      </c>
      <c r="M18" s="1710">
        <f>'数据-取费表'!B41</f>
        <v>5.6000000000000001E-2</v>
      </c>
      <c r="N18" s="1827"/>
      <c r="O18" s="1827"/>
      <c r="P18" s="1827"/>
      <c r="Q18" s="1827"/>
      <c r="R18" s="1827"/>
      <c r="S18" s="1827"/>
      <c r="T18" s="1827"/>
      <c r="U18" s="1827"/>
      <c r="V18" s="1827"/>
      <c r="W18" s="1827"/>
      <c r="X18" s="1827"/>
      <c r="Y18" s="1827"/>
      <c r="Z18" s="1827"/>
      <c r="AA18" s="1827"/>
      <c r="AB18" s="1827"/>
      <c r="AC18" s="1827"/>
      <c r="AD18" s="1827"/>
      <c r="AE18" s="1827"/>
      <c r="AF18" s="1827"/>
      <c r="AG18" s="1827"/>
      <c r="AH18" s="1827"/>
      <c r="AI18" s="1827"/>
      <c r="AJ18" s="1827"/>
      <c r="AK18" s="1827"/>
    </row>
    <row r="19" spans="1:37" ht="18" customHeight="1">
      <c r="A19" s="1701" t="s">
        <v>806</v>
      </c>
      <c r="B19" s="1672" t="s">
        <v>1103</v>
      </c>
      <c r="C19" s="285">
        <f ca="1">SUM(C14:C18)</f>
        <v>7081</v>
      </c>
      <c r="D19" s="1712" t="s">
        <v>1104</v>
      </c>
      <c r="E19" s="3033"/>
      <c r="F19" s="1711"/>
      <c r="G19" s="1662"/>
      <c r="H19" s="1701" t="s">
        <v>834</v>
      </c>
      <c r="I19" s="1672" t="s">
        <v>1105</v>
      </c>
      <c r="J19" s="285">
        <f ca="1">IF(K19="按租金收入计税",ROUND(J5*M19,2),ROUND(C29*M19*0.7,2))</f>
        <v>83.64</v>
      </c>
      <c r="K19" s="1727" t="s">
        <v>1106</v>
      </c>
      <c r="L19" s="1672" t="s">
        <v>1089</v>
      </c>
      <c r="M19" s="1710">
        <f>IF(K19="按租金收入计税",'数据-取费表'!B51,'数据-取费表'!B50)</f>
        <v>1.2E-2</v>
      </c>
    </row>
    <row r="20" spans="1:37" s="1638" customFormat="1" ht="18" customHeight="1">
      <c r="A20" s="1701" t="s">
        <v>810</v>
      </c>
      <c r="B20" s="1672" t="s">
        <v>1107</v>
      </c>
      <c r="C20" s="285">
        <f ca="1">ROUND(C19*F20,0)</f>
        <v>177</v>
      </c>
      <c r="D20" s="1713" t="s">
        <v>1108</v>
      </c>
      <c r="E20" s="1672" t="s">
        <v>1089</v>
      </c>
      <c r="F20" s="1710">
        <f>'数据-取费表'!B37</f>
        <v>2.5000000000000001E-2</v>
      </c>
      <c r="G20" s="1708"/>
      <c r="H20" s="1701" t="s">
        <v>837</v>
      </c>
      <c r="I20" s="1671" t="s">
        <v>1109</v>
      </c>
      <c r="J20" s="1729">
        <f ca="1">ROUND(M20*M21/10000,2)</f>
        <v>4.83</v>
      </c>
      <c r="K20" s="1730" t="s">
        <v>1110</v>
      </c>
      <c r="L20" s="1672" t="s">
        <v>1111</v>
      </c>
      <c r="M20" s="1716">
        <f>'数据-取费表'!B52</f>
        <v>5</v>
      </c>
      <c r="N20" s="1827"/>
      <c r="O20" s="1827"/>
      <c r="P20" s="1827"/>
      <c r="Q20" s="1827"/>
      <c r="R20" s="1827"/>
      <c r="S20" s="1827"/>
      <c r="T20" s="1827"/>
      <c r="U20" s="1827"/>
      <c r="V20" s="1827"/>
      <c r="W20" s="1827"/>
      <c r="X20" s="1827"/>
      <c r="Y20" s="1827"/>
      <c r="Z20" s="1827"/>
      <c r="AA20" s="1827"/>
      <c r="AB20" s="1827"/>
      <c r="AC20" s="1827"/>
      <c r="AD20" s="1827"/>
      <c r="AE20" s="1827"/>
      <c r="AF20" s="1827"/>
      <c r="AG20" s="1827"/>
      <c r="AH20" s="1827"/>
      <c r="AI20" s="1827"/>
      <c r="AJ20" s="1827"/>
      <c r="AK20" s="1827"/>
    </row>
    <row r="21" spans="1:37" s="1638" customFormat="1" ht="18" customHeight="1">
      <c r="A21" s="1701" t="s">
        <v>854</v>
      </c>
      <c r="B21" s="1672" t="s">
        <v>1112</v>
      </c>
      <c r="C21" s="285" t="s">
        <v>124</v>
      </c>
      <c r="D21" s="1713" t="s">
        <v>1113</v>
      </c>
      <c r="E21" s="1672" t="s">
        <v>1114</v>
      </c>
      <c r="F21" s="1710">
        <f>'数据-取费表'!B38</f>
        <v>0.03</v>
      </c>
      <c r="G21" s="1708"/>
      <c r="H21" s="1714"/>
      <c r="I21" s="1828"/>
      <c r="J21" s="1733"/>
      <c r="K21" s="1734"/>
      <c r="L21" s="1672" t="s">
        <v>1115</v>
      </c>
      <c r="M21" s="1673">
        <f ca="1">INDIRECT("'数据-取费表'!r"&amp;$G$1)</f>
        <v>9669.15</v>
      </c>
      <c r="N21" s="1827"/>
      <c r="O21" s="1827"/>
      <c r="P21" s="1827"/>
      <c r="Q21" s="1827"/>
      <c r="R21" s="1827"/>
      <c r="S21" s="1827"/>
      <c r="T21" s="1827"/>
      <c r="U21" s="1827"/>
      <c r="V21" s="1827"/>
      <c r="W21" s="1827"/>
      <c r="X21" s="1827"/>
      <c r="Y21" s="1827"/>
      <c r="Z21" s="1827"/>
      <c r="AA21" s="1827"/>
      <c r="AB21" s="1827"/>
      <c r="AC21" s="1827"/>
      <c r="AD21" s="1827"/>
      <c r="AE21" s="1827"/>
      <c r="AF21" s="1827"/>
      <c r="AG21" s="1827"/>
      <c r="AH21" s="1827"/>
      <c r="AI21" s="1827"/>
      <c r="AJ21" s="1827"/>
      <c r="AK21" s="1827"/>
    </row>
    <row r="22" spans="1:37" ht="18" customHeight="1">
      <c r="A22" s="1701" t="s">
        <v>858</v>
      </c>
      <c r="B22" s="1672" t="s">
        <v>1116</v>
      </c>
      <c r="C22" s="285"/>
      <c r="D22" s="1712" t="str">
        <f>IF(F23&lt;=1,"单利计息。","复利计息。")&amp;"建造成本、管理费用、销售费用产生的利息。"</f>
        <v>复利计息。建造成本、管理费用、销售费用产生的利息。</v>
      </c>
      <c r="E22" s="3033"/>
      <c r="F22" s="1711"/>
      <c r="G22" s="1662"/>
      <c r="H22" s="1701" t="s">
        <v>810</v>
      </c>
      <c r="I22" s="1672" t="s">
        <v>1117</v>
      </c>
      <c r="J22" s="285">
        <f ca="1">ROUND(J14*M22,1)</f>
        <v>199.1</v>
      </c>
      <c r="K22" s="3031" t="s">
        <v>1118</v>
      </c>
      <c r="L22" s="1672" t="s">
        <v>1089</v>
      </c>
      <c r="M22" s="1736">
        <f ca="1">INDIRECT("'数据-取费表'!Ak"&amp;$G$1)</f>
        <v>0.02</v>
      </c>
    </row>
    <row r="23" spans="1:37" s="1638" customFormat="1" ht="18" customHeight="1">
      <c r="A23" s="1701" t="s">
        <v>829</v>
      </c>
      <c r="B23" s="1672" t="s">
        <v>1119</v>
      </c>
      <c r="C23" s="285">
        <f ca="1">IF('数据-取费表'!B22&lt;=1,ROUND(C19*F24*F23/2,0)+ROUND(C20*F24*F23/2,0),ROUND(C19*(POWER((1+F24),F23/2)-1),0)+ROUND(C20*(POWER((1+F24),F23/2)-1),0))</f>
        <v>344</v>
      </c>
      <c r="D23" s="1715" t="str">
        <f>IF(F23&lt;=1,"(建造成本+管理费用)×利率×(建设周期÷2)","(建造成本+管理费用)×((1+利率)^(建设周期÷2)-1)")</f>
        <v>(建造成本+管理费用)×((1+利率)^(建设周期÷2)-1)</v>
      </c>
      <c r="E23" s="1672" t="s">
        <v>1120</v>
      </c>
      <c r="F23" s="1716">
        <f>'数据-取费表'!B20</f>
        <v>2</v>
      </c>
      <c r="G23" s="1708"/>
      <c r="H23" s="1701" t="s">
        <v>854</v>
      </c>
      <c r="I23" s="1672" t="s">
        <v>1121</v>
      </c>
      <c r="J23" s="285">
        <f ca="1">ROUND(J13*M23,1)</f>
        <v>0</v>
      </c>
      <c r="K23" s="3031" t="s">
        <v>1122</v>
      </c>
      <c r="L23" s="1672" t="s">
        <v>1089</v>
      </c>
      <c r="M23" s="1737">
        <f ca="1">INDIRECT("'数据-取费表'!Al"&amp;$G$1)</f>
        <v>1.5E-3</v>
      </c>
      <c r="N23" s="1827"/>
      <c r="O23" s="1827"/>
      <c r="P23" s="1827"/>
      <c r="Q23" s="1827"/>
      <c r="R23" s="1827"/>
      <c r="S23" s="1827"/>
      <c r="T23" s="1827"/>
      <c r="U23" s="1827"/>
      <c r="V23" s="1827"/>
      <c r="W23" s="1827"/>
      <c r="X23" s="1827"/>
      <c r="Y23" s="1827"/>
      <c r="Z23" s="1827"/>
      <c r="AA23" s="1827"/>
      <c r="AB23" s="1827"/>
      <c r="AC23" s="1827"/>
      <c r="AD23" s="1827"/>
      <c r="AE23" s="1827"/>
      <c r="AF23" s="1827"/>
      <c r="AG23" s="1827"/>
      <c r="AH23" s="1827"/>
      <c r="AI23" s="1827"/>
      <c r="AJ23" s="1827"/>
      <c r="AK23" s="1827"/>
    </row>
    <row r="24" spans="1:37" s="1638" customFormat="1" ht="18" customHeight="1" thickBot="1">
      <c r="A24" s="1701" t="s">
        <v>834</v>
      </c>
      <c r="B24" s="1672" t="s">
        <v>1123</v>
      </c>
      <c r="C24" s="285">
        <f ca="1">ROUND(IF('数据-取费表'!B22&lt;=1,F21*F24*F23/2,F21*(POWER((1+F24),F23/2)-1)),4)</f>
        <v>1.4E-3</v>
      </c>
      <c r="D24" s="1715" t="str">
        <f>IF(F23&lt;=1,"销售费用×利率×(建设周期÷2)","销售费用×((1+利率)^(建设周期÷2)-1)")</f>
        <v>销售费用×((1+利率)^(建设周期÷2)-1)</v>
      </c>
      <c r="E24" s="1672" t="s">
        <v>1124</v>
      </c>
      <c r="F24" s="1717">
        <f ca="1">'数据-取费表'!B40</f>
        <v>4.7500000000000001E-2</v>
      </c>
      <c r="G24" s="1708"/>
      <c r="H24" s="1709" t="s">
        <v>858</v>
      </c>
      <c r="I24" s="1694" t="s">
        <v>1107</v>
      </c>
      <c r="J24" s="1718">
        <f ca="1">ROUND(J5*M24,1)</f>
        <v>0</v>
      </c>
      <c r="K24" s="1719" t="s">
        <v>1125</v>
      </c>
      <c r="L24" s="1694" t="s">
        <v>1089</v>
      </c>
      <c r="M24" s="1695">
        <f ca="1">INDIRECT("'数据-取费表'!Am"&amp;$G$1)</f>
        <v>0.02</v>
      </c>
      <c r="N24" s="1827"/>
      <c r="O24" s="1827"/>
      <c r="P24" s="1827"/>
      <c r="Q24" s="1827"/>
      <c r="R24" s="1827"/>
      <c r="S24" s="1827"/>
      <c r="T24" s="1827"/>
      <c r="U24" s="1827"/>
      <c r="V24" s="1827"/>
      <c r="W24" s="1827"/>
      <c r="X24" s="1827"/>
      <c r="Y24" s="1827"/>
      <c r="Z24" s="1827"/>
      <c r="AA24" s="1827"/>
      <c r="AB24" s="1827"/>
      <c r="AC24" s="1827"/>
      <c r="AD24" s="1827"/>
      <c r="AE24" s="1827"/>
      <c r="AF24" s="1827"/>
      <c r="AG24" s="1827"/>
      <c r="AH24" s="1827"/>
      <c r="AI24" s="1827"/>
      <c r="AJ24" s="1827"/>
      <c r="AK24" s="1827"/>
    </row>
    <row r="25" spans="1:37" ht="24" customHeight="1" thickTop="1">
      <c r="A25" s="1701" t="s">
        <v>861</v>
      </c>
      <c r="B25" s="1672" t="s">
        <v>1126</v>
      </c>
      <c r="C25" s="285"/>
      <c r="D25" s="1712" t="s">
        <v>1127</v>
      </c>
      <c r="E25" s="3033"/>
      <c r="F25" s="1711"/>
      <c r="G25" s="1662"/>
      <c r="H25" s="1696" t="s">
        <v>1128</v>
      </c>
      <c r="I25" s="1738" t="s">
        <v>1129</v>
      </c>
      <c r="J25" s="1698">
        <f ca="1">J5-J16</f>
        <v>-288</v>
      </c>
      <c r="K25" s="1739" t="s">
        <v>1130</v>
      </c>
      <c r="L25" s="1740"/>
      <c r="M25" s="1741"/>
    </row>
    <row r="26" spans="1:37">
      <c r="A26" s="1701" t="s">
        <v>829</v>
      </c>
      <c r="B26" s="1672" t="s">
        <v>1131</v>
      </c>
      <c r="C26" s="285">
        <f ca="1">ROUND((C19+C20)*F26,0)</f>
        <v>1452</v>
      </c>
      <c r="D26" s="1713" t="s">
        <v>1132</v>
      </c>
      <c r="E26" s="1683" t="s">
        <v>1133</v>
      </c>
      <c r="F26" s="1680">
        <f ca="1">INDIRECT("'数据-取费表'!q"&amp;$G$1)</f>
        <v>0.2</v>
      </c>
      <c r="G26" s="1662"/>
      <c r="H26" s="1663" t="s">
        <v>1134</v>
      </c>
      <c r="I26" s="1664" t="s">
        <v>1135</v>
      </c>
      <c r="J26" s="1742">
        <f ca="1">IF(J5&lt;&gt;0,ROUND(J25*(1-((1+M28)/(1+M26))^M27)/(M26-M28),0),0)</f>
        <v>0</v>
      </c>
      <c r="K26" s="1730" t="s">
        <v>1136</v>
      </c>
      <c r="L26" s="1672" t="s">
        <v>1137</v>
      </c>
      <c r="M26" s="1680">
        <f ca="1">INDIRECT("'数据-取费表'!I"&amp;$G$1)</f>
        <v>5.5E-2</v>
      </c>
    </row>
    <row r="27" spans="1:37" ht="18" customHeight="1">
      <c r="A27" s="1701" t="s">
        <v>834</v>
      </c>
      <c r="B27" s="1672" t="s">
        <v>1138</v>
      </c>
      <c r="C27" s="285">
        <f ca="1">ROUND(F21*F26,4)</f>
        <v>6.0000000000000001E-3</v>
      </c>
      <c r="D27" s="1713" t="s">
        <v>1139</v>
      </c>
      <c r="E27" s="1706"/>
      <c r="F27" s="1707"/>
      <c r="G27" s="1662"/>
      <c r="H27" s="1678"/>
      <c r="I27" s="1744"/>
      <c r="J27" s="1679"/>
      <c r="K27" s="1745" t="s">
        <v>1140</v>
      </c>
      <c r="L27" s="1672" t="s">
        <v>1141</v>
      </c>
      <c r="M27" s="1746">
        <f ca="1">INDIRECT("'数据-取费表'!ag"&amp;$G$1)</f>
        <v>0</v>
      </c>
    </row>
    <row r="28" spans="1:37" s="1638" customFormat="1" ht="18" customHeight="1">
      <c r="A28" s="1701" t="s">
        <v>862</v>
      </c>
      <c r="B28" s="1672" t="s">
        <v>1142</v>
      </c>
      <c r="C28" s="285">
        <f>ROUND(F28/(1+'数据-取费表'!C42),4)</f>
        <v>5.33E-2</v>
      </c>
      <c r="D28" s="1713" t="s">
        <v>1143</v>
      </c>
      <c r="E28" s="1672" t="s">
        <v>1089</v>
      </c>
      <c r="F28" s="1710">
        <f>'数据-取费表'!B41</f>
        <v>5.6000000000000001E-2</v>
      </c>
      <c r="G28" s="1708"/>
      <c r="H28" s="1685"/>
      <c r="I28" s="1748"/>
      <c r="J28" s="1698"/>
      <c r="K28" s="1734"/>
      <c r="L28" s="1672" t="s">
        <v>1144</v>
      </c>
      <c r="M28" s="1680">
        <f ca="1">INDIRECT("'数据-取费表'!aa"&amp;$G$1)</f>
        <v>0</v>
      </c>
      <c r="N28" s="1827"/>
      <c r="O28" s="1827"/>
      <c r="P28" s="1827"/>
      <c r="Q28" s="1827"/>
      <c r="R28" s="1827"/>
      <c r="S28" s="1827"/>
      <c r="T28" s="1827"/>
      <c r="U28" s="1827"/>
      <c r="V28" s="1827"/>
      <c r="W28" s="1827"/>
      <c r="X28" s="1827"/>
      <c r="Y28" s="1827"/>
      <c r="Z28" s="1827"/>
      <c r="AA28" s="1827"/>
      <c r="AB28" s="1827"/>
      <c r="AC28" s="1827"/>
      <c r="AD28" s="1827"/>
      <c r="AE28" s="1827"/>
      <c r="AF28" s="1827"/>
      <c r="AG28" s="1827"/>
      <c r="AH28" s="1827"/>
      <c r="AI28" s="1827"/>
      <c r="AJ28" s="1827"/>
      <c r="AK28" s="1827"/>
    </row>
    <row r="29" spans="1:37" s="1638" customFormat="1" ht="18" customHeight="1" thickBot="1">
      <c r="A29" s="1709" t="s">
        <v>1049</v>
      </c>
      <c r="B29" s="1694" t="s">
        <v>1145</v>
      </c>
      <c r="C29" s="1718">
        <f ca="1">ROUND((C19+C20+C23+C26)/(1-F21-C24-C27-C28),0)</f>
        <v>9957</v>
      </c>
      <c r="D29" s="1719"/>
      <c r="E29" s="1694"/>
      <c r="F29" s="1720"/>
      <c r="G29" s="1708"/>
      <c r="H29" s="1721" t="s">
        <v>1146</v>
      </c>
      <c r="I29" s="1749" t="s">
        <v>1147</v>
      </c>
      <c r="J29" s="1750">
        <f ca="1">ROUND(J26/(1+F40)^F41,0)</f>
        <v>0</v>
      </c>
      <c r="K29" s="1751" t="s">
        <v>1148</v>
      </c>
      <c r="L29" s="1752"/>
      <c r="M29" s="1753">
        <f ca="1">INDIRECT("'数据-取费表'!k"&amp;$G$1)</f>
        <v>20855.97</v>
      </c>
      <c r="N29" s="1827"/>
      <c r="O29" s="1827"/>
      <c r="P29" s="1827"/>
      <c r="Q29" s="1827"/>
      <c r="R29" s="1827"/>
      <c r="S29" s="1827"/>
      <c r="T29" s="1827"/>
      <c r="U29" s="1827"/>
      <c r="V29" s="1827"/>
      <c r="W29" s="1827"/>
      <c r="X29" s="1827"/>
      <c r="Y29" s="1827"/>
      <c r="Z29" s="1827"/>
      <c r="AA29" s="1827"/>
      <c r="AB29" s="1827"/>
      <c r="AC29" s="1827"/>
      <c r="AD29" s="1827"/>
      <c r="AE29" s="1827"/>
      <c r="AF29" s="1827"/>
      <c r="AG29" s="1827"/>
      <c r="AH29" s="1827"/>
      <c r="AI29" s="1827"/>
      <c r="AJ29" s="1827"/>
      <c r="AK29" s="1827"/>
    </row>
    <row r="30" spans="1:37" ht="18" customHeight="1" thickTop="1">
      <c r="A30" s="1696" t="s">
        <v>1090</v>
      </c>
      <c r="B30" s="1697" t="s">
        <v>1091</v>
      </c>
      <c r="C30" s="1698">
        <f ca="1">ROUND(C31+C36+C37+C38,0)</f>
        <v>218</v>
      </c>
      <c r="D30" s="1722" t="s">
        <v>1092</v>
      </c>
      <c r="E30" s="3034"/>
      <c r="F30" s="1668"/>
      <c r="G30" s="1662"/>
      <c r="H30" s="1724"/>
      <c r="I30" s="1829"/>
      <c r="J30" s="1830"/>
      <c r="K30" s="1814"/>
      <c r="L30" s="1831"/>
      <c r="M30" s="1832"/>
    </row>
    <row r="31" spans="1:37" ht="18" customHeight="1">
      <c r="A31" s="1701" t="s">
        <v>806</v>
      </c>
      <c r="B31" s="1672" t="s">
        <v>1097</v>
      </c>
      <c r="C31" s="285">
        <f ca="1">ROUND(IF(项目基本情况!B11="自然人",C5*F31,C32+C33+C34),1)</f>
        <v>4.8</v>
      </c>
      <c r="D31" s="3027" t="s">
        <v>1098</v>
      </c>
      <c r="E31" s="3031" t="s">
        <v>1099</v>
      </c>
      <c r="F31" s="1726" t="str">
        <f ca="1">IF(项目基本情况!B11="企业","",IF(INDIRECT("'数据-取费表'!c"&amp;$G$1)="住宅",5%,IF(F6*F7*F8/12/(1+'数据-取费表'!C42)&gt;20000,12%,7%)))</f>
        <v/>
      </c>
      <c r="G31" s="1662"/>
      <c r="H31" s="1724"/>
      <c r="I31" s="1829"/>
      <c r="J31" s="1830"/>
      <c r="K31" s="1814"/>
      <c r="L31" s="1831"/>
      <c r="M31" s="1832"/>
    </row>
    <row r="32" spans="1:37" ht="18" customHeight="1">
      <c r="A32" s="1701" t="s">
        <v>829</v>
      </c>
      <c r="B32" s="1672" t="s">
        <v>1101</v>
      </c>
      <c r="C32" s="285">
        <f ca="1">IF(项目基本情况!B11="自然人","——",ROUND(C5*F32/(1+'数据-取费表'!C42),2))</f>
        <v>0</v>
      </c>
      <c r="D32" s="3031" t="s">
        <v>1102</v>
      </c>
      <c r="E32" s="1672" t="s">
        <v>1089</v>
      </c>
      <c r="F32" s="1717">
        <f>'数据-取费表'!B41</f>
        <v>5.6000000000000001E-2</v>
      </c>
      <c r="G32" s="1662"/>
      <c r="H32" s="1724"/>
      <c r="I32" s="1829"/>
      <c r="J32" s="1830"/>
      <c r="K32" s="1814"/>
      <c r="L32" s="1831"/>
      <c r="M32" s="1832"/>
    </row>
    <row r="33" spans="1:18" ht="18" customHeight="1">
      <c r="A33" s="1701" t="s">
        <v>834</v>
      </c>
      <c r="B33" s="1672" t="s">
        <v>1105</v>
      </c>
      <c r="C33" s="285">
        <f ca="1">IF(项目基本情况!B11="自然人","——",IF(D33="按租金收入计税",ROUND(C5*F33,2),IF(D33="按房产原值计税",ROUND(C29*F33*0.7,2),INDIRECT("'数据-取费表'!Aj"&amp;$G$1))))</f>
        <v>0</v>
      </c>
      <c r="D33" s="1727" t="s">
        <v>3372</v>
      </c>
      <c r="E33" s="1672" t="s">
        <v>1089</v>
      </c>
      <c r="F33" s="1710">
        <f>IF(D33="按票据","——",IF(D33="按租金收入计税",'数据-取费表'!B51,'数据-取费表'!B50))</f>
        <v>0.12</v>
      </c>
      <c r="G33" s="1662"/>
      <c r="H33" s="1728"/>
      <c r="I33" s="1833"/>
      <c r="J33" s="1834"/>
      <c r="K33" s="1835"/>
      <c r="L33" s="1728"/>
      <c r="M33" s="1728"/>
    </row>
    <row r="34" spans="1:18" ht="18" customHeight="1">
      <c r="A34" s="1669" t="s">
        <v>837</v>
      </c>
      <c r="B34" s="1671" t="s">
        <v>1109</v>
      </c>
      <c r="C34" s="1729">
        <f ca="1">IF(项目基本情况!B11="自然人","——",ROUND(F34*F35/10000,2))</f>
        <v>4.83</v>
      </c>
      <c r="D34" s="1730" t="s">
        <v>1110</v>
      </c>
      <c r="E34" s="1672" t="s">
        <v>1111</v>
      </c>
      <c r="F34" s="1716">
        <f>'数据-取费表'!B52</f>
        <v>5</v>
      </c>
      <c r="G34" s="1662"/>
      <c r="H34" s="1724"/>
      <c r="I34" s="1833"/>
      <c r="J34" s="1834"/>
      <c r="K34" s="1836"/>
      <c r="L34" s="1837"/>
      <c r="M34" s="1837"/>
    </row>
    <row r="35" spans="1:18" ht="18" customHeight="1">
      <c r="A35" s="1731"/>
      <c r="B35" s="1732"/>
      <c r="C35" s="1733"/>
      <c r="D35" s="1734"/>
      <c r="E35" s="1672" t="s">
        <v>1115</v>
      </c>
      <c r="F35" s="1673">
        <f ca="1">INDIRECT("'数据-取费表'!r"&amp;$G$1)</f>
        <v>9669.15</v>
      </c>
      <c r="G35" s="1662"/>
      <c r="H35" s="1724"/>
      <c r="I35" s="1833"/>
      <c r="J35" s="1834"/>
      <c r="K35" s="1835"/>
      <c r="L35" s="1728"/>
      <c r="M35" s="1728"/>
    </row>
    <row r="36" spans="1:18" ht="18" customHeight="1">
      <c r="A36" s="1735" t="s">
        <v>810</v>
      </c>
      <c r="B36" s="1672" t="s">
        <v>1117</v>
      </c>
      <c r="C36" s="285">
        <f ca="1">ROUND(C29*F36,1)</f>
        <v>199.1</v>
      </c>
      <c r="D36" s="3031" t="s">
        <v>1149</v>
      </c>
      <c r="E36" s="1672" t="s">
        <v>1089</v>
      </c>
      <c r="F36" s="1736">
        <f ca="1">INDIRECT("'数据-取费表'!Ak"&amp;$G$1)</f>
        <v>0.02</v>
      </c>
      <c r="G36" s="1662"/>
      <c r="H36" s="1728"/>
      <c r="I36" s="1833"/>
      <c r="J36" s="1834"/>
      <c r="K36" s="1838"/>
      <c r="L36" s="1728"/>
      <c r="M36" s="1728"/>
    </row>
    <row r="37" spans="1:18" ht="18" customHeight="1">
      <c r="A37" s="1701" t="s">
        <v>854</v>
      </c>
      <c r="B37" s="1672" t="s">
        <v>1121</v>
      </c>
      <c r="C37" s="285">
        <f ca="1">ROUND(C13*F37,1)</f>
        <v>13.7</v>
      </c>
      <c r="D37" s="3031" t="s">
        <v>1122</v>
      </c>
      <c r="E37" s="1672" t="s">
        <v>1089</v>
      </c>
      <c r="F37" s="1737">
        <f ca="1">INDIRECT("'数据-取费表'!Al"&amp;$G$1)</f>
        <v>1.5E-3</v>
      </c>
      <c r="G37" s="1662"/>
      <c r="H37" s="1728"/>
      <c r="I37" s="1833"/>
      <c r="J37" s="1834"/>
      <c r="K37" s="1838"/>
      <c r="L37" s="1728"/>
      <c r="M37" s="1728"/>
    </row>
    <row r="38" spans="1:18" ht="18" customHeight="1" thickBot="1">
      <c r="A38" s="1709" t="s">
        <v>858</v>
      </c>
      <c r="B38" s="1694" t="s">
        <v>1107</v>
      </c>
      <c r="C38" s="1718">
        <f ca="1">ROUND(C5*F38,1)</f>
        <v>0</v>
      </c>
      <c r="D38" s="1719" t="s">
        <v>1125</v>
      </c>
      <c r="E38" s="1694" t="s">
        <v>1089</v>
      </c>
      <c r="F38" s="1695">
        <f ca="1">INDIRECT("'数据-取费表'!Am"&amp;$G$1)</f>
        <v>0.02</v>
      </c>
      <c r="G38" s="1662"/>
      <c r="H38" s="1728"/>
      <c r="I38" s="1833"/>
      <c r="J38" s="1834"/>
      <c r="K38" s="1839"/>
      <c r="L38" s="1728"/>
      <c r="M38" s="1728"/>
    </row>
    <row r="39" spans="1:18" ht="24.6" customHeight="1" thickTop="1">
      <c r="A39" s="1696" t="s">
        <v>1128</v>
      </c>
      <c r="B39" s="1738" t="s">
        <v>1129</v>
      </c>
      <c r="C39" s="1698">
        <f ca="1">C5-C30</f>
        <v>-218</v>
      </c>
      <c r="D39" s="1739" t="s">
        <v>1130</v>
      </c>
      <c r="E39" s="1740"/>
      <c r="F39" s="1741"/>
      <c r="G39" s="1662"/>
      <c r="H39" s="1728"/>
      <c r="I39" s="1833"/>
      <c r="J39" s="1834"/>
      <c r="K39" s="1839"/>
      <c r="L39" s="1728"/>
      <c r="M39" s="1728"/>
    </row>
    <row r="40" spans="1:18" ht="18" customHeight="1">
      <c r="A40" s="1663" t="s">
        <v>1134</v>
      </c>
      <c r="B40" s="1664" t="s">
        <v>1150</v>
      </c>
      <c r="C40" s="1742">
        <f ca="1">ROUND(C39*(1-((1+F42)/(1+F40))^F41)/(F40-F42),0)</f>
        <v>0</v>
      </c>
      <c r="D40" s="1730" t="s">
        <v>1136</v>
      </c>
      <c r="E40" s="1672" t="s">
        <v>1137</v>
      </c>
      <c r="F40" s="1680">
        <f ca="1">INDIRECT("'数据-取费表'!I"&amp;$G$1)</f>
        <v>5.5E-2</v>
      </c>
      <c r="G40" s="1662"/>
      <c r="H40" s="1743"/>
      <c r="I40" s="1833"/>
      <c r="J40" s="1834"/>
      <c r="K40" s="1839"/>
      <c r="L40" s="1743"/>
      <c r="M40" s="1743"/>
    </row>
    <row r="41" spans="1:18" ht="18" customHeight="1">
      <c r="A41" s="1678"/>
      <c r="B41" s="1744"/>
      <c r="C41" s="1679"/>
      <c r="D41" s="1745" t="s">
        <v>1140</v>
      </c>
      <c r="E41" s="1672" t="s">
        <v>1141</v>
      </c>
      <c r="F41" s="1746">
        <f ca="1">IF(INDIRECT("'数据-取费表'!af"&amp;$G$1)=0,INDIRECT("'数据-取费表'!ae"&amp;$G$1),INDIRECT("'数据-取费表'!af"&amp;$G$1))</f>
        <v>0</v>
      </c>
      <c r="G41" s="1662"/>
      <c r="H41" s="1747"/>
      <c r="I41" s="1833"/>
      <c r="J41" s="1834"/>
      <c r="K41" s="1838"/>
      <c r="L41" s="1747"/>
      <c r="M41" s="1747"/>
    </row>
    <row r="42" spans="1:18" ht="18" customHeight="1">
      <c r="A42" s="1685"/>
      <c r="B42" s="1748"/>
      <c r="C42" s="1698"/>
      <c r="D42" s="1734"/>
      <c r="E42" s="1672" t="s">
        <v>1144</v>
      </c>
      <c r="F42" s="1680">
        <f ca="1">INDIRECT("'数据-取费表'!v"&amp;$G$1)</f>
        <v>0.02</v>
      </c>
      <c r="G42" s="1662"/>
      <c r="H42" s="1747"/>
      <c r="I42" s="1833"/>
      <c r="J42" s="1834"/>
      <c r="K42" s="1838"/>
      <c r="L42" s="1747"/>
      <c r="M42" s="1747"/>
    </row>
    <row r="43" spans="1:18" ht="18" customHeight="1" thickBot="1">
      <c r="A43" s="1721" t="s">
        <v>1146</v>
      </c>
      <c r="B43" s="1749" t="s">
        <v>1151</v>
      </c>
      <c r="C43" s="1750">
        <f ca="1">ROUND(C40*10000/F43,0)</f>
        <v>0</v>
      </c>
      <c r="D43" s="1751" t="s">
        <v>1152</v>
      </c>
      <c r="E43" s="1752" t="s">
        <v>1153</v>
      </c>
      <c r="F43" s="1753">
        <f ca="1">INDIRECT("'数据-取费表'!k"&amp;$G$1)</f>
        <v>20855.97</v>
      </c>
      <c r="G43" s="1662"/>
      <c r="H43" s="1747"/>
      <c r="I43" s="1747"/>
      <c r="J43" s="1747"/>
      <c r="K43" s="1838"/>
      <c r="L43" s="1747"/>
      <c r="M43" s="1747"/>
    </row>
    <row r="44" spans="1:18" s="739" customFormat="1" ht="18" customHeight="1">
      <c r="A44" s="1754"/>
      <c r="B44" s="1754"/>
      <c r="C44" s="1755"/>
      <c r="D44" s="1754"/>
      <c r="E44" s="1754"/>
      <c r="F44" s="1754"/>
      <c r="K44" s="1840"/>
    </row>
    <row r="45" spans="1:18" s="739" customFormat="1" ht="18" customHeight="1" thickBot="1">
      <c r="A45" s="1754"/>
      <c r="B45" s="1754"/>
      <c r="C45" s="1755"/>
      <c r="D45" s="1754"/>
      <c r="E45" s="1754"/>
      <c r="F45" s="1754"/>
      <c r="J45" s="315"/>
      <c r="O45" s="1841" t="s">
        <v>1154</v>
      </c>
      <c r="P45" s="1743"/>
      <c r="Q45" s="1743"/>
      <c r="R45" s="1743"/>
    </row>
    <row r="46" spans="1:18" s="739" customFormat="1" ht="13.5" thickBot="1">
      <c r="A46" s="1758" t="s">
        <v>1155</v>
      </c>
      <c r="C46" s="1759">
        <f ca="1">C68-C40</f>
        <v>0</v>
      </c>
      <c r="D46" s="1760" t="str">
        <f>C2</f>
        <v>万元</v>
      </c>
      <c r="E46" s="1754"/>
      <c r="F46" s="1754"/>
      <c r="I46" s="1842" t="s">
        <v>1156</v>
      </c>
      <c r="J46" s="1843"/>
      <c r="K46" s="1844"/>
      <c r="L46" s="1845" t="str">
        <f ca="1">IF(M47="住宅",0,IF(L48&gt;J51,L60,J60))</f>
        <v>0</v>
      </c>
      <c r="O46" s="1846" t="s">
        <v>1157</v>
      </c>
      <c r="P46" s="1847" t="s">
        <v>1158</v>
      </c>
      <c r="Q46" s="1891" t="s">
        <v>1159</v>
      </c>
      <c r="R46" s="1891" t="s">
        <v>1160</v>
      </c>
    </row>
    <row r="47" spans="1:18" s="739" customFormat="1" ht="13.5" thickBot="1">
      <c r="A47" s="1761" t="s">
        <v>1061</v>
      </c>
      <c r="B47" s="1762" t="s">
        <v>1062</v>
      </c>
      <c r="C47" s="1918" t="s">
        <v>1063</v>
      </c>
      <c r="D47" s="1762" t="s">
        <v>1064</v>
      </c>
      <c r="E47" s="1763" t="s">
        <v>1065</v>
      </c>
      <c r="F47" s="278"/>
      <c r="G47" s="1764"/>
      <c r="I47" s="1848" t="s">
        <v>1161</v>
      </c>
      <c r="J47" s="1849" t="s">
        <v>3381</v>
      </c>
      <c r="K47" s="1850" t="s">
        <v>1162</v>
      </c>
      <c r="L47" s="1851">
        <f ca="1">INDIRECT("'数据-取费表'!d"&amp;$G$1)</f>
        <v>40</v>
      </c>
      <c r="M47" s="1852" t="str">
        <f>IF(ISNUMBER(FIND("住宅",C1)),"住宅","非住宅")</f>
        <v>非住宅</v>
      </c>
      <c r="O47" s="1853" t="s">
        <v>910</v>
      </c>
      <c r="P47" s="1854" t="s">
        <v>1163</v>
      </c>
      <c r="Q47" s="1892">
        <f ca="1">C40+J29</f>
        <v>0</v>
      </c>
      <c r="R47" s="1892" t="s">
        <v>1164</v>
      </c>
    </row>
    <row r="48" spans="1:18" s="739" customFormat="1" ht="28.5" thickBot="1">
      <c r="A48" s="1765" t="s">
        <v>1165</v>
      </c>
      <c r="B48" s="1664" t="s">
        <v>1066</v>
      </c>
      <c r="C48" s="3032">
        <f ca="1">C49+C53+C55</f>
        <v>0</v>
      </c>
      <c r="D48" s="1766"/>
      <c r="E48" s="1767"/>
      <c r="F48" s="1768"/>
      <c r="G48" s="1764"/>
      <c r="H48" s="1769"/>
      <c r="I48" s="796" t="s">
        <v>1166</v>
      </c>
      <c r="J48" s="1855" t="s">
        <v>3382</v>
      </c>
      <c r="K48" s="1856" t="s">
        <v>1167</v>
      </c>
      <c r="L48" s="1857">
        <f ca="1">INDIRECT("'数据-取费表'!f"&amp;$G$1)</f>
        <v>34.03</v>
      </c>
      <c r="O48" s="1853" t="s">
        <v>913</v>
      </c>
      <c r="P48" s="1854" t="s">
        <v>1168</v>
      </c>
      <c r="Q48" s="1892" t="str">
        <f ca="1">J60</f>
        <v>0</v>
      </c>
      <c r="R48" s="1892" t="s">
        <v>1169</v>
      </c>
    </row>
    <row r="49" spans="1:18" s="739" customFormat="1" ht="13.5" thickBot="1">
      <c r="A49" s="1770" t="s">
        <v>1170</v>
      </c>
      <c r="B49" s="1771" t="s">
        <v>1171</v>
      </c>
      <c r="C49" s="1772">
        <f ca="1">ROUND(F49*F51*F50*(1-F52)/10000,0)</f>
        <v>0</v>
      </c>
      <c r="D49" s="1773" t="s">
        <v>1071</v>
      </c>
      <c r="E49" s="1774" t="s">
        <v>1172</v>
      </c>
      <c r="F49" s="1775"/>
      <c r="G49" s="1776"/>
      <c r="H49" s="1769"/>
      <c r="I49" s="796" t="s">
        <v>1173</v>
      </c>
      <c r="J49" s="1858">
        <v>2013</v>
      </c>
      <c r="K49" s="1856" t="s">
        <v>1174</v>
      </c>
      <c r="L49" s="1859"/>
      <c r="O49" s="1860" t="s">
        <v>1175</v>
      </c>
      <c r="P49" s="1854" t="s">
        <v>1176</v>
      </c>
      <c r="Q49" s="1892">
        <f ca="1">C29</f>
        <v>9957</v>
      </c>
      <c r="R49" s="1892" t="s">
        <v>1164</v>
      </c>
    </row>
    <row r="50" spans="1:18" s="739" customFormat="1" ht="13.5" thickBot="1">
      <c r="A50" s="1777"/>
      <c r="B50" s="1778"/>
      <c r="C50" s="1919"/>
      <c r="D50" s="1780"/>
      <c r="E50" s="1781" t="s">
        <v>1072</v>
      </c>
      <c r="F50" s="1782">
        <f ca="1">F7</f>
        <v>20855.97</v>
      </c>
      <c r="H50" s="1769"/>
      <c r="I50" s="796" t="s">
        <v>1177</v>
      </c>
      <c r="J50" s="1861">
        <f>SUMPRODUCT((I63:I65=J47)*(J62:L62=J48)*(J63:L65))</f>
        <v>60</v>
      </c>
      <c r="K50" s="1856" t="s">
        <v>1178</v>
      </c>
      <c r="L50" s="1859"/>
      <c r="M50" s="1862"/>
      <c r="O50" s="1860" t="s">
        <v>1179</v>
      </c>
      <c r="P50" s="1854" t="s">
        <v>1180</v>
      </c>
      <c r="Q50" s="1893" t="e">
        <f ca="1">J58</f>
        <v>#VALUE!</v>
      </c>
      <c r="R50" s="1892"/>
    </row>
    <row r="51" spans="1:18" s="739" customFormat="1" ht="13.5" thickBot="1">
      <c r="A51" s="1783"/>
      <c r="B51" s="1778"/>
      <c r="C51" s="1779"/>
      <c r="D51" s="1780"/>
      <c r="E51" s="1784" t="s">
        <v>1073</v>
      </c>
      <c r="F51" s="1673">
        <f ca="1">F8</f>
        <v>365</v>
      </c>
      <c r="I51" s="1863" t="s">
        <v>1181</v>
      </c>
      <c r="J51" s="1864">
        <f>IF(J49="",J50,J49+J50-YEAR('数据-取费表'!B2))</f>
        <v>55</v>
      </c>
      <c r="K51" s="1865" t="s">
        <v>1182</v>
      </c>
      <c r="L51" s="1866">
        <f ca="1">ROUND(-PV(INDIRECT("'数据-取费表'!h"&amp;$G$1),L48,(C39-C13*C76),0),0)</f>
        <v>-16143</v>
      </c>
      <c r="M51" s="1867"/>
      <c r="O51" s="1860" t="s">
        <v>1183</v>
      </c>
      <c r="P51" s="1854" t="s">
        <v>1184</v>
      </c>
      <c r="Q51" s="1893">
        <f>J52</f>
        <v>0.09</v>
      </c>
      <c r="R51" s="1892"/>
    </row>
    <row r="52" spans="1:18" s="739" customFormat="1" ht="13.5" thickBot="1">
      <c r="A52" s="1783"/>
      <c r="B52" s="1778"/>
      <c r="C52" s="1779"/>
      <c r="D52" s="1780"/>
      <c r="E52" s="1784" t="s">
        <v>1074</v>
      </c>
      <c r="F52" s="1785"/>
      <c r="I52" s="1868" t="s">
        <v>1185</v>
      </c>
      <c r="J52" s="1869">
        <v>0.09</v>
      </c>
      <c r="K52" s="1868" t="s">
        <v>1186</v>
      </c>
      <c r="L52" s="1869"/>
      <c r="O52" s="1860" t="s">
        <v>1187</v>
      </c>
      <c r="P52" s="1854" t="s">
        <v>1188</v>
      </c>
      <c r="Q52" s="1892">
        <f ca="1">J53</f>
        <v>34.03</v>
      </c>
      <c r="R52" s="1892" t="s">
        <v>1189</v>
      </c>
    </row>
    <row r="53" spans="1:18" s="739" customFormat="1" ht="24.75" thickBot="1">
      <c r="A53" s="1920" t="s">
        <v>1190</v>
      </c>
      <c r="B53" s="1921" t="s">
        <v>1075</v>
      </c>
      <c r="C53" s="284">
        <f ca="1">ROUND(IF(F53="押一",C49/12*F11,IF(F53="押二",C49/12*2*F11,IF(F53="押三",C49/12*3*F11,C54*F11))),0)</f>
        <v>0</v>
      </c>
      <c r="D53" s="1682" t="s">
        <v>1076</v>
      </c>
      <c r="E53" s="1683" t="s">
        <v>1077</v>
      </c>
      <c r="F53" s="1684"/>
      <c r="I53" s="1870" t="s">
        <v>1191</v>
      </c>
      <c r="J53" s="1871">
        <f ca="1">IF(M47="住宅",IF(D1="——",MAX(J51,L48),IF(D1="在建（套用方法）",MAX(J51,L48-'数据-取费表'!B24),MAX(J51,L48-'数据-取费表'!B20))),IF(D1="——",MIN(J51,L48),IF(D1="在建（套用方法）",MIN(J51,L48-'数据-取费表'!B24),IF(D1="土地（套用方法）",MIN(J51,L48-'数据-取费表'!B20)))))</f>
        <v>34.03</v>
      </c>
      <c r="K53" s="3503" t="s">
        <v>1192</v>
      </c>
      <c r="L53" s="3504"/>
      <c r="O53" s="1853" t="s">
        <v>1016</v>
      </c>
      <c r="P53" s="1854" t="s">
        <v>1193</v>
      </c>
      <c r="Q53" s="1892">
        <f ca="1">Q47+Q48</f>
        <v>0</v>
      </c>
      <c r="R53" s="1892" t="s">
        <v>1194</v>
      </c>
    </row>
    <row r="54" spans="1:18" s="739" customFormat="1" ht="13.5" thickBot="1">
      <c r="A54" s="1922"/>
      <c r="B54" s="1686" t="s">
        <v>1079</v>
      </c>
      <c r="C54" s="1687"/>
      <c r="D54" s="1682"/>
      <c r="E54" s="3026"/>
      <c r="F54" s="1789"/>
      <c r="I54" s="187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73"/>
      <c r="K54" s="1873"/>
      <c r="L54" s="1873"/>
      <c r="M54" s="1776"/>
      <c r="O54" s="1841" t="s">
        <v>1195</v>
      </c>
      <c r="P54" s="1743"/>
      <c r="Q54" s="1743"/>
      <c r="R54" s="1743"/>
    </row>
    <row r="55" spans="1:18" s="739" customFormat="1" ht="13.5" thickBot="1">
      <c r="A55" s="1690" t="s">
        <v>854</v>
      </c>
      <c r="B55" s="1691" t="s">
        <v>1081</v>
      </c>
      <c r="C55" s="1692"/>
      <c r="D55" s="1682"/>
      <c r="E55" s="3026"/>
      <c r="F55" s="1789"/>
      <c r="I55" s="1874" t="s">
        <v>1196</v>
      </c>
      <c r="J55" s="1875" t="e">
        <f ca="1">ROUND(IF(J47="钢混",J57/J50,1-(1-2%)*(J50-J57)/J50),3)</f>
        <v>#VALUE!</v>
      </c>
      <c r="K55" s="1876" t="s">
        <v>1197</v>
      </c>
      <c r="L55" s="1877" t="s">
        <v>3383</v>
      </c>
      <c r="O55" s="1846" t="s">
        <v>1157</v>
      </c>
      <c r="P55" s="1847" t="s">
        <v>1158</v>
      </c>
      <c r="Q55" s="1891" t="s">
        <v>1159</v>
      </c>
      <c r="R55" s="1891" t="s">
        <v>1160</v>
      </c>
    </row>
    <row r="56" spans="1:18" s="739" customFormat="1" ht="25.5" thickTop="1" thickBot="1">
      <c r="A56" s="1790">
        <v>2</v>
      </c>
      <c r="B56" s="1791" t="s">
        <v>1082</v>
      </c>
      <c r="C56" s="180">
        <f ca="1">C13</f>
        <v>9160</v>
      </c>
      <c r="D56" s="1792"/>
      <c r="E56" s="1793"/>
      <c r="F56" s="1789"/>
      <c r="I56" s="1878" t="s">
        <v>1198</v>
      </c>
      <c r="J56" s="1879" t="s">
        <v>3373</v>
      </c>
      <c r="K56" s="796" t="s">
        <v>1199</v>
      </c>
      <c r="L56" s="1857" t="str">
        <f ca="1">IF(L48&lt;J51,"——",L48-J53)</f>
        <v>——</v>
      </c>
      <c r="O56" s="1853" t="s">
        <v>910</v>
      </c>
      <c r="P56" s="1854" t="s">
        <v>1163</v>
      </c>
      <c r="Q56" s="1892">
        <f ca="1">C40+J29</f>
        <v>0</v>
      </c>
      <c r="R56" s="1892" t="s">
        <v>1164</v>
      </c>
    </row>
    <row r="57" spans="1:18" s="739" customFormat="1" ht="24.75" thickBot="1">
      <c r="A57" s="1794"/>
      <c r="B57" s="1795" t="s">
        <v>1145</v>
      </c>
      <c r="C57" s="190">
        <f ca="1">C29</f>
        <v>9957</v>
      </c>
      <c r="D57" s="1796"/>
      <c r="E57" s="1797"/>
      <c r="F57" s="1798"/>
      <c r="I57" s="1880" t="s">
        <v>1200</v>
      </c>
      <c r="J57" s="1881" t="str">
        <f ca="1">IF(OR(M47="住宅",J51&lt;L48,J56="是"),"——",J51-L48)</f>
        <v>——</v>
      </c>
      <c r="K57" s="796" t="s">
        <v>1201</v>
      </c>
      <c r="L57" s="1857" t="str">
        <f ca="1">IF(L48&lt;J51,"——",IF(L55="比较法",L49,IF(L55="基准地价",L50,L51)))</f>
        <v>——</v>
      </c>
      <c r="O57" s="1853" t="s">
        <v>913</v>
      </c>
      <c r="P57" s="1854" t="s">
        <v>1202</v>
      </c>
      <c r="Q57" s="1892">
        <f ca="1">L60</f>
        <v>0</v>
      </c>
      <c r="R57" s="1892" t="s">
        <v>1203</v>
      </c>
    </row>
    <row r="58" spans="1:18" s="739" customFormat="1" ht="24.75" thickBot="1">
      <c r="A58" s="1799" t="s">
        <v>1090</v>
      </c>
      <c r="B58" s="1791" t="s">
        <v>1091</v>
      </c>
      <c r="C58" s="284">
        <f ca="1">ROUND(C59+C64+C65+C66,0)</f>
        <v>1054</v>
      </c>
      <c r="D58" s="1800" t="s">
        <v>1092</v>
      </c>
      <c r="E58" s="1801"/>
      <c r="F58" s="1768"/>
      <c r="I58" s="1880" t="s">
        <v>1204</v>
      </c>
      <c r="J58" s="1882" t="e">
        <f ca="1">IF(J55&lt;0.4,0.4,J55)</f>
        <v>#VALUE!</v>
      </c>
      <c r="K58" s="1865" t="s">
        <v>1205</v>
      </c>
      <c r="L58" s="1857" t="e">
        <f ca="1">ROUND(POWER(1+L52,L47-L48)*(POWER(1+L52,L48)-1)/(POWER(1+L52,L47)-1),4)</f>
        <v>#DIV/0!</v>
      </c>
      <c r="O58" s="1860" t="s">
        <v>1175</v>
      </c>
      <c r="P58" s="1854" t="s">
        <v>1206</v>
      </c>
      <c r="Q58" s="1892">
        <f>IF(L55="比较法",L49,IF(L55="基准地价",L50,0))</f>
        <v>0</v>
      </c>
      <c r="R58" s="1892" t="s">
        <v>1164</v>
      </c>
    </row>
    <row r="59" spans="1:18" s="739" customFormat="1" ht="24.75" thickBot="1">
      <c r="A59" s="1701" t="s">
        <v>806</v>
      </c>
      <c r="B59" s="1795" t="s">
        <v>1097</v>
      </c>
      <c r="C59" s="285">
        <f ca="1">ROUND(IF(项目基本情况!B11="自然人",C48*F59,C60+C61+C62),1)</f>
        <v>841.2</v>
      </c>
      <c r="D59" s="1802" t="s">
        <v>1098</v>
      </c>
      <c r="E59" s="1803" t="s">
        <v>1099</v>
      </c>
      <c r="F59" s="1726" t="str">
        <f ca="1">IF(项目基本情况!B11="企业","",IF(INDIRECT("'数据-取费表'!c"&amp;$G$1)="住宅",5%,IF(F49*F50*F51/12/(1+'数据-取费表'!C42)&gt;20000,12%,7%)))</f>
        <v/>
      </c>
      <c r="I59" s="1880" t="s">
        <v>1207</v>
      </c>
      <c r="J59" s="1881" t="str">
        <f ca="1">IF(OR(M47="住宅",J51&lt;L48,J56="是"),"——",ROUND(C29*J58,0))</f>
        <v>——</v>
      </c>
      <c r="K59" s="79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57" t="e">
        <f ca="1">ROUND(IF(D1="在建（套用方法）",M59,IF(D1="土地（套用方法）",N59,POWER(1+L52,L47-J51)*(POWER(1+L52,J51)-1)/(POWER(1+L52,L47)-1))),4)</f>
        <v>#DIV/0!</v>
      </c>
      <c r="M59" s="1852" t="e">
        <f ca="1">ROUND(POWER(1+L52,L47-(J51+'数据-取费表'!B24))*(POWER(1+L52,(J51+'数据-取费表'!B24))-1)/(POWER(1+L52,L47)-1),4)</f>
        <v>#DIV/0!</v>
      </c>
      <c r="N59" s="1852" t="e">
        <f ca="1">ROUND(POWER(1+L52,L47-(J51+'数据-取费表'!B20))*(POWER(1+L52,(J51+'数据-取费表'!B20))-1)/(POWER(1+L52,L47)-1),4)</f>
        <v>#DIV/0!</v>
      </c>
      <c r="O59" s="1860" t="s">
        <v>1179</v>
      </c>
      <c r="P59" s="1854" t="s">
        <v>1208</v>
      </c>
      <c r="Q59" s="1893">
        <f>L52</f>
        <v>0</v>
      </c>
      <c r="R59" s="1892"/>
    </row>
    <row r="60" spans="1:18" s="739" customFormat="1" ht="16.5" thickBot="1">
      <c r="A60" s="1701" t="s">
        <v>829</v>
      </c>
      <c r="B60" s="1795" t="s">
        <v>1101</v>
      </c>
      <c r="C60" s="285">
        <f ca="1">IF(项目基本情况!B11="自然人","——",ROUND(C48*F60/(1+'数据-取费表'!C42),2))</f>
        <v>0</v>
      </c>
      <c r="D60" s="1803" t="s">
        <v>1102</v>
      </c>
      <c r="E60" s="1795" t="s">
        <v>1089</v>
      </c>
      <c r="F60" s="1717">
        <f t="shared" ref="F60:F66" si="0">F32</f>
        <v>5.6000000000000001E-2</v>
      </c>
      <c r="I60" s="1883" t="s">
        <v>1209</v>
      </c>
      <c r="J60" s="1884" t="str">
        <f ca="1">IF(OR(M47="住宅",J51&lt;L48,J56="是"),"0",ROUND(J59/(1+J52)^J53,0))</f>
        <v>0</v>
      </c>
      <c r="K60" s="1885" t="s">
        <v>1210</v>
      </c>
      <c r="L60" s="1884">
        <f ca="1">IF(OR(M47="住宅",L48&lt;J51),0,ROUND(L57*(L58/L59-1),0))</f>
        <v>0</v>
      </c>
      <c r="O60" s="1860" t="s">
        <v>1183</v>
      </c>
      <c r="P60" s="1854" t="s">
        <v>1211</v>
      </c>
      <c r="Q60" s="1892" t="e">
        <f ca="1">L58</f>
        <v>#DIV/0!</v>
      </c>
      <c r="R60" s="1892" t="s">
        <v>1212</v>
      </c>
    </row>
    <row r="61" spans="1:18" s="739" customFormat="1" ht="13.5" thickBot="1">
      <c r="A61" s="1701" t="s">
        <v>834</v>
      </c>
      <c r="B61" s="1795" t="s">
        <v>1105</v>
      </c>
      <c r="C61" s="285">
        <f ca="1">IF(项目基本情况!B11="自然人","——",IF(D61="按租金收入计税",ROUND(C48*F61,2),IF(D61="按房产原值计税",ROUND(C57*F61*0.7,2),INDIRECT("'数据-取费表'!Aj"&amp;$G$1))))</f>
        <v>836.39</v>
      </c>
      <c r="D61" s="1727" t="s">
        <v>1106</v>
      </c>
      <c r="E61" s="1795" t="s">
        <v>1089</v>
      </c>
      <c r="F61" s="1710">
        <f t="shared" si="0"/>
        <v>0.12</v>
      </c>
      <c r="I61" s="1886"/>
      <c r="J61" s="1886"/>
      <c r="K61" s="1886"/>
      <c r="L61" s="1886"/>
      <c r="O61" s="1860" t="s">
        <v>1187</v>
      </c>
      <c r="P61" s="1854" t="str">
        <f>K59</f>
        <v>建筑物剩余耐用年限下的土地年期修正系数Kn</v>
      </c>
      <c r="Q61" s="1892" t="e">
        <f ca="1">L59</f>
        <v>#DIV/0!</v>
      </c>
      <c r="R61" s="1892" t="s">
        <v>1213</v>
      </c>
    </row>
    <row r="62" spans="1:18" s="739" customFormat="1" ht="13.5" thickBot="1">
      <c r="A62" s="1701" t="s">
        <v>837</v>
      </c>
      <c r="B62" s="1804" t="s">
        <v>1109</v>
      </c>
      <c r="C62" s="1729">
        <f ca="1">IF(项目基本情况!B11="自然人","——",ROUND(F62*F63/10000,2))</f>
        <v>4.83</v>
      </c>
      <c r="D62" s="1805" t="s">
        <v>1110</v>
      </c>
      <c r="E62" s="1795" t="s">
        <v>1111</v>
      </c>
      <c r="F62" s="1716">
        <f t="shared" si="0"/>
        <v>5</v>
      </c>
      <c r="I62" s="1887" t="s">
        <v>1214</v>
      </c>
      <c r="J62" s="1888" t="s">
        <v>1215</v>
      </c>
      <c r="K62" s="1888" t="s">
        <v>1216</v>
      </c>
      <c r="L62" s="1888" t="s">
        <v>1217</v>
      </c>
      <c r="M62" s="1889" t="s">
        <v>1218</v>
      </c>
      <c r="O62" s="1853" t="s">
        <v>1016</v>
      </c>
      <c r="P62" s="1854" t="s">
        <v>1193</v>
      </c>
      <c r="Q62" s="1892">
        <f ca="1">Q56+Q57</f>
        <v>0</v>
      </c>
      <c r="R62" s="1892" t="s">
        <v>1194</v>
      </c>
    </row>
    <row r="63" spans="1:18" s="739" customFormat="1" ht="13.5" thickBot="1">
      <c r="A63" s="1714"/>
      <c r="B63" s="1806"/>
      <c r="C63" s="1733"/>
      <c r="D63" s="1807"/>
      <c r="E63" s="1795" t="s">
        <v>1115</v>
      </c>
      <c r="F63" s="1673">
        <f t="shared" ca="1" si="0"/>
        <v>9669.15</v>
      </c>
      <c r="I63" s="1887" t="s">
        <v>1219</v>
      </c>
      <c r="J63" s="1888">
        <v>70</v>
      </c>
      <c r="K63" s="1888">
        <v>50</v>
      </c>
      <c r="L63" s="1888">
        <v>80</v>
      </c>
      <c r="M63" s="1890">
        <v>0.02</v>
      </c>
      <c r="O63" s="1841" t="s">
        <v>1220</v>
      </c>
      <c r="P63" s="1743"/>
      <c r="Q63" s="1743"/>
      <c r="R63" s="1743"/>
    </row>
    <row r="64" spans="1:18" s="739" customFormat="1" ht="13.5" thickBot="1">
      <c r="A64" s="1701" t="s">
        <v>810</v>
      </c>
      <c r="B64" s="1795" t="s">
        <v>1117</v>
      </c>
      <c r="C64" s="285">
        <f ca="1">ROUND(C57*F64,1)</f>
        <v>199.1</v>
      </c>
      <c r="D64" s="1803" t="s">
        <v>1149</v>
      </c>
      <c r="E64" s="1795" t="s">
        <v>1089</v>
      </c>
      <c r="F64" s="1736">
        <f t="shared" ca="1" si="0"/>
        <v>0.02</v>
      </c>
      <c r="I64" s="1887" t="s">
        <v>1221</v>
      </c>
      <c r="J64" s="1888">
        <v>50</v>
      </c>
      <c r="K64" s="1888">
        <v>35</v>
      </c>
      <c r="L64" s="1888">
        <v>60</v>
      </c>
      <c r="M64" s="1889">
        <v>0</v>
      </c>
      <c r="O64" s="1846" t="s">
        <v>1157</v>
      </c>
      <c r="P64" s="1847" t="s">
        <v>1158</v>
      </c>
      <c r="Q64" s="1891" t="s">
        <v>1159</v>
      </c>
      <c r="R64" s="1891" t="s">
        <v>1160</v>
      </c>
    </row>
    <row r="65" spans="1:18" s="739" customFormat="1" ht="13.5" thickBot="1">
      <c r="A65" s="1701" t="s">
        <v>854</v>
      </c>
      <c r="B65" s="1795" t="s">
        <v>1121</v>
      </c>
      <c r="C65" s="285">
        <f ca="1">ROUND(C56*F65,1)</f>
        <v>13.7</v>
      </c>
      <c r="D65" s="1803" t="s">
        <v>1122</v>
      </c>
      <c r="E65" s="1795" t="s">
        <v>1089</v>
      </c>
      <c r="F65" s="1737">
        <f t="shared" ca="1" si="0"/>
        <v>1.5E-3</v>
      </c>
      <c r="I65" s="1887" t="s">
        <v>1222</v>
      </c>
      <c r="J65" s="1888">
        <v>40</v>
      </c>
      <c r="K65" s="1888">
        <v>30</v>
      </c>
      <c r="L65" s="1888">
        <v>50</v>
      </c>
      <c r="M65" s="1890">
        <v>0.02</v>
      </c>
      <c r="O65" s="1853" t="s">
        <v>910</v>
      </c>
      <c r="P65" s="1854" t="s">
        <v>1163</v>
      </c>
      <c r="Q65" s="1892">
        <f ca="1">C40+J29</f>
        <v>0</v>
      </c>
      <c r="R65" s="1892" t="s">
        <v>1164</v>
      </c>
    </row>
    <row r="66" spans="1:18" s="739" customFormat="1" ht="16.5" thickBot="1">
      <c r="A66" s="1701" t="s">
        <v>858</v>
      </c>
      <c r="B66" s="1795" t="s">
        <v>1107</v>
      </c>
      <c r="C66" s="285">
        <f ca="1">ROUND(C48*F66,1)</f>
        <v>0</v>
      </c>
      <c r="D66" s="1803" t="s">
        <v>1125</v>
      </c>
      <c r="E66" s="1795" t="s">
        <v>1089</v>
      </c>
      <c r="F66" s="1680">
        <f t="shared" ca="1" si="0"/>
        <v>0.02</v>
      </c>
      <c r="O66" s="1853" t="s">
        <v>913</v>
      </c>
      <c r="P66" s="1854" t="s">
        <v>1202</v>
      </c>
      <c r="Q66" s="1892">
        <f ca="1">L60</f>
        <v>0</v>
      </c>
      <c r="R66" s="1892" t="s">
        <v>1203</v>
      </c>
    </row>
    <row r="67" spans="1:18" s="739" customFormat="1" ht="16.5" thickBot="1">
      <c r="A67" s="1790" t="s">
        <v>1128</v>
      </c>
      <c r="B67" s="1894" t="s">
        <v>1129</v>
      </c>
      <c r="C67" s="284">
        <f ca="1">C48-C58</f>
        <v>-1054</v>
      </c>
      <c r="D67" s="1802" t="s">
        <v>1130</v>
      </c>
      <c r="E67" s="1895"/>
      <c r="F67" s="1896"/>
      <c r="O67" s="1860" t="s">
        <v>1175</v>
      </c>
      <c r="P67" s="1854" t="s">
        <v>1206</v>
      </c>
      <c r="Q67" s="1916">
        <f ca="1">L51</f>
        <v>-16143</v>
      </c>
      <c r="R67" s="1892" t="s">
        <v>1223</v>
      </c>
    </row>
    <row r="68" spans="1:18" s="739" customFormat="1" ht="16.5" thickBot="1">
      <c r="A68" s="1897" t="s">
        <v>1134</v>
      </c>
      <c r="B68" s="1898" t="s">
        <v>1150</v>
      </c>
      <c r="C68" s="1742">
        <f ca="1">ROUND(C67*(1-((1+F70)/(1+F68))^F69)/(F68-F70),0)</f>
        <v>0</v>
      </c>
      <c r="D68" s="1805" t="s">
        <v>1136</v>
      </c>
      <c r="E68" s="1795" t="s">
        <v>1137</v>
      </c>
      <c r="F68" s="1680">
        <f ca="1">F40</f>
        <v>5.5E-2</v>
      </c>
      <c r="O68" s="1860" t="s">
        <v>1179</v>
      </c>
      <c r="P68" s="1915" t="s">
        <v>1224</v>
      </c>
      <c r="Q68" s="1892">
        <f ca="1">ROUND(Q69-Q70*Q71,0)</f>
        <v>-997</v>
      </c>
      <c r="R68" s="1892" t="s">
        <v>1225</v>
      </c>
    </row>
    <row r="69" spans="1:18" s="739" customFormat="1" ht="13.5" thickBot="1">
      <c r="A69" s="1899"/>
      <c r="B69" s="1900"/>
      <c r="C69" s="1679"/>
      <c r="D69" s="1901" t="s">
        <v>1140</v>
      </c>
      <c r="E69" s="1795" t="s">
        <v>1141</v>
      </c>
      <c r="F69" s="1746">
        <f ca="1">F41</f>
        <v>0</v>
      </c>
      <c r="O69" s="1860" t="s">
        <v>1226</v>
      </c>
      <c r="P69" s="1915" t="s">
        <v>1227</v>
      </c>
      <c r="Q69" s="1892">
        <f ca="1">C39</f>
        <v>-218</v>
      </c>
      <c r="R69" s="1892" t="s">
        <v>1164</v>
      </c>
    </row>
    <row r="70" spans="1:18" s="739" customFormat="1" ht="13.5" thickBot="1">
      <c r="A70" s="1902"/>
      <c r="B70" s="1903"/>
      <c r="C70" s="1698"/>
      <c r="D70" s="1807"/>
      <c r="E70" s="1795" t="s">
        <v>1144</v>
      </c>
      <c r="F70" s="1785"/>
      <c r="O70" s="1860" t="s">
        <v>1228</v>
      </c>
      <c r="P70" s="1915" t="s">
        <v>1229</v>
      </c>
      <c r="Q70" s="1892">
        <f ca="1">C13</f>
        <v>9160</v>
      </c>
      <c r="R70" s="1892" t="s">
        <v>1164</v>
      </c>
    </row>
    <row r="71" spans="1:18" s="739" customFormat="1" ht="13.5" thickBot="1">
      <c r="A71" s="1904" t="s">
        <v>1146</v>
      </c>
      <c r="B71" s="1905" t="s">
        <v>1151</v>
      </c>
      <c r="C71" s="1750">
        <f ca="1">ROUND(C68*10000/F71,0)</f>
        <v>0</v>
      </c>
      <c r="D71" s="1906" t="s">
        <v>1152</v>
      </c>
      <c r="E71" s="1907" t="s">
        <v>1153</v>
      </c>
      <c r="F71" s="1753">
        <f ca="1">F43</f>
        <v>20855.97</v>
      </c>
      <c r="O71" s="1860" t="s">
        <v>1230</v>
      </c>
      <c r="P71" s="1915" t="s">
        <v>1231</v>
      </c>
      <c r="Q71" s="1893">
        <f ca="1">C76</f>
        <v>8.5000000000000006E-2</v>
      </c>
      <c r="R71" s="1892"/>
    </row>
    <row r="72" spans="1:18" s="739" customFormat="1" ht="13.5" thickBot="1">
      <c r="B72" s="315"/>
      <c r="C72" s="315"/>
      <c r="O72" s="1860" t="s">
        <v>1183</v>
      </c>
      <c r="P72" s="1854" t="s">
        <v>1208</v>
      </c>
      <c r="Q72" s="1893">
        <f>L52</f>
        <v>0</v>
      </c>
      <c r="R72" s="1892"/>
    </row>
    <row r="73" spans="1:18" ht="16.5" thickBot="1">
      <c r="A73" s="739"/>
      <c r="B73" s="315"/>
      <c r="C73" s="315"/>
      <c r="D73" s="739"/>
      <c r="E73" s="739"/>
      <c r="F73" s="739"/>
      <c r="O73" s="1860" t="s">
        <v>1187</v>
      </c>
      <c r="P73" s="1854" t="s">
        <v>1211</v>
      </c>
      <c r="Q73" s="1892" t="e">
        <f ca="1">L58</f>
        <v>#DIV/0!</v>
      </c>
      <c r="R73" s="1892" t="s">
        <v>1212</v>
      </c>
    </row>
    <row r="74" spans="1:18" ht="13.5" thickBot="1">
      <c r="A74" s="739"/>
      <c r="B74" s="222" t="s">
        <v>1232</v>
      </c>
      <c r="C74" s="1908"/>
      <c r="D74" s="739"/>
      <c r="E74" s="739"/>
      <c r="F74" s="739"/>
      <c r="O74" s="1860" t="s">
        <v>1233</v>
      </c>
      <c r="P74" s="1854" t="str">
        <f>K59</f>
        <v>建筑物剩余耐用年限下的土地年期修正系数Kn</v>
      </c>
      <c r="Q74" s="1892" t="e">
        <f ca="1">L59</f>
        <v>#DIV/0!</v>
      </c>
      <c r="R74" s="1892" t="s">
        <v>1213</v>
      </c>
    </row>
    <row r="75" spans="1:18" ht="13.5" thickBot="1">
      <c r="A75" s="739"/>
      <c r="B75" s="1909" t="s">
        <v>1234</v>
      </c>
      <c r="C75" s="1910">
        <f ca="1">ROUND(C13*C76,0)</f>
        <v>779</v>
      </c>
      <c r="D75" s="739"/>
      <c r="E75" s="739"/>
      <c r="F75" s="739"/>
      <c r="K75" s="1840"/>
      <c r="L75" s="739"/>
      <c r="O75" s="1853" t="s">
        <v>1016</v>
      </c>
      <c r="P75" s="1854" t="s">
        <v>1193</v>
      </c>
      <c r="Q75" s="1892">
        <f ca="1">Q65+Q66</f>
        <v>0</v>
      </c>
      <c r="R75" s="1892" t="s">
        <v>1194</v>
      </c>
    </row>
    <row r="76" spans="1:18">
      <c r="B76" s="563" t="s">
        <v>1235</v>
      </c>
      <c r="C76" s="1911">
        <f ca="1">INDIRECT("'数据-取费表'!j"&amp;$G$1)</f>
        <v>8.5000000000000006E-2</v>
      </c>
      <c r="I76" s="739"/>
      <c r="J76" s="739"/>
      <c r="K76" s="1840"/>
      <c r="L76" s="739"/>
    </row>
    <row r="77" spans="1:18">
      <c r="B77" s="1912" t="s">
        <v>1236</v>
      </c>
      <c r="C77" s="1913"/>
      <c r="I77" s="739"/>
      <c r="J77" s="739"/>
      <c r="K77" s="1840"/>
      <c r="L77" s="739"/>
    </row>
    <row r="78" spans="1:18">
      <c r="B78" s="220" t="s">
        <v>1237</v>
      </c>
      <c r="C78" s="1914"/>
    </row>
    <row r="79" spans="1:18">
      <c r="B79" s="1909" t="s">
        <v>1238</v>
      </c>
      <c r="C79" s="223">
        <f ca="1">1-C80</f>
        <v>4.5730000000000004</v>
      </c>
    </row>
    <row r="80" spans="1:18">
      <c r="B80" s="1909" t="s">
        <v>1239</v>
      </c>
      <c r="C80" s="223">
        <f ca="1">ROUND(C75/C39,3)</f>
        <v>-3.573</v>
      </c>
    </row>
    <row r="81" spans="2:3">
      <c r="B81" s="220" t="s">
        <v>1240</v>
      </c>
      <c r="C81" s="190"/>
    </row>
    <row r="82" spans="2:3">
      <c r="B82" s="222" t="s">
        <v>989</v>
      </c>
      <c r="C82" s="224" t="e">
        <f ca="1">1-C83</f>
        <v>#DIV/0!</v>
      </c>
    </row>
    <row r="83" spans="2:3">
      <c r="B83" s="222" t="s">
        <v>990</v>
      </c>
      <c r="C83" s="223" t="e">
        <f ca="1">ROUND(C13/C40,3)</f>
        <v>#DIV/0!</v>
      </c>
    </row>
  </sheetData>
  <sheetProtection password="C66D" sheet="1" objects="1" scenarios="1" formatCells="0" formatColumns="0" formatRows="0"/>
  <mergeCells count="3">
    <mergeCell ref="B6:B9"/>
    <mergeCell ref="I6:I9"/>
    <mergeCell ref="K53:L53"/>
  </mergeCells>
  <phoneticPr fontId="225" type="noConversion"/>
  <conditionalFormatting sqref="C11">
    <cfRule type="expression" dxfId="133" priority="3">
      <formula>$F$10="自定义"</formula>
    </cfRule>
  </conditionalFormatting>
  <conditionalFormatting sqref="J11">
    <cfRule type="expression" dxfId="132" priority="2">
      <formula>$M$10="自定义"</formula>
    </cfRule>
  </conditionalFormatting>
  <conditionalFormatting sqref="C54">
    <cfRule type="expression" dxfId="131" priority="1">
      <formula>$F$53="自定义"</formula>
    </cfRule>
  </conditionalFormatting>
  <conditionalFormatting sqref="I55 I60">
    <cfRule type="expression" dxfId="130" priority="5">
      <formula>$J$51&gt;$L$48</formula>
    </cfRule>
  </conditionalFormatting>
  <conditionalFormatting sqref="K55 K60">
    <cfRule type="expression" dxfId="129" priority="4">
      <formula>$L$48&gt;$J$51</formula>
    </cfRule>
  </conditionalFormatting>
  <dataValidations count="9">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M10 F53">
      <formula1>"押一,押二,押三,自定义"</formula1>
    </dataValidation>
    <dataValidation type="list" allowBlank="1" showInputMessage="1" showErrorMessage="1" sqref="D1">
      <formula1>"在建（套用方法）,土地（套用方法）,——"</formula1>
    </dataValidation>
    <dataValidation type="list" allowBlank="1" showInputMessage="1" showErrorMessage="1" sqref="C1">
      <formula1>项目类型</formula1>
    </dataValidation>
  </dataValidations>
  <pageMargins left="0.69930555555555596" right="0.69930555555555596"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workbookViewId="0">
      <selection activeCell="D9" sqref="D9"/>
    </sheetView>
  </sheetViews>
  <sheetFormatPr defaultColWidth="9" defaultRowHeight="12.75"/>
  <cols>
    <col min="1" max="1" width="9" style="136" customWidth="1"/>
    <col min="2" max="2" width="20.625" style="225" customWidth="1"/>
    <col min="3" max="3" width="11.875" style="225" customWidth="1"/>
    <col min="4" max="4" width="40.5" style="136" customWidth="1"/>
    <col min="5" max="5" width="15.75" style="136" customWidth="1"/>
    <col min="6" max="6" width="10.625" style="136" customWidth="1"/>
    <col min="7" max="7" width="4.875" style="136" customWidth="1"/>
    <col min="8" max="8" width="8.5" style="136" customWidth="1"/>
    <col min="9" max="9" width="21.25" style="136" customWidth="1"/>
    <col min="10" max="10" width="12.25" style="136" customWidth="1"/>
    <col min="11" max="11" width="45.125" style="1639" customWidth="1"/>
    <col min="12" max="12" width="16.375" style="136" customWidth="1"/>
    <col min="13" max="13" width="13" style="136" customWidth="1"/>
    <col min="14" max="14" width="13.75" style="739" customWidth="1"/>
    <col min="15" max="15" width="5.125" style="739" customWidth="1"/>
    <col min="16" max="16" width="25.75" style="739" customWidth="1"/>
    <col min="17" max="17" width="13.75" style="739" customWidth="1"/>
    <col min="18" max="18" width="20.5" style="739" customWidth="1"/>
    <col min="19" max="19" width="13.25" style="739" customWidth="1"/>
    <col min="20" max="37" width="9" style="739"/>
    <col min="38" max="16384" width="9" style="136"/>
  </cols>
  <sheetData>
    <row r="1" spans="1:37" s="1637" customFormat="1" ht="21">
      <c r="A1" s="1640" t="s">
        <v>1054</v>
      </c>
      <c r="B1" s="1083"/>
      <c r="C1" s="1641" t="s">
        <v>3344</v>
      </c>
      <c r="D1" s="1642" t="s">
        <v>124</v>
      </c>
      <c r="E1" s="1643" t="s">
        <v>1055</v>
      </c>
      <c r="F1" s="1644">
        <f ca="1">J53</f>
        <v>34.03</v>
      </c>
      <c r="G1" s="1645">
        <f>MATCH(C1,'数据-取费表'!A6:A16,0)+5</f>
        <v>8</v>
      </c>
      <c r="H1" s="1646"/>
      <c r="I1" s="1808"/>
      <c r="J1" s="1808"/>
      <c r="K1" s="1809"/>
      <c r="L1" s="1808"/>
      <c r="M1" s="1808"/>
      <c r="N1" s="1810"/>
      <c r="O1" s="1810"/>
      <c r="P1" s="1810"/>
      <c r="Q1" s="1810"/>
      <c r="R1" s="1810"/>
      <c r="S1" s="1810"/>
      <c r="T1" s="1810"/>
      <c r="U1" s="1810"/>
      <c r="V1" s="1810"/>
      <c r="W1" s="1810"/>
      <c r="X1" s="1810"/>
      <c r="Y1" s="1810"/>
      <c r="Z1" s="1810"/>
      <c r="AA1" s="1810"/>
      <c r="AB1" s="1810"/>
      <c r="AC1" s="1810"/>
      <c r="AD1" s="1810"/>
      <c r="AE1" s="1810"/>
      <c r="AF1" s="1810"/>
      <c r="AG1" s="1810"/>
      <c r="AH1" s="1810"/>
      <c r="AI1" s="1810"/>
      <c r="AJ1" s="1810"/>
      <c r="AK1" s="1810"/>
    </row>
    <row r="2" spans="1:37" ht="18" customHeight="1">
      <c r="A2" s="1647" t="s">
        <v>1056</v>
      </c>
      <c r="B2" s="1648">
        <f ca="1">C40+J29+L46</f>
        <v>0</v>
      </c>
      <c r="C2" s="1649" t="s">
        <v>1057</v>
      </c>
      <c r="D2" s="1649"/>
      <c r="E2" s="1651"/>
      <c r="F2" s="1652"/>
      <c r="G2" s="1653"/>
      <c r="H2" s="1654"/>
      <c r="I2" s="1654"/>
      <c r="J2" s="1654"/>
      <c r="K2" s="1811"/>
      <c r="L2" s="1654"/>
      <c r="M2" s="1654"/>
    </row>
    <row r="3" spans="1:37" ht="18" customHeight="1" thickBot="1">
      <c r="A3" s="1655" t="s">
        <v>1058</v>
      </c>
      <c r="B3" s="1656">
        <f ca="1">IF(ISERROR(B2*10000/F43),0,ROUND(B2*10000/F43,0))</f>
        <v>0</v>
      </c>
      <c r="C3" s="1649" t="s">
        <v>1059</v>
      </c>
      <c r="D3" s="1649"/>
      <c r="E3" s="1651"/>
      <c r="F3" s="1652"/>
      <c r="G3" s="1653"/>
      <c r="H3" s="1657" t="s">
        <v>1060</v>
      </c>
      <c r="I3" s="1654"/>
      <c r="J3" s="1654"/>
      <c r="K3" s="1811"/>
      <c r="L3" s="1654"/>
      <c r="M3" s="1654"/>
    </row>
    <row r="4" spans="1:37" ht="18" customHeight="1">
      <c r="A4" s="1658" t="s">
        <v>1061</v>
      </c>
      <c r="B4" s="1659" t="s">
        <v>1062</v>
      </c>
      <c r="C4" s="1659" t="s">
        <v>1063</v>
      </c>
      <c r="D4" s="1659" t="s">
        <v>1064</v>
      </c>
      <c r="E4" s="1660" t="s">
        <v>1065</v>
      </c>
      <c r="F4" s="1661"/>
      <c r="G4" s="1662"/>
      <c r="H4" s="1658" t="s">
        <v>1061</v>
      </c>
      <c r="I4" s="1659" t="s">
        <v>1062</v>
      </c>
      <c r="J4" s="1659" t="s">
        <v>1063</v>
      </c>
      <c r="K4" s="1659" t="s">
        <v>1064</v>
      </c>
      <c r="L4" s="1660" t="s">
        <v>1065</v>
      </c>
      <c r="M4" s="1661"/>
    </row>
    <row r="5" spans="1:37" ht="18" customHeight="1">
      <c r="A5" s="1663">
        <v>1</v>
      </c>
      <c r="B5" s="1664" t="s">
        <v>1066</v>
      </c>
      <c r="C5" s="1665">
        <f ca="1">C6+C10+C12</f>
        <v>0</v>
      </c>
      <c r="D5" s="1666" t="s">
        <v>1067</v>
      </c>
      <c r="E5" s="1667"/>
      <c r="F5" s="1668"/>
      <c r="G5" s="1662"/>
      <c r="H5" s="1663">
        <v>1</v>
      </c>
      <c r="I5" s="1664" t="s">
        <v>1066</v>
      </c>
      <c r="J5" s="1665">
        <f ca="1">J6+J10+J12</f>
        <v>0</v>
      </c>
      <c r="K5" s="1666" t="s">
        <v>1067</v>
      </c>
      <c r="L5" s="1667"/>
      <c r="M5" s="1668"/>
    </row>
    <row r="6" spans="1:37" ht="18" customHeight="1">
      <c r="A6" s="1669" t="s">
        <v>806</v>
      </c>
      <c r="B6" s="3500" t="s">
        <v>1068</v>
      </c>
      <c r="C6" s="1670">
        <f ca="1">ROUND(F6*F8*F7*(1-F9)/10000,0)</f>
        <v>0</v>
      </c>
      <c r="D6" s="1671" t="s">
        <v>1069</v>
      </c>
      <c r="E6" s="1672" t="s">
        <v>1070</v>
      </c>
      <c r="F6" s="1673">
        <f ca="1">INDIRECT("'数据-取费表'!u"&amp;$G$1)</f>
        <v>0</v>
      </c>
      <c r="G6" s="1662"/>
      <c r="H6" s="1669" t="s">
        <v>806</v>
      </c>
      <c r="I6" s="3500" t="s">
        <v>1068</v>
      </c>
      <c r="J6" s="1742">
        <f ca="1">ROUND(M6*M8*M7*(1-M9)/10000,0)</f>
        <v>0</v>
      </c>
      <c r="K6" s="1671" t="s">
        <v>1071</v>
      </c>
      <c r="L6" s="1672" t="s">
        <v>1070</v>
      </c>
      <c r="M6" s="1673">
        <f ca="1">INDIRECT("'数据-取费表'!z"&amp;$G$1)</f>
        <v>0</v>
      </c>
    </row>
    <row r="7" spans="1:37" ht="18" customHeight="1">
      <c r="A7" s="1674"/>
      <c r="B7" s="3501"/>
      <c r="C7" s="1675"/>
      <c r="D7" s="1676"/>
      <c r="E7" s="3030" t="s">
        <v>1072</v>
      </c>
      <c r="F7" s="1673">
        <f ca="1">IF(INDIRECT("'数据-取费表'!ah"&amp;$G$1)="",INDIRECT("'数据-取费表'!k"&amp;$G$1),INDIRECT("'数据-取费表'!ah"&amp;$G$1))</f>
        <v>55674.09</v>
      </c>
      <c r="G7" s="1662"/>
      <c r="H7" s="1678"/>
      <c r="I7" s="3501"/>
      <c r="J7" s="1679"/>
      <c r="K7" s="1676"/>
      <c r="L7" s="1672" t="s">
        <v>1072</v>
      </c>
      <c r="M7" s="1673">
        <f ca="1">F7</f>
        <v>55674.09</v>
      </c>
    </row>
    <row r="8" spans="1:37" ht="18" customHeight="1">
      <c r="A8" s="1678"/>
      <c r="B8" s="3501"/>
      <c r="C8" s="1679"/>
      <c r="D8" s="1676"/>
      <c r="E8" s="1672" t="s">
        <v>1073</v>
      </c>
      <c r="F8" s="1673">
        <f ca="1">INDIRECT("'数据-取费表'!ai"&amp;$G$1)</f>
        <v>365</v>
      </c>
      <c r="G8" s="1662"/>
      <c r="H8" s="1678"/>
      <c r="I8" s="3501"/>
      <c r="J8" s="1679"/>
      <c r="K8" s="1676"/>
      <c r="L8" s="1672" t="s">
        <v>1073</v>
      </c>
      <c r="M8" s="1673">
        <f ca="1">INDIRECT("'数据-取费表'!ai"&amp;$G$1)</f>
        <v>365</v>
      </c>
    </row>
    <row r="9" spans="1:37" ht="18" customHeight="1">
      <c r="A9" s="1678"/>
      <c r="B9" s="3502"/>
      <c r="C9" s="1679"/>
      <c r="D9" s="1676"/>
      <c r="E9" s="1672" t="s">
        <v>1074</v>
      </c>
      <c r="F9" s="1680">
        <f ca="1">INDIRECT("'数据-取费表'!w"&amp;$G$1)</f>
        <v>0.15</v>
      </c>
      <c r="G9" s="1662"/>
      <c r="H9" s="1678"/>
      <c r="I9" s="3502"/>
      <c r="J9" s="1679"/>
      <c r="K9" s="1676"/>
      <c r="L9" s="1683" t="s">
        <v>1074</v>
      </c>
      <c r="M9" s="1688">
        <f ca="1">INDIRECT("'数据-取费表'!ab"&amp;$G$1)</f>
        <v>0</v>
      </c>
    </row>
    <row r="10" spans="1:37" ht="18" customHeight="1">
      <c r="A10" s="1669" t="s">
        <v>810</v>
      </c>
      <c r="B10" s="1681" t="s">
        <v>1075</v>
      </c>
      <c r="C10" s="284">
        <f ca="1">ROUND(IF(F10="押一",C6/12*F11,IF(F10="押二",C6/12*2*F11,IF(F10="押三",C6/12*3*F11,C11*F11))),0)</f>
        <v>0</v>
      </c>
      <c r="D10" s="1682" t="s">
        <v>1076</v>
      </c>
      <c r="E10" s="1683" t="s">
        <v>1077</v>
      </c>
      <c r="F10" s="1684"/>
      <c r="G10" s="1662"/>
      <c r="H10" s="1669" t="s">
        <v>810</v>
      </c>
      <c r="I10" s="1681" t="s">
        <v>1075</v>
      </c>
      <c r="J10" s="1742">
        <f ca="1">ROUND(IF(M10="押一",J6/12*M11,IF(M10="押二",J6/12*2*M11,IF(M10="押三",J6/12*3*M11,J11*M11))),0)</f>
        <v>0</v>
      </c>
      <c r="K10" s="1682" t="s">
        <v>1076</v>
      </c>
      <c r="L10" s="1683" t="s">
        <v>1077</v>
      </c>
      <c r="M10" s="1684" t="s">
        <v>1078</v>
      </c>
    </row>
    <row r="11" spans="1:37" ht="18" customHeight="1">
      <c r="A11" s="1685"/>
      <c r="B11" s="1686" t="s">
        <v>1079</v>
      </c>
      <c r="C11" s="1687"/>
      <c r="D11" s="1917"/>
      <c r="E11" s="1683" t="s">
        <v>1080</v>
      </c>
      <c r="F11" s="1688">
        <f ca="1">'数据-取费表'!B39</f>
        <v>1.4999999999999999E-2</v>
      </c>
      <c r="G11" s="1662"/>
      <c r="H11" s="1689"/>
      <c r="I11" s="1686" t="s">
        <v>1079</v>
      </c>
      <c r="J11" s="1687"/>
      <c r="K11" s="1814"/>
      <c r="L11" s="1683" t="s">
        <v>1080</v>
      </c>
      <c r="M11" s="1815">
        <f ca="1">'数据-取费表'!B39</f>
        <v>1.4999999999999999E-2</v>
      </c>
    </row>
    <row r="12" spans="1:37" ht="18" customHeight="1" thickBot="1">
      <c r="A12" s="1690" t="s">
        <v>854</v>
      </c>
      <c r="B12" s="1691" t="s">
        <v>1081</v>
      </c>
      <c r="C12" s="1692"/>
      <c r="D12" s="1693"/>
      <c r="E12" s="1694"/>
      <c r="F12" s="1695"/>
      <c r="G12" s="1662"/>
      <c r="H12" s="1690" t="s">
        <v>854</v>
      </c>
      <c r="I12" s="1691" t="s">
        <v>1081</v>
      </c>
      <c r="J12" s="1692"/>
      <c r="K12" s="1816"/>
      <c r="L12" s="1694"/>
      <c r="M12" s="1817"/>
    </row>
    <row r="13" spans="1:37" ht="18" customHeight="1" thickTop="1">
      <c r="A13" s="1696">
        <v>2</v>
      </c>
      <c r="B13" s="1697" t="s">
        <v>1082</v>
      </c>
      <c r="C13" s="1698">
        <f ca="1">ROUND(C29*F13,0)</f>
        <v>24454</v>
      </c>
      <c r="D13" s="1699" t="s">
        <v>1083</v>
      </c>
      <c r="E13" s="1699" t="s">
        <v>1084</v>
      </c>
      <c r="F13" s="1700">
        <f ca="1">INDIRECT("'数据-取费表'!y"&amp;$G$1)</f>
        <v>0.92</v>
      </c>
      <c r="G13" s="1662"/>
      <c r="H13" s="1696">
        <v>2</v>
      </c>
      <c r="I13" s="1697" t="s">
        <v>1082</v>
      </c>
      <c r="J13" s="1818">
        <f ca="1">ROUND(J14*J15,0)</f>
        <v>0</v>
      </c>
      <c r="K13" s="1722" t="s">
        <v>1083</v>
      </c>
      <c r="L13" s="1819"/>
      <c r="M13" s="1820"/>
    </row>
    <row r="14" spans="1:37" ht="18" customHeight="1">
      <c r="A14" s="1701" t="s">
        <v>829</v>
      </c>
      <c r="B14" s="1672" t="s">
        <v>1085</v>
      </c>
      <c r="C14" s="1702">
        <f ca="1">INDIRECT("'数据-取费表'!m"&amp;$G$1)+INDIRECT("'数据-取费表'!t"&amp;$G$1)</f>
        <v>16702</v>
      </c>
      <c r="D14" s="3027" t="s">
        <v>1086</v>
      </c>
      <c r="E14" s="3028"/>
      <c r="F14" s="1705"/>
      <c r="G14" s="1662"/>
      <c r="H14" s="1701" t="s">
        <v>806</v>
      </c>
      <c r="I14" s="1672" t="s">
        <v>1087</v>
      </c>
      <c r="J14" s="285">
        <f ca="1">C29</f>
        <v>26580</v>
      </c>
      <c r="K14" s="3029"/>
      <c r="L14" s="1822"/>
      <c r="M14" s="1823"/>
    </row>
    <row r="15" spans="1:37" s="1638" customFormat="1" ht="18" customHeight="1" thickBot="1">
      <c r="A15" s="1701" t="s">
        <v>834</v>
      </c>
      <c r="B15" s="1672" t="s">
        <v>1014</v>
      </c>
      <c r="C15" s="285">
        <f ca="1">ROUND(C14*F15,0)</f>
        <v>835</v>
      </c>
      <c r="D15" s="1706" t="s">
        <v>1088</v>
      </c>
      <c r="E15" s="1706" t="s">
        <v>1089</v>
      </c>
      <c r="F15" s="1707">
        <f>'数据-取费表'!B33</f>
        <v>0.05</v>
      </c>
      <c r="G15" s="1708"/>
      <c r="H15" s="1709" t="s">
        <v>810</v>
      </c>
      <c r="I15" s="1694" t="s">
        <v>1084</v>
      </c>
      <c r="J15" s="1817">
        <f ca="1">INDIRECT("'数据-取费表'!ad"&amp;$G$1)</f>
        <v>0</v>
      </c>
      <c r="K15" s="1824"/>
      <c r="L15" s="1825"/>
      <c r="M15" s="1826"/>
      <c r="N15" s="1827"/>
      <c r="O15" s="1827"/>
      <c r="P15" s="1827"/>
      <c r="Q15" s="1827"/>
      <c r="R15" s="1827"/>
      <c r="S15" s="1827"/>
      <c r="T15" s="1827"/>
      <c r="U15" s="1827"/>
      <c r="V15" s="1827"/>
      <c r="W15" s="1827"/>
      <c r="X15" s="1827"/>
      <c r="Y15" s="1827"/>
      <c r="Z15" s="1827"/>
      <c r="AA15" s="1827"/>
      <c r="AB15" s="1827"/>
      <c r="AC15" s="1827"/>
      <c r="AD15" s="1827"/>
      <c r="AE15" s="1827"/>
      <c r="AF15" s="1827"/>
      <c r="AG15" s="1827"/>
      <c r="AH15" s="1827"/>
      <c r="AI15" s="1827"/>
      <c r="AJ15" s="1827"/>
      <c r="AK15" s="1827"/>
    </row>
    <row r="16" spans="1:37" ht="18" customHeight="1" thickTop="1">
      <c r="A16" s="1701" t="s">
        <v>837</v>
      </c>
      <c r="B16" s="1672" t="s">
        <v>1017</v>
      </c>
      <c r="C16" s="285">
        <f ca="1">ROUND(INDIRECT("'数据-取费表'!m"&amp;$G$1)*F16,0)</f>
        <v>0</v>
      </c>
      <c r="D16" s="1672" t="s">
        <v>1088</v>
      </c>
      <c r="E16" s="1672" t="s">
        <v>1089</v>
      </c>
      <c r="F16" s="1710">
        <f ca="1">IF(INDIRECT("'数据-取费表'!c"&amp;$G$1)="住宅",'数据-取费表'!B34,0)</f>
        <v>0</v>
      </c>
      <c r="G16" s="1662"/>
      <c r="H16" s="1696" t="s">
        <v>1090</v>
      </c>
      <c r="I16" s="1697" t="s">
        <v>1091</v>
      </c>
      <c r="J16" s="1698">
        <f ca="1">ROUND(J17+J22+J23+J24,0)</f>
        <v>768</v>
      </c>
      <c r="K16" s="1722" t="s">
        <v>1092</v>
      </c>
      <c r="L16" s="3034"/>
      <c r="M16" s="1668"/>
    </row>
    <row r="17" spans="1:37" s="1638" customFormat="1" ht="18" customHeight="1">
      <c r="A17" s="1701" t="s">
        <v>1093</v>
      </c>
      <c r="B17" s="1672" t="s">
        <v>1094</v>
      </c>
      <c r="C17" s="285">
        <f ca="1">ROUND(F17*(F43+INDIRECT("'数据-取费表'!S"&amp;$G$1))/10000,0)</f>
        <v>1113</v>
      </c>
      <c r="D17" s="1672" t="s">
        <v>1095</v>
      </c>
      <c r="E17" s="1672" t="s">
        <v>1096</v>
      </c>
      <c r="F17" s="1711">
        <f>'数据-取费表'!B35</f>
        <v>200</v>
      </c>
      <c r="G17" s="1708"/>
      <c r="H17" s="1701" t="s">
        <v>806</v>
      </c>
      <c r="I17" s="1672" t="s">
        <v>1097</v>
      </c>
      <c r="J17" s="285">
        <f ca="1">ROUND(IF(项目基本情况!B11="自然人",J5*M17,J18+J19+J20),1)</f>
        <v>236.2</v>
      </c>
      <c r="K17" s="3027" t="s">
        <v>1098</v>
      </c>
      <c r="L17" s="3031" t="s">
        <v>1099</v>
      </c>
      <c r="M17" s="1726" t="str">
        <f ca="1">IF(项目基本情况!B11="企业","",IF(INDIRECT("'数据-取费表'!c"&amp;$G$1)="住宅",5%,IF(M6*M7*M8/12/(1+'数据-取费表'!C42)&gt;20000,12%,7%)))</f>
        <v/>
      </c>
      <c r="N17" s="1827"/>
      <c r="O17" s="1827"/>
      <c r="P17" s="1827"/>
      <c r="Q17" s="1827"/>
      <c r="R17" s="1827"/>
      <c r="S17" s="1827"/>
      <c r="T17" s="1827"/>
      <c r="U17" s="1827"/>
      <c r="V17" s="1827"/>
      <c r="W17" s="1827"/>
      <c r="X17" s="1827"/>
      <c r="Y17" s="1827"/>
      <c r="Z17" s="1827"/>
      <c r="AA17" s="1827"/>
      <c r="AB17" s="1827"/>
      <c r="AC17" s="1827"/>
      <c r="AD17" s="1827"/>
      <c r="AE17" s="1827"/>
      <c r="AF17" s="1827"/>
      <c r="AG17" s="1827"/>
      <c r="AH17" s="1827"/>
      <c r="AI17" s="1827"/>
      <c r="AJ17" s="1827"/>
      <c r="AK17" s="1827"/>
    </row>
    <row r="18" spans="1:37" s="1638" customFormat="1" ht="18" customHeight="1">
      <c r="A18" s="1701" t="s">
        <v>1100</v>
      </c>
      <c r="B18" s="1672" t="s">
        <v>1023</v>
      </c>
      <c r="C18" s="285">
        <f ca="1">ROUND(C14*F18,0)</f>
        <v>251</v>
      </c>
      <c r="D18" s="1672" t="s">
        <v>1088</v>
      </c>
      <c r="E18" s="1672" t="s">
        <v>1089</v>
      </c>
      <c r="F18" s="1710">
        <f>'数据-取费表'!B36</f>
        <v>1.4999999999999999E-2</v>
      </c>
      <c r="G18" s="1708"/>
      <c r="H18" s="1701" t="s">
        <v>829</v>
      </c>
      <c r="I18" s="1672" t="s">
        <v>1101</v>
      </c>
      <c r="J18" s="285">
        <f ca="1">ROUND(J5*M18/(1+'数据-取费表'!C42),2)</f>
        <v>0</v>
      </c>
      <c r="K18" s="3031" t="s">
        <v>1102</v>
      </c>
      <c r="L18" s="1672" t="s">
        <v>1089</v>
      </c>
      <c r="M18" s="1710">
        <f>'数据-取费表'!B41</f>
        <v>5.6000000000000001E-2</v>
      </c>
      <c r="N18" s="1827"/>
      <c r="O18" s="1827"/>
      <c r="P18" s="1827"/>
      <c r="Q18" s="1827"/>
      <c r="R18" s="1827"/>
      <c r="S18" s="1827"/>
      <c r="T18" s="1827"/>
      <c r="U18" s="1827"/>
      <c r="V18" s="1827"/>
      <c r="W18" s="1827"/>
      <c r="X18" s="1827"/>
      <c r="Y18" s="1827"/>
      <c r="Z18" s="1827"/>
      <c r="AA18" s="1827"/>
      <c r="AB18" s="1827"/>
      <c r="AC18" s="1827"/>
      <c r="AD18" s="1827"/>
      <c r="AE18" s="1827"/>
      <c r="AF18" s="1827"/>
      <c r="AG18" s="1827"/>
      <c r="AH18" s="1827"/>
      <c r="AI18" s="1827"/>
      <c r="AJ18" s="1827"/>
      <c r="AK18" s="1827"/>
    </row>
    <row r="19" spans="1:37" ht="18" customHeight="1">
      <c r="A19" s="1701" t="s">
        <v>806</v>
      </c>
      <c r="B19" s="1672" t="s">
        <v>1103</v>
      </c>
      <c r="C19" s="285">
        <f ca="1">SUM(C14:C18)</f>
        <v>18901</v>
      </c>
      <c r="D19" s="1712" t="s">
        <v>1104</v>
      </c>
      <c r="E19" s="3033"/>
      <c r="F19" s="1711"/>
      <c r="G19" s="1662"/>
      <c r="H19" s="1701" t="s">
        <v>834</v>
      </c>
      <c r="I19" s="1672" t="s">
        <v>1105</v>
      </c>
      <c r="J19" s="285">
        <f ca="1">IF(K19="按租金收入计税",ROUND(J5*M19,2),ROUND(C29*M19*0.7,2))</f>
        <v>223.27</v>
      </c>
      <c r="K19" s="1727" t="s">
        <v>1106</v>
      </c>
      <c r="L19" s="1672" t="s">
        <v>1089</v>
      </c>
      <c r="M19" s="1710">
        <f>IF(K19="按租金收入计税",'数据-取费表'!B51,'数据-取费表'!B50)</f>
        <v>1.2E-2</v>
      </c>
    </row>
    <row r="20" spans="1:37" s="1638" customFormat="1" ht="18" customHeight="1">
      <c r="A20" s="1701" t="s">
        <v>810</v>
      </c>
      <c r="B20" s="1672" t="s">
        <v>1107</v>
      </c>
      <c r="C20" s="285">
        <f ca="1">ROUND(C19*F20,0)</f>
        <v>473</v>
      </c>
      <c r="D20" s="1713" t="s">
        <v>1108</v>
      </c>
      <c r="E20" s="1672" t="s">
        <v>1089</v>
      </c>
      <c r="F20" s="1710">
        <f>'数据-取费表'!B37</f>
        <v>2.5000000000000001E-2</v>
      </c>
      <c r="G20" s="1708"/>
      <c r="H20" s="1701" t="s">
        <v>837</v>
      </c>
      <c r="I20" s="1671" t="s">
        <v>1109</v>
      </c>
      <c r="J20" s="1729">
        <f ca="1">ROUND(M20*M21/10000,2)</f>
        <v>12.91</v>
      </c>
      <c r="K20" s="1730" t="s">
        <v>1110</v>
      </c>
      <c r="L20" s="1672" t="s">
        <v>1111</v>
      </c>
      <c r="M20" s="1716">
        <f>'数据-取费表'!B52</f>
        <v>5</v>
      </c>
      <c r="N20" s="1827"/>
      <c r="O20" s="1827"/>
      <c r="P20" s="1827"/>
      <c r="Q20" s="1827"/>
      <c r="R20" s="1827"/>
      <c r="S20" s="1827"/>
      <c r="T20" s="1827"/>
      <c r="U20" s="1827"/>
      <c r="V20" s="1827"/>
      <c r="W20" s="1827"/>
      <c r="X20" s="1827"/>
      <c r="Y20" s="1827"/>
      <c r="Z20" s="1827"/>
      <c r="AA20" s="1827"/>
      <c r="AB20" s="1827"/>
      <c r="AC20" s="1827"/>
      <c r="AD20" s="1827"/>
      <c r="AE20" s="1827"/>
      <c r="AF20" s="1827"/>
      <c r="AG20" s="1827"/>
      <c r="AH20" s="1827"/>
      <c r="AI20" s="1827"/>
      <c r="AJ20" s="1827"/>
      <c r="AK20" s="1827"/>
    </row>
    <row r="21" spans="1:37" s="1638" customFormat="1" ht="18" customHeight="1">
      <c r="A21" s="1701" t="s">
        <v>854</v>
      </c>
      <c r="B21" s="1672" t="s">
        <v>1112</v>
      </c>
      <c r="C21" s="285" t="s">
        <v>124</v>
      </c>
      <c r="D21" s="1713" t="s">
        <v>1113</v>
      </c>
      <c r="E21" s="1672" t="s">
        <v>1114</v>
      </c>
      <c r="F21" s="1710">
        <f>'数据-取费表'!B38</f>
        <v>0.03</v>
      </c>
      <c r="G21" s="1708"/>
      <c r="H21" s="1714"/>
      <c r="I21" s="1828"/>
      <c r="J21" s="1733"/>
      <c r="K21" s="1734"/>
      <c r="L21" s="1672" t="s">
        <v>1115</v>
      </c>
      <c r="M21" s="1673">
        <f ca="1">INDIRECT("'数据-取费表'!r"&amp;$G$1)</f>
        <v>25811.38</v>
      </c>
      <c r="N21" s="1827"/>
      <c r="O21" s="1827"/>
      <c r="P21" s="1827"/>
      <c r="Q21" s="1827"/>
      <c r="R21" s="1827"/>
      <c r="S21" s="1827"/>
      <c r="T21" s="1827"/>
      <c r="U21" s="1827"/>
      <c r="V21" s="1827"/>
      <c r="W21" s="1827"/>
      <c r="X21" s="1827"/>
      <c r="Y21" s="1827"/>
      <c r="Z21" s="1827"/>
      <c r="AA21" s="1827"/>
      <c r="AB21" s="1827"/>
      <c r="AC21" s="1827"/>
      <c r="AD21" s="1827"/>
      <c r="AE21" s="1827"/>
      <c r="AF21" s="1827"/>
      <c r="AG21" s="1827"/>
      <c r="AH21" s="1827"/>
      <c r="AI21" s="1827"/>
      <c r="AJ21" s="1827"/>
      <c r="AK21" s="1827"/>
    </row>
    <row r="22" spans="1:37" ht="18" customHeight="1">
      <c r="A22" s="1701" t="s">
        <v>858</v>
      </c>
      <c r="B22" s="1672" t="s">
        <v>1116</v>
      </c>
      <c r="C22" s="285"/>
      <c r="D22" s="1712" t="str">
        <f>IF(F23&lt;=1,"单利计息。","复利计息。")&amp;"建造成本、管理费用、销售费用产生的利息。"</f>
        <v>复利计息。建造成本、管理费用、销售费用产生的利息。</v>
      </c>
      <c r="E22" s="3033"/>
      <c r="F22" s="1711"/>
      <c r="G22" s="1662"/>
      <c r="H22" s="1701" t="s">
        <v>810</v>
      </c>
      <c r="I22" s="1672" t="s">
        <v>1117</v>
      </c>
      <c r="J22" s="285">
        <f ca="1">ROUND(J14*M22,1)</f>
        <v>531.6</v>
      </c>
      <c r="K22" s="3031" t="s">
        <v>1118</v>
      </c>
      <c r="L22" s="1672" t="s">
        <v>1089</v>
      </c>
      <c r="M22" s="1736">
        <f ca="1">INDIRECT("'数据-取费表'!Ak"&amp;$G$1)</f>
        <v>0.02</v>
      </c>
    </row>
    <row r="23" spans="1:37" s="1638" customFormat="1" ht="18" customHeight="1">
      <c r="A23" s="1701" t="s">
        <v>829</v>
      </c>
      <c r="B23" s="1672" t="s">
        <v>1119</v>
      </c>
      <c r="C23" s="285">
        <f ca="1">IF('数据-取费表'!B22&lt;=1,ROUND(C19*F24*F23/2,0)+ROUND(C20*F24*F23/2,0),ROUND(C19*(POWER((1+F24),F23/2)-1),0)+ROUND(C20*(POWER((1+F24),F23/2)-1),0))</f>
        <v>920</v>
      </c>
      <c r="D23" s="1715" t="str">
        <f>IF(F23&lt;=1,"(建造成本+管理费用)×利率×(建设周期÷2)","(建造成本+管理费用)×((1+利率)^(建设周期÷2)-1)")</f>
        <v>(建造成本+管理费用)×((1+利率)^(建设周期÷2)-1)</v>
      </c>
      <c r="E23" s="1672" t="s">
        <v>1120</v>
      </c>
      <c r="F23" s="1716">
        <f>'数据-取费表'!B20</f>
        <v>2</v>
      </c>
      <c r="G23" s="1708"/>
      <c r="H23" s="1701" t="s">
        <v>854</v>
      </c>
      <c r="I23" s="1672" t="s">
        <v>1121</v>
      </c>
      <c r="J23" s="285">
        <f ca="1">ROUND(J13*M23,1)</f>
        <v>0</v>
      </c>
      <c r="K23" s="3031" t="s">
        <v>1122</v>
      </c>
      <c r="L23" s="1672" t="s">
        <v>1089</v>
      </c>
      <c r="M23" s="1737">
        <f ca="1">INDIRECT("'数据-取费表'!Al"&amp;$G$1)</f>
        <v>1.5E-3</v>
      </c>
      <c r="N23" s="1827"/>
      <c r="O23" s="1827"/>
      <c r="P23" s="1827"/>
      <c r="Q23" s="1827"/>
      <c r="R23" s="1827"/>
      <c r="S23" s="1827"/>
      <c r="T23" s="1827"/>
      <c r="U23" s="1827"/>
      <c r="V23" s="1827"/>
      <c r="W23" s="1827"/>
      <c r="X23" s="1827"/>
      <c r="Y23" s="1827"/>
      <c r="Z23" s="1827"/>
      <c r="AA23" s="1827"/>
      <c r="AB23" s="1827"/>
      <c r="AC23" s="1827"/>
      <c r="AD23" s="1827"/>
      <c r="AE23" s="1827"/>
      <c r="AF23" s="1827"/>
      <c r="AG23" s="1827"/>
      <c r="AH23" s="1827"/>
      <c r="AI23" s="1827"/>
      <c r="AJ23" s="1827"/>
      <c r="AK23" s="1827"/>
    </row>
    <row r="24" spans="1:37" s="1638" customFormat="1" ht="18" customHeight="1" thickBot="1">
      <c r="A24" s="1701" t="s">
        <v>834</v>
      </c>
      <c r="B24" s="1672" t="s">
        <v>1123</v>
      </c>
      <c r="C24" s="285">
        <f ca="1">ROUND(IF('数据-取费表'!B22&lt;=1,F21*F24*F23/2,F21*(POWER((1+F24),F23/2)-1)),4)</f>
        <v>1.4E-3</v>
      </c>
      <c r="D24" s="1715" t="str">
        <f>IF(F23&lt;=1,"销售费用×利率×(建设周期÷2)","销售费用×((1+利率)^(建设周期÷2)-1)")</f>
        <v>销售费用×((1+利率)^(建设周期÷2)-1)</v>
      </c>
      <c r="E24" s="1672" t="s">
        <v>1124</v>
      </c>
      <c r="F24" s="1717">
        <f ca="1">'数据-取费表'!B40</f>
        <v>4.7500000000000001E-2</v>
      </c>
      <c r="G24" s="1708"/>
      <c r="H24" s="1709" t="s">
        <v>858</v>
      </c>
      <c r="I24" s="1694" t="s">
        <v>1107</v>
      </c>
      <c r="J24" s="1718">
        <f ca="1">ROUND(J5*M24,1)</f>
        <v>0</v>
      </c>
      <c r="K24" s="1719" t="s">
        <v>1125</v>
      </c>
      <c r="L24" s="1694" t="s">
        <v>1089</v>
      </c>
      <c r="M24" s="1695">
        <f ca="1">INDIRECT("'数据-取费表'!Am"&amp;$G$1)</f>
        <v>0.02</v>
      </c>
      <c r="N24" s="1827"/>
      <c r="O24" s="1827"/>
      <c r="P24" s="1827"/>
      <c r="Q24" s="1827"/>
      <c r="R24" s="1827"/>
      <c r="S24" s="1827"/>
      <c r="T24" s="1827"/>
      <c r="U24" s="1827"/>
      <c r="V24" s="1827"/>
      <c r="W24" s="1827"/>
      <c r="X24" s="1827"/>
      <c r="Y24" s="1827"/>
      <c r="Z24" s="1827"/>
      <c r="AA24" s="1827"/>
      <c r="AB24" s="1827"/>
      <c r="AC24" s="1827"/>
      <c r="AD24" s="1827"/>
      <c r="AE24" s="1827"/>
      <c r="AF24" s="1827"/>
      <c r="AG24" s="1827"/>
      <c r="AH24" s="1827"/>
      <c r="AI24" s="1827"/>
      <c r="AJ24" s="1827"/>
      <c r="AK24" s="1827"/>
    </row>
    <row r="25" spans="1:37" ht="24" customHeight="1" thickTop="1">
      <c r="A25" s="1701" t="s">
        <v>861</v>
      </c>
      <c r="B25" s="1672" t="s">
        <v>1126</v>
      </c>
      <c r="C25" s="285"/>
      <c r="D25" s="1712" t="s">
        <v>1127</v>
      </c>
      <c r="E25" s="3033"/>
      <c r="F25" s="1711"/>
      <c r="G25" s="1662"/>
      <c r="H25" s="1696" t="s">
        <v>1128</v>
      </c>
      <c r="I25" s="1738" t="s">
        <v>1129</v>
      </c>
      <c r="J25" s="1698">
        <f ca="1">J5-J16</f>
        <v>-768</v>
      </c>
      <c r="K25" s="1739" t="s">
        <v>1130</v>
      </c>
      <c r="L25" s="1740"/>
      <c r="M25" s="1741"/>
    </row>
    <row r="26" spans="1:37">
      <c r="A26" s="1701" t="s">
        <v>829</v>
      </c>
      <c r="B26" s="1672" t="s">
        <v>1131</v>
      </c>
      <c r="C26" s="285">
        <f ca="1">ROUND((C19+C20)*F26,0)</f>
        <v>3875</v>
      </c>
      <c r="D26" s="1713" t="s">
        <v>1132</v>
      </c>
      <c r="E26" s="1683" t="s">
        <v>1133</v>
      </c>
      <c r="F26" s="1680">
        <f ca="1">INDIRECT("'数据-取费表'!q"&amp;$G$1)</f>
        <v>0.2</v>
      </c>
      <c r="G26" s="1662"/>
      <c r="H26" s="1663" t="s">
        <v>1134</v>
      </c>
      <c r="I26" s="1664" t="s">
        <v>1135</v>
      </c>
      <c r="J26" s="1742">
        <f ca="1">IF(J5&lt;&gt;0,ROUND(J25*(1-((1+M28)/(1+M26))^M27)/(M26-M28),0),0)</f>
        <v>0</v>
      </c>
      <c r="K26" s="1730" t="s">
        <v>1136</v>
      </c>
      <c r="L26" s="1672" t="s">
        <v>1137</v>
      </c>
      <c r="M26" s="1680">
        <f ca="1">INDIRECT("'数据-取费表'!I"&amp;$G$1)</f>
        <v>5.5E-2</v>
      </c>
    </row>
    <row r="27" spans="1:37" ht="18" customHeight="1">
      <c r="A27" s="1701" t="s">
        <v>834</v>
      </c>
      <c r="B27" s="1672" t="s">
        <v>1138</v>
      </c>
      <c r="C27" s="285">
        <f ca="1">ROUND(F21*F26,4)</f>
        <v>6.0000000000000001E-3</v>
      </c>
      <c r="D27" s="1713" t="s">
        <v>1139</v>
      </c>
      <c r="E27" s="1706"/>
      <c r="F27" s="1707"/>
      <c r="G27" s="1662"/>
      <c r="H27" s="1678"/>
      <c r="I27" s="1744"/>
      <c r="J27" s="1679"/>
      <c r="K27" s="1745" t="s">
        <v>1140</v>
      </c>
      <c r="L27" s="1672" t="s">
        <v>1141</v>
      </c>
      <c r="M27" s="1746">
        <f ca="1">INDIRECT("'数据-取费表'!ag"&amp;$G$1)</f>
        <v>0</v>
      </c>
    </row>
    <row r="28" spans="1:37" s="1638" customFormat="1" ht="18" customHeight="1">
      <c r="A28" s="1701" t="s">
        <v>862</v>
      </c>
      <c r="B28" s="1672" t="s">
        <v>1142</v>
      </c>
      <c r="C28" s="285">
        <f>ROUND(F28/(1+'数据-取费表'!C42),4)</f>
        <v>5.33E-2</v>
      </c>
      <c r="D28" s="1713" t="s">
        <v>1143</v>
      </c>
      <c r="E28" s="1672" t="s">
        <v>1089</v>
      </c>
      <c r="F28" s="1710">
        <f>'数据-取费表'!B41</f>
        <v>5.6000000000000001E-2</v>
      </c>
      <c r="G28" s="1708"/>
      <c r="H28" s="1685"/>
      <c r="I28" s="1748"/>
      <c r="J28" s="1698"/>
      <c r="K28" s="1734"/>
      <c r="L28" s="1672" t="s">
        <v>1144</v>
      </c>
      <c r="M28" s="1680">
        <f ca="1">INDIRECT("'数据-取费表'!aa"&amp;$G$1)</f>
        <v>0</v>
      </c>
      <c r="N28" s="1827"/>
      <c r="O28" s="1827"/>
      <c r="P28" s="1827"/>
      <c r="Q28" s="1827"/>
      <c r="R28" s="1827"/>
      <c r="S28" s="1827"/>
      <c r="T28" s="1827"/>
      <c r="U28" s="1827"/>
      <c r="V28" s="1827"/>
      <c r="W28" s="1827"/>
      <c r="X28" s="1827"/>
      <c r="Y28" s="1827"/>
      <c r="Z28" s="1827"/>
      <c r="AA28" s="1827"/>
      <c r="AB28" s="1827"/>
      <c r="AC28" s="1827"/>
      <c r="AD28" s="1827"/>
      <c r="AE28" s="1827"/>
      <c r="AF28" s="1827"/>
      <c r="AG28" s="1827"/>
      <c r="AH28" s="1827"/>
      <c r="AI28" s="1827"/>
      <c r="AJ28" s="1827"/>
      <c r="AK28" s="1827"/>
    </row>
    <row r="29" spans="1:37" s="1638" customFormat="1" ht="18" customHeight="1" thickBot="1">
      <c r="A29" s="1709" t="s">
        <v>1049</v>
      </c>
      <c r="B29" s="1694" t="s">
        <v>1145</v>
      </c>
      <c r="C29" s="1718">
        <f ca="1">ROUND((C19+C20+C23+C26)/(1-F21-C24-C27-C28),0)</f>
        <v>26580</v>
      </c>
      <c r="D29" s="1719"/>
      <c r="E29" s="1694"/>
      <c r="F29" s="1720"/>
      <c r="G29" s="1708"/>
      <c r="H29" s="1721" t="s">
        <v>1146</v>
      </c>
      <c r="I29" s="1749" t="s">
        <v>1147</v>
      </c>
      <c r="J29" s="1750">
        <f ca="1">ROUND(J26/(1+F40)^F41,0)</f>
        <v>0</v>
      </c>
      <c r="K29" s="1751" t="s">
        <v>1148</v>
      </c>
      <c r="L29" s="1752"/>
      <c r="M29" s="1753">
        <f ca="1">INDIRECT("'数据-取费表'!k"&amp;$G$1)</f>
        <v>55674.09</v>
      </c>
      <c r="N29" s="1827"/>
      <c r="O29" s="1827"/>
      <c r="P29" s="1827"/>
      <c r="Q29" s="1827"/>
      <c r="R29" s="1827"/>
      <c r="S29" s="1827"/>
      <c r="T29" s="1827"/>
      <c r="U29" s="1827"/>
      <c r="V29" s="1827"/>
      <c r="W29" s="1827"/>
      <c r="X29" s="1827"/>
      <c r="Y29" s="1827"/>
      <c r="Z29" s="1827"/>
      <c r="AA29" s="1827"/>
      <c r="AB29" s="1827"/>
      <c r="AC29" s="1827"/>
      <c r="AD29" s="1827"/>
      <c r="AE29" s="1827"/>
      <c r="AF29" s="1827"/>
      <c r="AG29" s="1827"/>
      <c r="AH29" s="1827"/>
      <c r="AI29" s="1827"/>
      <c r="AJ29" s="1827"/>
      <c r="AK29" s="1827"/>
    </row>
    <row r="30" spans="1:37" ht="18" customHeight="1" thickTop="1">
      <c r="A30" s="1696" t="s">
        <v>1090</v>
      </c>
      <c r="B30" s="1697" t="s">
        <v>1091</v>
      </c>
      <c r="C30" s="1698">
        <f ca="1">ROUND(C31+C36+C37+C38,0)</f>
        <v>581</v>
      </c>
      <c r="D30" s="1722" t="s">
        <v>1092</v>
      </c>
      <c r="E30" s="3034"/>
      <c r="F30" s="1668"/>
      <c r="G30" s="1662"/>
      <c r="H30" s="1724"/>
      <c r="I30" s="1829"/>
      <c r="J30" s="1830"/>
      <c r="K30" s="1814"/>
      <c r="L30" s="1831"/>
      <c r="M30" s="1832"/>
    </row>
    <row r="31" spans="1:37" ht="18" customHeight="1">
      <c r="A31" s="1701" t="s">
        <v>806</v>
      </c>
      <c r="B31" s="1672" t="s">
        <v>1097</v>
      </c>
      <c r="C31" s="285">
        <f ca="1">ROUND(IF(项目基本情况!B11="自然人",C5*F31,C32+C33+C34),1)</f>
        <v>12.9</v>
      </c>
      <c r="D31" s="3027" t="s">
        <v>1098</v>
      </c>
      <c r="E31" s="3031" t="s">
        <v>1099</v>
      </c>
      <c r="F31" s="1726" t="str">
        <f ca="1">IF(项目基本情况!B11="企业","",IF(INDIRECT("'数据-取费表'!c"&amp;$G$1)="住宅",5%,IF(F6*F7*F8/12/(1+'数据-取费表'!C42)&gt;20000,12%,7%)))</f>
        <v/>
      </c>
      <c r="G31" s="1662"/>
      <c r="H31" s="1724"/>
      <c r="I31" s="1829"/>
      <c r="J31" s="1830"/>
      <c r="K31" s="1814"/>
      <c r="L31" s="1831"/>
      <c r="M31" s="1832"/>
    </row>
    <row r="32" spans="1:37" ht="18" customHeight="1">
      <c r="A32" s="1701" t="s">
        <v>829</v>
      </c>
      <c r="B32" s="1672" t="s">
        <v>1101</v>
      </c>
      <c r="C32" s="285">
        <f ca="1">IF(项目基本情况!B11="自然人","——",ROUND(C5*F32/(1+'数据-取费表'!C42),2))</f>
        <v>0</v>
      </c>
      <c r="D32" s="3031" t="s">
        <v>1102</v>
      </c>
      <c r="E32" s="1672" t="s">
        <v>1089</v>
      </c>
      <c r="F32" s="1717">
        <f>'数据-取费表'!B41</f>
        <v>5.6000000000000001E-2</v>
      </c>
      <c r="G32" s="1662"/>
      <c r="H32" s="1724"/>
      <c r="I32" s="1829"/>
      <c r="J32" s="1830"/>
      <c r="K32" s="1814"/>
      <c r="L32" s="1831"/>
      <c r="M32" s="1832"/>
    </row>
    <row r="33" spans="1:18" ht="18" customHeight="1">
      <c r="A33" s="1701" t="s">
        <v>834</v>
      </c>
      <c r="B33" s="1672" t="s">
        <v>1105</v>
      </c>
      <c r="C33" s="285">
        <f ca="1">IF(项目基本情况!B11="自然人","——",IF(D33="按租金收入计税",ROUND(C5*F33,2),IF(D33="按房产原值计税",ROUND(C29*F33*0.7,2),INDIRECT("'数据-取费表'!Aj"&amp;$G$1))))</f>
        <v>0</v>
      </c>
      <c r="D33" s="1727" t="s">
        <v>3372</v>
      </c>
      <c r="E33" s="1672" t="s">
        <v>1089</v>
      </c>
      <c r="F33" s="1710">
        <f>IF(D33="按票据","——",IF(D33="按租金收入计税",'数据-取费表'!B51,'数据-取费表'!B50))</f>
        <v>0.12</v>
      </c>
      <c r="G33" s="1662"/>
      <c r="H33" s="1728"/>
      <c r="I33" s="1833"/>
      <c r="J33" s="1834"/>
      <c r="K33" s="1835"/>
      <c r="L33" s="1728"/>
      <c r="M33" s="1728"/>
    </row>
    <row r="34" spans="1:18" ht="18" customHeight="1">
      <c r="A34" s="1669" t="s">
        <v>837</v>
      </c>
      <c r="B34" s="1671" t="s">
        <v>1109</v>
      </c>
      <c r="C34" s="1729">
        <f ca="1">IF(项目基本情况!B11="自然人","——",ROUND(F34*F35/10000,2))</f>
        <v>12.91</v>
      </c>
      <c r="D34" s="1730" t="s">
        <v>1110</v>
      </c>
      <c r="E34" s="1672" t="s">
        <v>1111</v>
      </c>
      <c r="F34" s="1716">
        <f>'数据-取费表'!B52</f>
        <v>5</v>
      </c>
      <c r="G34" s="1662"/>
      <c r="H34" s="1724"/>
      <c r="I34" s="1833"/>
      <c r="J34" s="1834"/>
      <c r="K34" s="1836"/>
      <c r="L34" s="1837"/>
      <c r="M34" s="1837"/>
    </row>
    <row r="35" spans="1:18" ht="18" customHeight="1">
      <c r="A35" s="1731"/>
      <c r="B35" s="1732"/>
      <c r="C35" s="1733"/>
      <c r="D35" s="1734"/>
      <c r="E35" s="1672" t="s">
        <v>1115</v>
      </c>
      <c r="F35" s="1673">
        <f ca="1">INDIRECT("'数据-取费表'!r"&amp;$G$1)</f>
        <v>25811.38</v>
      </c>
      <c r="G35" s="1662"/>
      <c r="H35" s="1724"/>
      <c r="I35" s="1833"/>
      <c r="J35" s="1834"/>
      <c r="K35" s="1835"/>
      <c r="L35" s="1728"/>
      <c r="M35" s="1728"/>
    </row>
    <row r="36" spans="1:18" ht="18" customHeight="1">
      <c r="A36" s="1735" t="s">
        <v>810</v>
      </c>
      <c r="B36" s="1672" t="s">
        <v>1117</v>
      </c>
      <c r="C36" s="285">
        <f ca="1">ROUND(C29*F36,1)</f>
        <v>531.6</v>
      </c>
      <c r="D36" s="3031" t="s">
        <v>1149</v>
      </c>
      <c r="E36" s="1672" t="s">
        <v>1089</v>
      </c>
      <c r="F36" s="1736">
        <f ca="1">INDIRECT("'数据-取费表'!Ak"&amp;$G$1)</f>
        <v>0.02</v>
      </c>
      <c r="G36" s="1662"/>
      <c r="H36" s="1728"/>
      <c r="I36" s="1833"/>
      <c r="J36" s="1834"/>
      <c r="K36" s="1838"/>
      <c r="L36" s="1728"/>
      <c r="M36" s="1728"/>
    </row>
    <row r="37" spans="1:18" ht="18" customHeight="1">
      <c r="A37" s="1701" t="s">
        <v>854</v>
      </c>
      <c r="B37" s="1672" t="s">
        <v>1121</v>
      </c>
      <c r="C37" s="285">
        <f ca="1">ROUND(C13*F37,1)</f>
        <v>36.700000000000003</v>
      </c>
      <c r="D37" s="3031" t="s">
        <v>1122</v>
      </c>
      <c r="E37" s="1672" t="s">
        <v>1089</v>
      </c>
      <c r="F37" s="1737">
        <f ca="1">INDIRECT("'数据-取费表'!Al"&amp;$G$1)</f>
        <v>1.5E-3</v>
      </c>
      <c r="G37" s="1662"/>
      <c r="H37" s="1728"/>
      <c r="I37" s="1833"/>
      <c r="J37" s="1834"/>
      <c r="K37" s="1838"/>
      <c r="L37" s="1728"/>
      <c r="M37" s="1728"/>
    </row>
    <row r="38" spans="1:18" ht="18" customHeight="1" thickBot="1">
      <c r="A38" s="1709" t="s">
        <v>858</v>
      </c>
      <c r="B38" s="1694" t="s">
        <v>1107</v>
      </c>
      <c r="C38" s="1718">
        <f ca="1">ROUND(C5*F38,1)</f>
        <v>0</v>
      </c>
      <c r="D38" s="1719" t="s">
        <v>1125</v>
      </c>
      <c r="E38" s="1694" t="s">
        <v>1089</v>
      </c>
      <c r="F38" s="1695">
        <f ca="1">INDIRECT("'数据-取费表'!Am"&amp;$G$1)</f>
        <v>0.02</v>
      </c>
      <c r="G38" s="1662"/>
      <c r="H38" s="1728"/>
      <c r="I38" s="1833"/>
      <c r="J38" s="1834"/>
      <c r="K38" s="1839"/>
      <c r="L38" s="1728"/>
      <c r="M38" s="1728"/>
    </row>
    <row r="39" spans="1:18" ht="24.6" customHeight="1" thickTop="1">
      <c r="A39" s="1696" t="s">
        <v>1128</v>
      </c>
      <c r="B39" s="1738" t="s">
        <v>1129</v>
      </c>
      <c r="C39" s="1698">
        <f ca="1">C5-C30</f>
        <v>-581</v>
      </c>
      <c r="D39" s="1739" t="s">
        <v>1130</v>
      </c>
      <c r="E39" s="1740"/>
      <c r="F39" s="1741"/>
      <c r="G39" s="1662"/>
      <c r="H39" s="1728"/>
      <c r="I39" s="1833"/>
      <c r="J39" s="1834"/>
      <c r="K39" s="1839"/>
      <c r="L39" s="1728"/>
      <c r="M39" s="1728"/>
    </row>
    <row r="40" spans="1:18" ht="18" customHeight="1">
      <c r="A40" s="1663" t="s">
        <v>1134</v>
      </c>
      <c r="B40" s="1664" t="s">
        <v>1150</v>
      </c>
      <c r="C40" s="1742">
        <f ca="1">ROUND(C39*(1-((1+F42)/(1+F40))^F41)/(F40-F42),0)</f>
        <v>0</v>
      </c>
      <c r="D40" s="1730" t="s">
        <v>1136</v>
      </c>
      <c r="E40" s="1672" t="s">
        <v>1137</v>
      </c>
      <c r="F40" s="1680">
        <f ca="1">INDIRECT("'数据-取费表'!I"&amp;$G$1)</f>
        <v>5.5E-2</v>
      </c>
      <c r="G40" s="1662"/>
      <c r="H40" s="1743"/>
      <c r="I40" s="1833"/>
      <c r="J40" s="1834"/>
      <c r="K40" s="1839"/>
      <c r="L40" s="1743"/>
      <c r="M40" s="1743"/>
    </row>
    <row r="41" spans="1:18" ht="18" customHeight="1">
      <c r="A41" s="1678"/>
      <c r="B41" s="1744"/>
      <c r="C41" s="1679"/>
      <c r="D41" s="1745" t="s">
        <v>1140</v>
      </c>
      <c r="E41" s="1672" t="s">
        <v>1141</v>
      </c>
      <c r="F41" s="1746">
        <f ca="1">IF(INDIRECT("'数据-取费表'!af"&amp;$G$1)=0,INDIRECT("'数据-取费表'!ae"&amp;$G$1),INDIRECT("'数据-取费表'!af"&amp;$G$1))</f>
        <v>0</v>
      </c>
      <c r="G41" s="1662"/>
      <c r="H41" s="1747"/>
      <c r="I41" s="1833"/>
      <c r="J41" s="1834"/>
      <c r="K41" s="1838"/>
      <c r="L41" s="1747"/>
      <c r="M41" s="1747"/>
    </row>
    <row r="42" spans="1:18" ht="18" customHeight="1">
      <c r="A42" s="1685"/>
      <c r="B42" s="1748"/>
      <c r="C42" s="1698"/>
      <c r="D42" s="1734"/>
      <c r="E42" s="1672" t="s">
        <v>1144</v>
      </c>
      <c r="F42" s="1680">
        <f ca="1">INDIRECT("'数据-取费表'!v"&amp;$G$1)</f>
        <v>0.02</v>
      </c>
      <c r="G42" s="1662"/>
      <c r="H42" s="1747"/>
      <c r="I42" s="1833"/>
      <c r="J42" s="1834"/>
      <c r="K42" s="1838"/>
      <c r="L42" s="1747"/>
      <c r="M42" s="1747"/>
    </row>
    <row r="43" spans="1:18" ht="18" customHeight="1" thickBot="1">
      <c r="A43" s="1721" t="s">
        <v>1146</v>
      </c>
      <c r="B43" s="1749" t="s">
        <v>1151</v>
      </c>
      <c r="C43" s="1750">
        <f ca="1">ROUND(C40*10000/F43,0)</f>
        <v>0</v>
      </c>
      <c r="D43" s="1751" t="s">
        <v>1152</v>
      </c>
      <c r="E43" s="1752" t="s">
        <v>1153</v>
      </c>
      <c r="F43" s="1753">
        <f ca="1">INDIRECT("'数据-取费表'!k"&amp;$G$1)</f>
        <v>55674.09</v>
      </c>
      <c r="G43" s="1662"/>
      <c r="H43" s="1747"/>
      <c r="I43" s="1747"/>
      <c r="J43" s="1747"/>
      <c r="K43" s="1838"/>
      <c r="L43" s="1747"/>
      <c r="M43" s="1747"/>
    </row>
    <row r="44" spans="1:18" s="739" customFormat="1" ht="18" customHeight="1">
      <c r="A44" s="1754"/>
      <c r="B44" s="1754"/>
      <c r="C44" s="1755"/>
      <c r="D44" s="1754"/>
      <c r="E44" s="1754"/>
      <c r="F44" s="1754"/>
      <c r="K44" s="1840"/>
    </row>
    <row r="45" spans="1:18" s="739" customFormat="1" ht="18" customHeight="1" thickBot="1">
      <c r="A45" s="1754"/>
      <c r="B45" s="1754"/>
      <c r="C45" s="1755"/>
      <c r="D45" s="1754"/>
      <c r="E45" s="1754"/>
      <c r="F45" s="1754"/>
      <c r="J45" s="315"/>
      <c r="O45" s="1841" t="s">
        <v>1154</v>
      </c>
      <c r="P45" s="1743"/>
      <c r="Q45" s="1743"/>
      <c r="R45" s="1743"/>
    </row>
    <row r="46" spans="1:18" s="739" customFormat="1" ht="13.5" thickBot="1">
      <c r="A46" s="1758" t="s">
        <v>1155</v>
      </c>
      <c r="C46" s="1759">
        <f ca="1">C68-C40</f>
        <v>0</v>
      </c>
      <c r="D46" s="1760" t="str">
        <f>C2</f>
        <v>万元</v>
      </c>
      <c r="E46" s="1754"/>
      <c r="F46" s="1754"/>
      <c r="I46" s="1842" t="s">
        <v>1156</v>
      </c>
      <c r="J46" s="1843"/>
      <c r="K46" s="1844"/>
      <c r="L46" s="1845" t="str">
        <f ca="1">IF(M47="住宅",0,IF(L48&gt;J51,L60,J60))</f>
        <v>0</v>
      </c>
      <c r="O46" s="1846" t="s">
        <v>1157</v>
      </c>
      <c r="P46" s="1847" t="s">
        <v>1158</v>
      </c>
      <c r="Q46" s="1891" t="s">
        <v>1159</v>
      </c>
      <c r="R46" s="1891" t="s">
        <v>1160</v>
      </c>
    </row>
    <row r="47" spans="1:18" s="739" customFormat="1" ht="13.5" thickBot="1">
      <c r="A47" s="1761" t="s">
        <v>1061</v>
      </c>
      <c r="B47" s="1762" t="s">
        <v>1062</v>
      </c>
      <c r="C47" s="1918" t="s">
        <v>1063</v>
      </c>
      <c r="D47" s="1762" t="s">
        <v>1064</v>
      </c>
      <c r="E47" s="1763" t="s">
        <v>1065</v>
      </c>
      <c r="F47" s="278"/>
      <c r="G47" s="1764"/>
      <c r="I47" s="1848" t="s">
        <v>1161</v>
      </c>
      <c r="J47" s="1849" t="s">
        <v>3381</v>
      </c>
      <c r="K47" s="1850" t="s">
        <v>1162</v>
      </c>
      <c r="L47" s="1851">
        <f ca="1">INDIRECT("'数据-取费表'!d"&amp;$G$1)</f>
        <v>40</v>
      </c>
      <c r="M47" s="1852" t="str">
        <f>IF(ISNUMBER(FIND("住宅",C1)),"住宅","非住宅")</f>
        <v>非住宅</v>
      </c>
      <c r="O47" s="1853" t="s">
        <v>910</v>
      </c>
      <c r="P47" s="1854" t="s">
        <v>1163</v>
      </c>
      <c r="Q47" s="1892">
        <f ca="1">C40+J29</f>
        <v>0</v>
      </c>
      <c r="R47" s="1892" t="s">
        <v>1164</v>
      </c>
    </row>
    <row r="48" spans="1:18" s="739" customFormat="1" ht="28.5" thickBot="1">
      <c r="A48" s="1765" t="s">
        <v>1165</v>
      </c>
      <c r="B48" s="1664" t="s">
        <v>1066</v>
      </c>
      <c r="C48" s="3032">
        <f ca="1">C49+C53+C55</f>
        <v>0</v>
      </c>
      <c r="D48" s="1766"/>
      <c r="E48" s="1767"/>
      <c r="F48" s="1768"/>
      <c r="G48" s="1764"/>
      <c r="H48" s="1769"/>
      <c r="I48" s="796" t="s">
        <v>1166</v>
      </c>
      <c r="J48" s="1855" t="s">
        <v>3382</v>
      </c>
      <c r="K48" s="1856" t="s">
        <v>1167</v>
      </c>
      <c r="L48" s="1857">
        <f ca="1">INDIRECT("'数据-取费表'!f"&amp;$G$1)</f>
        <v>34.03</v>
      </c>
      <c r="O48" s="1853" t="s">
        <v>913</v>
      </c>
      <c r="P48" s="1854" t="s">
        <v>1168</v>
      </c>
      <c r="Q48" s="1892" t="str">
        <f ca="1">J60</f>
        <v>0</v>
      </c>
      <c r="R48" s="1892" t="s">
        <v>1169</v>
      </c>
    </row>
    <row r="49" spans="1:18" s="739" customFormat="1" ht="13.5" thickBot="1">
      <c r="A49" s="1770" t="s">
        <v>1170</v>
      </c>
      <c r="B49" s="1771" t="s">
        <v>1171</v>
      </c>
      <c r="C49" s="1772">
        <f ca="1">ROUND(F49*F51*F50*(1-F52)/10000,0)</f>
        <v>0</v>
      </c>
      <c r="D49" s="1773" t="s">
        <v>1071</v>
      </c>
      <c r="E49" s="1774" t="s">
        <v>1172</v>
      </c>
      <c r="F49" s="1775"/>
      <c r="G49" s="1776"/>
      <c r="H49" s="1769"/>
      <c r="I49" s="796" t="s">
        <v>1173</v>
      </c>
      <c r="J49" s="1858">
        <v>2013</v>
      </c>
      <c r="K49" s="1856" t="s">
        <v>1174</v>
      </c>
      <c r="L49" s="1859"/>
      <c r="O49" s="1860" t="s">
        <v>1175</v>
      </c>
      <c r="P49" s="1854" t="s">
        <v>1176</v>
      </c>
      <c r="Q49" s="1892">
        <f ca="1">C29</f>
        <v>26580</v>
      </c>
      <c r="R49" s="1892" t="s">
        <v>1164</v>
      </c>
    </row>
    <row r="50" spans="1:18" s="739" customFormat="1" ht="13.5" thickBot="1">
      <c r="A50" s="1777"/>
      <c r="B50" s="1778"/>
      <c r="C50" s="1919"/>
      <c r="D50" s="1780"/>
      <c r="E50" s="1781" t="s">
        <v>1072</v>
      </c>
      <c r="F50" s="1782">
        <f ca="1">F7</f>
        <v>55674.09</v>
      </c>
      <c r="H50" s="1769"/>
      <c r="I50" s="796" t="s">
        <v>1177</v>
      </c>
      <c r="J50" s="1861">
        <f>SUMPRODUCT((I63:I65=J47)*(J62:L62=J48)*(J63:L65))</f>
        <v>60</v>
      </c>
      <c r="K50" s="1856" t="s">
        <v>1178</v>
      </c>
      <c r="L50" s="1859"/>
      <c r="M50" s="1862"/>
      <c r="O50" s="1860" t="s">
        <v>1179</v>
      </c>
      <c r="P50" s="1854" t="s">
        <v>1180</v>
      </c>
      <c r="Q50" s="1893" t="e">
        <f ca="1">J58</f>
        <v>#VALUE!</v>
      </c>
      <c r="R50" s="1892"/>
    </row>
    <row r="51" spans="1:18" s="739" customFormat="1" ht="13.5" thickBot="1">
      <c r="A51" s="1783"/>
      <c r="B51" s="1778"/>
      <c r="C51" s="1779"/>
      <c r="D51" s="1780"/>
      <c r="E51" s="1784" t="s">
        <v>1073</v>
      </c>
      <c r="F51" s="1673">
        <f ca="1">F8</f>
        <v>365</v>
      </c>
      <c r="I51" s="1863" t="s">
        <v>1181</v>
      </c>
      <c r="J51" s="1864">
        <f>IF(J49="",J50,J49+J50-YEAR('数据-取费表'!B2))</f>
        <v>55</v>
      </c>
      <c r="K51" s="1865" t="s">
        <v>1182</v>
      </c>
      <c r="L51" s="1866">
        <f ca="1">ROUND(-PV(INDIRECT("'数据-取费表'!h"&amp;$G$1),L48,(C39-C13*C76),0),0)</f>
        <v>-43081</v>
      </c>
      <c r="M51" s="1867"/>
      <c r="O51" s="1860" t="s">
        <v>1183</v>
      </c>
      <c r="P51" s="1854" t="s">
        <v>1184</v>
      </c>
      <c r="Q51" s="1893">
        <f>J52</f>
        <v>0.09</v>
      </c>
      <c r="R51" s="1892"/>
    </row>
    <row r="52" spans="1:18" s="739" customFormat="1" ht="13.5" thickBot="1">
      <c r="A52" s="1783"/>
      <c r="B52" s="1778"/>
      <c r="C52" s="1779"/>
      <c r="D52" s="1780"/>
      <c r="E52" s="1784" t="s">
        <v>1074</v>
      </c>
      <c r="F52" s="1785"/>
      <c r="I52" s="1868" t="s">
        <v>1185</v>
      </c>
      <c r="J52" s="1869">
        <v>0.09</v>
      </c>
      <c r="K52" s="1868" t="s">
        <v>1186</v>
      </c>
      <c r="L52" s="1869"/>
      <c r="O52" s="1860" t="s">
        <v>1187</v>
      </c>
      <c r="P52" s="1854" t="s">
        <v>1188</v>
      </c>
      <c r="Q52" s="1892">
        <f ca="1">J53</f>
        <v>34.03</v>
      </c>
      <c r="R52" s="1892" t="s">
        <v>1189</v>
      </c>
    </row>
    <row r="53" spans="1:18" s="739" customFormat="1" ht="24.75" thickBot="1">
      <c r="A53" s="1920" t="s">
        <v>1190</v>
      </c>
      <c r="B53" s="1921" t="s">
        <v>1075</v>
      </c>
      <c r="C53" s="284">
        <f ca="1">ROUND(IF(F53="押一",C49/12*F11,IF(F53="押二",C49/12*2*F11,IF(F53="押三",C49/12*3*F11,C54*F11))),0)</f>
        <v>0</v>
      </c>
      <c r="D53" s="1682" t="s">
        <v>1076</v>
      </c>
      <c r="E53" s="1683" t="s">
        <v>1077</v>
      </c>
      <c r="F53" s="1684"/>
      <c r="I53" s="1870" t="s">
        <v>1191</v>
      </c>
      <c r="J53" s="1871">
        <f ca="1">IF(M47="住宅",IF(D1="——",MAX(J51,L48),IF(D1="在建（套用方法）",MAX(J51,L48-'数据-取费表'!B24),MAX(J51,L48-'数据-取费表'!B20))),IF(D1="——",MIN(J51,L48),IF(D1="在建（套用方法）",MIN(J51,L48-'数据-取费表'!B24),IF(D1="土地（套用方法）",MIN(J51,L48-'数据-取费表'!B20)))))</f>
        <v>34.03</v>
      </c>
      <c r="K53" s="3503" t="s">
        <v>1192</v>
      </c>
      <c r="L53" s="3504"/>
      <c r="O53" s="1853" t="s">
        <v>1016</v>
      </c>
      <c r="P53" s="1854" t="s">
        <v>1193</v>
      </c>
      <c r="Q53" s="1892">
        <f ca="1">Q47+Q48</f>
        <v>0</v>
      </c>
      <c r="R53" s="1892" t="s">
        <v>1194</v>
      </c>
    </row>
    <row r="54" spans="1:18" s="739" customFormat="1" ht="13.5" thickBot="1">
      <c r="A54" s="1922"/>
      <c r="B54" s="1686" t="s">
        <v>1079</v>
      </c>
      <c r="C54" s="1687"/>
      <c r="D54" s="1682"/>
      <c r="E54" s="3026"/>
      <c r="F54" s="1789"/>
      <c r="I54" s="187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73"/>
      <c r="K54" s="1873"/>
      <c r="L54" s="1873"/>
      <c r="M54" s="1776"/>
      <c r="O54" s="1841" t="s">
        <v>1195</v>
      </c>
      <c r="P54" s="1743"/>
      <c r="Q54" s="1743"/>
      <c r="R54" s="1743"/>
    </row>
    <row r="55" spans="1:18" s="739" customFormat="1" ht="13.5" thickBot="1">
      <c r="A55" s="1690" t="s">
        <v>854</v>
      </c>
      <c r="B55" s="1691" t="s">
        <v>1081</v>
      </c>
      <c r="C55" s="1692"/>
      <c r="D55" s="1682"/>
      <c r="E55" s="3026"/>
      <c r="F55" s="1789"/>
      <c r="I55" s="1874" t="s">
        <v>1196</v>
      </c>
      <c r="J55" s="1875" t="e">
        <f ca="1">ROUND(IF(J47="钢混",J57/J50,1-(1-2%)*(J50-J57)/J50),3)</f>
        <v>#VALUE!</v>
      </c>
      <c r="K55" s="1876" t="s">
        <v>1197</v>
      </c>
      <c r="L55" s="1877" t="s">
        <v>3383</v>
      </c>
      <c r="O55" s="1846" t="s">
        <v>1157</v>
      </c>
      <c r="P55" s="1847" t="s">
        <v>1158</v>
      </c>
      <c r="Q55" s="1891" t="s">
        <v>1159</v>
      </c>
      <c r="R55" s="1891" t="s">
        <v>1160</v>
      </c>
    </row>
    <row r="56" spans="1:18" s="739" customFormat="1" ht="25.5" thickTop="1" thickBot="1">
      <c r="A56" s="1790">
        <v>2</v>
      </c>
      <c r="B56" s="1791" t="s">
        <v>1082</v>
      </c>
      <c r="C56" s="180">
        <f ca="1">C13</f>
        <v>24454</v>
      </c>
      <c r="D56" s="1792"/>
      <c r="E56" s="1793"/>
      <c r="F56" s="1789"/>
      <c r="I56" s="1878" t="s">
        <v>1198</v>
      </c>
      <c r="J56" s="1879" t="s">
        <v>3373</v>
      </c>
      <c r="K56" s="796" t="s">
        <v>1199</v>
      </c>
      <c r="L56" s="1857" t="str">
        <f ca="1">IF(L48&lt;J51,"——",L48-J53)</f>
        <v>——</v>
      </c>
      <c r="O56" s="1853" t="s">
        <v>910</v>
      </c>
      <c r="P56" s="1854" t="s">
        <v>1163</v>
      </c>
      <c r="Q56" s="1892">
        <f ca="1">C40+J29</f>
        <v>0</v>
      </c>
      <c r="R56" s="1892" t="s">
        <v>1164</v>
      </c>
    </row>
    <row r="57" spans="1:18" s="739" customFormat="1" ht="24.75" thickBot="1">
      <c r="A57" s="1794"/>
      <c r="B57" s="1795" t="s">
        <v>1145</v>
      </c>
      <c r="C57" s="190">
        <f ca="1">C29</f>
        <v>26580</v>
      </c>
      <c r="D57" s="1796"/>
      <c r="E57" s="1797"/>
      <c r="F57" s="1798"/>
      <c r="I57" s="1880" t="s">
        <v>1200</v>
      </c>
      <c r="J57" s="1881" t="str">
        <f ca="1">IF(OR(M47="住宅",J51&lt;L48,J56="是"),"——",J51-L48)</f>
        <v>——</v>
      </c>
      <c r="K57" s="796" t="s">
        <v>1201</v>
      </c>
      <c r="L57" s="1857" t="str">
        <f ca="1">IF(L48&lt;J51,"——",IF(L55="比较法",L49,IF(L55="基准地价",L50,L51)))</f>
        <v>——</v>
      </c>
      <c r="O57" s="1853" t="s">
        <v>913</v>
      </c>
      <c r="P57" s="1854" t="s">
        <v>1202</v>
      </c>
      <c r="Q57" s="1892">
        <f ca="1">L60</f>
        <v>0</v>
      </c>
      <c r="R57" s="1892" t="s">
        <v>1203</v>
      </c>
    </row>
    <row r="58" spans="1:18" s="739" customFormat="1" ht="24.75" thickBot="1">
      <c r="A58" s="1799" t="s">
        <v>1090</v>
      </c>
      <c r="B58" s="1791" t="s">
        <v>1091</v>
      </c>
      <c r="C58" s="284">
        <f ca="1">ROUND(C59+C64+C65+C66,0)</f>
        <v>2814</v>
      </c>
      <c r="D58" s="1800" t="s">
        <v>1092</v>
      </c>
      <c r="E58" s="1801"/>
      <c r="F58" s="1768"/>
      <c r="I58" s="1880" t="s">
        <v>1204</v>
      </c>
      <c r="J58" s="1882" t="e">
        <f ca="1">IF(J55&lt;0.4,0.4,J55)</f>
        <v>#VALUE!</v>
      </c>
      <c r="K58" s="1865" t="s">
        <v>1205</v>
      </c>
      <c r="L58" s="1857" t="e">
        <f ca="1">ROUND(POWER(1+L52,L47-L48)*(POWER(1+L52,L48)-1)/(POWER(1+L52,L47)-1),4)</f>
        <v>#DIV/0!</v>
      </c>
      <c r="O58" s="1860" t="s">
        <v>1175</v>
      </c>
      <c r="P58" s="1854" t="s">
        <v>1206</v>
      </c>
      <c r="Q58" s="1892">
        <f>IF(L55="比较法",L49,IF(L55="基准地价",L50,0))</f>
        <v>0</v>
      </c>
      <c r="R58" s="1892" t="s">
        <v>1164</v>
      </c>
    </row>
    <row r="59" spans="1:18" s="739" customFormat="1" ht="24.75" thickBot="1">
      <c r="A59" s="1701" t="s">
        <v>806</v>
      </c>
      <c r="B59" s="1795" t="s">
        <v>1097</v>
      </c>
      <c r="C59" s="285">
        <f ca="1">ROUND(IF(项目基本情况!B11="自然人",C48*F59,C60+C61+C62),1)</f>
        <v>2245.6</v>
      </c>
      <c r="D59" s="1802" t="s">
        <v>1098</v>
      </c>
      <c r="E59" s="1803" t="s">
        <v>1099</v>
      </c>
      <c r="F59" s="1726" t="str">
        <f ca="1">IF(项目基本情况!B11="企业","",IF(INDIRECT("'数据-取费表'!c"&amp;$G$1)="住宅",5%,IF(F49*F50*F51/12/(1+'数据-取费表'!C42)&gt;20000,12%,7%)))</f>
        <v/>
      </c>
      <c r="I59" s="1880" t="s">
        <v>1207</v>
      </c>
      <c r="J59" s="1881" t="str">
        <f ca="1">IF(OR(M47="住宅",J51&lt;L48,J56="是"),"——",ROUND(C29*J58,0))</f>
        <v>——</v>
      </c>
      <c r="K59" s="79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57" t="e">
        <f ca="1">ROUND(IF(D1="在建（套用方法）",M59,IF(D1="土地（套用方法）",N59,POWER(1+L52,L47-J51)*(POWER(1+L52,J51)-1)/(POWER(1+L52,L47)-1))),4)</f>
        <v>#DIV/0!</v>
      </c>
      <c r="M59" s="1852" t="e">
        <f ca="1">ROUND(POWER(1+L52,L47-(J51+'数据-取费表'!B24))*(POWER(1+L52,(J51+'数据-取费表'!B24))-1)/(POWER(1+L52,L47)-1),4)</f>
        <v>#DIV/0!</v>
      </c>
      <c r="N59" s="1852" t="e">
        <f ca="1">ROUND(POWER(1+L52,L47-(J51+'数据-取费表'!B20))*(POWER(1+L52,(J51+'数据-取费表'!B20))-1)/(POWER(1+L52,L47)-1),4)</f>
        <v>#DIV/0!</v>
      </c>
      <c r="O59" s="1860" t="s">
        <v>1179</v>
      </c>
      <c r="P59" s="1854" t="s">
        <v>1208</v>
      </c>
      <c r="Q59" s="1893">
        <f>L52</f>
        <v>0</v>
      </c>
      <c r="R59" s="1892"/>
    </row>
    <row r="60" spans="1:18" s="739" customFormat="1" ht="16.5" thickBot="1">
      <c r="A60" s="1701" t="s">
        <v>829</v>
      </c>
      <c r="B60" s="1795" t="s">
        <v>1101</v>
      </c>
      <c r="C60" s="285">
        <f ca="1">IF(项目基本情况!B11="自然人","——",ROUND(C48*F60/(1+'数据-取费表'!C42),2))</f>
        <v>0</v>
      </c>
      <c r="D60" s="1803" t="s">
        <v>1102</v>
      </c>
      <c r="E60" s="1795" t="s">
        <v>1089</v>
      </c>
      <c r="F60" s="1717">
        <f t="shared" ref="F60:F66" si="0">F32</f>
        <v>5.6000000000000001E-2</v>
      </c>
      <c r="I60" s="1883" t="s">
        <v>1209</v>
      </c>
      <c r="J60" s="1884" t="str">
        <f ca="1">IF(OR(M47="住宅",J51&lt;L48,J56="是"),"0",ROUND(J59/(1+J52)^J53,0))</f>
        <v>0</v>
      </c>
      <c r="K60" s="1885" t="s">
        <v>1210</v>
      </c>
      <c r="L60" s="1884">
        <f ca="1">IF(OR(M47="住宅",L48&lt;J51),0,ROUND(L57*(L58/L59-1),0))</f>
        <v>0</v>
      </c>
      <c r="O60" s="1860" t="s">
        <v>1183</v>
      </c>
      <c r="P60" s="1854" t="s">
        <v>1211</v>
      </c>
      <c r="Q60" s="1892" t="e">
        <f ca="1">L58</f>
        <v>#DIV/0!</v>
      </c>
      <c r="R60" s="1892" t="s">
        <v>1212</v>
      </c>
    </row>
    <row r="61" spans="1:18" s="739" customFormat="1" ht="13.5" thickBot="1">
      <c r="A61" s="1701" t="s">
        <v>834</v>
      </c>
      <c r="B61" s="1795" t="s">
        <v>1105</v>
      </c>
      <c r="C61" s="285">
        <f ca="1">IF(项目基本情况!B11="自然人","——",IF(D61="按租金收入计税",ROUND(C48*F61,2),IF(D61="按房产原值计税",ROUND(C57*F61*0.7,2),INDIRECT("'数据-取费表'!Aj"&amp;$G$1))))</f>
        <v>2232.7199999999998</v>
      </c>
      <c r="D61" s="1727" t="s">
        <v>1106</v>
      </c>
      <c r="E61" s="1795" t="s">
        <v>1089</v>
      </c>
      <c r="F61" s="1710">
        <f t="shared" si="0"/>
        <v>0.12</v>
      </c>
      <c r="I61" s="1886"/>
      <c r="J61" s="1886"/>
      <c r="K61" s="1886"/>
      <c r="L61" s="1886"/>
      <c r="O61" s="1860" t="s">
        <v>1187</v>
      </c>
      <c r="P61" s="1854" t="str">
        <f>K59</f>
        <v>建筑物剩余耐用年限下的土地年期修正系数Kn</v>
      </c>
      <c r="Q61" s="1892" t="e">
        <f ca="1">L59</f>
        <v>#DIV/0!</v>
      </c>
      <c r="R61" s="1892" t="s">
        <v>1213</v>
      </c>
    </row>
    <row r="62" spans="1:18" s="739" customFormat="1" ht="13.5" thickBot="1">
      <c r="A62" s="1701" t="s">
        <v>837</v>
      </c>
      <c r="B62" s="1804" t="s">
        <v>1109</v>
      </c>
      <c r="C62" s="1729">
        <f ca="1">IF(项目基本情况!B11="自然人","——",ROUND(F62*F63/10000,2))</f>
        <v>12.91</v>
      </c>
      <c r="D62" s="1805" t="s">
        <v>1110</v>
      </c>
      <c r="E62" s="1795" t="s">
        <v>1111</v>
      </c>
      <c r="F62" s="1716">
        <f t="shared" si="0"/>
        <v>5</v>
      </c>
      <c r="I62" s="1887" t="s">
        <v>1214</v>
      </c>
      <c r="J62" s="1888" t="s">
        <v>1215</v>
      </c>
      <c r="K62" s="1888" t="s">
        <v>1216</v>
      </c>
      <c r="L62" s="1888" t="s">
        <v>1217</v>
      </c>
      <c r="M62" s="1889" t="s">
        <v>1218</v>
      </c>
      <c r="O62" s="1853" t="s">
        <v>1016</v>
      </c>
      <c r="P62" s="1854" t="s">
        <v>1193</v>
      </c>
      <c r="Q62" s="1892">
        <f ca="1">Q56+Q57</f>
        <v>0</v>
      </c>
      <c r="R62" s="1892" t="s">
        <v>1194</v>
      </c>
    </row>
    <row r="63" spans="1:18" s="739" customFormat="1" ht="13.5" thickBot="1">
      <c r="A63" s="1714"/>
      <c r="B63" s="1806"/>
      <c r="C63" s="1733"/>
      <c r="D63" s="1807"/>
      <c r="E63" s="1795" t="s">
        <v>1115</v>
      </c>
      <c r="F63" s="1673">
        <f t="shared" ca="1" si="0"/>
        <v>25811.38</v>
      </c>
      <c r="I63" s="1887" t="s">
        <v>1219</v>
      </c>
      <c r="J63" s="1888">
        <v>70</v>
      </c>
      <c r="K63" s="1888">
        <v>50</v>
      </c>
      <c r="L63" s="1888">
        <v>80</v>
      </c>
      <c r="M63" s="1890">
        <v>0.02</v>
      </c>
      <c r="O63" s="1841" t="s">
        <v>1220</v>
      </c>
      <c r="P63" s="1743"/>
      <c r="Q63" s="1743"/>
      <c r="R63" s="1743"/>
    </row>
    <row r="64" spans="1:18" s="739" customFormat="1" ht="13.5" thickBot="1">
      <c r="A64" s="1701" t="s">
        <v>810</v>
      </c>
      <c r="B64" s="1795" t="s">
        <v>1117</v>
      </c>
      <c r="C64" s="285">
        <f ca="1">ROUND(C57*F64,1)</f>
        <v>531.6</v>
      </c>
      <c r="D64" s="1803" t="s">
        <v>1149</v>
      </c>
      <c r="E64" s="1795" t="s">
        <v>1089</v>
      </c>
      <c r="F64" s="1736">
        <f t="shared" ca="1" si="0"/>
        <v>0.02</v>
      </c>
      <c r="I64" s="1887" t="s">
        <v>1221</v>
      </c>
      <c r="J64" s="1888">
        <v>50</v>
      </c>
      <c r="K64" s="1888">
        <v>35</v>
      </c>
      <c r="L64" s="1888">
        <v>60</v>
      </c>
      <c r="M64" s="1889">
        <v>0</v>
      </c>
      <c r="O64" s="1846" t="s">
        <v>1157</v>
      </c>
      <c r="P64" s="1847" t="s">
        <v>1158</v>
      </c>
      <c r="Q64" s="1891" t="s">
        <v>1159</v>
      </c>
      <c r="R64" s="1891" t="s">
        <v>1160</v>
      </c>
    </row>
    <row r="65" spans="1:18" s="739" customFormat="1" ht="13.5" thickBot="1">
      <c r="A65" s="1701" t="s">
        <v>854</v>
      </c>
      <c r="B65" s="1795" t="s">
        <v>1121</v>
      </c>
      <c r="C65" s="285">
        <f ca="1">ROUND(C56*F65,1)</f>
        <v>36.700000000000003</v>
      </c>
      <c r="D65" s="1803" t="s">
        <v>1122</v>
      </c>
      <c r="E65" s="1795" t="s">
        <v>1089</v>
      </c>
      <c r="F65" s="1737">
        <f t="shared" ca="1" si="0"/>
        <v>1.5E-3</v>
      </c>
      <c r="I65" s="1887" t="s">
        <v>1222</v>
      </c>
      <c r="J65" s="1888">
        <v>40</v>
      </c>
      <c r="K65" s="1888">
        <v>30</v>
      </c>
      <c r="L65" s="1888">
        <v>50</v>
      </c>
      <c r="M65" s="1890">
        <v>0.02</v>
      </c>
      <c r="O65" s="1853" t="s">
        <v>910</v>
      </c>
      <c r="P65" s="1854" t="s">
        <v>1163</v>
      </c>
      <c r="Q65" s="1892">
        <f ca="1">C40+J29</f>
        <v>0</v>
      </c>
      <c r="R65" s="1892" t="s">
        <v>1164</v>
      </c>
    </row>
    <row r="66" spans="1:18" s="739" customFormat="1" ht="16.5" thickBot="1">
      <c r="A66" s="1701" t="s">
        <v>858</v>
      </c>
      <c r="B66" s="1795" t="s">
        <v>1107</v>
      </c>
      <c r="C66" s="285">
        <f ca="1">ROUND(C48*F66,1)</f>
        <v>0</v>
      </c>
      <c r="D66" s="1803" t="s">
        <v>1125</v>
      </c>
      <c r="E66" s="1795" t="s">
        <v>1089</v>
      </c>
      <c r="F66" s="1680">
        <f t="shared" ca="1" si="0"/>
        <v>0.02</v>
      </c>
      <c r="O66" s="1853" t="s">
        <v>913</v>
      </c>
      <c r="P66" s="1854" t="s">
        <v>1202</v>
      </c>
      <c r="Q66" s="1892">
        <f ca="1">L60</f>
        <v>0</v>
      </c>
      <c r="R66" s="1892" t="s">
        <v>1203</v>
      </c>
    </row>
    <row r="67" spans="1:18" s="739" customFormat="1" ht="16.5" thickBot="1">
      <c r="A67" s="1790" t="s">
        <v>1128</v>
      </c>
      <c r="B67" s="1894" t="s">
        <v>1129</v>
      </c>
      <c r="C67" s="284">
        <f ca="1">C48-C58</f>
        <v>-2814</v>
      </c>
      <c r="D67" s="1802" t="s">
        <v>1130</v>
      </c>
      <c r="E67" s="1895"/>
      <c r="F67" s="1896"/>
      <c r="O67" s="1860" t="s">
        <v>1175</v>
      </c>
      <c r="P67" s="1854" t="s">
        <v>1206</v>
      </c>
      <c r="Q67" s="1916">
        <f ca="1">L51</f>
        <v>-43081</v>
      </c>
      <c r="R67" s="1892" t="s">
        <v>1223</v>
      </c>
    </row>
    <row r="68" spans="1:18" s="739" customFormat="1" ht="16.5" thickBot="1">
      <c r="A68" s="1897" t="s">
        <v>1134</v>
      </c>
      <c r="B68" s="1898" t="s">
        <v>1150</v>
      </c>
      <c r="C68" s="1742">
        <f ca="1">ROUND(C67*(1-((1+F70)/(1+F68))^F69)/(F68-F70),0)</f>
        <v>0</v>
      </c>
      <c r="D68" s="1805" t="s">
        <v>1136</v>
      </c>
      <c r="E68" s="1795" t="s">
        <v>1137</v>
      </c>
      <c r="F68" s="1680">
        <f ca="1">F40</f>
        <v>5.5E-2</v>
      </c>
      <c r="O68" s="1860" t="s">
        <v>1179</v>
      </c>
      <c r="P68" s="1915" t="s">
        <v>1224</v>
      </c>
      <c r="Q68" s="1892">
        <f ca="1">ROUND(Q69-Q70*Q71,0)</f>
        <v>-2660</v>
      </c>
      <c r="R68" s="1892" t="s">
        <v>1225</v>
      </c>
    </row>
    <row r="69" spans="1:18" s="739" customFormat="1" ht="13.5" thickBot="1">
      <c r="A69" s="1899"/>
      <c r="B69" s="1900"/>
      <c r="C69" s="1679"/>
      <c r="D69" s="1901" t="s">
        <v>1140</v>
      </c>
      <c r="E69" s="1795" t="s">
        <v>1141</v>
      </c>
      <c r="F69" s="1746">
        <f ca="1">F41</f>
        <v>0</v>
      </c>
      <c r="O69" s="1860" t="s">
        <v>1226</v>
      </c>
      <c r="P69" s="1915" t="s">
        <v>1227</v>
      </c>
      <c r="Q69" s="1892">
        <f ca="1">C39</f>
        <v>-581</v>
      </c>
      <c r="R69" s="1892" t="s">
        <v>1164</v>
      </c>
    </row>
    <row r="70" spans="1:18" s="739" customFormat="1" ht="13.5" thickBot="1">
      <c r="A70" s="1902"/>
      <c r="B70" s="1903"/>
      <c r="C70" s="1698"/>
      <c r="D70" s="1807"/>
      <c r="E70" s="1795" t="s">
        <v>1144</v>
      </c>
      <c r="F70" s="1785"/>
      <c r="O70" s="1860" t="s">
        <v>1228</v>
      </c>
      <c r="P70" s="1915" t="s">
        <v>1229</v>
      </c>
      <c r="Q70" s="1892">
        <f ca="1">C13</f>
        <v>24454</v>
      </c>
      <c r="R70" s="1892" t="s">
        <v>1164</v>
      </c>
    </row>
    <row r="71" spans="1:18" s="739" customFormat="1" ht="13.5" thickBot="1">
      <c r="A71" s="1904" t="s">
        <v>1146</v>
      </c>
      <c r="B71" s="1905" t="s">
        <v>1151</v>
      </c>
      <c r="C71" s="1750">
        <f ca="1">ROUND(C68*10000/F71,0)</f>
        <v>0</v>
      </c>
      <c r="D71" s="1906" t="s">
        <v>1152</v>
      </c>
      <c r="E71" s="1907" t="s">
        <v>1153</v>
      </c>
      <c r="F71" s="1753">
        <f ca="1">F43</f>
        <v>55674.09</v>
      </c>
      <c r="O71" s="1860" t="s">
        <v>1230</v>
      </c>
      <c r="P71" s="1915" t="s">
        <v>1231</v>
      </c>
      <c r="Q71" s="1893">
        <f ca="1">C76</f>
        <v>8.5000000000000006E-2</v>
      </c>
      <c r="R71" s="1892"/>
    </row>
    <row r="72" spans="1:18" s="739" customFormat="1" ht="13.5" thickBot="1">
      <c r="B72" s="315"/>
      <c r="C72" s="315"/>
      <c r="O72" s="1860" t="s">
        <v>1183</v>
      </c>
      <c r="P72" s="1854" t="s">
        <v>1208</v>
      </c>
      <c r="Q72" s="1893">
        <f>L52</f>
        <v>0</v>
      </c>
      <c r="R72" s="1892"/>
    </row>
    <row r="73" spans="1:18" ht="16.5" thickBot="1">
      <c r="A73" s="739"/>
      <c r="B73" s="315"/>
      <c r="C73" s="315"/>
      <c r="D73" s="739"/>
      <c r="E73" s="739"/>
      <c r="F73" s="739"/>
      <c r="O73" s="1860" t="s">
        <v>1187</v>
      </c>
      <c r="P73" s="1854" t="s">
        <v>1211</v>
      </c>
      <c r="Q73" s="1892" t="e">
        <f ca="1">L58</f>
        <v>#DIV/0!</v>
      </c>
      <c r="R73" s="1892" t="s">
        <v>1212</v>
      </c>
    </row>
    <row r="74" spans="1:18" ht="13.5" thickBot="1">
      <c r="A74" s="739"/>
      <c r="B74" s="222" t="s">
        <v>1232</v>
      </c>
      <c r="C74" s="1908"/>
      <c r="D74" s="739"/>
      <c r="E74" s="739"/>
      <c r="F74" s="739"/>
      <c r="O74" s="1860" t="s">
        <v>1233</v>
      </c>
      <c r="P74" s="1854" t="str">
        <f>K59</f>
        <v>建筑物剩余耐用年限下的土地年期修正系数Kn</v>
      </c>
      <c r="Q74" s="1892" t="e">
        <f ca="1">L59</f>
        <v>#DIV/0!</v>
      </c>
      <c r="R74" s="1892" t="s">
        <v>1213</v>
      </c>
    </row>
    <row r="75" spans="1:18" ht="13.5" thickBot="1">
      <c r="A75" s="739"/>
      <c r="B75" s="1909" t="s">
        <v>1234</v>
      </c>
      <c r="C75" s="1910">
        <f ca="1">ROUND(C13*C76,0)</f>
        <v>2079</v>
      </c>
      <c r="D75" s="739"/>
      <c r="E75" s="739"/>
      <c r="F75" s="739"/>
      <c r="K75" s="1840"/>
      <c r="L75" s="739"/>
      <c r="O75" s="1853" t="s">
        <v>1016</v>
      </c>
      <c r="P75" s="1854" t="s">
        <v>1193</v>
      </c>
      <c r="Q75" s="1892">
        <f ca="1">Q65+Q66</f>
        <v>0</v>
      </c>
      <c r="R75" s="1892" t="s">
        <v>1194</v>
      </c>
    </row>
    <row r="76" spans="1:18">
      <c r="B76" s="563" t="s">
        <v>1235</v>
      </c>
      <c r="C76" s="1911">
        <f ca="1">INDIRECT("'数据-取费表'!j"&amp;$G$1)</f>
        <v>8.5000000000000006E-2</v>
      </c>
      <c r="I76" s="739"/>
      <c r="J76" s="739"/>
      <c r="K76" s="1840"/>
      <c r="L76" s="739"/>
    </row>
    <row r="77" spans="1:18">
      <c r="B77" s="1912" t="s">
        <v>1236</v>
      </c>
      <c r="C77" s="1913"/>
      <c r="I77" s="739"/>
      <c r="J77" s="739"/>
      <c r="K77" s="1840"/>
      <c r="L77" s="739"/>
    </row>
    <row r="78" spans="1:18">
      <c r="B78" s="220" t="s">
        <v>1237</v>
      </c>
      <c r="C78" s="1914"/>
    </row>
    <row r="79" spans="1:18">
      <c r="B79" s="1909" t="s">
        <v>1238</v>
      </c>
      <c r="C79" s="223">
        <f ca="1">1-C80</f>
        <v>4.5779999999999994</v>
      </c>
    </row>
    <row r="80" spans="1:18">
      <c r="B80" s="1909" t="s">
        <v>1239</v>
      </c>
      <c r="C80" s="223">
        <f ca="1">ROUND(C75/C39,3)</f>
        <v>-3.5779999999999998</v>
      </c>
    </row>
    <row r="81" spans="2:3">
      <c r="B81" s="220" t="s">
        <v>1240</v>
      </c>
      <c r="C81" s="190"/>
    </row>
    <row r="82" spans="2:3">
      <c r="B82" s="222" t="s">
        <v>989</v>
      </c>
      <c r="C82" s="224" t="e">
        <f ca="1">1-C83</f>
        <v>#DIV/0!</v>
      </c>
    </row>
    <row r="83" spans="2:3">
      <c r="B83" s="222" t="s">
        <v>990</v>
      </c>
      <c r="C83" s="223" t="e">
        <f ca="1">ROUND(C13/C40,3)</f>
        <v>#DIV/0!</v>
      </c>
    </row>
  </sheetData>
  <sheetProtection password="C66D" sheet="1" objects="1" scenarios="1" formatCells="0" formatColumns="0" formatRows="0"/>
  <mergeCells count="3">
    <mergeCell ref="B6:B9"/>
    <mergeCell ref="I6:I9"/>
    <mergeCell ref="K53:L53"/>
  </mergeCells>
  <phoneticPr fontId="225" type="noConversion"/>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4">
    <cfRule type="expression" dxfId="126" priority="1">
      <formula>$F$53="自定义"</formula>
    </cfRule>
  </conditionalFormatting>
  <conditionalFormatting sqref="I55 I60">
    <cfRule type="expression" dxfId="125" priority="5">
      <formula>$J$51&gt;$L$48</formula>
    </cfRule>
  </conditionalFormatting>
  <conditionalFormatting sqref="K55 K60">
    <cfRule type="expression" dxfId="12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69930555555555596" right="0.69930555555555596"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workbookViewId="0">
      <selection activeCell="D9" sqref="D9"/>
    </sheetView>
  </sheetViews>
  <sheetFormatPr defaultColWidth="9" defaultRowHeight="12.75"/>
  <cols>
    <col min="1" max="1" width="9" style="136" customWidth="1"/>
    <col min="2" max="2" width="20.625" style="225" customWidth="1"/>
    <col min="3" max="3" width="11.875" style="225" customWidth="1"/>
    <col min="4" max="4" width="40.5" style="136" customWidth="1"/>
    <col min="5" max="5" width="15.75" style="136" customWidth="1"/>
    <col min="6" max="6" width="10.625" style="136" customWidth="1"/>
    <col min="7" max="7" width="4.875" style="136" customWidth="1"/>
    <col min="8" max="8" width="8.5" style="136" customWidth="1"/>
    <col min="9" max="9" width="21.25" style="136" customWidth="1"/>
    <col min="10" max="10" width="12.25" style="136" customWidth="1"/>
    <col min="11" max="11" width="45.125" style="1639" customWidth="1"/>
    <col min="12" max="12" width="16.375" style="136" customWidth="1"/>
    <col min="13" max="13" width="13" style="136" customWidth="1"/>
    <col min="14" max="14" width="13.75" style="739" customWidth="1"/>
    <col min="15" max="15" width="5.125" style="739" customWidth="1"/>
    <col min="16" max="16" width="25.75" style="739" customWidth="1"/>
    <col min="17" max="17" width="13.75" style="739" customWidth="1"/>
    <col min="18" max="18" width="20.5" style="739" customWidth="1"/>
    <col min="19" max="19" width="13.25" style="739" customWidth="1"/>
    <col min="20" max="37" width="9" style="739"/>
    <col min="38" max="16384" width="9" style="136"/>
  </cols>
  <sheetData>
    <row r="1" spans="1:37" s="1637" customFormat="1" ht="21">
      <c r="A1" s="1640" t="s">
        <v>1054</v>
      </c>
      <c r="B1" s="1083"/>
      <c r="C1" s="1641" t="s">
        <v>3342</v>
      </c>
      <c r="D1" s="1642" t="s">
        <v>124</v>
      </c>
      <c r="E1" s="1643" t="s">
        <v>1055</v>
      </c>
      <c r="F1" s="1644">
        <f ca="1">J53</f>
        <v>34.03</v>
      </c>
      <c r="G1" s="1645">
        <f>MATCH(C1,'数据-取费表'!A6:A16,0)+5</f>
        <v>7</v>
      </c>
      <c r="H1" s="1646"/>
      <c r="I1" s="1808"/>
      <c r="J1" s="1808"/>
      <c r="K1" s="1809"/>
      <c r="L1" s="1808"/>
      <c r="M1" s="1808"/>
      <c r="N1" s="1810"/>
      <c r="O1" s="1810"/>
      <c r="P1" s="1810"/>
      <c r="Q1" s="1810"/>
      <c r="R1" s="1810"/>
      <c r="S1" s="1810"/>
      <c r="T1" s="1810"/>
      <c r="U1" s="1810"/>
      <c r="V1" s="1810"/>
      <c r="W1" s="1810"/>
      <c r="X1" s="1810"/>
      <c r="Y1" s="1810"/>
      <c r="Z1" s="1810"/>
      <c r="AA1" s="1810"/>
      <c r="AB1" s="1810"/>
      <c r="AC1" s="1810"/>
      <c r="AD1" s="1810"/>
      <c r="AE1" s="1810"/>
      <c r="AF1" s="1810"/>
      <c r="AG1" s="1810"/>
      <c r="AH1" s="1810"/>
      <c r="AI1" s="1810"/>
      <c r="AJ1" s="1810"/>
      <c r="AK1" s="1810"/>
    </row>
    <row r="2" spans="1:37" ht="18" customHeight="1">
      <c r="A2" s="1647" t="s">
        <v>1056</v>
      </c>
      <c r="B2" s="1648">
        <f ca="1">C40+J29+L46</f>
        <v>0</v>
      </c>
      <c r="C2" s="1649" t="s">
        <v>1057</v>
      </c>
      <c r="D2" s="1649"/>
      <c r="E2" s="1651"/>
      <c r="F2" s="1652"/>
      <c r="G2" s="1653"/>
      <c r="H2" s="1654"/>
      <c r="I2" s="1654"/>
      <c r="J2" s="1654"/>
      <c r="K2" s="1811"/>
      <c r="L2" s="1654"/>
      <c r="M2" s="1654"/>
    </row>
    <row r="3" spans="1:37" ht="18" customHeight="1" thickBot="1">
      <c r="A3" s="1655" t="s">
        <v>1058</v>
      </c>
      <c r="B3" s="1656">
        <f ca="1">IF(ISERROR(B2*10000/F43),0,ROUND(B2*10000/F43,0))</f>
        <v>0</v>
      </c>
      <c r="C3" s="1649" t="s">
        <v>1059</v>
      </c>
      <c r="D3" s="1649"/>
      <c r="E3" s="1651"/>
      <c r="F3" s="1652"/>
      <c r="G3" s="1653"/>
      <c r="H3" s="1657" t="s">
        <v>1060</v>
      </c>
      <c r="I3" s="1654"/>
      <c r="J3" s="1654"/>
      <c r="K3" s="1811"/>
      <c r="L3" s="1654"/>
      <c r="M3" s="1654"/>
    </row>
    <row r="4" spans="1:37" ht="18" customHeight="1">
      <c r="A4" s="1658" t="s">
        <v>1061</v>
      </c>
      <c r="B4" s="1659" t="s">
        <v>1062</v>
      </c>
      <c r="C4" s="1659" t="s">
        <v>1063</v>
      </c>
      <c r="D4" s="1659" t="s">
        <v>1064</v>
      </c>
      <c r="E4" s="1660" t="s">
        <v>1065</v>
      </c>
      <c r="F4" s="1661"/>
      <c r="G4" s="1662"/>
      <c r="H4" s="1658" t="s">
        <v>1061</v>
      </c>
      <c r="I4" s="1659" t="s">
        <v>1062</v>
      </c>
      <c r="J4" s="1659" t="s">
        <v>1063</v>
      </c>
      <c r="K4" s="1659" t="s">
        <v>1064</v>
      </c>
      <c r="L4" s="1660" t="s">
        <v>1065</v>
      </c>
      <c r="M4" s="1661"/>
    </row>
    <row r="5" spans="1:37" ht="18" customHeight="1">
      <c r="A5" s="1663">
        <v>1</v>
      </c>
      <c r="B5" s="1664" t="s">
        <v>1066</v>
      </c>
      <c r="C5" s="1665">
        <f ca="1">C6+C10+C12</f>
        <v>0</v>
      </c>
      <c r="D5" s="1666" t="s">
        <v>1067</v>
      </c>
      <c r="E5" s="1667"/>
      <c r="F5" s="1668"/>
      <c r="G5" s="1662"/>
      <c r="H5" s="1663">
        <v>1</v>
      </c>
      <c r="I5" s="1664" t="s">
        <v>1066</v>
      </c>
      <c r="J5" s="1665">
        <f ca="1">J6+J10+J12</f>
        <v>0</v>
      </c>
      <c r="K5" s="1666" t="s">
        <v>1067</v>
      </c>
      <c r="L5" s="1667"/>
      <c r="M5" s="1668"/>
    </row>
    <row r="6" spans="1:37" ht="18" customHeight="1">
      <c r="A6" s="1669" t="s">
        <v>806</v>
      </c>
      <c r="B6" s="3500" t="s">
        <v>1068</v>
      </c>
      <c r="C6" s="1670">
        <f ca="1">ROUND(F6*F8*F7*(1-F9)/10000,0)</f>
        <v>0</v>
      </c>
      <c r="D6" s="1671" t="s">
        <v>1069</v>
      </c>
      <c r="E6" s="1672" t="s">
        <v>1070</v>
      </c>
      <c r="F6" s="1673">
        <f ca="1">INDIRECT("'数据-取费表'!u"&amp;$G$1)</f>
        <v>0</v>
      </c>
      <c r="G6" s="1662"/>
      <c r="H6" s="1669" t="s">
        <v>806</v>
      </c>
      <c r="I6" s="3500" t="s">
        <v>1068</v>
      </c>
      <c r="J6" s="1742">
        <f ca="1">ROUND(M6*M8*M7*(1-M9)/10000,0)</f>
        <v>0</v>
      </c>
      <c r="K6" s="1671" t="s">
        <v>1071</v>
      </c>
      <c r="L6" s="1672" t="s">
        <v>1070</v>
      </c>
      <c r="M6" s="1673">
        <f ca="1">INDIRECT("'数据-取费表'!z"&amp;$G$1)</f>
        <v>0</v>
      </c>
    </row>
    <row r="7" spans="1:37" ht="18" customHeight="1">
      <c r="A7" s="1674"/>
      <c r="B7" s="3501"/>
      <c r="C7" s="1675"/>
      <c r="D7" s="1676"/>
      <c r="E7" s="3030" t="s">
        <v>1072</v>
      </c>
      <c r="F7" s="1673">
        <f ca="1">IF(INDIRECT("'数据-取费表'!ah"&amp;$G$1)="",INDIRECT("'数据-取费表'!k"&amp;$G$1),INDIRECT("'数据-取费表'!ah"&amp;$G$1))</f>
        <v>18020.97</v>
      </c>
      <c r="G7" s="1662"/>
      <c r="H7" s="1678"/>
      <c r="I7" s="3501"/>
      <c r="J7" s="1679"/>
      <c r="K7" s="1676"/>
      <c r="L7" s="1672" t="s">
        <v>1072</v>
      </c>
      <c r="M7" s="1673">
        <f ca="1">F7</f>
        <v>18020.97</v>
      </c>
    </row>
    <row r="8" spans="1:37" ht="18" customHeight="1">
      <c r="A8" s="1678"/>
      <c r="B8" s="3501"/>
      <c r="C8" s="1679"/>
      <c r="D8" s="1676"/>
      <c r="E8" s="1672" t="s">
        <v>1073</v>
      </c>
      <c r="F8" s="1673">
        <f ca="1">INDIRECT("'数据-取费表'!ai"&amp;$G$1)</f>
        <v>365</v>
      </c>
      <c r="G8" s="1662"/>
      <c r="H8" s="1678"/>
      <c r="I8" s="3501"/>
      <c r="J8" s="1679"/>
      <c r="K8" s="1676"/>
      <c r="L8" s="1672" t="s">
        <v>1073</v>
      </c>
      <c r="M8" s="1673">
        <f ca="1">INDIRECT("'数据-取费表'!ai"&amp;$G$1)</f>
        <v>365</v>
      </c>
    </row>
    <row r="9" spans="1:37" ht="18" customHeight="1">
      <c r="A9" s="1678"/>
      <c r="B9" s="3502"/>
      <c r="C9" s="1679"/>
      <c r="D9" s="1676"/>
      <c r="E9" s="1672" t="s">
        <v>1074</v>
      </c>
      <c r="F9" s="1680">
        <f ca="1">INDIRECT("'数据-取费表'!w"&amp;$G$1)</f>
        <v>0.15</v>
      </c>
      <c r="G9" s="1662"/>
      <c r="H9" s="1678"/>
      <c r="I9" s="3502"/>
      <c r="J9" s="1679"/>
      <c r="K9" s="1676"/>
      <c r="L9" s="1683" t="s">
        <v>1074</v>
      </c>
      <c r="M9" s="1688">
        <f ca="1">INDIRECT("'数据-取费表'!ab"&amp;$G$1)</f>
        <v>0</v>
      </c>
    </row>
    <row r="10" spans="1:37" ht="18" customHeight="1">
      <c r="A10" s="1669" t="s">
        <v>810</v>
      </c>
      <c r="B10" s="1681" t="s">
        <v>1075</v>
      </c>
      <c r="C10" s="284">
        <f ca="1">ROUND(IF(F10="押一",C6/12*F11,IF(F10="押二",C6/12*2*F11,IF(F10="押三",C6/12*3*F11,C11*F11))),0)</f>
        <v>0</v>
      </c>
      <c r="D10" s="1682" t="s">
        <v>1076</v>
      </c>
      <c r="E10" s="1683" t="s">
        <v>1077</v>
      </c>
      <c r="F10" s="1684"/>
      <c r="G10" s="1662"/>
      <c r="H10" s="1669" t="s">
        <v>810</v>
      </c>
      <c r="I10" s="1681" t="s">
        <v>1075</v>
      </c>
      <c r="J10" s="1742">
        <f ca="1">ROUND(IF(M10="押一",J6/12*M11,IF(M10="押二",J6/12*2*M11,IF(M10="押三",J6/12*3*M11,J11*M11))),0)</f>
        <v>0</v>
      </c>
      <c r="K10" s="1682" t="s">
        <v>1076</v>
      </c>
      <c r="L10" s="1683" t="s">
        <v>1077</v>
      </c>
      <c r="M10" s="1684" t="s">
        <v>1078</v>
      </c>
    </row>
    <row r="11" spans="1:37" ht="18" customHeight="1">
      <c r="A11" s="1685"/>
      <c r="B11" s="1686" t="s">
        <v>1079</v>
      </c>
      <c r="C11" s="1687"/>
      <c r="D11" s="1917"/>
      <c r="E11" s="1683" t="s">
        <v>1080</v>
      </c>
      <c r="F11" s="1688">
        <f ca="1">'数据-取费表'!B39</f>
        <v>1.4999999999999999E-2</v>
      </c>
      <c r="G11" s="1662"/>
      <c r="H11" s="1689"/>
      <c r="I11" s="1686" t="s">
        <v>1079</v>
      </c>
      <c r="J11" s="1687"/>
      <c r="K11" s="1814"/>
      <c r="L11" s="1683" t="s">
        <v>1080</v>
      </c>
      <c r="M11" s="1815">
        <f ca="1">'数据-取费表'!B39</f>
        <v>1.4999999999999999E-2</v>
      </c>
    </row>
    <row r="12" spans="1:37" ht="18" customHeight="1" thickBot="1">
      <c r="A12" s="1690" t="s">
        <v>854</v>
      </c>
      <c r="B12" s="1691" t="s">
        <v>1081</v>
      </c>
      <c r="C12" s="1692"/>
      <c r="D12" s="1693"/>
      <c r="E12" s="1694"/>
      <c r="F12" s="1695"/>
      <c r="G12" s="1662"/>
      <c r="H12" s="1690" t="s">
        <v>854</v>
      </c>
      <c r="I12" s="1691" t="s">
        <v>1081</v>
      </c>
      <c r="J12" s="1692"/>
      <c r="K12" s="1816"/>
      <c r="L12" s="1694"/>
      <c r="M12" s="1817"/>
    </row>
    <row r="13" spans="1:37" ht="18" customHeight="1" thickTop="1">
      <c r="A13" s="1696">
        <v>2</v>
      </c>
      <c r="B13" s="1697" t="s">
        <v>1082</v>
      </c>
      <c r="C13" s="1698">
        <f ca="1">ROUND(C29*F13,0)</f>
        <v>7914</v>
      </c>
      <c r="D13" s="1699" t="s">
        <v>1083</v>
      </c>
      <c r="E13" s="1699" t="s">
        <v>1084</v>
      </c>
      <c r="F13" s="1700">
        <f ca="1">INDIRECT("'数据-取费表'!y"&amp;$G$1)</f>
        <v>0.92</v>
      </c>
      <c r="G13" s="1662"/>
      <c r="H13" s="1696">
        <v>2</v>
      </c>
      <c r="I13" s="1697" t="s">
        <v>1082</v>
      </c>
      <c r="J13" s="1818">
        <f ca="1">ROUND(J14*J15,0)</f>
        <v>0</v>
      </c>
      <c r="K13" s="1722" t="s">
        <v>1083</v>
      </c>
      <c r="L13" s="1819"/>
      <c r="M13" s="1820"/>
    </row>
    <row r="14" spans="1:37" ht="18" customHeight="1">
      <c r="A14" s="1701" t="s">
        <v>829</v>
      </c>
      <c r="B14" s="1672" t="s">
        <v>1085</v>
      </c>
      <c r="C14" s="1702">
        <f ca="1">INDIRECT("'数据-取费表'!m"&amp;$G$1)+INDIRECT("'数据-取费表'!t"&amp;$G$1)</f>
        <v>5406</v>
      </c>
      <c r="D14" s="3027" t="s">
        <v>1086</v>
      </c>
      <c r="E14" s="3028"/>
      <c r="F14" s="1705"/>
      <c r="G14" s="1662"/>
      <c r="H14" s="1701" t="s">
        <v>806</v>
      </c>
      <c r="I14" s="1672" t="s">
        <v>1087</v>
      </c>
      <c r="J14" s="285">
        <f ca="1">C29</f>
        <v>8602</v>
      </c>
      <c r="K14" s="3029"/>
      <c r="L14" s="1822"/>
      <c r="M14" s="1823"/>
    </row>
    <row r="15" spans="1:37" s="1638" customFormat="1" ht="18" customHeight="1" thickBot="1">
      <c r="A15" s="1701" t="s">
        <v>834</v>
      </c>
      <c r="B15" s="1672" t="s">
        <v>1014</v>
      </c>
      <c r="C15" s="285">
        <f ca="1">ROUND(C14*F15,0)</f>
        <v>270</v>
      </c>
      <c r="D15" s="1706" t="s">
        <v>1088</v>
      </c>
      <c r="E15" s="1706" t="s">
        <v>1089</v>
      </c>
      <c r="F15" s="1707">
        <f>'数据-取费表'!B33</f>
        <v>0.05</v>
      </c>
      <c r="G15" s="1708"/>
      <c r="H15" s="1709" t="s">
        <v>810</v>
      </c>
      <c r="I15" s="1694" t="s">
        <v>1084</v>
      </c>
      <c r="J15" s="1817">
        <f ca="1">INDIRECT("'数据-取费表'!ad"&amp;$G$1)</f>
        <v>0</v>
      </c>
      <c r="K15" s="1824"/>
      <c r="L15" s="1825"/>
      <c r="M15" s="1826"/>
      <c r="N15" s="1827"/>
      <c r="O15" s="1827"/>
      <c r="P15" s="1827"/>
      <c r="Q15" s="1827"/>
      <c r="R15" s="1827"/>
      <c r="S15" s="1827"/>
      <c r="T15" s="1827"/>
      <c r="U15" s="1827"/>
      <c r="V15" s="1827"/>
      <c r="W15" s="1827"/>
      <c r="X15" s="1827"/>
      <c r="Y15" s="1827"/>
      <c r="Z15" s="1827"/>
      <c r="AA15" s="1827"/>
      <c r="AB15" s="1827"/>
      <c r="AC15" s="1827"/>
      <c r="AD15" s="1827"/>
      <c r="AE15" s="1827"/>
      <c r="AF15" s="1827"/>
      <c r="AG15" s="1827"/>
      <c r="AH15" s="1827"/>
      <c r="AI15" s="1827"/>
      <c r="AJ15" s="1827"/>
      <c r="AK15" s="1827"/>
    </row>
    <row r="16" spans="1:37" ht="18" customHeight="1" thickTop="1">
      <c r="A16" s="1701" t="s">
        <v>837</v>
      </c>
      <c r="B16" s="1672" t="s">
        <v>1017</v>
      </c>
      <c r="C16" s="285">
        <f ca="1">ROUND(INDIRECT("'数据-取费表'!m"&amp;$G$1)*F16,0)</f>
        <v>0</v>
      </c>
      <c r="D16" s="1672" t="s">
        <v>1088</v>
      </c>
      <c r="E16" s="1672" t="s">
        <v>1089</v>
      </c>
      <c r="F16" s="1710">
        <f ca="1">IF(INDIRECT("'数据-取费表'!c"&amp;$G$1)="住宅",'数据-取费表'!B34,0)</f>
        <v>0</v>
      </c>
      <c r="G16" s="1662"/>
      <c r="H16" s="1696" t="s">
        <v>1090</v>
      </c>
      <c r="I16" s="1697" t="s">
        <v>1091</v>
      </c>
      <c r="J16" s="1698">
        <f ca="1">ROUND(J17+J22+J23+J24,0)</f>
        <v>248</v>
      </c>
      <c r="K16" s="1722" t="s">
        <v>1092</v>
      </c>
      <c r="L16" s="3034"/>
      <c r="M16" s="1668"/>
    </row>
    <row r="17" spans="1:37" s="1638" customFormat="1" ht="18" customHeight="1">
      <c r="A17" s="1701" t="s">
        <v>1093</v>
      </c>
      <c r="B17" s="1672" t="s">
        <v>1094</v>
      </c>
      <c r="C17" s="285">
        <f ca="1">ROUND(F17*(F43+INDIRECT("'数据-取费表'!S"&amp;$G$1))/10000,0)</f>
        <v>360</v>
      </c>
      <c r="D17" s="1672" t="s">
        <v>1095</v>
      </c>
      <c r="E17" s="1672" t="s">
        <v>1096</v>
      </c>
      <c r="F17" s="1711">
        <f>'数据-取费表'!B35</f>
        <v>200</v>
      </c>
      <c r="G17" s="1708"/>
      <c r="H17" s="1701" t="s">
        <v>806</v>
      </c>
      <c r="I17" s="1672" t="s">
        <v>1097</v>
      </c>
      <c r="J17" s="285">
        <f ca="1">ROUND(IF(项目基本情况!B11="自然人",J5*M17,J18+J19+J20),1)</f>
        <v>76.400000000000006</v>
      </c>
      <c r="K17" s="3027" t="s">
        <v>1098</v>
      </c>
      <c r="L17" s="3031" t="s">
        <v>1099</v>
      </c>
      <c r="M17" s="1726" t="str">
        <f ca="1">IF(项目基本情况!B11="企业","",IF(INDIRECT("'数据-取费表'!c"&amp;$G$1)="住宅",5%,IF(M6*M7*M8/12/(1+'数据-取费表'!C42)&gt;20000,12%,7%)))</f>
        <v/>
      </c>
      <c r="N17" s="1827"/>
      <c r="O17" s="1827"/>
      <c r="P17" s="1827"/>
      <c r="Q17" s="1827"/>
      <c r="R17" s="1827"/>
      <c r="S17" s="1827"/>
      <c r="T17" s="1827"/>
      <c r="U17" s="1827"/>
      <c r="V17" s="1827"/>
      <c r="W17" s="1827"/>
      <c r="X17" s="1827"/>
      <c r="Y17" s="1827"/>
      <c r="Z17" s="1827"/>
      <c r="AA17" s="1827"/>
      <c r="AB17" s="1827"/>
      <c r="AC17" s="1827"/>
      <c r="AD17" s="1827"/>
      <c r="AE17" s="1827"/>
      <c r="AF17" s="1827"/>
      <c r="AG17" s="1827"/>
      <c r="AH17" s="1827"/>
      <c r="AI17" s="1827"/>
      <c r="AJ17" s="1827"/>
      <c r="AK17" s="1827"/>
    </row>
    <row r="18" spans="1:37" s="1638" customFormat="1" ht="18" customHeight="1">
      <c r="A18" s="1701" t="s">
        <v>1100</v>
      </c>
      <c r="B18" s="1672" t="s">
        <v>1023</v>
      </c>
      <c r="C18" s="285">
        <f ca="1">ROUND(C14*F18,0)</f>
        <v>81</v>
      </c>
      <c r="D18" s="1672" t="s">
        <v>1088</v>
      </c>
      <c r="E18" s="1672" t="s">
        <v>1089</v>
      </c>
      <c r="F18" s="1710">
        <f>'数据-取费表'!B36</f>
        <v>1.4999999999999999E-2</v>
      </c>
      <c r="G18" s="1708"/>
      <c r="H18" s="1701" t="s">
        <v>829</v>
      </c>
      <c r="I18" s="1672" t="s">
        <v>1101</v>
      </c>
      <c r="J18" s="285">
        <f ca="1">ROUND(J5*M18/(1+'数据-取费表'!C42),2)</f>
        <v>0</v>
      </c>
      <c r="K18" s="3031" t="s">
        <v>1102</v>
      </c>
      <c r="L18" s="1672" t="s">
        <v>1089</v>
      </c>
      <c r="M18" s="1710">
        <f>'数据-取费表'!B41</f>
        <v>5.6000000000000001E-2</v>
      </c>
      <c r="N18" s="1827"/>
      <c r="O18" s="1827"/>
      <c r="P18" s="1827"/>
      <c r="Q18" s="1827"/>
      <c r="R18" s="1827"/>
      <c r="S18" s="1827"/>
      <c r="T18" s="1827"/>
      <c r="U18" s="1827"/>
      <c r="V18" s="1827"/>
      <c r="W18" s="1827"/>
      <c r="X18" s="1827"/>
      <c r="Y18" s="1827"/>
      <c r="Z18" s="1827"/>
      <c r="AA18" s="1827"/>
      <c r="AB18" s="1827"/>
      <c r="AC18" s="1827"/>
      <c r="AD18" s="1827"/>
      <c r="AE18" s="1827"/>
      <c r="AF18" s="1827"/>
      <c r="AG18" s="1827"/>
      <c r="AH18" s="1827"/>
      <c r="AI18" s="1827"/>
      <c r="AJ18" s="1827"/>
      <c r="AK18" s="1827"/>
    </row>
    <row r="19" spans="1:37" ht="18" customHeight="1">
      <c r="A19" s="1701" t="s">
        <v>806</v>
      </c>
      <c r="B19" s="1672" t="s">
        <v>1103</v>
      </c>
      <c r="C19" s="285">
        <f ca="1">SUM(C14:C18)</f>
        <v>6117</v>
      </c>
      <c r="D19" s="1712" t="s">
        <v>1104</v>
      </c>
      <c r="E19" s="3033"/>
      <c r="F19" s="1711"/>
      <c r="G19" s="1662"/>
      <c r="H19" s="1701" t="s">
        <v>834</v>
      </c>
      <c r="I19" s="1672" t="s">
        <v>1105</v>
      </c>
      <c r="J19" s="285">
        <f ca="1">IF(K19="按租金收入计税",ROUND(J5*M19,2),ROUND(C29*M19*0.7,2))</f>
        <v>72.260000000000005</v>
      </c>
      <c r="K19" s="1727" t="s">
        <v>1106</v>
      </c>
      <c r="L19" s="1672" t="s">
        <v>1089</v>
      </c>
      <c r="M19" s="1710">
        <f>IF(K19="按租金收入计税",'数据-取费表'!B51,'数据-取费表'!B50)</f>
        <v>1.2E-2</v>
      </c>
    </row>
    <row r="20" spans="1:37" s="1638" customFormat="1" ht="18" customHeight="1">
      <c r="A20" s="1701" t="s">
        <v>810</v>
      </c>
      <c r="B20" s="1672" t="s">
        <v>1107</v>
      </c>
      <c r="C20" s="285">
        <f ca="1">ROUND(C19*F20,0)</f>
        <v>153</v>
      </c>
      <c r="D20" s="1713" t="s">
        <v>1108</v>
      </c>
      <c r="E20" s="1672" t="s">
        <v>1089</v>
      </c>
      <c r="F20" s="1710">
        <f>'数据-取费表'!B37</f>
        <v>2.5000000000000001E-2</v>
      </c>
      <c r="G20" s="1708"/>
      <c r="H20" s="1701" t="s">
        <v>837</v>
      </c>
      <c r="I20" s="1671" t="s">
        <v>1109</v>
      </c>
      <c r="J20" s="1729">
        <f ca="1">ROUND(M20*M21/10000,2)</f>
        <v>4.18</v>
      </c>
      <c r="K20" s="1730" t="s">
        <v>1110</v>
      </c>
      <c r="L20" s="1672" t="s">
        <v>1111</v>
      </c>
      <c r="M20" s="1716">
        <f>'数据-取费表'!B52</f>
        <v>5</v>
      </c>
      <c r="N20" s="1827"/>
      <c r="O20" s="1827"/>
      <c r="P20" s="1827"/>
      <c r="Q20" s="1827"/>
      <c r="R20" s="1827"/>
      <c r="S20" s="1827"/>
      <c r="T20" s="1827"/>
      <c r="U20" s="1827"/>
      <c r="V20" s="1827"/>
      <c r="W20" s="1827"/>
      <c r="X20" s="1827"/>
      <c r="Y20" s="1827"/>
      <c r="Z20" s="1827"/>
      <c r="AA20" s="1827"/>
      <c r="AB20" s="1827"/>
      <c r="AC20" s="1827"/>
      <c r="AD20" s="1827"/>
      <c r="AE20" s="1827"/>
      <c r="AF20" s="1827"/>
      <c r="AG20" s="1827"/>
      <c r="AH20" s="1827"/>
      <c r="AI20" s="1827"/>
      <c r="AJ20" s="1827"/>
      <c r="AK20" s="1827"/>
    </row>
    <row r="21" spans="1:37" s="1638" customFormat="1" ht="18" customHeight="1">
      <c r="A21" s="1701" t="s">
        <v>854</v>
      </c>
      <c r="B21" s="1672" t="s">
        <v>1112</v>
      </c>
      <c r="C21" s="285" t="s">
        <v>124</v>
      </c>
      <c r="D21" s="1713" t="s">
        <v>1113</v>
      </c>
      <c r="E21" s="1672" t="s">
        <v>1114</v>
      </c>
      <c r="F21" s="1710">
        <f>'数据-取费表'!B38</f>
        <v>0.03</v>
      </c>
      <c r="G21" s="1708"/>
      <c r="H21" s="1714"/>
      <c r="I21" s="1828"/>
      <c r="J21" s="1733"/>
      <c r="K21" s="1734"/>
      <c r="L21" s="1672" t="s">
        <v>1115</v>
      </c>
      <c r="M21" s="1673">
        <f ca="1">INDIRECT("'数据-取费表'!r"&amp;$G$1)</f>
        <v>8354.7999999999993</v>
      </c>
      <c r="N21" s="1827"/>
      <c r="O21" s="1827"/>
      <c r="P21" s="1827"/>
      <c r="Q21" s="1827"/>
      <c r="R21" s="1827"/>
      <c r="S21" s="1827"/>
      <c r="T21" s="1827"/>
      <c r="U21" s="1827"/>
      <c r="V21" s="1827"/>
      <c r="W21" s="1827"/>
      <c r="X21" s="1827"/>
      <c r="Y21" s="1827"/>
      <c r="Z21" s="1827"/>
      <c r="AA21" s="1827"/>
      <c r="AB21" s="1827"/>
      <c r="AC21" s="1827"/>
      <c r="AD21" s="1827"/>
      <c r="AE21" s="1827"/>
      <c r="AF21" s="1827"/>
      <c r="AG21" s="1827"/>
      <c r="AH21" s="1827"/>
      <c r="AI21" s="1827"/>
      <c r="AJ21" s="1827"/>
      <c r="AK21" s="1827"/>
    </row>
    <row r="22" spans="1:37" ht="18" customHeight="1">
      <c r="A22" s="1701" t="s">
        <v>858</v>
      </c>
      <c r="B22" s="1672" t="s">
        <v>1116</v>
      </c>
      <c r="C22" s="285"/>
      <c r="D22" s="1712" t="str">
        <f>IF(F23&lt;=1,"单利计息。","复利计息。")&amp;"建造成本、管理费用、销售费用产生的利息。"</f>
        <v>复利计息。建造成本、管理费用、销售费用产生的利息。</v>
      </c>
      <c r="E22" s="3033"/>
      <c r="F22" s="1711"/>
      <c r="G22" s="1662"/>
      <c r="H22" s="1701" t="s">
        <v>810</v>
      </c>
      <c r="I22" s="1672" t="s">
        <v>1117</v>
      </c>
      <c r="J22" s="285">
        <f ca="1">ROUND(J14*M22,1)</f>
        <v>172</v>
      </c>
      <c r="K22" s="3031" t="s">
        <v>1118</v>
      </c>
      <c r="L22" s="1672" t="s">
        <v>1089</v>
      </c>
      <c r="M22" s="1736">
        <f ca="1">INDIRECT("'数据-取费表'!Ak"&amp;$G$1)</f>
        <v>0.02</v>
      </c>
    </row>
    <row r="23" spans="1:37" s="1638" customFormat="1" ht="18" customHeight="1">
      <c r="A23" s="1701" t="s">
        <v>829</v>
      </c>
      <c r="B23" s="1672" t="s">
        <v>1119</v>
      </c>
      <c r="C23" s="285">
        <f ca="1">IF('数据-取费表'!B22&lt;=1,ROUND(C19*F24*F23/2,0)+ROUND(C20*F24*F23/2,0),ROUND(C19*(POWER((1+F24),F23/2)-1),0)+ROUND(C20*(POWER((1+F24),F23/2)-1),0))</f>
        <v>298</v>
      </c>
      <c r="D23" s="1715" t="str">
        <f>IF(F23&lt;=1,"(建造成本+管理费用)×利率×(建设周期÷2)","(建造成本+管理费用)×((1+利率)^(建设周期÷2)-1)")</f>
        <v>(建造成本+管理费用)×((1+利率)^(建设周期÷2)-1)</v>
      </c>
      <c r="E23" s="1672" t="s">
        <v>1120</v>
      </c>
      <c r="F23" s="1716">
        <f>'数据-取费表'!B20</f>
        <v>2</v>
      </c>
      <c r="G23" s="1708"/>
      <c r="H23" s="1701" t="s">
        <v>854</v>
      </c>
      <c r="I23" s="1672" t="s">
        <v>1121</v>
      </c>
      <c r="J23" s="285">
        <f ca="1">ROUND(J13*M23,1)</f>
        <v>0</v>
      </c>
      <c r="K23" s="3031" t="s">
        <v>1122</v>
      </c>
      <c r="L23" s="1672" t="s">
        <v>1089</v>
      </c>
      <c r="M23" s="1737">
        <f ca="1">INDIRECT("'数据-取费表'!Al"&amp;$G$1)</f>
        <v>1.5E-3</v>
      </c>
      <c r="N23" s="1827"/>
      <c r="O23" s="1827"/>
      <c r="P23" s="1827"/>
      <c r="Q23" s="1827"/>
      <c r="R23" s="1827"/>
      <c r="S23" s="1827"/>
      <c r="T23" s="1827"/>
      <c r="U23" s="1827"/>
      <c r="V23" s="1827"/>
      <c r="W23" s="1827"/>
      <c r="X23" s="1827"/>
      <c r="Y23" s="1827"/>
      <c r="Z23" s="1827"/>
      <c r="AA23" s="1827"/>
      <c r="AB23" s="1827"/>
      <c r="AC23" s="1827"/>
      <c r="AD23" s="1827"/>
      <c r="AE23" s="1827"/>
      <c r="AF23" s="1827"/>
      <c r="AG23" s="1827"/>
      <c r="AH23" s="1827"/>
      <c r="AI23" s="1827"/>
      <c r="AJ23" s="1827"/>
      <c r="AK23" s="1827"/>
    </row>
    <row r="24" spans="1:37" s="1638" customFormat="1" ht="18" customHeight="1" thickBot="1">
      <c r="A24" s="1701" t="s">
        <v>834</v>
      </c>
      <c r="B24" s="1672" t="s">
        <v>1123</v>
      </c>
      <c r="C24" s="285">
        <f ca="1">ROUND(IF('数据-取费表'!B22&lt;=1,F21*F24*F23/2,F21*(POWER((1+F24),F23/2)-1)),4)</f>
        <v>1.4E-3</v>
      </c>
      <c r="D24" s="1715" t="str">
        <f>IF(F23&lt;=1,"销售费用×利率×(建设周期÷2)","销售费用×((1+利率)^(建设周期÷2)-1)")</f>
        <v>销售费用×((1+利率)^(建设周期÷2)-1)</v>
      </c>
      <c r="E24" s="1672" t="s">
        <v>1124</v>
      </c>
      <c r="F24" s="1717">
        <f ca="1">'数据-取费表'!B40</f>
        <v>4.7500000000000001E-2</v>
      </c>
      <c r="G24" s="1708"/>
      <c r="H24" s="1709" t="s">
        <v>858</v>
      </c>
      <c r="I24" s="1694" t="s">
        <v>1107</v>
      </c>
      <c r="J24" s="1718">
        <f ca="1">ROUND(J5*M24,1)</f>
        <v>0</v>
      </c>
      <c r="K24" s="1719" t="s">
        <v>1125</v>
      </c>
      <c r="L24" s="1694" t="s">
        <v>1089</v>
      </c>
      <c r="M24" s="1695">
        <f ca="1">INDIRECT("'数据-取费表'!Am"&amp;$G$1)</f>
        <v>0.02</v>
      </c>
      <c r="N24" s="1827"/>
      <c r="O24" s="1827"/>
      <c r="P24" s="1827"/>
      <c r="Q24" s="1827"/>
      <c r="R24" s="1827"/>
      <c r="S24" s="1827"/>
      <c r="T24" s="1827"/>
      <c r="U24" s="1827"/>
      <c r="V24" s="1827"/>
      <c r="W24" s="1827"/>
      <c r="X24" s="1827"/>
      <c r="Y24" s="1827"/>
      <c r="Z24" s="1827"/>
      <c r="AA24" s="1827"/>
      <c r="AB24" s="1827"/>
      <c r="AC24" s="1827"/>
      <c r="AD24" s="1827"/>
      <c r="AE24" s="1827"/>
      <c r="AF24" s="1827"/>
      <c r="AG24" s="1827"/>
      <c r="AH24" s="1827"/>
      <c r="AI24" s="1827"/>
      <c r="AJ24" s="1827"/>
      <c r="AK24" s="1827"/>
    </row>
    <row r="25" spans="1:37" ht="24" customHeight="1" thickTop="1">
      <c r="A25" s="1701" t="s">
        <v>861</v>
      </c>
      <c r="B25" s="1672" t="s">
        <v>1126</v>
      </c>
      <c r="C25" s="285"/>
      <c r="D25" s="1712" t="s">
        <v>1127</v>
      </c>
      <c r="E25" s="3033"/>
      <c r="F25" s="1711"/>
      <c r="G25" s="1662"/>
      <c r="H25" s="1696" t="s">
        <v>1128</v>
      </c>
      <c r="I25" s="1738" t="s">
        <v>1129</v>
      </c>
      <c r="J25" s="1698">
        <f ca="1">J5-J16</f>
        <v>-248</v>
      </c>
      <c r="K25" s="1739" t="s">
        <v>1130</v>
      </c>
      <c r="L25" s="1740"/>
      <c r="M25" s="1741"/>
    </row>
    <row r="26" spans="1:37">
      <c r="A26" s="1701" t="s">
        <v>829</v>
      </c>
      <c r="B26" s="1672" t="s">
        <v>1131</v>
      </c>
      <c r="C26" s="285">
        <f ca="1">ROUND((C19+C20)*F26,0)</f>
        <v>1254</v>
      </c>
      <c r="D26" s="1713" t="s">
        <v>1132</v>
      </c>
      <c r="E26" s="1683" t="s">
        <v>1133</v>
      </c>
      <c r="F26" s="1680">
        <f ca="1">INDIRECT("'数据-取费表'!q"&amp;$G$1)</f>
        <v>0.2</v>
      </c>
      <c r="G26" s="1662"/>
      <c r="H26" s="1663" t="s">
        <v>1134</v>
      </c>
      <c r="I26" s="1664" t="s">
        <v>1135</v>
      </c>
      <c r="J26" s="1742">
        <f ca="1">IF(J5&lt;&gt;0,ROUND(J25*(1-((1+M28)/(1+M26))^M27)/(M26-M28),0),0)</f>
        <v>0</v>
      </c>
      <c r="K26" s="1730" t="s">
        <v>1136</v>
      </c>
      <c r="L26" s="1672" t="s">
        <v>1137</v>
      </c>
      <c r="M26" s="1680">
        <f ca="1">INDIRECT("'数据-取费表'!I"&amp;$G$1)</f>
        <v>5.5E-2</v>
      </c>
    </row>
    <row r="27" spans="1:37" ht="18" customHeight="1">
      <c r="A27" s="1701" t="s">
        <v>834</v>
      </c>
      <c r="B27" s="1672" t="s">
        <v>1138</v>
      </c>
      <c r="C27" s="285">
        <f ca="1">ROUND(F21*F26,4)</f>
        <v>6.0000000000000001E-3</v>
      </c>
      <c r="D27" s="1713" t="s">
        <v>1139</v>
      </c>
      <c r="E27" s="1706"/>
      <c r="F27" s="1707"/>
      <c r="G27" s="1662"/>
      <c r="H27" s="1678"/>
      <c r="I27" s="1744"/>
      <c r="J27" s="1679"/>
      <c r="K27" s="1745" t="s">
        <v>1140</v>
      </c>
      <c r="L27" s="1672" t="s">
        <v>1141</v>
      </c>
      <c r="M27" s="1746">
        <f ca="1">INDIRECT("'数据-取费表'!ag"&amp;$G$1)</f>
        <v>0</v>
      </c>
    </row>
    <row r="28" spans="1:37" s="1638" customFormat="1" ht="18" customHeight="1">
      <c r="A28" s="1701" t="s">
        <v>862</v>
      </c>
      <c r="B28" s="1672" t="s">
        <v>1142</v>
      </c>
      <c r="C28" s="285">
        <f>ROUND(F28/(1+'数据-取费表'!C42),4)</f>
        <v>5.33E-2</v>
      </c>
      <c r="D28" s="1713" t="s">
        <v>1143</v>
      </c>
      <c r="E28" s="1672" t="s">
        <v>1089</v>
      </c>
      <c r="F28" s="1710">
        <f>'数据-取费表'!B41</f>
        <v>5.6000000000000001E-2</v>
      </c>
      <c r="G28" s="1708"/>
      <c r="H28" s="1685"/>
      <c r="I28" s="1748"/>
      <c r="J28" s="1698"/>
      <c r="K28" s="1734"/>
      <c r="L28" s="1672" t="s">
        <v>1144</v>
      </c>
      <c r="M28" s="1680">
        <f ca="1">INDIRECT("'数据-取费表'!aa"&amp;$G$1)</f>
        <v>0</v>
      </c>
      <c r="N28" s="1827"/>
      <c r="O28" s="1827"/>
      <c r="P28" s="1827"/>
      <c r="Q28" s="1827"/>
      <c r="R28" s="1827"/>
      <c r="S28" s="1827"/>
      <c r="T28" s="1827"/>
      <c r="U28" s="1827"/>
      <c r="V28" s="1827"/>
      <c r="W28" s="1827"/>
      <c r="X28" s="1827"/>
      <c r="Y28" s="1827"/>
      <c r="Z28" s="1827"/>
      <c r="AA28" s="1827"/>
      <c r="AB28" s="1827"/>
      <c r="AC28" s="1827"/>
      <c r="AD28" s="1827"/>
      <c r="AE28" s="1827"/>
      <c r="AF28" s="1827"/>
      <c r="AG28" s="1827"/>
      <c r="AH28" s="1827"/>
      <c r="AI28" s="1827"/>
      <c r="AJ28" s="1827"/>
      <c r="AK28" s="1827"/>
    </row>
    <row r="29" spans="1:37" s="1638" customFormat="1" ht="18" customHeight="1" thickBot="1">
      <c r="A29" s="1709" t="s">
        <v>1049</v>
      </c>
      <c r="B29" s="1694" t="s">
        <v>1145</v>
      </c>
      <c r="C29" s="1718">
        <f ca="1">ROUND((C19+C20+C23+C26)/(1-F21-C24-C27-C28),0)</f>
        <v>8602</v>
      </c>
      <c r="D29" s="1719"/>
      <c r="E29" s="1694"/>
      <c r="F29" s="1720"/>
      <c r="G29" s="1708"/>
      <c r="H29" s="1721" t="s">
        <v>1146</v>
      </c>
      <c r="I29" s="1749" t="s">
        <v>1147</v>
      </c>
      <c r="J29" s="1750">
        <f ca="1">ROUND(J26/(1+F40)^F41,0)</f>
        <v>0</v>
      </c>
      <c r="K29" s="1751" t="s">
        <v>1148</v>
      </c>
      <c r="L29" s="1752"/>
      <c r="M29" s="1753">
        <f ca="1">INDIRECT("'数据-取费表'!k"&amp;$G$1)</f>
        <v>18020.97</v>
      </c>
      <c r="N29" s="1827"/>
      <c r="O29" s="1827"/>
      <c r="P29" s="1827"/>
      <c r="Q29" s="1827"/>
      <c r="R29" s="1827"/>
      <c r="S29" s="1827"/>
      <c r="T29" s="1827"/>
      <c r="U29" s="1827"/>
      <c r="V29" s="1827"/>
      <c r="W29" s="1827"/>
      <c r="X29" s="1827"/>
      <c r="Y29" s="1827"/>
      <c r="Z29" s="1827"/>
      <c r="AA29" s="1827"/>
      <c r="AB29" s="1827"/>
      <c r="AC29" s="1827"/>
      <c r="AD29" s="1827"/>
      <c r="AE29" s="1827"/>
      <c r="AF29" s="1827"/>
      <c r="AG29" s="1827"/>
      <c r="AH29" s="1827"/>
      <c r="AI29" s="1827"/>
      <c r="AJ29" s="1827"/>
      <c r="AK29" s="1827"/>
    </row>
    <row r="30" spans="1:37" ht="18" customHeight="1" thickTop="1">
      <c r="A30" s="1696" t="s">
        <v>1090</v>
      </c>
      <c r="B30" s="1697" t="s">
        <v>1091</v>
      </c>
      <c r="C30" s="1698">
        <f ca="1">ROUND(C31+C36+C37+C38,0)</f>
        <v>188</v>
      </c>
      <c r="D30" s="1722" t="s">
        <v>1092</v>
      </c>
      <c r="E30" s="3034"/>
      <c r="F30" s="1668"/>
      <c r="G30" s="1662"/>
      <c r="H30" s="1724"/>
      <c r="I30" s="1829"/>
      <c r="J30" s="1830"/>
      <c r="K30" s="1814"/>
      <c r="L30" s="1831"/>
      <c r="M30" s="1832"/>
    </row>
    <row r="31" spans="1:37" ht="18" customHeight="1">
      <c r="A31" s="1701" t="s">
        <v>806</v>
      </c>
      <c r="B31" s="1672" t="s">
        <v>1097</v>
      </c>
      <c r="C31" s="285">
        <f ca="1">ROUND(IF(项目基本情况!B11="自然人",C5*F31,C32+C33+C34),1)</f>
        <v>4.2</v>
      </c>
      <c r="D31" s="3027" t="s">
        <v>1098</v>
      </c>
      <c r="E31" s="3031" t="s">
        <v>1099</v>
      </c>
      <c r="F31" s="1726" t="str">
        <f ca="1">IF(项目基本情况!B11="企业","",IF(INDIRECT("'数据-取费表'!c"&amp;$G$1)="住宅",5%,IF(F6*F7*F8/12/(1+'数据-取费表'!C42)&gt;20000,12%,7%)))</f>
        <v/>
      </c>
      <c r="G31" s="1662"/>
      <c r="H31" s="1724"/>
      <c r="I31" s="1829"/>
      <c r="J31" s="1830"/>
      <c r="K31" s="1814"/>
      <c r="L31" s="1831"/>
      <c r="M31" s="1832"/>
    </row>
    <row r="32" spans="1:37" ht="18" customHeight="1">
      <c r="A32" s="1701" t="s">
        <v>829</v>
      </c>
      <c r="B32" s="1672" t="s">
        <v>1101</v>
      </c>
      <c r="C32" s="285">
        <f ca="1">IF(项目基本情况!B11="自然人","——",ROUND(C5*F32/(1+'数据-取费表'!C42),2))</f>
        <v>0</v>
      </c>
      <c r="D32" s="3031" t="s">
        <v>1102</v>
      </c>
      <c r="E32" s="1672" t="s">
        <v>1089</v>
      </c>
      <c r="F32" s="1717">
        <f>'数据-取费表'!B41</f>
        <v>5.6000000000000001E-2</v>
      </c>
      <c r="G32" s="1662"/>
      <c r="H32" s="1724"/>
      <c r="I32" s="1829"/>
      <c r="J32" s="1830"/>
      <c r="K32" s="1814"/>
      <c r="L32" s="1831"/>
      <c r="M32" s="1832"/>
    </row>
    <row r="33" spans="1:18" ht="18" customHeight="1">
      <c r="A33" s="1701" t="s">
        <v>834</v>
      </c>
      <c r="B33" s="1672" t="s">
        <v>1105</v>
      </c>
      <c r="C33" s="285">
        <f ca="1">IF(项目基本情况!B11="自然人","——",IF(D33="按租金收入计税",ROUND(C5*F33,2),IF(D33="按房产原值计税",ROUND(C29*F33*0.7,2),INDIRECT("'数据-取费表'!Aj"&amp;$G$1))))</f>
        <v>0</v>
      </c>
      <c r="D33" s="1727" t="s">
        <v>3372</v>
      </c>
      <c r="E33" s="1672" t="s">
        <v>1089</v>
      </c>
      <c r="F33" s="1710">
        <f>IF(D33="按票据","——",IF(D33="按租金收入计税",'数据-取费表'!B51,'数据-取费表'!B50))</f>
        <v>0.12</v>
      </c>
      <c r="G33" s="1662"/>
      <c r="H33" s="1728"/>
      <c r="I33" s="1833"/>
      <c r="J33" s="1834"/>
      <c r="K33" s="1835"/>
      <c r="L33" s="1728"/>
      <c r="M33" s="1728"/>
    </row>
    <row r="34" spans="1:18" ht="18" customHeight="1">
      <c r="A34" s="1669" t="s">
        <v>837</v>
      </c>
      <c r="B34" s="1671" t="s">
        <v>1109</v>
      </c>
      <c r="C34" s="1729">
        <f ca="1">IF(项目基本情况!B11="自然人","——",ROUND(F34*F35/10000,2))</f>
        <v>4.18</v>
      </c>
      <c r="D34" s="1730" t="s">
        <v>1110</v>
      </c>
      <c r="E34" s="1672" t="s">
        <v>1111</v>
      </c>
      <c r="F34" s="1716">
        <f>'数据-取费表'!B52</f>
        <v>5</v>
      </c>
      <c r="G34" s="1662"/>
      <c r="H34" s="1724"/>
      <c r="I34" s="1833"/>
      <c r="J34" s="1834"/>
      <c r="K34" s="1836"/>
      <c r="L34" s="1837"/>
      <c r="M34" s="1837"/>
    </row>
    <row r="35" spans="1:18" ht="18" customHeight="1">
      <c r="A35" s="1731"/>
      <c r="B35" s="1732"/>
      <c r="C35" s="1733"/>
      <c r="D35" s="1734"/>
      <c r="E35" s="1672" t="s">
        <v>1115</v>
      </c>
      <c r="F35" s="1673">
        <f ca="1">INDIRECT("'数据-取费表'!r"&amp;$G$1)</f>
        <v>8354.7999999999993</v>
      </c>
      <c r="G35" s="1662"/>
      <c r="H35" s="1724"/>
      <c r="I35" s="1833"/>
      <c r="J35" s="1834"/>
      <c r="K35" s="1835"/>
      <c r="L35" s="1728"/>
      <c r="M35" s="1728"/>
    </row>
    <row r="36" spans="1:18" ht="18" customHeight="1">
      <c r="A36" s="1735" t="s">
        <v>810</v>
      </c>
      <c r="B36" s="1672" t="s">
        <v>1117</v>
      </c>
      <c r="C36" s="285">
        <f ca="1">ROUND(C29*F36,1)</f>
        <v>172</v>
      </c>
      <c r="D36" s="3031" t="s">
        <v>1149</v>
      </c>
      <c r="E36" s="1672" t="s">
        <v>1089</v>
      </c>
      <c r="F36" s="1736">
        <f ca="1">INDIRECT("'数据-取费表'!Ak"&amp;$G$1)</f>
        <v>0.02</v>
      </c>
      <c r="G36" s="1662"/>
      <c r="H36" s="1728"/>
      <c r="I36" s="1833"/>
      <c r="J36" s="1834"/>
      <c r="K36" s="1838"/>
      <c r="L36" s="1728"/>
      <c r="M36" s="1728"/>
    </row>
    <row r="37" spans="1:18" ht="18" customHeight="1">
      <c r="A37" s="1701" t="s">
        <v>854</v>
      </c>
      <c r="B37" s="1672" t="s">
        <v>1121</v>
      </c>
      <c r="C37" s="285">
        <f ca="1">ROUND(C13*F37,1)</f>
        <v>11.9</v>
      </c>
      <c r="D37" s="3031" t="s">
        <v>1122</v>
      </c>
      <c r="E37" s="1672" t="s">
        <v>1089</v>
      </c>
      <c r="F37" s="1737">
        <f ca="1">INDIRECT("'数据-取费表'!Al"&amp;$G$1)</f>
        <v>1.5E-3</v>
      </c>
      <c r="G37" s="1662"/>
      <c r="H37" s="1728"/>
      <c r="I37" s="1833"/>
      <c r="J37" s="1834"/>
      <c r="K37" s="1838"/>
      <c r="L37" s="1728"/>
      <c r="M37" s="1728"/>
    </row>
    <row r="38" spans="1:18" ht="18" customHeight="1" thickBot="1">
      <c r="A38" s="1709" t="s">
        <v>858</v>
      </c>
      <c r="B38" s="1694" t="s">
        <v>1107</v>
      </c>
      <c r="C38" s="1718">
        <f ca="1">ROUND(C5*F38,1)</f>
        <v>0</v>
      </c>
      <c r="D38" s="1719" t="s">
        <v>1125</v>
      </c>
      <c r="E38" s="1694" t="s">
        <v>1089</v>
      </c>
      <c r="F38" s="1695">
        <f ca="1">INDIRECT("'数据-取费表'!Am"&amp;$G$1)</f>
        <v>0.02</v>
      </c>
      <c r="G38" s="1662"/>
      <c r="H38" s="1728"/>
      <c r="I38" s="1833"/>
      <c r="J38" s="1834"/>
      <c r="K38" s="1839"/>
      <c r="L38" s="1728"/>
      <c r="M38" s="1728"/>
    </row>
    <row r="39" spans="1:18" ht="24.6" customHeight="1" thickTop="1">
      <c r="A39" s="1696" t="s">
        <v>1128</v>
      </c>
      <c r="B39" s="1738" t="s">
        <v>1129</v>
      </c>
      <c r="C39" s="1698">
        <f ca="1">C5-C30</f>
        <v>-188</v>
      </c>
      <c r="D39" s="1739" t="s">
        <v>1130</v>
      </c>
      <c r="E39" s="1740"/>
      <c r="F39" s="1741"/>
      <c r="G39" s="1662"/>
      <c r="H39" s="1728"/>
      <c r="I39" s="1833"/>
      <c r="J39" s="1834"/>
      <c r="K39" s="1839"/>
      <c r="L39" s="1728"/>
      <c r="M39" s="1728"/>
    </row>
    <row r="40" spans="1:18" ht="18" customHeight="1">
      <c r="A40" s="1663" t="s">
        <v>1134</v>
      </c>
      <c r="B40" s="1664" t="s">
        <v>1150</v>
      </c>
      <c r="C40" s="1742">
        <f ca="1">ROUND(C39*(1-((1+F42)/(1+F40))^F41)/(F40-F42),0)</f>
        <v>0</v>
      </c>
      <c r="D40" s="1730" t="s">
        <v>1136</v>
      </c>
      <c r="E40" s="1672" t="s">
        <v>1137</v>
      </c>
      <c r="F40" s="1680">
        <f ca="1">INDIRECT("'数据-取费表'!I"&amp;$G$1)</f>
        <v>5.5E-2</v>
      </c>
      <c r="G40" s="1662"/>
      <c r="H40" s="1743"/>
      <c r="I40" s="1833"/>
      <c r="J40" s="1834"/>
      <c r="K40" s="1839"/>
      <c r="L40" s="1743"/>
      <c r="M40" s="1743"/>
    </row>
    <row r="41" spans="1:18" ht="18" customHeight="1">
      <c r="A41" s="1678"/>
      <c r="B41" s="1744"/>
      <c r="C41" s="1679"/>
      <c r="D41" s="1745" t="s">
        <v>1140</v>
      </c>
      <c r="E41" s="1672" t="s">
        <v>1141</v>
      </c>
      <c r="F41" s="1746">
        <f ca="1">IF(INDIRECT("'数据-取费表'!af"&amp;$G$1)=0,INDIRECT("'数据-取费表'!ae"&amp;$G$1),INDIRECT("'数据-取费表'!af"&amp;$G$1))</f>
        <v>0</v>
      </c>
      <c r="G41" s="1662"/>
      <c r="H41" s="1747"/>
      <c r="I41" s="1833"/>
      <c r="J41" s="1834"/>
      <c r="K41" s="1838"/>
      <c r="L41" s="1747"/>
      <c r="M41" s="1747"/>
    </row>
    <row r="42" spans="1:18" ht="18" customHeight="1">
      <c r="A42" s="1685"/>
      <c r="B42" s="1748"/>
      <c r="C42" s="1698"/>
      <c r="D42" s="1734"/>
      <c r="E42" s="1672" t="s">
        <v>1144</v>
      </c>
      <c r="F42" s="1680">
        <f ca="1">INDIRECT("'数据-取费表'!v"&amp;$G$1)</f>
        <v>0.02</v>
      </c>
      <c r="G42" s="1662"/>
      <c r="H42" s="1747"/>
      <c r="I42" s="1833"/>
      <c r="J42" s="1834"/>
      <c r="K42" s="1838"/>
      <c r="L42" s="1747"/>
      <c r="M42" s="1747"/>
    </row>
    <row r="43" spans="1:18" ht="18" customHeight="1" thickBot="1">
      <c r="A43" s="1721" t="s">
        <v>1146</v>
      </c>
      <c r="B43" s="1749" t="s">
        <v>1151</v>
      </c>
      <c r="C43" s="1750">
        <f ca="1">ROUND(C40*10000/F43,0)</f>
        <v>0</v>
      </c>
      <c r="D43" s="1751" t="s">
        <v>1152</v>
      </c>
      <c r="E43" s="1752" t="s">
        <v>1153</v>
      </c>
      <c r="F43" s="1753">
        <f ca="1">INDIRECT("'数据-取费表'!k"&amp;$G$1)</f>
        <v>18020.97</v>
      </c>
      <c r="G43" s="1662"/>
      <c r="H43" s="1747"/>
      <c r="I43" s="1747"/>
      <c r="J43" s="1747"/>
      <c r="K43" s="1838"/>
      <c r="L43" s="1747"/>
      <c r="M43" s="1747"/>
    </row>
    <row r="44" spans="1:18" s="739" customFormat="1" ht="18" customHeight="1">
      <c r="A44" s="1754"/>
      <c r="B44" s="1754"/>
      <c r="C44" s="1755"/>
      <c r="D44" s="1754"/>
      <c r="E44" s="1754"/>
      <c r="F44" s="1754"/>
      <c r="K44" s="1840"/>
    </row>
    <row r="45" spans="1:18" s="739" customFormat="1" ht="18" customHeight="1" thickBot="1">
      <c r="A45" s="1754"/>
      <c r="B45" s="1754"/>
      <c r="C45" s="1755"/>
      <c r="D45" s="1754"/>
      <c r="E45" s="1754"/>
      <c r="F45" s="1754"/>
      <c r="J45" s="315"/>
      <c r="O45" s="1841" t="s">
        <v>1154</v>
      </c>
      <c r="P45" s="1743"/>
      <c r="Q45" s="1743"/>
      <c r="R45" s="1743"/>
    </row>
    <row r="46" spans="1:18" s="739" customFormat="1" ht="13.5" thickBot="1">
      <c r="A46" s="1758" t="s">
        <v>1155</v>
      </c>
      <c r="C46" s="1759">
        <f ca="1">C68-C40</f>
        <v>0</v>
      </c>
      <c r="D46" s="1760" t="str">
        <f>C2</f>
        <v>万元</v>
      </c>
      <c r="E46" s="1754"/>
      <c r="F46" s="1754"/>
      <c r="I46" s="1842" t="s">
        <v>1156</v>
      </c>
      <c r="J46" s="1843"/>
      <c r="K46" s="1844"/>
      <c r="L46" s="1845" t="str">
        <f ca="1">IF(M47="住宅",0,IF(L48&gt;J51,L60,J60))</f>
        <v>0</v>
      </c>
      <c r="O46" s="1846" t="s">
        <v>1157</v>
      </c>
      <c r="P46" s="1847" t="s">
        <v>1158</v>
      </c>
      <c r="Q46" s="1891" t="s">
        <v>1159</v>
      </c>
      <c r="R46" s="1891" t="s">
        <v>1160</v>
      </c>
    </row>
    <row r="47" spans="1:18" s="739" customFormat="1" ht="13.5" thickBot="1">
      <c r="A47" s="1761" t="s">
        <v>1061</v>
      </c>
      <c r="B47" s="1762" t="s">
        <v>1062</v>
      </c>
      <c r="C47" s="1918" t="s">
        <v>1063</v>
      </c>
      <c r="D47" s="1762" t="s">
        <v>1064</v>
      </c>
      <c r="E47" s="1763" t="s">
        <v>1065</v>
      </c>
      <c r="F47" s="278"/>
      <c r="G47" s="1764"/>
      <c r="I47" s="1848" t="s">
        <v>1161</v>
      </c>
      <c r="J47" s="1849" t="s">
        <v>3381</v>
      </c>
      <c r="K47" s="1850" t="s">
        <v>1162</v>
      </c>
      <c r="L47" s="1851">
        <f ca="1">INDIRECT("'数据-取费表'!d"&amp;$G$1)</f>
        <v>40</v>
      </c>
      <c r="M47" s="1852" t="str">
        <f>IF(ISNUMBER(FIND("住宅",C1)),"住宅","非住宅")</f>
        <v>非住宅</v>
      </c>
      <c r="O47" s="1853" t="s">
        <v>910</v>
      </c>
      <c r="P47" s="1854" t="s">
        <v>1163</v>
      </c>
      <c r="Q47" s="1892">
        <f ca="1">C40+J29</f>
        <v>0</v>
      </c>
      <c r="R47" s="1892" t="s">
        <v>1164</v>
      </c>
    </row>
    <row r="48" spans="1:18" s="739" customFormat="1" ht="28.5" thickBot="1">
      <c r="A48" s="1765" t="s">
        <v>1165</v>
      </c>
      <c r="B48" s="1664" t="s">
        <v>1066</v>
      </c>
      <c r="C48" s="3032">
        <f ca="1">C49+C53+C55</f>
        <v>0</v>
      </c>
      <c r="D48" s="1766"/>
      <c r="E48" s="1767"/>
      <c r="F48" s="1768"/>
      <c r="G48" s="1764"/>
      <c r="H48" s="1769"/>
      <c r="I48" s="796" t="s">
        <v>1166</v>
      </c>
      <c r="J48" s="1855" t="s">
        <v>3382</v>
      </c>
      <c r="K48" s="1856" t="s">
        <v>1167</v>
      </c>
      <c r="L48" s="1857">
        <f ca="1">INDIRECT("'数据-取费表'!f"&amp;$G$1)</f>
        <v>34.03</v>
      </c>
      <c r="O48" s="1853" t="s">
        <v>913</v>
      </c>
      <c r="P48" s="1854" t="s">
        <v>1168</v>
      </c>
      <c r="Q48" s="1892" t="str">
        <f ca="1">J60</f>
        <v>0</v>
      </c>
      <c r="R48" s="1892" t="s">
        <v>1169</v>
      </c>
    </row>
    <row r="49" spans="1:18" s="739" customFormat="1" ht="13.5" thickBot="1">
      <c r="A49" s="1770" t="s">
        <v>1170</v>
      </c>
      <c r="B49" s="1771" t="s">
        <v>1171</v>
      </c>
      <c r="C49" s="1772">
        <f ca="1">ROUND(F49*F51*F50*(1-F52)/10000,0)</f>
        <v>0</v>
      </c>
      <c r="D49" s="1773" t="s">
        <v>1071</v>
      </c>
      <c r="E49" s="1774" t="s">
        <v>1172</v>
      </c>
      <c r="F49" s="1775"/>
      <c r="G49" s="1776"/>
      <c r="H49" s="1769"/>
      <c r="I49" s="796" t="s">
        <v>1173</v>
      </c>
      <c r="J49" s="1858">
        <v>2013</v>
      </c>
      <c r="K49" s="1856" t="s">
        <v>1174</v>
      </c>
      <c r="L49" s="1859"/>
      <c r="O49" s="1860" t="s">
        <v>1175</v>
      </c>
      <c r="P49" s="1854" t="s">
        <v>1176</v>
      </c>
      <c r="Q49" s="1892">
        <f ca="1">C29</f>
        <v>8602</v>
      </c>
      <c r="R49" s="1892" t="s">
        <v>1164</v>
      </c>
    </row>
    <row r="50" spans="1:18" s="739" customFormat="1" ht="13.5" thickBot="1">
      <c r="A50" s="1777"/>
      <c r="B50" s="1778"/>
      <c r="C50" s="1919"/>
      <c r="D50" s="1780"/>
      <c r="E50" s="1781" t="s">
        <v>1072</v>
      </c>
      <c r="F50" s="1782">
        <f ca="1">F7</f>
        <v>18020.97</v>
      </c>
      <c r="H50" s="1769"/>
      <c r="I50" s="796" t="s">
        <v>1177</v>
      </c>
      <c r="J50" s="1861">
        <f>SUMPRODUCT((I63:I65=J47)*(J62:L62=J48)*(J63:L65))</f>
        <v>60</v>
      </c>
      <c r="K50" s="1856" t="s">
        <v>1178</v>
      </c>
      <c r="L50" s="1859"/>
      <c r="M50" s="1862"/>
      <c r="O50" s="1860" t="s">
        <v>1179</v>
      </c>
      <c r="P50" s="1854" t="s">
        <v>1180</v>
      </c>
      <c r="Q50" s="1893" t="e">
        <f ca="1">J58</f>
        <v>#VALUE!</v>
      </c>
      <c r="R50" s="1892"/>
    </row>
    <row r="51" spans="1:18" s="739" customFormat="1" ht="13.5" thickBot="1">
      <c r="A51" s="1783"/>
      <c r="B51" s="1778"/>
      <c r="C51" s="1779"/>
      <c r="D51" s="1780"/>
      <c r="E51" s="1784" t="s">
        <v>1073</v>
      </c>
      <c r="F51" s="1673">
        <f ca="1">F8</f>
        <v>365</v>
      </c>
      <c r="I51" s="1863" t="s">
        <v>1181</v>
      </c>
      <c r="J51" s="1864">
        <f>IF(J49="",J50,J49+J50-YEAR('数据-取费表'!B2))</f>
        <v>55</v>
      </c>
      <c r="K51" s="1865" t="s">
        <v>1182</v>
      </c>
      <c r="L51" s="1866">
        <f ca="1">ROUND(-PV(INDIRECT("'数据-取费表'!h"&amp;$G$1),L48,(C39-C13*C76),0),0)</f>
        <v>-13942</v>
      </c>
      <c r="M51" s="1867"/>
      <c r="O51" s="1860" t="s">
        <v>1183</v>
      </c>
      <c r="P51" s="1854" t="s">
        <v>1184</v>
      </c>
      <c r="Q51" s="1893">
        <f>J52</f>
        <v>0.09</v>
      </c>
      <c r="R51" s="1892"/>
    </row>
    <row r="52" spans="1:18" s="739" customFormat="1" ht="13.5" thickBot="1">
      <c r="A52" s="1783"/>
      <c r="B52" s="1778"/>
      <c r="C52" s="1779"/>
      <c r="D52" s="1780"/>
      <c r="E52" s="1784" t="s">
        <v>1074</v>
      </c>
      <c r="F52" s="1785"/>
      <c r="I52" s="1868" t="s">
        <v>1185</v>
      </c>
      <c r="J52" s="1869">
        <v>0.09</v>
      </c>
      <c r="K52" s="1868" t="s">
        <v>1186</v>
      </c>
      <c r="L52" s="1869"/>
      <c r="O52" s="1860" t="s">
        <v>1187</v>
      </c>
      <c r="P52" s="1854" t="s">
        <v>1188</v>
      </c>
      <c r="Q52" s="1892">
        <f ca="1">J53</f>
        <v>34.03</v>
      </c>
      <c r="R52" s="1892" t="s">
        <v>1189</v>
      </c>
    </row>
    <row r="53" spans="1:18" s="739" customFormat="1" ht="24.75" thickBot="1">
      <c r="A53" s="1920" t="s">
        <v>1190</v>
      </c>
      <c r="B53" s="1921" t="s">
        <v>1075</v>
      </c>
      <c r="C53" s="284">
        <f ca="1">ROUND(IF(F53="押一",C49/12*F11,IF(F53="押二",C49/12*2*F11,IF(F53="押三",C49/12*3*F11,C54*F11))),0)</f>
        <v>0</v>
      </c>
      <c r="D53" s="1682" t="s">
        <v>1076</v>
      </c>
      <c r="E53" s="1683" t="s">
        <v>1077</v>
      </c>
      <c r="F53" s="1684"/>
      <c r="I53" s="1870" t="s">
        <v>1191</v>
      </c>
      <c r="J53" s="1871">
        <f ca="1">IF(M47="住宅",IF(D1="——",MAX(J51,L48),IF(D1="在建（套用方法）",MAX(J51,L48-'数据-取费表'!B24),MAX(J51,L48-'数据-取费表'!B20))),IF(D1="——",MIN(J51,L48),IF(D1="在建（套用方法）",MIN(J51,L48-'数据-取费表'!B24),IF(D1="土地（套用方法）",MIN(J51,L48-'数据-取费表'!B20)))))</f>
        <v>34.03</v>
      </c>
      <c r="K53" s="3503" t="s">
        <v>1192</v>
      </c>
      <c r="L53" s="3504"/>
      <c r="O53" s="1853" t="s">
        <v>1016</v>
      </c>
      <c r="P53" s="1854" t="s">
        <v>1193</v>
      </c>
      <c r="Q53" s="1892">
        <f ca="1">Q47+Q48</f>
        <v>0</v>
      </c>
      <c r="R53" s="1892" t="s">
        <v>1194</v>
      </c>
    </row>
    <row r="54" spans="1:18" s="739" customFormat="1" ht="13.5" thickBot="1">
      <c r="A54" s="1922"/>
      <c r="B54" s="1686" t="s">
        <v>1079</v>
      </c>
      <c r="C54" s="1687"/>
      <c r="D54" s="1682"/>
      <c r="E54" s="3026"/>
      <c r="F54" s="1789"/>
      <c r="I54" s="187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73"/>
      <c r="K54" s="1873"/>
      <c r="L54" s="1873"/>
      <c r="M54" s="1776"/>
      <c r="O54" s="1841" t="s">
        <v>1195</v>
      </c>
      <c r="P54" s="1743"/>
      <c r="Q54" s="1743"/>
      <c r="R54" s="1743"/>
    </row>
    <row r="55" spans="1:18" s="739" customFormat="1" ht="13.5" thickBot="1">
      <c r="A55" s="1690" t="s">
        <v>854</v>
      </c>
      <c r="B55" s="1691" t="s">
        <v>1081</v>
      </c>
      <c r="C55" s="1692"/>
      <c r="D55" s="1682"/>
      <c r="E55" s="3026"/>
      <c r="F55" s="1789"/>
      <c r="I55" s="1874" t="s">
        <v>1196</v>
      </c>
      <c r="J55" s="1875" t="e">
        <f ca="1">ROUND(IF(J47="钢混",J57/J50,1-(1-2%)*(J50-J57)/J50),3)</f>
        <v>#VALUE!</v>
      </c>
      <c r="K55" s="1876" t="s">
        <v>1197</v>
      </c>
      <c r="L55" s="1877" t="s">
        <v>3383</v>
      </c>
      <c r="O55" s="1846" t="s">
        <v>1157</v>
      </c>
      <c r="P55" s="1847" t="s">
        <v>1158</v>
      </c>
      <c r="Q55" s="1891" t="s">
        <v>1159</v>
      </c>
      <c r="R55" s="1891" t="s">
        <v>1160</v>
      </c>
    </row>
    <row r="56" spans="1:18" s="739" customFormat="1" ht="25.5" thickTop="1" thickBot="1">
      <c r="A56" s="1790">
        <v>2</v>
      </c>
      <c r="B56" s="1791" t="s">
        <v>1082</v>
      </c>
      <c r="C56" s="180">
        <f ca="1">C13</f>
        <v>7914</v>
      </c>
      <c r="D56" s="1792"/>
      <c r="E56" s="1793"/>
      <c r="F56" s="1789"/>
      <c r="I56" s="1878" t="s">
        <v>1198</v>
      </c>
      <c r="J56" s="1879" t="s">
        <v>3373</v>
      </c>
      <c r="K56" s="796" t="s">
        <v>1199</v>
      </c>
      <c r="L56" s="1857" t="str">
        <f ca="1">IF(L48&lt;J51,"——",L48-J53)</f>
        <v>——</v>
      </c>
      <c r="O56" s="1853" t="s">
        <v>910</v>
      </c>
      <c r="P56" s="1854" t="s">
        <v>1163</v>
      </c>
      <c r="Q56" s="1892">
        <f ca="1">C40+J29</f>
        <v>0</v>
      </c>
      <c r="R56" s="1892" t="s">
        <v>1164</v>
      </c>
    </row>
    <row r="57" spans="1:18" s="739" customFormat="1" ht="24.75" thickBot="1">
      <c r="A57" s="1794"/>
      <c r="B57" s="1795" t="s">
        <v>1145</v>
      </c>
      <c r="C57" s="190">
        <f ca="1">C29</f>
        <v>8602</v>
      </c>
      <c r="D57" s="1796"/>
      <c r="E57" s="1797"/>
      <c r="F57" s="1798"/>
      <c r="I57" s="1880" t="s">
        <v>1200</v>
      </c>
      <c r="J57" s="1881" t="str">
        <f ca="1">IF(OR(M47="住宅",J51&lt;L48,J56="是"),"——",J51-L48)</f>
        <v>——</v>
      </c>
      <c r="K57" s="796" t="s">
        <v>1201</v>
      </c>
      <c r="L57" s="1857" t="str">
        <f ca="1">IF(L48&lt;J51,"——",IF(L55="比较法",L49,IF(L55="基准地价",L50,L51)))</f>
        <v>——</v>
      </c>
      <c r="O57" s="1853" t="s">
        <v>913</v>
      </c>
      <c r="P57" s="1854" t="s">
        <v>1202</v>
      </c>
      <c r="Q57" s="1892">
        <f ca="1">L60</f>
        <v>0</v>
      </c>
      <c r="R57" s="1892" t="s">
        <v>1203</v>
      </c>
    </row>
    <row r="58" spans="1:18" s="739" customFormat="1" ht="24.75" thickBot="1">
      <c r="A58" s="1799" t="s">
        <v>1090</v>
      </c>
      <c r="B58" s="1791" t="s">
        <v>1091</v>
      </c>
      <c r="C58" s="284">
        <f ca="1">ROUND(C59+C64+C65+C66,0)</f>
        <v>911</v>
      </c>
      <c r="D58" s="1800" t="s">
        <v>1092</v>
      </c>
      <c r="E58" s="1801"/>
      <c r="F58" s="1768"/>
      <c r="I58" s="1880" t="s">
        <v>1204</v>
      </c>
      <c r="J58" s="1882" t="e">
        <f ca="1">IF(J55&lt;0.4,0.4,J55)</f>
        <v>#VALUE!</v>
      </c>
      <c r="K58" s="1865" t="s">
        <v>1205</v>
      </c>
      <c r="L58" s="1857" t="e">
        <f ca="1">ROUND(POWER(1+L52,L47-L48)*(POWER(1+L52,L48)-1)/(POWER(1+L52,L47)-1),4)</f>
        <v>#DIV/0!</v>
      </c>
      <c r="O58" s="1860" t="s">
        <v>1175</v>
      </c>
      <c r="P58" s="1854" t="s">
        <v>1206</v>
      </c>
      <c r="Q58" s="1892">
        <f>IF(L55="比较法",L49,IF(L55="基准地价",L50,0))</f>
        <v>0</v>
      </c>
      <c r="R58" s="1892" t="s">
        <v>1164</v>
      </c>
    </row>
    <row r="59" spans="1:18" s="739" customFormat="1" ht="24.75" thickBot="1">
      <c r="A59" s="1701" t="s">
        <v>806</v>
      </c>
      <c r="B59" s="1795" t="s">
        <v>1097</v>
      </c>
      <c r="C59" s="285">
        <f ca="1">ROUND(IF(项目基本情况!B11="自然人",C48*F59,C60+C61+C62),1)</f>
        <v>726.8</v>
      </c>
      <c r="D59" s="1802" t="s">
        <v>1098</v>
      </c>
      <c r="E59" s="1803" t="s">
        <v>1099</v>
      </c>
      <c r="F59" s="1726" t="str">
        <f ca="1">IF(项目基本情况!B11="企业","",IF(INDIRECT("'数据-取费表'!c"&amp;$G$1)="住宅",5%,IF(F49*F50*F51/12/(1+'数据-取费表'!C42)&gt;20000,12%,7%)))</f>
        <v/>
      </c>
      <c r="I59" s="1880" t="s">
        <v>1207</v>
      </c>
      <c r="J59" s="1881" t="str">
        <f ca="1">IF(OR(M47="住宅",J51&lt;L48,J56="是"),"——",ROUND(C29*J58,0))</f>
        <v>——</v>
      </c>
      <c r="K59" s="79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57" t="e">
        <f ca="1">ROUND(IF(D1="在建（套用方法）",M59,IF(D1="土地（套用方法）",N59,POWER(1+L52,L47-J51)*(POWER(1+L52,J51)-1)/(POWER(1+L52,L47)-1))),4)</f>
        <v>#DIV/0!</v>
      </c>
      <c r="M59" s="1852" t="e">
        <f ca="1">ROUND(POWER(1+L52,L47-(J51+'数据-取费表'!B24))*(POWER(1+L52,(J51+'数据-取费表'!B24))-1)/(POWER(1+L52,L47)-1),4)</f>
        <v>#DIV/0!</v>
      </c>
      <c r="N59" s="1852" t="e">
        <f ca="1">ROUND(POWER(1+L52,L47-(J51+'数据-取费表'!B20))*(POWER(1+L52,(J51+'数据-取费表'!B20))-1)/(POWER(1+L52,L47)-1),4)</f>
        <v>#DIV/0!</v>
      </c>
      <c r="O59" s="1860" t="s">
        <v>1179</v>
      </c>
      <c r="P59" s="1854" t="s">
        <v>1208</v>
      </c>
      <c r="Q59" s="1893">
        <f>L52</f>
        <v>0</v>
      </c>
      <c r="R59" s="1892"/>
    </row>
    <row r="60" spans="1:18" s="739" customFormat="1" ht="16.5" thickBot="1">
      <c r="A60" s="1701" t="s">
        <v>829</v>
      </c>
      <c r="B60" s="1795" t="s">
        <v>1101</v>
      </c>
      <c r="C60" s="285">
        <f ca="1">IF(项目基本情况!B11="自然人","——",ROUND(C48*F60/(1+'数据-取费表'!C42),2))</f>
        <v>0</v>
      </c>
      <c r="D60" s="1803" t="s">
        <v>1102</v>
      </c>
      <c r="E60" s="1795" t="s">
        <v>1089</v>
      </c>
      <c r="F60" s="1717">
        <f t="shared" ref="F60:F66" si="0">F32</f>
        <v>5.6000000000000001E-2</v>
      </c>
      <c r="I60" s="1883" t="s">
        <v>1209</v>
      </c>
      <c r="J60" s="1884" t="str">
        <f ca="1">IF(OR(M47="住宅",J51&lt;L48,J56="是"),"0",ROUND(J59/(1+J52)^J53,0))</f>
        <v>0</v>
      </c>
      <c r="K60" s="1885" t="s">
        <v>1210</v>
      </c>
      <c r="L60" s="1884">
        <f ca="1">IF(OR(M47="住宅",L48&lt;J51),0,ROUND(L57*(L58/L59-1),0))</f>
        <v>0</v>
      </c>
      <c r="O60" s="1860" t="s">
        <v>1183</v>
      </c>
      <c r="P60" s="1854" t="s">
        <v>1211</v>
      </c>
      <c r="Q60" s="1892" t="e">
        <f ca="1">L58</f>
        <v>#DIV/0!</v>
      </c>
      <c r="R60" s="1892" t="s">
        <v>1212</v>
      </c>
    </row>
    <row r="61" spans="1:18" s="739" customFormat="1" ht="13.5" thickBot="1">
      <c r="A61" s="1701" t="s">
        <v>834</v>
      </c>
      <c r="B61" s="1795" t="s">
        <v>1105</v>
      </c>
      <c r="C61" s="285">
        <f ca="1">IF(项目基本情况!B11="自然人","——",IF(D61="按租金收入计税",ROUND(C48*F61,2),IF(D61="按房产原值计税",ROUND(C57*F61*0.7,2),INDIRECT("'数据-取费表'!Aj"&amp;$G$1))))</f>
        <v>722.57</v>
      </c>
      <c r="D61" s="1727" t="s">
        <v>1106</v>
      </c>
      <c r="E61" s="1795" t="s">
        <v>1089</v>
      </c>
      <c r="F61" s="1710">
        <f t="shared" si="0"/>
        <v>0.12</v>
      </c>
      <c r="I61" s="1886"/>
      <c r="J61" s="1886"/>
      <c r="K61" s="1886"/>
      <c r="L61" s="1886"/>
      <c r="O61" s="1860" t="s">
        <v>1187</v>
      </c>
      <c r="P61" s="1854" t="str">
        <f>K59</f>
        <v>建筑物剩余耐用年限下的土地年期修正系数Kn</v>
      </c>
      <c r="Q61" s="1892" t="e">
        <f ca="1">L59</f>
        <v>#DIV/0!</v>
      </c>
      <c r="R61" s="1892" t="s">
        <v>1213</v>
      </c>
    </row>
    <row r="62" spans="1:18" s="739" customFormat="1" ht="13.5" thickBot="1">
      <c r="A62" s="1701" t="s">
        <v>837</v>
      </c>
      <c r="B62" s="1804" t="s">
        <v>1109</v>
      </c>
      <c r="C62" s="1729">
        <f ca="1">IF(项目基本情况!B11="自然人","——",ROUND(F62*F63/10000,2))</f>
        <v>4.18</v>
      </c>
      <c r="D62" s="1805" t="s">
        <v>1110</v>
      </c>
      <c r="E62" s="1795" t="s">
        <v>1111</v>
      </c>
      <c r="F62" s="1716">
        <f t="shared" si="0"/>
        <v>5</v>
      </c>
      <c r="I62" s="1887" t="s">
        <v>1214</v>
      </c>
      <c r="J62" s="1888" t="s">
        <v>1215</v>
      </c>
      <c r="K62" s="1888" t="s">
        <v>1216</v>
      </c>
      <c r="L62" s="1888" t="s">
        <v>1217</v>
      </c>
      <c r="M62" s="1889" t="s">
        <v>1218</v>
      </c>
      <c r="O62" s="1853" t="s">
        <v>1016</v>
      </c>
      <c r="P62" s="1854" t="s">
        <v>1193</v>
      </c>
      <c r="Q62" s="1892">
        <f ca="1">Q56+Q57</f>
        <v>0</v>
      </c>
      <c r="R62" s="1892" t="s">
        <v>1194</v>
      </c>
    </row>
    <row r="63" spans="1:18" s="739" customFormat="1" ht="13.5" thickBot="1">
      <c r="A63" s="1714"/>
      <c r="B63" s="1806"/>
      <c r="C63" s="1733"/>
      <c r="D63" s="1807"/>
      <c r="E63" s="1795" t="s">
        <v>1115</v>
      </c>
      <c r="F63" s="1673">
        <f t="shared" ca="1" si="0"/>
        <v>8354.7999999999993</v>
      </c>
      <c r="I63" s="1887" t="s">
        <v>1219</v>
      </c>
      <c r="J63" s="1888">
        <v>70</v>
      </c>
      <c r="K63" s="1888">
        <v>50</v>
      </c>
      <c r="L63" s="1888">
        <v>80</v>
      </c>
      <c r="M63" s="1890">
        <v>0.02</v>
      </c>
      <c r="O63" s="1841" t="s">
        <v>1220</v>
      </c>
      <c r="P63" s="1743"/>
      <c r="Q63" s="1743"/>
      <c r="R63" s="1743"/>
    </row>
    <row r="64" spans="1:18" s="739" customFormat="1" ht="13.5" thickBot="1">
      <c r="A64" s="1701" t="s">
        <v>810</v>
      </c>
      <c r="B64" s="1795" t="s">
        <v>1117</v>
      </c>
      <c r="C64" s="285">
        <f ca="1">ROUND(C57*F64,1)</f>
        <v>172</v>
      </c>
      <c r="D64" s="1803" t="s">
        <v>1149</v>
      </c>
      <c r="E64" s="1795" t="s">
        <v>1089</v>
      </c>
      <c r="F64" s="1736">
        <f t="shared" ca="1" si="0"/>
        <v>0.02</v>
      </c>
      <c r="I64" s="1887" t="s">
        <v>1221</v>
      </c>
      <c r="J64" s="1888">
        <v>50</v>
      </c>
      <c r="K64" s="1888">
        <v>35</v>
      </c>
      <c r="L64" s="1888">
        <v>60</v>
      </c>
      <c r="M64" s="1889">
        <v>0</v>
      </c>
      <c r="O64" s="1846" t="s">
        <v>1157</v>
      </c>
      <c r="P64" s="1847" t="s">
        <v>1158</v>
      </c>
      <c r="Q64" s="1891" t="s">
        <v>1159</v>
      </c>
      <c r="R64" s="1891" t="s">
        <v>1160</v>
      </c>
    </row>
    <row r="65" spans="1:18" s="739" customFormat="1" ht="13.5" thickBot="1">
      <c r="A65" s="1701" t="s">
        <v>854</v>
      </c>
      <c r="B65" s="1795" t="s">
        <v>1121</v>
      </c>
      <c r="C65" s="285">
        <f ca="1">ROUND(C56*F65,1)</f>
        <v>11.9</v>
      </c>
      <c r="D65" s="1803" t="s">
        <v>1122</v>
      </c>
      <c r="E65" s="1795" t="s">
        <v>1089</v>
      </c>
      <c r="F65" s="1737">
        <f t="shared" ca="1" si="0"/>
        <v>1.5E-3</v>
      </c>
      <c r="I65" s="1887" t="s">
        <v>1222</v>
      </c>
      <c r="J65" s="1888">
        <v>40</v>
      </c>
      <c r="K65" s="1888">
        <v>30</v>
      </c>
      <c r="L65" s="1888">
        <v>50</v>
      </c>
      <c r="M65" s="1890">
        <v>0.02</v>
      </c>
      <c r="O65" s="1853" t="s">
        <v>910</v>
      </c>
      <c r="P65" s="1854" t="s">
        <v>1163</v>
      </c>
      <c r="Q65" s="1892">
        <f ca="1">C40+J29</f>
        <v>0</v>
      </c>
      <c r="R65" s="1892" t="s">
        <v>1164</v>
      </c>
    </row>
    <row r="66" spans="1:18" s="739" customFormat="1" ht="16.5" thickBot="1">
      <c r="A66" s="1701" t="s">
        <v>858</v>
      </c>
      <c r="B66" s="1795" t="s">
        <v>1107</v>
      </c>
      <c r="C66" s="285">
        <f ca="1">ROUND(C48*F66,1)</f>
        <v>0</v>
      </c>
      <c r="D66" s="1803" t="s">
        <v>1125</v>
      </c>
      <c r="E66" s="1795" t="s">
        <v>1089</v>
      </c>
      <c r="F66" s="1680">
        <f t="shared" ca="1" si="0"/>
        <v>0.02</v>
      </c>
      <c r="O66" s="1853" t="s">
        <v>913</v>
      </c>
      <c r="P66" s="1854" t="s">
        <v>1202</v>
      </c>
      <c r="Q66" s="1892">
        <f ca="1">L60</f>
        <v>0</v>
      </c>
      <c r="R66" s="1892" t="s">
        <v>1203</v>
      </c>
    </row>
    <row r="67" spans="1:18" s="739" customFormat="1" ht="16.5" thickBot="1">
      <c r="A67" s="1790" t="s">
        <v>1128</v>
      </c>
      <c r="B67" s="1894" t="s">
        <v>1129</v>
      </c>
      <c r="C67" s="284">
        <f ca="1">C48-C58</f>
        <v>-911</v>
      </c>
      <c r="D67" s="1802" t="s">
        <v>1130</v>
      </c>
      <c r="E67" s="1895"/>
      <c r="F67" s="1896"/>
      <c r="O67" s="1860" t="s">
        <v>1175</v>
      </c>
      <c r="P67" s="1854" t="s">
        <v>1206</v>
      </c>
      <c r="Q67" s="1916">
        <f ca="1">L51</f>
        <v>-13942</v>
      </c>
      <c r="R67" s="1892" t="s">
        <v>1223</v>
      </c>
    </row>
    <row r="68" spans="1:18" s="739" customFormat="1" ht="16.5" thickBot="1">
      <c r="A68" s="1897" t="s">
        <v>1134</v>
      </c>
      <c r="B68" s="1898" t="s">
        <v>1150</v>
      </c>
      <c r="C68" s="1742">
        <f ca="1">ROUND(C67*(1-((1+F70)/(1+F68))^F69)/(F68-F70),0)</f>
        <v>0</v>
      </c>
      <c r="D68" s="1805" t="s">
        <v>1136</v>
      </c>
      <c r="E68" s="1795" t="s">
        <v>1137</v>
      </c>
      <c r="F68" s="1680">
        <f ca="1">F40</f>
        <v>5.5E-2</v>
      </c>
      <c r="O68" s="1860" t="s">
        <v>1179</v>
      </c>
      <c r="P68" s="1915" t="s">
        <v>1224</v>
      </c>
      <c r="Q68" s="1892">
        <f ca="1">ROUND(Q69-Q70*Q71,0)</f>
        <v>-861</v>
      </c>
      <c r="R68" s="1892" t="s">
        <v>1225</v>
      </c>
    </row>
    <row r="69" spans="1:18" s="739" customFormat="1" ht="13.5" thickBot="1">
      <c r="A69" s="1899"/>
      <c r="B69" s="1900"/>
      <c r="C69" s="1679"/>
      <c r="D69" s="1901" t="s">
        <v>1140</v>
      </c>
      <c r="E69" s="1795" t="s">
        <v>1141</v>
      </c>
      <c r="F69" s="1746">
        <f ca="1">F41</f>
        <v>0</v>
      </c>
      <c r="O69" s="1860" t="s">
        <v>1226</v>
      </c>
      <c r="P69" s="1915" t="s">
        <v>1227</v>
      </c>
      <c r="Q69" s="1892">
        <f ca="1">C39</f>
        <v>-188</v>
      </c>
      <c r="R69" s="1892" t="s">
        <v>1164</v>
      </c>
    </row>
    <row r="70" spans="1:18" s="739" customFormat="1" ht="13.5" thickBot="1">
      <c r="A70" s="1902"/>
      <c r="B70" s="1903"/>
      <c r="C70" s="1698"/>
      <c r="D70" s="1807"/>
      <c r="E70" s="1795" t="s">
        <v>1144</v>
      </c>
      <c r="F70" s="1785"/>
      <c r="O70" s="1860" t="s">
        <v>1228</v>
      </c>
      <c r="P70" s="1915" t="s">
        <v>1229</v>
      </c>
      <c r="Q70" s="1892">
        <f ca="1">C13</f>
        <v>7914</v>
      </c>
      <c r="R70" s="1892" t="s">
        <v>1164</v>
      </c>
    </row>
    <row r="71" spans="1:18" s="739" customFormat="1" ht="13.5" thickBot="1">
      <c r="A71" s="1904" t="s">
        <v>1146</v>
      </c>
      <c r="B71" s="1905" t="s">
        <v>1151</v>
      </c>
      <c r="C71" s="1750">
        <f ca="1">ROUND(C68*10000/F71,0)</f>
        <v>0</v>
      </c>
      <c r="D71" s="1906" t="s">
        <v>1152</v>
      </c>
      <c r="E71" s="1907" t="s">
        <v>1153</v>
      </c>
      <c r="F71" s="1753">
        <f ca="1">F43</f>
        <v>18020.97</v>
      </c>
      <c r="O71" s="1860" t="s">
        <v>1230</v>
      </c>
      <c r="P71" s="1915" t="s">
        <v>1231</v>
      </c>
      <c r="Q71" s="1893">
        <f ca="1">C76</f>
        <v>8.5000000000000006E-2</v>
      </c>
      <c r="R71" s="1892"/>
    </row>
    <row r="72" spans="1:18" s="739" customFormat="1" ht="13.5" thickBot="1">
      <c r="B72" s="315"/>
      <c r="C72" s="315"/>
      <c r="O72" s="1860" t="s">
        <v>1183</v>
      </c>
      <c r="P72" s="1854" t="s">
        <v>1208</v>
      </c>
      <c r="Q72" s="1893">
        <f>L52</f>
        <v>0</v>
      </c>
      <c r="R72" s="1892"/>
    </row>
    <row r="73" spans="1:18" ht="16.5" thickBot="1">
      <c r="A73" s="739"/>
      <c r="B73" s="315"/>
      <c r="C73" s="315"/>
      <c r="D73" s="739"/>
      <c r="E73" s="739"/>
      <c r="F73" s="739"/>
      <c r="O73" s="1860" t="s">
        <v>1187</v>
      </c>
      <c r="P73" s="1854" t="s">
        <v>1211</v>
      </c>
      <c r="Q73" s="1892" t="e">
        <f ca="1">L58</f>
        <v>#DIV/0!</v>
      </c>
      <c r="R73" s="1892" t="s">
        <v>1212</v>
      </c>
    </row>
    <row r="74" spans="1:18" ht="13.5" thickBot="1">
      <c r="A74" s="739"/>
      <c r="B74" s="222" t="s">
        <v>1232</v>
      </c>
      <c r="C74" s="1908"/>
      <c r="D74" s="739"/>
      <c r="E74" s="739"/>
      <c r="F74" s="739"/>
      <c r="O74" s="1860" t="s">
        <v>1233</v>
      </c>
      <c r="P74" s="1854" t="str">
        <f>K59</f>
        <v>建筑物剩余耐用年限下的土地年期修正系数Kn</v>
      </c>
      <c r="Q74" s="1892" t="e">
        <f ca="1">L59</f>
        <v>#DIV/0!</v>
      </c>
      <c r="R74" s="1892" t="s">
        <v>1213</v>
      </c>
    </row>
    <row r="75" spans="1:18" ht="13.5" thickBot="1">
      <c r="A75" s="739"/>
      <c r="B75" s="1909" t="s">
        <v>1234</v>
      </c>
      <c r="C75" s="1910">
        <f ca="1">ROUND(C13*C76,0)</f>
        <v>673</v>
      </c>
      <c r="D75" s="739"/>
      <c r="E75" s="739"/>
      <c r="F75" s="739"/>
      <c r="K75" s="1840"/>
      <c r="L75" s="739"/>
      <c r="O75" s="1853" t="s">
        <v>1016</v>
      </c>
      <c r="P75" s="1854" t="s">
        <v>1193</v>
      </c>
      <c r="Q75" s="1892">
        <f ca="1">Q65+Q66</f>
        <v>0</v>
      </c>
      <c r="R75" s="1892" t="s">
        <v>1194</v>
      </c>
    </row>
    <row r="76" spans="1:18">
      <c r="B76" s="563" t="s">
        <v>1235</v>
      </c>
      <c r="C76" s="1911">
        <f ca="1">INDIRECT("'数据-取费表'!j"&amp;$G$1)</f>
        <v>8.5000000000000006E-2</v>
      </c>
      <c r="I76" s="739"/>
      <c r="J76" s="739"/>
      <c r="K76" s="1840"/>
      <c r="L76" s="739"/>
    </row>
    <row r="77" spans="1:18">
      <c r="B77" s="1912" t="s">
        <v>1236</v>
      </c>
      <c r="C77" s="1913"/>
      <c r="I77" s="739"/>
      <c r="J77" s="739"/>
      <c r="K77" s="1840"/>
      <c r="L77" s="739"/>
    </row>
    <row r="78" spans="1:18">
      <c r="B78" s="220" t="s">
        <v>1237</v>
      </c>
      <c r="C78" s="1914"/>
    </row>
    <row r="79" spans="1:18">
      <c r="B79" s="1909" t="s">
        <v>1238</v>
      </c>
      <c r="C79" s="223">
        <f ca="1">1-C80</f>
        <v>4.58</v>
      </c>
    </row>
    <row r="80" spans="1:18">
      <c r="B80" s="1909" t="s">
        <v>1239</v>
      </c>
      <c r="C80" s="223">
        <f ca="1">ROUND(C75/C39,3)</f>
        <v>-3.58</v>
      </c>
    </row>
    <row r="81" spans="2:3">
      <c r="B81" s="220" t="s">
        <v>1240</v>
      </c>
      <c r="C81" s="190"/>
    </row>
    <row r="82" spans="2:3">
      <c r="B82" s="222" t="s">
        <v>989</v>
      </c>
      <c r="C82" s="224" t="e">
        <f ca="1">1-C83</f>
        <v>#DIV/0!</v>
      </c>
    </row>
    <row r="83" spans="2:3">
      <c r="B83" s="222" t="s">
        <v>990</v>
      </c>
      <c r="C83" s="223" t="e">
        <f ca="1">ROUND(C13/C40,3)</f>
        <v>#DIV/0!</v>
      </c>
    </row>
  </sheetData>
  <sheetProtection password="C66D" sheet="1" objects="1" scenarios="1" formatCells="0" formatColumns="0" formatRows="0"/>
  <mergeCells count="3">
    <mergeCell ref="B6:B9"/>
    <mergeCell ref="I6:I9"/>
    <mergeCell ref="K53:L53"/>
  </mergeCells>
  <phoneticPr fontId="225" type="noConversion"/>
  <conditionalFormatting sqref="C11">
    <cfRule type="expression" dxfId="123" priority="3">
      <formula>$F$10="自定义"</formula>
    </cfRule>
  </conditionalFormatting>
  <conditionalFormatting sqref="J11">
    <cfRule type="expression" dxfId="122" priority="2">
      <formula>$M$10="自定义"</formula>
    </cfRule>
  </conditionalFormatting>
  <conditionalFormatting sqref="C54">
    <cfRule type="expression" dxfId="121" priority="1">
      <formula>$F$53="自定义"</formula>
    </cfRule>
  </conditionalFormatting>
  <conditionalFormatting sqref="I55 I60">
    <cfRule type="expression" dxfId="120" priority="5">
      <formula>$J$51&gt;$L$48</formula>
    </cfRule>
  </conditionalFormatting>
  <conditionalFormatting sqref="K55 K60">
    <cfRule type="expression" dxfId="119" priority="4">
      <formula>$L$48&gt;$J$51</formula>
    </cfRule>
  </conditionalFormatting>
  <dataValidations count="9">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M10 F53">
      <formula1>"押一,押二,押三,自定义"</formula1>
    </dataValidation>
    <dataValidation type="list" allowBlank="1" showInputMessage="1" showErrorMessage="1" sqref="D1">
      <formula1>"在建（套用方法）,土地（套用方法）,——"</formula1>
    </dataValidation>
    <dataValidation type="list" allowBlank="1" showInputMessage="1" showErrorMessage="1" sqref="C1">
      <formula1>项目类型</formula1>
    </dataValidation>
  </dataValidations>
  <pageMargins left="0.69930555555555596" right="0.69930555555555596"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zoomScale="80" zoomScaleNormal="80" workbookViewId="0">
      <selection activeCell="A14" sqref="A14"/>
    </sheetView>
  </sheetViews>
  <sheetFormatPr defaultColWidth="9" defaultRowHeight="14.25"/>
  <cols>
    <col min="1" max="1" width="84" style="491" customWidth="1"/>
    <col min="2" max="16384" width="9" style="491"/>
  </cols>
  <sheetData>
    <row r="1" spans="1:1" ht="23.25">
      <c r="A1" s="2968" t="s">
        <v>82</v>
      </c>
    </row>
    <row r="2" spans="1:1">
      <c r="A2" s="2969"/>
    </row>
    <row r="3" spans="1:1" ht="18">
      <c r="A3" s="2970" t="str">
        <f>项目基本情况!B5&amp;"："</f>
        <v>中信信托有限责任公司：</v>
      </c>
    </row>
    <row r="4" spans="1:1" ht="36">
      <c r="A4" s="2971" t="str">
        <f>"受贵公司委托，我公司对"&amp;项目基本情况!S1&amp;"进行了预评估。"</f>
        <v>受贵公司委托，我公司对贵州省贵阳市观山湖区环城高速以东（西南商贸城）房地产抵押价值进行了预评估。</v>
      </c>
    </row>
    <row r="5" spans="1:1" ht="18.75">
      <c r="A5" s="2972" t="s">
        <v>83</v>
      </c>
    </row>
    <row r="6" spans="1:1" ht="18.75">
      <c r="A6" s="2973" t="s">
        <v>84</v>
      </c>
    </row>
    <row r="7" spans="1:1" ht="54">
      <c r="A7" s="297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估价对象为贵州省贵阳市观山湖区环城高速以东（西南商贸城）房地产，为贵阳西南国际商贸城有限公司所有。根据，估价对象（分摊）出让国有建设用地使用权面积为45839.15平方米，建筑面积为98873.18平方米。</v>
      </c>
    </row>
    <row r="8" spans="1:1" ht="57.75">
      <c r="A8" s="2974" t="s">
        <v>85</v>
      </c>
    </row>
    <row r="9" spans="1:1" ht="18.75">
      <c r="A9" s="2973" t="s">
        <v>86</v>
      </c>
    </row>
    <row r="10" spans="1:1" ht="72">
      <c r="A10" s="297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贵州省贵阳市观山湖区环城高速以东（西南商贸城）房地产,属贵阳西南国际商贸城有限公司开发建设的，该项目尚在开发建设中。根据，估价对象（分摊）出让国有建设用地使用权面积为45839.15平方米，规划建筑面积为98873.18平方米。</v>
      </c>
    </row>
    <row r="11" spans="1:1" ht="76.5">
      <c r="A11" s="2974" t="s">
        <v>87</v>
      </c>
    </row>
    <row r="12" spans="1:1" ht="18.75">
      <c r="A12" s="2972" t="s">
        <v>88</v>
      </c>
    </row>
    <row r="13" spans="1:1" ht="38.25" customHeight="1">
      <c r="A13" s="2975" t="str">
        <f>IF(项目基本情况!B8="抵押",IF(项目基本情况!B5=项目基本情况!B6,定义!C51,定义!B51),定义!D51)</f>
        <v>贵阳西南国际商贸城有限公司拟使用贵州省贵阳市观山湖区环城高速以东（西南商贸城）房地产作为抵押担保物，向中信信托有限责任公司办理贷款手续。中信信托有限责任公司特委托北京康正宏基房地产评估有限公司对上述抵押物进行评估。本次评估为确定房地产抵押贷款额度提供参考依据而评估房地产抵押价值。</v>
      </c>
    </row>
    <row r="14" spans="1:1" ht="18.75">
      <c r="A14" s="2976" t="s">
        <v>89</v>
      </c>
    </row>
    <row r="15" spans="1:1" ht="18">
      <c r="A15" s="2977" t="str">
        <f>TEXT(项目基本情况!D3,"yyyy年m月d日;;")&amp;IF(项目基本情况!D3=项目基本情况!B3,"（评估专业人员实地查勘之日）","")</f>
        <v>2018年9月18日（评估专业人员实地查勘之日）</v>
      </c>
    </row>
    <row r="16" spans="1:1" ht="18.75">
      <c r="A16" s="2976" t="s">
        <v>90</v>
      </c>
    </row>
    <row r="17" spans="1:1" ht="75">
      <c r="A17" s="2971" t="s">
        <v>91</v>
      </c>
    </row>
    <row r="18" spans="1:1" ht="54">
      <c r="A18" s="297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9月18日，估价对象规划用途为，土地取得方式为出让，出让国有建设用地使用权剩余土地使用年限为，假定未设立法定优先受偿款下的房地产市场价值。</v>
      </c>
    </row>
    <row r="19" spans="1:1" ht="157.5" customHeight="1">
      <c r="A19" s="297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297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297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2971" t="str">
        <f>IF(项目基本情况!B9="房地产市场价值","——",IF(项目基本情况!E9="——","",定义!C57))</f>
        <v/>
      </c>
    </row>
    <row r="23" spans="1:1" ht="18.75">
      <c r="A23" s="2976" t="s">
        <v>92</v>
      </c>
    </row>
    <row r="24" spans="1:1" ht="18">
      <c r="A24" s="2943" t="str">
        <f>"本次评估采用的主估价方法为"&amp;结果表!K4&amp;"和"&amp;结果表!L4&amp;"。"</f>
        <v>本次评估采用的主估价方法为成本法和基准地价系数修正法。</v>
      </c>
    </row>
    <row r="25" spans="1:1" ht="18">
      <c r="A25" s="2943"/>
    </row>
    <row r="26" spans="1:1" ht="18.75">
      <c r="A26" s="2978" t="s">
        <v>93</v>
      </c>
    </row>
    <row r="27" spans="1:1">
      <c r="A27" s="2941"/>
    </row>
    <row r="28" spans="1:1">
      <c r="A28" s="2941"/>
    </row>
    <row r="29" spans="1:1">
      <c r="A29" s="2941"/>
    </row>
    <row r="30" spans="1:1">
      <c r="A30" s="2941"/>
    </row>
    <row r="31" spans="1:1">
      <c r="A31" s="2941"/>
    </row>
    <row r="32" spans="1:1">
      <c r="A32" s="2941"/>
    </row>
    <row r="33" spans="1:1">
      <c r="A33" s="2941"/>
    </row>
    <row r="34" spans="1:1">
      <c r="A34" s="2941"/>
    </row>
    <row r="35" spans="1:1">
      <c r="A35" s="2941"/>
    </row>
    <row r="36" spans="1:1">
      <c r="A36" s="2941"/>
    </row>
    <row r="37" spans="1:1">
      <c r="A37" s="2941"/>
    </row>
    <row r="38" spans="1:1">
      <c r="A38" s="2941"/>
    </row>
    <row r="39" spans="1:1">
      <c r="A39" s="2941"/>
    </row>
    <row r="40" spans="1:1">
      <c r="A40" s="2941"/>
    </row>
    <row r="41" spans="1:1">
      <c r="A41" s="2941"/>
    </row>
    <row r="42" spans="1:1">
      <c r="A42" s="2941"/>
    </row>
    <row r="43" spans="1:1">
      <c r="A43" s="2941"/>
    </row>
    <row r="44" spans="1:1">
      <c r="A44" s="2941"/>
    </row>
    <row r="45" spans="1:1">
      <c r="A45" s="2941"/>
    </row>
    <row r="46" spans="1:1">
      <c r="A46" s="2941"/>
    </row>
    <row r="47" spans="1:1">
      <c r="A47" s="2941"/>
    </row>
    <row r="48" spans="1:1">
      <c r="A48" s="2941"/>
    </row>
  </sheetData>
  <sheetProtection sheet="1" objects="1" scenarios="1" formatCells="0" formatRows="0"/>
  <phoneticPr fontId="225" type="noConversion"/>
  <dataValidations count="1">
    <dataValidation type="list" allowBlank="1" showInputMessage="1" showErrorMessage="1" sqref="A26">
      <formula1>"（转下页）,（本页下方空白无内容）"</formula1>
    </dataValidation>
  </dataValidations>
  <pageMargins left="0.98402777777777795" right="0.78680555555555598" top="0.98402777777777795" bottom="0.98402777777777795" header="0.59027777777777801" footer="0.78680555555555598"/>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workbookViewId="0">
      <selection activeCell="J42" sqref="J42"/>
    </sheetView>
  </sheetViews>
  <sheetFormatPr defaultColWidth="9" defaultRowHeight="12.75"/>
  <cols>
    <col min="1" max="1" width="9" style="136" customWidth="1"/>
    <col min="2" max="2" width="20.625" style="225" customWidth="1"/>
    <col min="3" max="3" width="11.875" style="225" customWidth="1"/>
    <col min="4" max="4" width="40.5" style="136" customWidth="1"/>
    <col min="5" max="5" width="15.75" style="136" customWidth="1"/>
    <col min="6" max="6" width="10.625" style="136" customWidth="1"/>
    <col min="7" max="7" width="4.875" style="136" customWidth="1"/>
    <col min="8" max="8" width="8.5" style="136" customWidth="1"/>
    <col min="9" max="9" width="21.25" style="136" customWidth="1"/>
    <col min="10" max="10" width="12.25" style="136" customWidth="1"/>
    <col min="11" max="11" width="45.125" style="1639" customWidth="1"/>
    <col min="12" max="12" width="16.375" style="136" customWidth="1"/>
    <col min="13" max="13" width="13" style="136" customWidth="1"/>
    <col min="14" max="14" width="13.75" style="739" customWidth="1"/>
    <col min="15" max="15" width="5.125" style="739" customWidth="1"/>
    <col min="16" max="16" width="25.75" style="739" customWidth="1"/>
    <col min="17" max="17" width="13.75" style="739" customWidth="1"/>
    <col min="18" max="18" width="20.5" style="739" customWidth="1"/>
    <col min="19" max="19" width="13.25" style="739" customWidth="1"/>
    <col min="20" max="37" width="9" style="739"/>
    <col min="38" max="16384" width="9" style="136"/>
  </cols>
  <sheetData>
    <row r="1" spans="1:37" s="1637" customFormat="1" ht="21">
      <c r="A1" s="1640" t="s">
        <v>1054</v>
      </c>
      <c r="B1" s="1083"/>
      <c r="C1" s="1641" t="s">
        <v>3340</v>
      </c>
      <c r="D1" s="1642" t="s">
        <v>124</v>
      </c>
      <c r="E1" s="1643" t="s">
        <v>1055</v>
      </c>
      <c r="F1" s="1644">
        <f ca="1">J53</f>
        <v>34.03</v>
      </c>
      <c r="G1" s="1645">
        <f>MATCH(C1,'数据-取费表'!A6:A16,0)+5</f>
        <v>6</v>
      </c>
      <c r="H1" s="1646"/>
      <c r="I1" s="1808"/>
      <c r="J1" s="1808"/>
      <c r="K1" s="1809"/>
      <c r="L1" s="1808"/>
      <c r="M1" s="1808"/>
      <c r="N1" s="1810"/>
      <c r="O1" s="1810"/>
      <c r="P1" s="1810"/>
      <c r="Q1" s="1810"/>
      <c r="R1" s="1810"/>
      <c r="S1" s="1810"/>
      <c r="T1" s="1810"/>
      <c r="U1" s="1810"/>
      <c r="V1" s="1810"/>
      <c r="W1" s="1810"/>
      <c r="X1" s="1810"/>
      <c r="Y1" s="1810"/>
      <c r="Z1" s="1810"/>
      <c r="AA1" s="1810"/>
      <c r="AB1" s="1810"/>
      <c r="AC1" s="1810"/>
      <c r="AD1" s="1810"/>
      <c r="AE1" s="1810"/>
      <c r="AF1" s="1810"/>
      <c r="AG1" s="1810"/>
      <c r="AH1" s="1810"/>
      <c r="AI1" s="1810"/>
      <c r="AJ1" s="1810"/>
      <c r="AK1" s="1810"/>
    </row>
    <row r="2" spans="1:37" ht="18" customHeight="1">
      <c r="A2" s="1647" t="s">
        <v>1056</v>
      </c>
      <c r="B2" s="1648">
        <f ca="1">C40+J29+L46</f>
        <v>8647</v>
      </c>
      <c r="C2" s="1649" t="s">
        <v>1057</v>
      </c>
      <c r="D2" s="1649"/>
      <c r="E2" s="1651"/>
      <c r="F2" s="1652"/>
      <c r="G2" s="1653"/>
      <c r="H2" s="1654"/>
      <c r="I2" s="1654"/>
      <c r="J2" s="1654"/>
      <c r="K2" s="1811"/>
      <c r="L2" s="1654"/>
      <c r="M2" s="1654"/>
    </row>
    <row r="3" spans="1:37" ht="18" customHeight="1">
      <c r="A3" s="1655" t="s">
        <v>1058</v>
      </c>
      <c r="B3" s="1656">
        <f ca="1">IF(ISERROR(B2*10000/F43),0,ROUND(B2*10000/F43,0))</f>
        <v>20006</v>
      </c>
      <c r="C3" s="1649" t="s">
        <v>1059</v>
      </c>
      <c r="D3" s="1649"/>
      <c r="E3" s="1651"/>
      <c r="F3" s="1652"/>
      <c r="G3" s="1653"/>
      <c r="H3" s="1657" t="s">
        <v>1060</v>
      </c>
      <c r="I3" s="1654"/>
      <c r="J3" s="1654"/>
      <c r="K3" s="1811"/>
      <c r="L3" s="1654"/>
      <c r="M3" s="1654"/>
    </row>
    <row r="4" spans="1:37" ht="18" customHeight="1">
      <c r="A4" s="1658" t="s">
        <v>1061</v>
      </c>
      <c r="B4" s="1659" t="s">
        <v>1062</v>
      </c>
      <c r="C4" s="1659" t="s">
        <v>1063</v>
      </c>
      <c r="D4" s="1659" t="s">
        <v>1064</v>
      </c>
      <c r="E4" s="1660" t="s">
        <v>1065</v>
      </c>
      <c r="F4" s="1661"/>
      <c r="G4" s="1662"/>
      <c r="H4" s="1658" t="s">
        <v>1061</v>
      </c>
      <c r="I4" s="1659" t="s">
        <v>1062</v>
      </c>
      <c r="J4" s="1659" t="s">
        <v>1063</v>
      </c>
      <c r="K4" s="1659" t="s">
        <v>1064</v>
      </c>
      <c r="L4" s="1660" t="s">
        <v>1065</v>
      </c>
      <c r="M4" s="1661"/>
    </row>
    <row r="5" spans="1:37" ht="18" customHeight="1">
      <c r="A5" s="1663">
        <v>1</v>
      </c>
      <c r="B5" s="1664" t="s">
        <v>1066</v>
      </c>
      <c r="C5" s="1665">
        <f ca="1">C6+C10+C12</f>
        <v>603</v>
      </c>
      <c r="D5" s="1666" t="s">
        <v>1067</v>
      </c>
      <c r="E5" s="1667"/>
      <c r="F5" s="1668"/>
      <c r="G5" s="1662"/>
      <c r="H5" s="1663">
        <v>1</v>
      </c>
      <c r="I5" s="1664" t="s">
        <v>1066</v>
      </c>
      <c r="J5" s="1665">
        <f ca="1">J6+J10+J12</f>
        <v>0</v>
      </c>
      <c r="K5" s="1666" t="s">
        <v>1067</v>
      </c>
      <c r="L5" s="1667"/>
      <c r="M5" s="1668"/>
    </row>
    <row r="6" spans="1:37" ht="18" customHeight="1">
      <c r="A6" s="1669" t="s">
        <v>806</v>
      </c>
      <c r="B6" s="3500" t="s">
        <v>1068</v>
      </c>
      <c r="C6" s="1670">
        <f ca="1">ROUND(F6*F8*F7*(1-F9)/10000,0)</f>
        <v>603</v>
      </c>
      <c r="D6" s="1671" t="s">
        <v>1069</v>
      </c>
      <c r="E6" s="1672" t="s">
        <v>1070</v>
      </c>
      <c r="F6" s="1673">
        <f ca="1">INDIRECT("'数据-取费表'!u"&amp;$G$1)</f>
        <v>4.5</v>
      </c>
      <c r="G6" s="1662"/>
      <c r="H6" s="1669" t="s">
        <v>806</v>
      </c>
      <c r="I6" s="3500" t="s">
        <v>1068</v>
      </c>
      <c r="J6" s="1742">
        <f ca="1">ROUND(M6*M8*M7*(1-M9)/10000,0)</f>
        <v>0</v>
      </c>
      <c r="K6" s="1671" t="s">
        <v>1071</v>
      </c>
      <c r="L6" s="1672" t="s">
        <v>1070</v>
      </c>
      <c r="M6" s="1673">
        <f ca="1">INDIRECT("'数据-取费表'!z"&amp;$G$1)</f>
        <v>0</v>
      </c>
    </row>
    <row r="7" spans="1:37" ht="18" customHeight="1">
      <c r="A7" s="1674"/>
      <c r="B7" s="3501"/>
      <c r="C7" s="1675"/>
      <c r="D7" s="1676"/>
      <c r="E7" s="1677" t="s">
        <v>1072</v>
      </c>
      <c r="F7" s="1673">
        <f ca="1">IF(INDIRECT("'数据-取费表'!ah"&amp;$G$1)="",INDIRECT("'数据-取费表'!k"&amp;$G$1),INDIRECT("'数据-取费表'!ah"&amp;$G$1))</f>
        <v>4322.1499999999996</v>
      </c>
      <c r="G7" s="1662"/>
      <c r="H7" s="1678"/>
      <c r="I7" s="3501"/>
      <c r="J7" s="1679"/>
      <c r="K7" s="1676"/>
      <c r="L7" s="1672" t="s">
        <v>1072</v>
      </c>
      <c r="M7" s="1673">
        <f ca="1">F7</f>
        <v>4322.1499999999996</v>
      </c>
    </row>
    <row r="8" spans="1:37" ht="18" customHeight="1">
      <c r="A8" s="1678"/>
      <c r="B8" s="3501"/>
      <c r="C8" s="1679"/>
      <c r="D8" s="1676"/>
      <c r="E8" s="1672" t="s">
        <v>1073</v>
      </c>
      <c r="F8" s="1673">
        <f ca="1">INDIRECT("'数据-取费表'!ai"&amp;$G$1)</f>
        <v>365</v>
      </c>
      <c r="G8" s="1662"/>
      <c r="H8" s="1678"/>
      <c r="I8" s="3501"/>
      <c r="J8" s="1679"/>
      <c r="K8" s="1676"/>
      <c r="L8" s="1672" t="s">
        <v>1073</v>
      </c>
      <c r="M8" s="1673">
        <f ca="1">INDIRECT("'数据-取费表'!ai"&amp;$G$1)</f>
        <v>365</v>
      </c>
    </row>
    <row r="9" spans="1:37" ht="18" customHeight="1">
      <c r="A9" s="1678"/>
      <c r="B9" s="3502"/>
      <c r="C9" s="1679"/>
      <c r="D9" s="1676"/>
      <c r="E9" s="1672" t="s">
        <v>1074</v>
      </c>
      <c r="F9" s="1680">
        <f ca="1">INDIRECT("'数据-取费表'!w"&amp;$G$1)</f>
        <v>0.15</v>
      </c>
      <c r="G9" s="1662"/>
      <c r="H9" s="1678"/>
      <c r="I9" s="3502"/>
      <c r="J9" s="1679"/>
      <c r="K9" s="1676"/>
      <c r="L9" s="1683" t="s">
        <v>1074</v>
      </c>
      <c r="M9" s="1688">
        <f ca="1">INDIRECT("'数据-取费表'!ab"&amp;$G$1)</f>
        <v>0</v>
      </c>
    </row>
    <row r="10" spans="1:37" ht="18" customHeight="1">
      <c r="A10" s="1669" t="s">
        <v>810</v>
      </c>
      <c r="B10" s="1681" t="s">
        <v>1075</v>
      </c>
      <c r="C10" s="284">
        <f ca="1">ROUND(IF(F10="押一",C6/12*F11,IF(F10="押二",C6/12*2*F11,IF(F10="押三",C6/12*3*F11,C11*F11))),0)</f>
        <v>0</v>
      </c>
      <c r="D10" s="1682" t="s">
        <v>1076</v>
      </c>
      <c r="E10" s="1683" t="s">
        <v>1077</v>
      </c>
      <c r="F10" s="1684"/>
      <c r="G10" s="1662"/>
      <c r="H10" s="1669" t="s">
        <v>810</v>
      </c>
      <c r="I10" s="1681" t="s">
        <v>1075</v>
      </c>
      <c r="J10" s="1742">
        <f ca="1">ROUND(IF(M10="押一",J6/12*M11,IF(M10="押二",J6/12*2*M11,IF(M10="押三",J6/12*3*M11,J11*M11))),0)</f>
        <v>0</v>
      </c>
      <c r="K10" s="1682" t="s">
        <v>1076</v>
      </c>
      <c r="L10" s="1683" t="s">
        <v>1077</v>
      </c>
      <c r="M10" s="1684" t="s">
        <v>1078</v>
      </c>
    </row>
    <row r="11" spans="1:37" ht="18" customHeight="1">
      <c r="A11" s="1685"/>
      <c r="B11" s="1686" t="s">
        <v>1079</v>
      </c>
      <c r="C11" s="1687"/>
      <c r="D11" s="1917"/>
      <c r="E11" s="1683" t="s">
        <v>1080</v>
      </c>
      <c r="F11" s="1688">
        <f ca="1">'数据-取费表'!B39</f>
        <v>1.4999999999999999E-2</v>
      </c>
      <c r="G11" s="1662"/>
      <c r="H11" s="1689"/>
      <c r="I11" s="1686" t="s">
        <v>1079</v>
      </c>
      <c r="J11" s="1687"/>
      <c r="K11" s="1814"/>
      <c r="L11" s="1683" t="s">
        <v>1080</v>
      </c>
      <c r="M11" s="1815">
        <f ca="1">'数据-取费表'!B39</f>
        <v>1.4999999999999999E-2</v>
      </c>
    </row>
    <row r="12" spans="1:37" ht="18" customHeight="1">
      <c r="A12" s="1690" t="s">
        <v>854</v>
      </c>
      <c r="B12" s="1691" t="s">
        <v>1081</v>
      </c>
      <c r="C12" s="1692"/>
      <c r="D12" s="1693"/>
      <c r="E12" s="1694"/>
      <c r="F12" s="1695"/>
      <c r="G12" s="1662"/>
      <c r="H12" s="1690" t="s">
        <v>854</v>
      </c>
      <c r="I12" s="1691" t="s">
        <v>1081</v>
      </c>
      <c r="J12" s="1692"/>
      <c r="K12" s="1816"/>
      <c r="L12" s="1694"/>
      <c r="M12" s="1817"/>
    </row>
    <row r="13" spans="1:37" ht="18" customHeight="1">
      <c r="A13" s="1696">
        <v>2</v>
      </c>
      <c r="B13" s="1697" t="s">
        <v>1082</v>
      </c>
      <c r="C13" s="1698">
        <f ca="1">ROUND(C29*F13,0)</f>
        <v>1899</v>
      </c>
      <c r="D13" s="1699" t="s">
        <v>1083</v>
      </c>
      <c r="E13" s="1699" t="s">
        <v>1084</v>
      </c>
      <c r="F13" s="1700">
        <f ca="1">INDIRECT("'数据-取费表'!y"&amp;$G$1)</f>
        <v>0.92</v>
      </c>
      <c r="G13" s="1662"/>
      <c r="H13" s="1696">
        <v>2</v>
      </c>
      <c r="I13" s="1697" t="s">
        <v>1082</v>
      </c>
      <c r="J13" s="1818">
        <f ca="1">ROUND(J14*J15,0)</f>
        <v>0</v>
      </c>
      <c r="K13" s="1722" t="s">
        <v>1083</v>
      </c>
      <c r="L13" s="1819"/>
      <c r="M13" s="1820"/>
    </row>
    <row r="14" spans="1:37" ht="18" customHeight="1">
      <c r="A14" s="1701" t="s">
        <v>829</v>
      </c>
      <c r="B14" s="1672" t="s">
        <v>1085</v>
      </c>
      <c r="C14" s="1702">
        <f ca="1">INDIRECT("'数据-取费表'!m"&amp;$G$1)+INDIRECT("'数据-取费表'!t"&amp;$G$1)</f>
        <v>1297</v>
      </c>
      <c r="D14" s="1703" t="s">
        <v>1086</v>
      </c>
      <c r="E14" s="1704"/>
      <c r="F14" s="1705"/>
      <c r="G14" s="1662"/>
      <c r="H14" s="1701" t="s">
        <v>806</v>
      </c>
      <c r="I14" s="1672" t="s">
        <v>1087</v>
      </c>
      <c r="J14" s="285">
        <f ca="1">C29</f>
        <v>2064</v>
      </c>
      <c r="K14" s="1821"/>
      <c r="L14" s="1822"/>
      <c r="M14" s="1823"/>
    </row>
    <row r="15" spans="1:37" s="1638" customFormat="1" ht="18" customHeight="1">
      <c r="A15" s="1701" t="s">
        <v>834</v>
      </c>
      <c r="B15" s="1672" t="s">
        <v>1014</v>
      </c>
      <c r="C15" s="285">
        <f ca="1">ROUND(C14*F15,0)</f>
        <v>65</v>
      </c>
      <c r="D15" s="1706" t="s">
        <v>1088</v>
      </c>
      <c r="E15" s="1706" t="s">
        <v>1089</v>
      </c>
      <c r="F15" s="1707">
        <f>'数据-取费表'!B33</f>
        <v>0.05</v>
      </c>
      <c r="G15" s="1708"/>
      <c r="H15" s="1709" t="s">
        <v>810</v>
      </c>
      <c r="I15" s="1694" t="s">
        <v>1084</v>
      </c>
      <c r="J15" s="1817">
        <f ca="1">INDIRECT("'数据-取费表'!ad"&amp;$G$1)</f>
        <v>0</v>
      </c>
      <c r="K15" s="1824"/>
      <c r="L15" s="1825"/>
      <c r="M15" s="1826"/>
      <c r="N15" s="1827"/>
      <c r="O15" s="1827"/>
      <c r="P15" s="1827"/>
      <c r="Q15" s="1827"/>
      <c r="R15" s="1827"/>
      <c r="S15" s="1827"/>
      <c r="T15" s="1827"/>
      <c r="U15" s="1827"/>
      <c r="V15" s="1827"/>
      <c r="W15" s="1827"/>
      <c r="X15" s="1827"/>
      <c r="Y15" s="1827"/>
      <c r="Z15" s="1827"/>
      <c r="AA15" s="1827"/>
      <c r="AB15" s="1827"/>
      <c r="AC15" s="1827"/>
      <c r="AD15" s="1827"/>
      <c r="AE15" s="1827"/>
      <c r="AF15" s="1827"/>
      <c r="AG15" s="1827"/>
      <c r="AH15" s="1827"/>
      <c r="AI15" s="1827"/>
      <c r="AJ15" s="1827"/>
      <c r="AK15" s="1827"/>
    </row>
    <row r="16" spans="1:37" ht="18" customHeight="1">
      <c r="A16" s="1701" t="s">
        <v>837</v>
      </c>
      <c r="B16" s="1672" t="s">
        <v>1017</v>
      </c>
      <c r="C16" s="285">
        <f ca="1">ROUND(INDIRECT("'数据-取费表'!m"&amp;$G$1)*F16,0)</f>
        <v>0</v>
      </c>
      <c r="D16" s="1672" t="s">
        <v>1088</v>
      </c>
      <c r="E16" s="1672" t="s">
        <v>1089</v>
      </c>
      <c r="F16" s="1710">
        <f ca="1">IF(INDIRECT("'数据-取费表'!c"&amp;$G$1)="住宅",'数据-取费表'!B34,0)</f>
        <v>0</v>
      </c>
      <c r="G16" s="1662"/>
      <c r="H16" s="1696" t="s">
        <v>1090</v>
      </c>
      <c r="I16" s="1697" t="s">
        <v>1091</v>
      </c>
      <c r="J16" s="1698">
        <f ca="1">ROUND(J17+J22+J23+J24,0)</f>
        <v>60</v>
      </c>
      <c r="K16" s="1722" t="s">
        <v>1092</v>
      </c>
      <c r="L16" s="1723"/>
      <c r="M16" s="1668"/>
    </row>
    <row r="17" spans="1:37" s="1638" customFormat="1" ht="18" customHeight="1">
      <c r="A17" s="1701" t="s">
        <v>1093</v>
      </c>
      <c r="B17" s="1672" t="s">
        <v>1094</v>
      </c>
      <c r="C17" s="285">
        <f ca="1">ROUND(F17*(F43+INDIRECT("'数据-取费表'!S"&amp;$G$1))/10000,0)</f>
        <v>86</v>
      </c>
      <c r="D17" s="1672" t="s">
        <v>1095</v>
      </c>
      <c r="E17" s="1672" t="s">
        <v>1096</v>
      </c>
      <c r="F17" s="1711">
        <f>'数据-取费表'!B35</f>
        <v>200</v>
      </c>
      <c r="G17" s="1708"/>
      <c r="H17" s="1701" t="s">
        <v>806</v>
      </c>
      <c r="I17" s="1672" t="s">
        <v>1097</v>
      </c>
      <c r="J17" s="285">
        <f ca="1">ROUND(IF(项目基本情况!B11="自然人",J5*M17,J18+J19+J20),1)</f>
        <v>18.3</v>
      </c>
      <c r="K17" s="1703" t="s">
        <v>1098</v>
      </c>
      <c r="L17" s="1725" t="s">
        <v>1099</v>
      </c>
      <c r="M17" s="1726" t="str">
        <f ca="1">IF(项目基本情况!B11="企业","",IF(INDIRECT("'数据-取费表'!c"&amp;$G$1)="住宅",5%,IF(M6*M7*M8/12/(1+'数据-取费表'!C42)&gt;20000,12%,7%)))</f>
        <v/>
      </c>
      <c r="N17" s="1827"/>
      <c r="O17" s="1827"/>
      <c r="P17" s="1827"/>
      <c r="Q17" s="1827"/>
      <c r="R17" s="1827"/>
      <c r="S17" s="1827"/>
      <c r="T17" s="1827"/>
      <c r="U17" s="1827"/>
      <c r="V17" s="1827"/>
      <c r="W17" s="1827"/>
      <c r="X17" s="1827"/>
      <c r="Y17" s="1827"/>
      <c r="Z17" s="1827"/>
      <c r="AA17" s="1827"/>
      <c r="AB17" s="1827"/>
      <c r="AC17" s="1827"/>
      <c r="AD17" s="1827"/>
      <c r="AE17" s="1827"/>
      <c r="AF17" s="1827"/>
      <c r="AG17" s="1827"/>
      <c r="AH17" s="1827"/>
      <c r="AI17" s="1827"/>
      <c r="AJ17" s="1827"/>
      <c r="AK17" s="1827"/>
    </row>
    <row r="18" spans="1:37" s="1638" customFormat="1" ht="18" customHeight="1">
      <c r="A18" s="1701" t="s">
        <v>1100</v>
      </c>
      <c r="B18" s="1672" t="s">
        <v>1023</v>
      </c>
      <c r="C18" s="285">
        <f ca="1">ROUND(C14*F18,0)</f>
        <v>19</v>
      </c>
      <c r="D18" s="1672" t="s">
        <v>1088</v>
      </c>
      <c r="E18" s="1672" t="s">
        <v>1089</v>
      </c>
      <c r="F18" s="1710">
        <f>'数据-取费表'!B36</f>
        <v>1.4999999999999999E-2</v>
      </c>
      <c r="G18" s="1708"/>
      <c r="H18" s="1701" t="s">
        <v>829</v>
      </c>
      <c r="I18" s="1672" t="s">
        <v>1101</v>
      </c>
      <c r="J18" s="285">
        <f ca="1">ROUND(J5*M18/(1+'数据-取费表'!C42),2)</f>
        <v>0</v>
      </c>
      <c r="K18" s="1725" t="s">
        <v>1102</v>
      </c>
      <c r="L18" s="1672" t="s">
        <v>1089</v>
      </c>
      <c r="M18" s="1710">
        <f>'数据-取费表'!B41</f>
        <v>5.6000000000000001E-2</v>
      </c>
      <c r="N18" s="1827"/>
      <c r="O18" s="1827"/>
      <c r="P18" s="1827"/>
      <c r="Q18" s="1827"/>
      <c r="R18" s="1827"/>
      <c r="S18" s="1827"/>
      <c r="T18" s="1827"/>
      <c r="U18" s="1827"/>
      <c r="V18" s="1827"/>
      <c r="W18" s="1827"/>
      <c r="X18" s="1827"/>
      <c r="Y18" s="1827"/>
      <c r="Z18" s="1827"/>
      <c r="AA18" s="1827"/>
      <c r="AB18" s="1827"/>
      <c r="AC18" s="1827"/>
      <c r="AD18" s="1827"/>
      <c r="AE18" s="1827"/>
      <c r="AF18" s="1827"/>
      <c r="AG18" s="1827"/>
      <c r="AH18" s="1827"/>
      <c r="AI18" s="1827"/>
      <c r="AJ18" s="1827"/>
      <c r="AK18" s="1827"/>
    </row>
    <row r="19" spans="1:37" ht="18" customHeight="1">
      <c r="A19" s="1701" t="s">
        <v>806</v>
      </c>
      <c r="B19" s="1672" t="s">
        <v>1103</v>
      </c>
      <c r="C19" s="285">
        <f ca="1">SUM(C14:C18)</f>
        <v>1467</v>
      </c>
      <c r="D19" s="1712" t="s">
        <v>1104</v>
      </c>
      <c r="E19" s="287"/>
      <c r="F19" s="1711"/>
      <c r="G19" s="1662"/>
      <c r="H19" s="1701" t="s">
        <v>834</v>
      </c>
      <c r="I19" s="1672" t="s">
        <v>1105</v>
      </c>
      <c r="J19" s="285">
        <f ca="1">IF(K19="按租金收入计税",ROUND(J5*M19,2),ROUND(C29*M19*0.7,2))</f>
        <v>17.34</v>
      </c>
      <c r="K19" s="1727" t="s">
        <v>1106</v>
      </c>
      <c r="L19" s="1672" t="s">
        <v>1089</v>
      </c>
      <c r="M19" s="1710">
        <f>IF(K19="按租金收入计税",'数据-取费表'!B51,'数据-取费表'!B50)</f>
        <v>1.2E-2</v>
      </c>
    </row>
    <row r="20" spans="1:37" s="1638" customFormat="1" ht="18" customHeight="1">
      <c r="A20" s="1701" t="s">
        <v>810</v>
      </c>
      <c r="B20" s="1672" t="s">
        <v>1107</v>
      </c>
      <c r="C20" s="285">
        <f ca="1">ROUND(C19*F20,0)</f>
        <v>37</v>
      </c>
      <c r="D20" s="1713" t="s">
        <v>1108</v>
      </c>
      <c r="E20" s="1672" t="s">
        <v>1089</v>
      </c>
      <c r="F20" s="1710">
        <f>'数据-取费表'!B37</f>
        <v>2.5000000000000001E-2</v>
      </c>
      <c r="G20" s="1708"/>
      <c r="H20" s="1701" t="s">
        <v>837</v>
      </c>
      <c r="I20" s="1671" t="s">
        <v>1109</v>
      </c>
      <c r="J20" s="1729">
        <f ca="1">ROUND(M20*M21/10000,2)</f>
        <v>1</v>
      </c>
      <c r="K20" s="1730" t="s">
        <v>1110</v>
      </c>
      <c r="L20" s="1672" t="s">
        <v>1111</v>
      </c>
      <c r="M20" s="1716">
        <f>'数据-取费表'!B52</f>
        <v>5</v>
      </c>
      <c r="N20" s="1827"/>
      <c r="O20" s="1827"/>
      <c r="P20" s="1827"/>
      <c r="Q20" s="1827"/>
      <c r="R20" s="1827"/>
      <c r="S20" s="1827"/>
      <c r="T20" s="1827"/>
      <c r="U20" s="1827"/>
      <c r="V20" s="1827"/>
      <c r="W20" s="1827"/>
      <c r="X20" s="1827"/>
      <c r="Y20" s="1827"/>
      <c r="Z20" s="1827"/>
      <c r="AA20" s="1827"/>
      <c r="AB20" s="1827"/>
      <c r="AC20" s="1827"/>
      <c r="AD20" s="1827"/>
      <c r="AE20" s="1827"/>
      <c r="AF20" s="1827"/>
      <c r="AG20" s="1827"/>
      <c r="AH20" s="1827"/>
      <c r="AI20" s="1827"/>
      <c r="AJ20" s="1827"/>
      <c r="AK20" s="1827"/>
    </row>
    <row r="21" spans="1:37" s="1638" customFormat="1" ht="18" customHeight="1">
      <c r="A21" s="1701" t="s">
        <v>854</v>
      </c>
      <c r="B21" s="1672" t="s">
        <v>1112</v>
      </c>
      <c r="C21" s="285" t="s">
        <v>124</v>
      </c>
      <c r="D21" s="1713" t="s">
        <v>1113</v>
      </c>
      <c r="E21" s="1672" t="s">
        <v>1114</v>
      </c>
      <c r="F21" s="1710">
        <f>'数据-取费表'!B38</f>
        <v>0.03</v>
      </c>
      <c r="G21" s="1708"/>
      <c r="H21" s="1714"/>
      <c r="I21" s="1828"/>
      <c r="J21" s="1733"/>
      <c r="K21" s="1734"/>
      <c r="L21" s="1672" t="s">
        <v>1115</v>
      </c>
      <c r="M21" s="1673">
        <f ca="1">INDIRECT("'数据-取费表'!r"&amp;$G$1)</f>
        <v>2003.82</v>
      </c>
      <c r="N21" s="1827"/>
      <c r="O21" s="1827"/>
      <c r="P21" s="1827"/>
      <c r="Q21" s="1827"/>
      <c r="R21" s="1827"/>
      <c r="S21" s="1827"/>
      <c r="T21" s="1827"/>
      <c r="U21" s="1827"/>
      <c r="V21" s="1827"/>
      <c r="W21" s="1827"/>
      <c r="X21" s="1827"/>
      <c r="Y21" s="1827"/>
      <c r="Z21" s="1827"/>
      <c r="AA21" s="1827"/>
      <c r="AB21" s="1827"/>
      <c r="AC21" s="1827"/>
      <c r="AD21" s="1827"/>
      <c r="AE21" s="1827"/>
      <c r="AF21" s="1827"/>
      <c r="AG21" s="1827"/>
      <c r="AH21" s="1827"/>
      <c r="AI21" s="1827"/>
      <c r="AJ21" s="1827"/>
      <c r="AK21" s="1827"/>
    </row>
    <row r="22" spans="1:37" ht="18" customHeight="1">
      <c r="A22" s="1701" t="s">
        <v>858</v>
      </c>
      <c r="B22" s="1672" t="s">
        <v>1116</v>
      </c>
      <c r="C22" s="285"/>
      <c r="D22" s="1712" t="str">
        <f>IF(F23&lt;=1,"单利计息。","复利计息。")&amp;"建造成本、管理费用、销售费用产生的利息。"</f>
        <v>复利计息。建造成本、管理费用、销售费用产生的利息。</v>
      </c>
      <c r="E22" s="287"/>
      <c r="F22" s="1711"/>
      <c r="G22" s="1662"/>
      <c r="H22" s="1701" t="s">
        <v>810</v>
      </c>
      <c r="I22" s="1672" t="s">
        <v>1117</v>
      </c>
      <c r="J22" s="285">
        <f ca="1">ROUND(J14*M22,1)</f>
        <v>41.3</v>
      </c>
      <c r="K22" s="1725" t="s">
        <v>1118</v>
      </c>
      <c r="L22" s="1672" t="s">
        <v>1089</v>
      </c>
      <c r="M22" s="1736">
        <f ca="1">INDIRECT("'数据-取费表'!Ak"&amp;$G$1)</f>
        <v>0.02</v>
      </c>
    </row>
    <row r="23" spans="1:37" s="1638" customFormat="1" ht="18" customHeight="1">
      <c r="A23" s="1701" t="s">
        <v>829</v>
      </c>
      <c r="B23" s="1672" t="s">
        <v>1119</v>
      </c>
      <c r="C23" s="285">
        <f ca="1">IF('数据-取费表'!B22&lt;=1,ROUND(C19*F24*F23/2,0)+ROUND(C20*F24*F23/2,0),ROUND(C19*(POWER((1+F24),F23/2)-1),0)+ROUND(C20*(POWER((1+F24),F23/2)-1),0))</f>
        <v>72</v>
      </c>
      <c r="D23" s="1715" t="str">
        <f>IF(F23&lt;=1,"(建造成本+管理费用)×利率×(建设周期÷2)","(建造成本+管理费用)×((1+利率)^(建设周期÷2)-1)")</f>
        <v>(建造成本+管理费用)×((1+利率)^(建设周期÷2)-1)</v>
      </c>
      <c r="E23" s="1672" t="s">
        <v>1120</v>
      </c>
      <c r="F23" s="1716">
        <f>'数据-取费表'!B20</f>
        <v>2</v>
      </c>
      <c r="G23" s="1708"/>
      <c r="H23" s="1701" t="s">
        <v>854</v>
      </c>
      <c r="I23" s="1672" t="s">
        <v>1121</v>
      </c>
      <c r="J23" s="285">
        <f ca="1">ROUND(J13*M23,1)</f>
        <v>0</v>
      </c>
      <c r="K23" s="1725" t="s">
        <v>1122</v>
      </c>
      <c r="L23" s="1672" t="s">
        <v>1089</v>
      </c>
      <c r="M23" s="1737">
        <f ca="1">INDIRECT("'数据-取费表'!Al"&amp;$G$1)</f>
        <v>1.5E-3</v>
      </c>
      <c r="N23" s="1827"/>
      <c r="O23" s="1827"/>
      <c r="P23" s="1827"/>
      <c r="Q23" s="1827"/>
      <c r="R23" s="1827"/>
      <c r="S23" s="1827"/>
      <c r="T23" s="1827"/>
      <c r="U23" s="1827"/>
      <c r="V23" s="1827"/>
      <c r="W23" s="1827"/>
      <c r="X23" s="1827"/>
      <c r="Y23" s="1827"/>
      <c r="Z23" s="1827"/>
      <c r="AA23" s="1827"/>
      <c r="AB23" s="1827"/>
      <c r="AC23" s="1827"/>
      <c r="AD23" s="1827"/>
      <c r="AE23" s="1827"/>
      <c r="AF23" s="1827"/>
      <c r="AG23" s="1827"/>
      <c r="AH23" s="1827"/>
      <c r="AI23" s="1827"/>
      <c r="AJ23" s="1827"/>
      <c r="AK23" s="1827"/>
    </row>
    <row r="24" spans="1:37" s="1638" customFormat="1" ht="18" customHeight="1">
      <c r="A24" s="1701" t="s">
        <v>834</v>
      </c>
      <c r="B24" s="1672" t="s">
        <v>1123</v>
      </c>
      <c r="C24" s="285">
        <f ca="1">ROUND(IF('数据-取费表'!B22&lt;=1,F21*F24*F23/2,F21*(POWER((1+F24),F23/2)-1)),4)</f>
        <v>1.4E-3</v>
      </c>
      <c r="D24" s="1715" t="str">
        <f>IF(F23&lt;=1,"销售费用×利率×(建设周期÷2)","销售费用×((1+利率)^(建设周期÷2)-1)")</f>
        <v>销售费用×((1+利率)^(建设周期÷2)-1)</v>
      </c>
      <c r="E24" s="1672" t="s">
        <v>1124</v>
      </c>
      <c r="F24" s="1717">
        <f ca="1">'数据-取费表'!B40</f>
        <v>4.7500000000000001E-2</v>
      </c>
      <c r="G24" s="1708"/>
      <c r="H24" s="1709" t="s">
        <v>858</v>
      </c>
      <c r="I24" s="1694" t="s">
        <v>1107</v>
      </c>
      <c r="J24" s="1718">
        <f ca="1">ROUND(J5*M24,1)</f>
        <v>0</v>
      </c>
      <c r="K24" s="1719" t="s">
        <v>1125</v>
      </c>
      <c r="L24" s="1694" t="s">
        <v>1089</v>
      </c>
      <c r="M24" s="1695">
        <f ca="1">INDIRECT("'数据-取费表'!Am"&amp;$G$1)</f>
        <v>0.02</v>
      </c>
      <c r="N24" s="1827"/>
      <c r="O24" s="1827"/>
      <c r="P24" s="1827"/>
      <c r="Q24" s="1827"/>
      <c r="R24" s="1827"/>
      <c r="S24" s="1827"/>
      <c r="T24" s="1827"/>
      <c r="U24" s="1827"/>
      <c r="V24" s="1827"/>
      <c r="W24" s="1827"/>
      <c r="X24" s="1827"/>
      <c r="Y24" s="1827"/>
      <c r="Z24" s="1827"/>
      <c r="AA24" s="1827"/>
      <c r="AB24" s="1827"/>
      <c r="AC24" s="1827"/>
      <c r="AD24" s="1827"/>
      <c r="AE24" s="1827"/>
      <c r="AF24" s="1827"/>
      <c r="AG24" s="1827"/>
      <c r="AH24" s="1827"/>
      <c r="AI24" s="1827"/>
      <c r="AJ24" s="1827"/>
      <c r="AK24" s="1827"/>
    </row>
    <row r="25" spans="1:37" ht="24" customHeight="1">
      <c r="A25" s="1701" t="s">
        <v>861</v>
      </c>
      <c r="B25" s="1672" t="s">
        <v>1126</v>
      </c>
      <c r="C25" s="285"/>
      <c r="D25" s="1712" t="s">
        <v>1127</v>
      </c>
      <c r="E25" s="287"/>
      <c r="F25" s="1711"/>
      <c r="G25" s="1662"/>
      <c r="H25" s="1696" t="s">
        <v>1128</v>
      </c>
      <c r="I25" s="1738" t="s">
        <v>1129</v>
      </c>
      <c r="J25" s="1698">
        <f ca="1">J5-J16</f>
        <v>-60</v>
      </c>
      <c r="K25" s="1739" t="s">
        <v>1130</v>
      </c>
      <c r="L25" s="1740"/>
      <c r="M25" s="1741"/>
    </row>
    <row r="26" spans="1:37">
      <c r="A26" s="1701" t="s">
        <v>829</v>
      </c>
      <c r="B26" s="1672" t="s">
        <v>1131</v>
      </c>
      <c r="C26" s="285">
        <f ca="1">ROUND((C19+C20)*F26,0)</f>
        <v>301</v>
      </c>
      <c r="D26" s="1713" t="s">
        <v>1132</v>
      </c>
      <c r="E26" s="1683" t="s">
        <v>1133</v>
      </c>
      <c r="F26" s="1680">
        <f ca="1">INDIRECT("'数据-取费表'!q"&amp;$G$1)</f>
        <v>0.2</v>
      </c>
      <c r="G26" s="1662"/>
      <c r="H26" s="1663" t="s">
        <v>1134</v>
      </c>
      <c r="I26" s="1664" t="s">
        <v>1135</v>
      </c>
      <c r="J26" s="1742">
        <f ca="1">IF(J5&lt;&gt;0,ROUND(J25*(1-((1+M28)/(1+M26))^M27)/(M26-M28),0),0)</f>
        <v>0</v>
      </c>
      <c r="K26" s="1730" t="s">
        <v>1136</v>
      </c>
      <c r="L26" s="1672" t="s">
        <v>1137</v>
      </c>
      <c r="M26" s="1680">
        <f ca="1">INDIRECT("'数据-取费表'!I"&amp;$G$1)</f>
        <v>5.5E-2</v>
      </c>
    </row>
    <row r="27" spans="1:37" ht="18" customHeight="1">
      <c r="A27" s="1701" t="s">
        <v>834</v>
      </c>
      <c r="B27" s="1672" t="s">
        <v>1138</v>
      </c>
      <c r="C27" s="285">
        <f ca="1">ROUND(F21*F26,4)</f>
        <v>6.0000000000000001E-3</v>
      </c>
      <c r="D27" s="1713" t="s">
        <v>1139</v>
      </c>
      <c r="E27" s="1706"/>
      <c r="F27" s="1707"/>
      <c r="G27" s="1662"/>
      <c r="H27" s="1678"/>
      <c r="I27" s="1744"/>
      <c r="J27" s="1679"/>
      <c r="K27" s="1745" t="s">
        <v>1140</v>
      </c>
      <c r="L27" s="1672" t="s">
        <v>1141</v>
      </c>
      <c r="M27" s="1746">
        <f ca="1">INDIRECT("'数据-取费表'!ag"&amp;$G$1)</f>
        <v>0</v>
      </c>
    </row>
    <row r="28" spans="1:37" s="1638" customFormat="1" ht="18" customHeight="1">
      <c r="A28" s="1701" t="s">
        <v>862</v>
      </c>
      <c r="B28" s="1672" t="s">
        <v>1142</v>
      </c>
      <c r="C28" s="285">
        <f>ROUND(F28/(1+'数据-取费表'!C42),4)</f>
        <v>5.33E-2</v>
      </c>
      <c r="D28" s="1713" t="s">
        <v>1143</v>
      </c>
      <c r="E28" s="1672" t="s">
        <v>1089</v>
      </c>
      <c r="F28" s="1710">
        <f>'数据-取费表'!B41</f>
        <v>5.6000000000000001E-2</v>
      </c>
      <c r="G28" s="1708"/>
      <c r="H28" s="1685"/>
      <c r="I28" s="1748"/>
      <c r="J28" s="1698"/>
      <c r="K28" s="1734"/>
      <c r="L28" s="1672" t="s">
        <v>1144</v>
      </c>
      <c r="M28" s="1680">
        <f ca="1">INDIRECT("'数据-取费表'!aa"&amp;$G$1)</f>
        <v>0</v>
      </c>
      <c r="N28" s="1827"/>
      <c r="O28" s="1827"/>
      <c r="P28" s="1827"/>
      <c r="Q28" s="1827"/>
      <c r="R28" s="1827"/>
      <c r="S28" s="1827"/>
      <c r="T28" s="1827"/>
      <c r="U28" s="1827"/>
      <c r="V28" s="1827"/>
      <c r="W28" s="1827"/>
      <c r="X28" s="1827"/>
      <c r="Y28" s="1827"/>
      <c r="Z28" s="1827"/>
      <c r="AA28" s="1827"/>
      <c r="AB28" s="1827"/>
      <c r="AC28" s="1827"/>
      <c r="AD28" s="1827"/>
      <c r="AE28" s="1827"/>
      <c r="AF28" s="1827"/>
      <c r="AG28" s="1827"/>
      <c r="AH28" s="1827"/>
      <c r="AI28" s="1827"/>
      <c r="AJ28" s="1827"/>
      <c r="AK28" s="1827"/>
    </row>
    <row r="29" spans="1:37" s="1638" customFormat="1" ht="18" customHeight="1">
      <c r="A29" s="1709" t="s">
        <v>1049</v>
      </c>
      <c r="B29" s="1694" t="s">
        <v>1145</v>
      </c>
      <c r="C29" s="1718">
        <f ca="1">ROUND((C19+C20+C23+C26)/(1-F21-C24-C27-C28),0)</f>
        <v>2064</v>
      </c>
      <c r="D29" s="1719"/>
      <c r="E29" s="1694"/>
      <c r="F29" s="1720"/>
      <c r="G29" s="1708"/>
      <c r="H29" s="1721" t="s">
        <v>1146</v>
      </c>
      <c r="I29" s="1749" t="s">
        <v>1147</v>
      </c>
      <c r="J29" s="1750">
        <f ca="1">ROUND(J26/(1+F40)^F41,0)</f>
        <v>0</v>
      </c>
      <c r="K29" s="1751" t="s">
        <v>1148</v>
      </c>
      <c r="L29" s="1752"/>
      <c r="M29" s="1753">
        <f ca="1">INDIRECT("'数据-取费表'!k"&amp;$G$1)</f>
        <v>4322.1499999999996</v>
      </c>
      <c r="N29" s="1827"/>
      <c r="O29" s="1827"/>
      <c r="P29" s="1827"/>
      <c r="Q29" s="1827"/>
      <c r="R29" s="1827"/>
      <c r="S29" s="1827"/>
      <c r="T29" s="1827"/>
      <c r="U29" s="1827"/>
      <c r="V29" s="1827"/>
      <c r="W29" s="1827"/>
      <c r="X29" s="1827"/>
      <c r="Y29" s="1827"/>
      <c r="Z29" s="1827"/>
      <c r="AA29" s="1827"/>
      <c r="AB29" s="1827"/>
      <c r="AC29" s="1827"/>
      <c r="AD29" s="1827"/>
      <c r="AE29" s="1827"/>
      <c r="AF29" s="1827"/>
      <c r="AG29" s="1827"/>
      <c r="AH29" s="1827"/>
      <c r="AI29" s="1827"/>
      <c r="AJ29" s="1827"/>
      <c r="AK29" s="1827"/>
    </row>
    <row r="30" spans="1:37" ht="18" customHeight="1">
      <c r="A30" s="1696" t="s">
        <v>1090</v>
      </c>
      <c r="B30" s="1697" t="s">
        <v>1091</v>
      </c>
      <c r="C30" s="1698">
        <f ca="1">ROUND(C31+C36+C37+C38,0)</f>
        <v>162</v>
      </c>
      <c r="D30" s="1722" t="s">
        <v>1092</v>
      </c>
      <c r="E30" s="1723"/>
      <c r="F30" s="1668"/>
      <c r="G30" s="1662"/>
      <c r="H30" s="1724"/>
      <c r="I30" s="1829"/>
      <c r="J30" s="1830"/>
      <c r="K30" s="1814"/>
      <c r="L30" s="1831"/>
      <c r="M30" s="1832"/>
    </row>
    <row r="31" spans="1:37" ht="18" customHeight="1">
      <c r="A31" s="1701" t="s">
        <v>806</v>
      </c>
      <c r="B31" s="1672" t="s">
        <v>1097</v>
      </c>
      <c r="C31" s="285">
        <f ca="1">ROUND(IF(项目基本情况!B11="自然人",C5*F31,C32+C33+C34),1)</f>
        <v>105.5</v>
      </c>
      <c r="D31" s="1703" t="s">
        <v>1098</v>
      </c>
      <c r="E31" s="1725" t="s">
        <v>1099</v>
      </c>
      <c r="F31" s="1726" t="str">
        <f ca="1">IF(项目基本情况!B11="企业","",IF(INDIRECT("'数据-取费表'!c"&amp;$G$1)="住宅",5%,IF(F6*F7*F8/12/(1+'数据-取费表'!C42)&gt;20000,12%,7%)))</f>
        <v/>
      </c>
      <c r="G31" s="1662"/>
      <c r="H31" s="1724"/>
      <c r="I31" s="1829"/>
      <c r="J31" s="1830"/>
      <c r="K31" s="1814"/>
      <c r="L31" s="1831"/>
      <c r="M31" s="1832"/>
    </row>
    <row r="32" spans="1:37" ht="18" customHeight="1">
      <c r="A32" s="1701" t="s">
        <v>829</v>
      </c>
      <c r="B32" s="1672" t="s">
        <v>1101</v>
      </c>
      <c r="C32" s="285">
        <f ca="1">IF(项目基本情况!B11="自然人","——",ROUND(C5*F32/(1+'数据-取费表'!C42),2))</f>
        <v>32.159999999999997</v>
      </c>
      <c r="D32" s="1725" t="s">
        <v>1102</v>
      </c>
      <c r="E32" s="1672" t="s">
        <v>1089</v>
      </c>
      <c r="F32" s="1717">
        <f>'数据-取费表'!B41</f>
        <v>5.6000000000000001E-2</v>
      </c>
      <c r="G32" s="1662"/>
      <c r="H32" s="1724"/>
      <c r="I32" s="1829"/>
      <c r="J32" s="1830"/>
      <c r="K32" s="1814"/>
      <c r="L32" s="1831"/>
      <c r="M32" s="1832"/>
    </row>
    <row r="33" spans="1:18" ht="18" customHeight="1">
      <c r="A33" s="1701" t="s">
        <v>834</v>
      </c>
      <c r="B33" s="1672" t="s">
        <v>1105</v>
      </c>
      <c r="C33" s="285">
        <f ca="1">IF(项目基本情况!B11="自然人","——",IF(D33="按租金收入计税",ROUND(C5*F33,2),IF(D33="按房产原值计税",ROUND(C29*F33*0.7,2),INDIRECT("'数据-取费表'!Aj"&amp;$G$1))))</f>
        <v>72.36</v>
      </c>
      <c r="D33" s="1727" t="s">
        <v>3372</v>
      </c>
      <c r="E33" s="1672" t="s">
        <v>1089</v>
      </c>
      <c r="F33" s="1710">
        <f>IF(D33="按票据","——",IF(D33="按租金收入计税",'数据-取费表'!B51,'数据-取费表'!B50))</f>
        <v>0.12</v>
      </c>
      <c r="G33" s="1662"/>
      <c r="H33" s="1728"/>
      <c r="I33" s="1833"/>
      <c r="J33" s="1834"/>
      <c r="K33" s="1835"/>
      <c r="L33" s="1728"/>
      <c r="M33" s="1728"/>
    </row>
    <row r="34" spans="1:18" ht="18" customHeight="1">
      <c r="A34" s="1669" t="s">
        <v>837</v>
      </c>
      <c r="B34" s="1671" t="s">
        <v>1109</v>
      </c>
      <c r="C34" s="1729">
        <f ca="1">IF(项目基本情况!B11="自然人","——",ROUND(F34*F35/10000,2))</f>
        <v>1</v>
      </c>
      <c r="D34" s="1730" t="s">
        <v>1110</v>
      </c>
      <c r="E34" s="1672" t="s">
        <v>1111</v>
      </c>
      <c r="F34" s="1716">
        <f>'数据-取费表'!B52</f>
        <v>5</v>
      </c>
      <c r="G34" s="1662"/>
      <c r="H34" s="1724"/>
      <c r="I34" s="1833"/>
      <c r="J34" s="1834"/>
      <c r="K34" s="1836"/>
      <c r="L34" s="1837"/>
      <c r="M34" s="1837"/>
    </row>
    <row r="35" spans="1:18" ht="18" customHeight="1">
      <c r="A35" s="1731"/>
      <c r="B35" s="1732"/>
      <c r="C35" s="1733"/>
      <c r="D35" s="1734"/>
      <c r="E35" s="1672" t="s">
        <v>1115</v>
      </c>
      <c r="F35" s="1673">
        <f ca="1">INDIRECT("'数据-取费表'!r"&amp;$G$1)</f>
        <v>2003.82</v>
      </c>
      <c r="G35" s="1662"/>
      <c r="H35" s="1724"/>
      <c r="I35" s="1833"/>
      <c r="J35" s="1834"/>
      <c r="K35" s="1835"/>
      <c r="L35" s="1728"/>
      <c r="M35" s="1728"/>
    </row>
    <row r="36" spans="1:18" ht="18" customHeight="1">
      <c r="A36" s="1735" t="s">
        <v>810</v>
      </c>
      <c r="B36" s="1672" t="s">
        <v>1117</v>
      </c>
      <c r="C36" s="285">
        <f ca="1">ROUND(C29*F36,1)</f>
        <v>41.3</v>
      </c>
      <c r="D36" s="1725" t="s">
        <v>1149</v>
      </c>
      <c r="E36" s="1672" t="s">
        <v>1089</v>
      </c>
      <c r="F36" s="1736">
        <f ca="1">INDIRECT("'数据-取费表'!Ak"&amp;$G$1)</f>
        <v>0.02</v>
      </c>
      <c r="G36" s="1662"/>
      <c r="H36" s="1728"/>
      <c r="I36" s="1833"/>
      <c r="J36" s="1834"/>
      <c r="K36" s="1838"/>
      <c r="L36" s="1728"/>
      <c r="M36" s="1728"/>
    </row>
    <row r="37" spans="1:18" ht="18" customHeight="1">
      <c r="A37" s="1701" t="s">
        <v>854</v>
      </c>
      <c r="B37" s="1672" t="s">
        <v>1121</v>
      </c>
      <c r="C37" s="285">
        <f ca="1">ROUND(C13*F37,1)</f>
        <v>2.8</v>
      </c>
      <c r="D37" s="1725" t="s">
        <v>1122</v>
      </c>
      <c r="E37" s="1672" t="s">
        <v>1089</v>
      </c>
      <c r="F37" s="1737">
        <f ca="1">INDIRECT("'数据-取费表'!Al"&amp;$G$1)</f>
        <v>1.5E-3</v>
      </c>
      <c r="G37" s="1662"/>
      <c r="H37" s="1728"/>
      <c r="I37" s="1833"/>
      <c r="J37" s="1834"/>
      <c r="K37" s="1838"/>
      <c r="L37" s="1728"/>
      <c r="M37" s="1728"/>
    </row>
    <row r="38" spans="1:18" ht="18" customHeight="1">
      <c r="A38" s="1709" t="s">
        <v>858</v>
      </c>
      <c r="B38" s="1694" t="s">
        <v>1107</v>
      </c>
      <c r="C38" s="1718">
        <f ca="1">ROUND(C5*F38,1)</f>
        <v>12.1</v>
      </c>
      <c r="D38" s="1719" t="s">
        <v>1125</v>
      </c>
      <c r="E38" s="1694" t="s">
        <v>1089</v>
      </c>
      <c r="F38" s="1695">
        <f ca="1">INDIRECT("'数据-取费表'!Am"&amp;$G$1)</f>
        <v>0.02</v>
      </c>
      <c r="G38" s="1662"/>
      <c r="H38" s="1728"/>
      <c r="I38" s="1833"/>
      <c r="J38" s="1834"/>
      <c r="K38" s="1839"/>
      <c r="L38" s="1728"/>
      <c r="M38" s="1728"/>
    </row>
    <row r="39" spans="1:18" ht="24.6" customHeight="1">
      <c r="A39" s="1696" t="s">
        <v>1128</v>
      </c>
      <c r="B39" s="1738" t="s">
        <v>1129</v>
      </c>
      <c r="C39" s="1698">
        <f ca="1">C5-C30</f>
        <v>441</v>
      </c>
      <c r="D39" s="1739" t="s">
        <v>1130</v>
      </c>
      <c r="E39" s="1740"/>
      <c r="F39" s="1741"/>
      <c r="G39" s="1662"/>
      <c r="H39" s="1728"/>
      <c r="I39" s="1833"/>
      <c r="J39" s="1834"/>
      <c r="K39" s="1839"/>
      <c r="L39" s="1728"/>
      <c r="M39" s="1728"/>
    </row>
    <row r="40" spans="1:18" ht="18" customHeight="1">
      <c r="A40" s="1663" t="s">
        <v>1134</v>
      </c>
      <c r="B40" s="1664" t="s">
        <v>1150</v>
      </c>
      <c r="C40" s="1742">
        <f ca="1">ROUND(C39*(1-((1+F42)/(1+F40))^F41)/(F40-F42),0)</f>
        <v>8603</v>
      </c>
      <c r="D40" s="1730" t="s">
        <v>1136</v>
      </c>
      <c r="E40" s="1672" t="s">
        <v>1137</v>
      </c>
      <c r="F40" s="1680">
        <f ca="1">INDIRECT("'数据-取费表'!I"&amp;$G$1)</f>
        <v>5.5E-2</v>
      </c>
      <c r="G40" s="1662"/>
      <c r="H40" s="1743"/>
      <c r="I40" s="1833"/>
      <c r="J40" s="1834"/>
      <c r="K40" s="1839"/>
      <c r="L40" s="1743"/>
      <c r="M40" s="1743"/>
    </row>
    <row r="41" spans="1:18" ht="18" customHeight="1">
      <c r="A41" s="1678"/>
      <c r="B41" s="1744"/>
      <c r="C41" s="1679"/>
      <c r="D41" s="1745" t="s">
        <v>1140</v>
      </c>
      <c r="E41" s="1672" t="s">
        <v>1141</v>
      </c>
      <c r="F41" s="1746">
        <f ca="1">IF(INDIRECT("'数据-取费表'!af"&amp;$G$1)=0,INDIRECT("'数据-取费表'!ae"&amp;$G$1),INDIRECT("'数据-取费表'!af"&amp;$G$1))</f>
        <v>34.03</v>
      </c>
      <c r="G41" s="1662"/>
      <c r="H41" s="1747"/>
      <c r="I41" s="1833"/>
      <c r="J41" s="1834"/>
      <c r="K41" s="1838"/>
      <c r="L41" s="1747"/>
      <c r="M41" s="1747"/>
    </row>
    <row r="42" spans="1:18" ht="18" customHeight="1">
      <c r="A42" s="1685"/>
      <c r="B42" s="1748"/>
      <c r="C42" s="1698"/>
      <c r="D42" s="1734"/>
      <c r="E42" s="1672" t="s">
        <v>1144</v>
      </c>
      <c r="F42" s="1680">
        <f ca="1">INDIRECT("'数据-取费表'!v"&amp;$G$1)</f>
        <v>0.02</v>
      </c>
      <c r="G42" s="1662"/>
      <c r="H42" s="1747"/>
      <c r="I42" s="1833"/>
      <c r="J42" s="1834"/>
      <c r="K42" s="1838"/>
      <c r="L42" s="1747"/>
      <c r="M42" s="1747"/>
    </row>
    <row r="43" spans="1:18" ht="18" customHeight="1">
      <c r="A43" s="1721" t="s">
        <v>1146</v>
      </c>
      <c r="B43" s="1749" t="s">
        <v>1151</v>
      </c>
      <c r="C43" s="1750">
        <f ca="1">ROUND(C40*10000/F43,0)</f>
        <v>19904</v>
      </c>
      <c r="D43" s="1751" t="s">
        <v>1152</v>
      </c>
      <c r="E43" s="1752" t="s">
        <v>1153</v>
      </c>
      <c r="F43" s="1753">
        <f ca="1">INDIRECT("'数据-取费表'!k"&amp;$G$1)</f>
        <v>4322.1499999999996</v>
      </c>
      <c r="G43" s="1662"/>
      <c r="H43" s="1747"/>
      <c r="I43" s="1747"/>
      <c r="J43" s="1747"/>
      <c r="K43" s="1838"/>
      <c r="L43" s="1747"/>
      <c r="M43" s="1747"/>
    </row>
    <row r="44" spans="1:18" s="739" customFormat="1" ht="18" customHeight="1">
      <c r="A44" s="1754"/>
      <c r="B44" s="1754"/>
      <c r="C44" s="1755"/>
      <c r="D44" s="1754"/>
      <c r="E44" s="1754"/>
      <c r="F44" s="1754"/>
      <c r="K44" s="1840"/>
    </row>
    <row r="45" spans="1:18" s="739" customFormat="1" ht="18" customHeight="1">
      <c r="A45" s="1754"/>
      <c r="B45" s="1754"/>
      <c r="C45" s="1755"/>
      <c r="D45" s="1754"/>
      <c r="E45" s="1754"/>
      <c r="F45" s="1754"/>
      <c r="J45" s="315"/>
      <c r="O45" s="1841" t="s">
        <v>1154</v>
      </c>
      <c r="P45" s="1743"/>
      <c r="Q45" s="1743"/>
      <c r="R45" s="1743"/>
    </row>
    <row r="46" spans="1:18" s="739" customFormat="1">
      <c r="A46" s="1758" t="s">
        <v>1155</v>
      </c>
      <c r="C46" s="1759">
        <f ca="1">C68-C40</f>
        <v>-11941</v>
      </c>
      <c r="D46" s="1760" t="str">
        <f>C2</f>
        <v>万元</v>
      </c>
      <c r="E46" s="1754"/>
      <c r="F46" s="1754"/>
      <c r="I46" s="1842" t="s">
        <v>1156</v>
      </c>
      <c r="J46" s="1843"/>
      <c r="K46" s="1844"/>
      <c r="L46" s="1845">
        <f ca="1">IF(M47="住宅",0,IF(L48&gt;J51,L60,J60))</f>
        <v>44</v>
      </c>
      <c r="O46" s="1846" t="s">
        <v>1157</v>
      </c>
      <c r="P46" s="1847" t="s">
        <v>1158</v>
      </c>
      <c r="Q46" s="1891" t="s">
        <v>1159</v>
      </c>
      <c r="R46" s="1891" t="s">
        <v>1160</v>
      </c>
    </row>
    <row r="47" spans="1:18" s="739" customFormat="1">
      <c r="A47" s="1761" t="s">
        <v>1061</v>
      </c>
      <c r="B47" s="1762" t="s">
        <v>1062</v>
      </c>
      <c r="C47" s="1918" t="s">
        <v>1063</v>
      </c>
      <c r="D47" s="1762" t="s">
        <v>1064</v>
      </c>
      <c r="E47" s="1763" t="s">
        <v>1065</v>
      </c>
      <c r="F47" s="278"/>
      <c r="G47" s="1764"/>
      <c r="I47" s="1848" t="s">
        <v>1161</v>
      </c>
      <c r="J47" s="1849" t="s">
        <v>3381</v>
      </c>
      <c r="K47" s="1850" t="s">
        <v>1162</v>
      </c>
      <c r="L47" s="1851">
        <f ca="1">INDIRECT("'数据-取费表'!d"&amp;$G$1)</f>
        <v>40</v>
      </c>
      <c r="M47" s="1852" t="str">
        <f>IF(ISNUMBER(FIND("住宅",C1)),"住宅","非住宅")</f>
        <v>非住宅</v>
      </c>
      <c r="O47" s="1853" t="s">
        <v>910</v>
      </c>
      <c r="P47" s="1854" t="s">
        <v>1163</v>
      </c>
      <c r="Q47" s="1892">
        <f ca="1">C40+J29</f>
        <v>8603</v>
      </c>
      <c r="R47" s="1892" t="s">
        <v>1164</v>
      </c>
    </row>
    <row r="48" spans="1:18" s="739" customFormat="1" ht="27.75">
      <c r="A48" s="1765" t="s">
        <v>1165</v>
      </c>
      <c r="B48" s="1664" t="s">
        <v>1066</v>
      </c>
      <c r="C48" s="286">
        <f ca="1">C49+C53+C55</f>
        <v>0</v>
      </c>
      <c r="D48" s="1766"/>
      <c r="E48" s="1767"/>
      <c r="F48" s="1768"/>
      <c r="G48" s="1764"/>
      <c r="H48" s="1769"/>
      <c r="I48" s="796" t="s">
        <v>1166</v>
      </c>
      <c r="J48" s="1855" t="s">
        <v>3382</v>
      </c>
      <c r="K48" s="1856" t="s">
        <v>1167</v>
      </c>
      <c r="L48" s="1857">
        <f ca="1">INDIRECT("'数据-取费表'!f"&amp;$G$1)</f>
        <v>34.03</v>
      </c>
      <c r="O48" s="1853" t="s">
        <v>913</v>
      </c>
      <c r="P48" s="1854" t="s">
        <v>1168</v>
      </c>
      <c r="Q48" s="1892">
        <f ca="1">J60</f>
        <v>44</v>
      </c>
      <c r="R48" s="1892" t="s">
        <v>1169</v>
      </c>
    </row>
    <row r="49" spans="1:18" s="739" customFormat="1">
      <c r="A49" s="1770" t="s">
        <v>1170</v>
      </c>
      <c r="B49" s="1771" t="s">
        <v>1171</v>
      </c>
      <c r="C49" s="1772">
        <f ca="1">ROUND(F49*F51*F50*(1-F52)/10000,0)</f>
        <v>0</v>
      </c>
      <c r="D49" s="1773" t="s">
        <v>1071</v>
      </c>
      <c r="E49" s="1774" t="s">
        <v>1172</v>
      </c>
      <c r="F49" s="1775"/>
      <c r="G49" s="1776"/>
      <c r="H49" s="1769"/>
      <c r="I49" s="796" t="s">
        <v>1173</v>
      </c>
      <c r="J49" s="1858">
        <v>2013</v>
      </c>
      <c r="K49" s="1856" t="s">
        <v>1174</v>
      </c>
      <c r="L49" s="1859"/>
      <c r="O49" s="1860" t="s">
        <v>1175</v>
      </c>
      <c r="P49" s="1854" t="s">
        <v>1176</v>
      </c>
      <c r="Q49" s="1892">
        <f ca="1">C29</f>
        <v>2064</v>
      </c>
      <c r="R49" s="1892" t="s">
        <v>1164</v>
      </c>
    </row>
    <row r="50" spans="1:18" s="739" customFormat="1">
      <c r="A50" s="1777"/>
      <c r="B50" s="1778"/>
      <c r="C50" s="1919"/>
      <c r="D50" s="1780"/>
      <c r="E50" s="1781" t="s">
        <v>1072</v>
      </c>
      <c r="F50" s="1782">
        <f ca="1">F7</f>
        <v>4322.1499999999996</v>
      </c>
      <c r="H50" s="1769"/>
      <c r="I50" s="796" t="s">
        <v>1177</v>
      </c>
      <c r="J50" s="1861">
        <f>SUMPRODUCT((I63:I65=J47)*(J62:L62=J48)*(J63:L65))</f>
        <v>60</v>
      </c>
      <c r="K50" s="1856" t="s">
        <v>1178</v>
      </c>
      <c r="L50" s="1859"/>
      <c r="M50" s="1862"/>
      <c r="O50" s="1860" t="s">
        <v>1179</v>
      </c>
      <c r="P50" s="1854" t="s">
        <v>1180</v>
      </c>
      <c r="Q50" s="1893">
        <f ca="1">J58</f>
        <v>0.4</v>
      </c>
      <c r="R50" s="1892"/>
    </row>
    <row r="51" spans="1:18" s="739" customFormat="1">
      <c r="A51" s="1783"/>
      <c r="B51" s="1778"/>
      <c r="C51" s="1779"/>
      <c r="D51" s="1780"/>
      <c r="E51" s="1784" t="s">
        <v>1073</v>
      </c>
      <c r="F51" s="1673">
        <f ca="1">F8</f>
        <v>365</v>
      </c>
      <c r="I51" s="1863" t="s">
        <v>1181</v>
      </c>
      <c r="J51" s="1864">
        <f>IF(J49="",J50,J49+J50-YEAR('数据-取费表'!B2))</f>
        <v>55</v>
      </c>
      <c r="K51" s="1865" t="s">
        <v>1182</v>
      </c>
      <c r="L51" s="1866">
        <f ca="1">ROUND(-PV(INDIRECT("'数据-取费表'!h"&amp;$G$1),L48,(C39-C13*C76),0),0)</f>
        <v>4529</v>
      </c>
      <c r="M51" s="1867"/>
      <c r="O51" s="1860" t="s">
        <v>1183</v>
      </c>
      <c r="P51" s="1854" t="s">
        <v>1184</v>
      </c>
      <c r="Q51" s="1893">
        <f>J52</f>
        <v>0.09</v>
      </c>
      <c r="R51" s="1892"/>
    </row>
    <row r="52" spans="1:18" s="739" customFormat="1">
      <c r="A52" s="1783"/>
      <c r="B52" s="1778"/>
      <c r="C52" s="1779"/>
      <c r="D52" s="1780"/>
      <c r="E52" s="1784" t="s">
        <v>1074</v>
      </c>
      <c r="F52" s="1785"/>
      <c r="I52" s="1868" t="s">
        <v>1185</v>
      </c>
      <c r="J52" s="1869">
        <v>0.09</v>
      </c>
      <c r="K52" s="1868" t="s">
        <v>1186</v>
      </c>
      <c r="L52" s="1869"/>
      <c r="O52" s="1860" t="s">
        <v>1187</v>
      </c>
      <c r="P52" s="1854" t="s">
        <v>1188</v>
      </c>
      <c r="Q52" s="1892">
        <f ca="1">J53</f>
        <v>34.03</v>
      </c>
      <c r="R52" s="1892" t="s">
        <v>1189</v>
      </c>
    </row>
    <row r="53" spans="1:18" s="739" customFormat="1" ht="24">
      <c r="A53" s="1920" t="s">
        <v>1190</v>
      </c>
      <c r="B53" s="1921" t="s">
        <v>1075</v>
      </c>
      <c r="C53" s="284">
        <f ca="1">ROUND(IF(F53="押一",C49/12*F11,IF(F53="押二",C49/12*2*F11,IF(F53="押三",C49/12*3*F11,C54*F11))),0)</f>
        <v>0</v>
      </c>
      <c r="D53" s="1682" t="s">
        <v>1076</v>
      </c>
      <c r="E53" s="1683" t="s">
        <v>1077</v>
      </c>
      <c r="F53" s="1684"/>
      <c r="I53" s="1870" t="s">
        <v>1191</v>
      </c>
      <c r="J53" s="1871">
        <f ca="1">IF(M47="住宅",IF(D1="——",MAX(J51,L48),IF(D1="在建（套用方法）",MAX(J51,L48-'数据-取费表'!B24),MAX(J51,L48-'数据-取费表'!B20))),IF(D1="——",MIN(J51,L48),IF(D1="在建（套用方法）",MIN(J51,L48-'数据-取费表'!B24),IF(D1="土地（套用方法）",MIN(J51,L48-'数据-取费表'!B20)))))</f>
        <v>34.03</v>
      </c>
      <c r="K53" s="3503" t="s">
        <v>1192</v>
      </c>
      <c r="L53" s="3504"/>
      <c r="O53" s="1853" t="s">
        <v>1016</v>
      </c>
      <c r="P53" s="1854" t="s">
        <v>1193</v>
      </c>
      <c r="Q53" s="1892">
        <f ca="1">Q47+Q48</f>
        <v>8647</v>
      </c>
      <c r="R53" s="1892" t="s">
        <v>1194</v>
      </c>
    </row>
    <row r="54" spans="1:18" s="739" customFormat="1">
      <c r="A54" s="1922"/>
      <c r="B54" s="1686" t="s">
        <v>1079</v>
      </c>
      <c r="C54" s="1687"/>
      <c r="D54" s="1682"/>
      <c r="E54" s="1788"/>
      <c r="F54" s="1789"/>
      <c r="I54" s="187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73"/>
      <c r="K54" s="1873"/>
      <c r="L54" s="1873"/>
      <c r="M54" s="1776"/>
      <c r="O54" s="1841" t="s">
        <v>1195</v>
      </c>
      <c r="P54" s="1743"/>
      <c r="Q54" s="1743"/>
      <c r="R54" s="1743"/>
    </row>
    <row r="55" spans="1:18" s="739" customFormat="1">
      <c r="A55" s="1690" t="s">
        <v>854</v>
      </c>
      <c r="B55" s="1691" t="s">
        <v>1081</v>
      </c>
      <c r="C55" s="1692"/>
      <c r="D55" s="1682"/>
      <c r="E55" s="1788"/>
      <c r="F55" s="1789"/>
      <c r="I55" s="1874" t="s">
        <v>1196</v>
      </c>
      <c r="J55" s="1875">
        <f ca="1">ROUND(IF(J47="钢混",J57/J50,1-(1-2%)*(J50-J57)/J50),3)</f>
        <v>0.35</v>
      </c>
      <c r="K55" s="1876" t="s">
        <v>1197</v>
      </c>
      <c r="L55" s="1877" t="s">
        <v>3383</v>
      </c>
      <c r="O55" s="1846" t="s">
        <v>1157</v>
      </c>
      <c r="P55" s="1847" t="s">
        <v>1158</v>
      </c>
      <c r="Q55" s="1891" t="s">
        <v>1159</v>
      </c>
      <c r="R55" s="1891" t="s">
        <v>1160</v>
      </c>
    </row>
    <row r="56" spans="1:18" s="739" customFormat="1" ht="24">
      <c r="A56" s="1790">
        <v>2</v>
      </c>
      <c r="B56" s="1791" t="s">
        <v>1082</v>
      </c>
      <c r="C56" s="180">
        <f ca="1">C13</f>
        <v>1899</v>
      </c>
      <c r="D56" s="1792"/>
      <c r="E56" s="1793"/>
      <c r="F56" s="1789"/>
      <c r="I56" s="1878" t="s">
        <v>1198</v>
      </c>
      <c r="J56" s="1879" t="s">
        <v>3402</v>
      </c>
      <c r="K56" s="796" t="s">
        <v>1199</v>
      </c>
      <c r="L56" s="1857" t="str">
        <f ca="1">IF(L48&lt;J51,"——",L48-J53)</f>
        <v>——</v>
      </c>
      <c r="O56" s="1853" t="s">
        <v>910</v>
      </c>
      <c r="P56" s="1854" t="s">
        <v>1163</v>
      </c>
      <c r="Q56" s="1892">
        <f ca="1">C40+J29</f>
        <v>8603</v>
      </c>
      <c r="R56" s="1892" t="s">
        <v>1164</v>
      </c>
    </row>
    <row r="57" spans="1:18" s="739" customFormat="1" ht="24">
      <c r="A57" s="1794"/>
      <c r="B57" s="1795" t="s">
        <v>1145</v>
      </c>
      <c r="C57" s="190">
        <f ca="1">C29</f>
        <v>2064</v>
      </c>
      <c r="D57" s="1796"/>
      <c r="E57" s="1797"/>
      <c r="F57" s="1798"/>
      <c r="I57" s="1880" t="s">
        <v>1200</v>
      </c>
      <c r="J57" s="1881">
        <f ca="1">IF(OR(M47="住宅",J51&lt;L48,J56="是"),"——",J51-L48)</f>
        <v>20.97</v>
      </c>
      <c r="K57" s="796" t="s">
        <v>1201</v>
      </c>
      <c r="L57" s="1857" t="str">
        <f ca="1">IF(L48&lt;J51,"——",IF(L55="比较法",L49,IF(L55="基准地价",L50,L51)))</f>
        <v>——</v>
      </c>
      <c r="O57" s="1853" t="s">
        <v>913</v>
      </c>
      <c r="P57" s="1854" t="s">
        <v>1202</v>
      </c>
      <c r="Q57" s="1892">
        <f ca="1">L60</f>
        <v>0</v>
      </c>
      <c r="R57" s="1892" t="s">
        <v>1203</v>
      </c>
    </row>
    <row r="58" spans="1:18" s="739" customFormat="1" ht="24">
      <c r="A58" s="1799" t="s">
        <v>1090</v>
      </c>
      <c r="B58" s="1791" t="s">
        <v>1091</v>
      </c>
      <c r="C58" s="284">
        <f ca="1">ROUND(C59+C64+C65+C66,0)</f>
        <v>219</v>
      </c>
      <c r="D58" s="1800" t="s">
        <v>1092</v>
      </c>
      <c r="E58" s="1801"/>
      <c r="F58" s="1768"/>
      <c r="I58" s="1880" t="s">
        <v>1204</v>
      </c>
      <c r="J58" s="1882">
        <f ca="1">IF(J55&lt;0.4,0.4,J55)</f>
        <v>0.4</v>
      </c>
      <c r="K58" s="1865" t="s">
        <v>1205</v>
      </c>
      <c r="L58" s="1857" t="e">
        <f ca="1">ROUND(POWER(1+L52,L47-L48)*(POWER(1+L52,L48)-1)/(POWER(1+L52,L47)-1),4)</f>
        <v>#DIV/0!</v>
      </c>
      <c r="O58" s="1860" t="s">
        <v>1175</v>
      </c>
      <c r="P58" s="1854" t="s">
        <v>1206</v>
      </c>
      <c r="Q58" s="1892">
        <f>IF(L55="比较法",L49,IF(L55="基准地价",L50,0))</f>
        <v>0</v>
      </c>
      <c r="R58" s="1892" t="s">
        <v>1164</v>
      </c>
    </row>
    <row r="59" spans="1:18" s="739" customFormat="1" ht="24">
      <c r="A59" s="1701" t="s">
        <v>806</v>
      </c>
      <c r="B59" s="1795" t="s">
        <v>1097</v>
      </c>
      <c r="C59" s="285">
        <f ca="1">ROUND(IF(项目基本情况!B11="自然人",C48*F59,C60+C61+C62),1)</f>
        <v>174.4</v>
      </c>
      <c r="D59" s="1802" t="s">
        <v>1098</v>
      </c>
      <c r="E59" s="1803" t="s">
        <v>1099</v>
      </c>
      <c r="F59" s="1726" t="str">
        <f ca="1">IF(项目基本情况!B11="企业","",IF(INDIRECT("'数据-取费表'!c"&amp;$G$1)="住宅",5%,IF(F49*F50*F51/12/(1+'数据-取费表'!C42)&gt;20000,12%,7%)))</f>
        <v/>
      </c>
      <c r="I59" s="1880" t="s">
        <v>1207</v>
      </c>
      <c r="J59" s="1881">
        <f ca="1">IF(OR(M47="住宅",J51&lt;L48,J56="是"),"——",ROUND(C29*J58,0))</f>
        <v>826</v>
      </c>
      <c r="K59" s="79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57" t="e">
        <f ca="1">ROUND(IF(D1="在建（套用方法）",M59,IF(D1="土地（套用方法）",N59,POWER(1+L52,L47-J51)*(POWER(1+L52,J51)-1)/(POWER(1+L52,L47)-1))),4)</f>
        <v>#DIV/0!</v>
      </c>
      <c r="M59" s="1852" t="e">
        <f ca="1">ROUND(POWER(1+L52,L47-(J51+'数据-取费表'!B24))*(POWER(1+L52,(J51+'数据-取费表'!B24))-1)/(POWER(1+L52,L47)-1),4)</f>
        <v>#DIV/0!</v>
      </c>
      <c r="N59" s="1852" t="e">
        <f ca="1">ROUND(POWER(1+L52,L47-(J51+'数据-取费表'!B20))*(POWER(1+L52,(J51+'数据-取费表'!B20))-1)/(POWER(1+L52,L47)-1),4)</f>
        <v>#DIV/0!</v>
      </c>
      <c r="O59" s="1860" t="s">
        <v>1179</v>
      </c>
      <c r="P59" s="1854" t="s">
        <v>1208</v>
      </c>
      <c r="Q59" s="1893">
        <f>L52</f>
        <v>0</v>
      </c>
      <c r="R59" s="1892"/>
    </row>
    <row r="60" spans="1:18" s="739" customFormat="1" ht="15.75">
      <c r="A60" s="1701" t="s">
        <v>829</v>
      </c>
      <c r="B60" s="1795" t="s">
        <v>1101</v>
      </c>
      <c r="C60" s="285">
        <f ca="1">IF(项目基本情况!B11="自然人","——",ROUND(C48*F60/(1+'数据-取费表'!C42),2))</f>
        <v>0</v>
      </c>
      <c r="D60" s="1803" t="s">
        <v>1102</v>
      </c>
      <c r="E60" s="1795" t="s">
        <v>1089</v>
      </c>
      <c r="F60" s="1717">
        <f t="shared" ref="F60:F66" si="0">F32</f>
        <v>5.6000000000000001E-2</v>
      </c>
      <c r="I60" s="1883" t="s">
        <v>1209</v>
      </c>
      <c r="J60" s="1884">
        <f ca="1">IF(OR(M47="住宅",J51&lt;L48,J56="是"),"0",ROUND(J59/(1+J52)^J53,0))</f>
        <v>44</v>
      </c>
      <c r="K60" s="1885" t="s">
        <v>1210</v>
      </c>
      <c r="L60" s="1884">
        <f ca="1">IF(OR(M47="住宅",L48&lt;J51),0,ROUND(L57*(L58/L59-1),0))</f>
        <v>0</v>
      </c>
      <c r="O60" s="1860" t="s">
        <v>1183</v>
      </c>
      <c r="P60" s="1854" t="s">
        <v>1211</v>
      </c>
      <c r="Q60" s="1892" t="e">
        <f ca="1">L58</f>
        <v>#DIV/0!</v>
      </c>
      <c r="R60" s="1892" t="s">
        <v>1212</v>
      </c>
    </row>
    <row r="61" spans="1:18" s="739" customFormat="1">
      <c r="A61" s="1701" t="s">
        <v>834</v>
      </c>
      <c r="B61" s="1795" t="s">
        <v>1105</v>
      </c>
      <c r="C61" s="285">
        <f ca="1">IF(项目基本情况!B11="自然人","——",IF(D61="按租金收入计税",ROUND(C48*F61,2),IF(D61="按房产原值计税",ROUND(C57*F61*0.7,2),INDIRECT("'数据-取费表'!Aj"&amp;$G$1))))</f>
        <v>173.38</v>
      </c>
      <c r="D61" s="1727" t="s">
        <v>1106</v>
      </c>
      <c r="E61" s="1795" t="s">
        <v>1089</v>
      </c>
      <c r="F61" s="1710">
        <f t="shared" si="0"/>
        <v>0.12</v>
      </c>
      <c r="I61" s="1886"/>
      <c r="J61" s="1886"/>
      <c r="K61" s="1886"/>
      <c r="L61" s="1886"/>
      <c r="O61" s="1860" t="s">
        <v>1187</v>
      </c>
      <c r="P61" s="1854" t="str">
        <f>K59</f>
        <v>建筑物剩余耐用年限下的土地年期修正系数Kn</v>
      </c>
      <c r="Q61" s="1892" t="e">
        <f ca="1">L59</f>
        <v>#DIV/0!</v>
      </c>
      <c r="R61" s="1892" t="s">
        <v>1213</v>
      </c>
    </row>
    <row r="62" spans="1:18" s="739" customFormat="1">
      <c r="A62" s="1701" t="s">
        <v>837</v>
      </c>
      <c r="B62" s="1804" t="s">
        <v>1109</v>
      </c>
      <c r="C62" s="1729">
        <f ca="1">IF(项目基本情况!B11="自然人","——",ROUND(F62*F63/10000,2))</f>
        <v>1</v>
      </c>
      <c r="D62" s="1805" t="s">
        <v>1110</v>
      </c>
      <c r="E62" s="1795" t="s">
        <v>1111</v>
      </c>
      <c r="F62" s="1716">
        <f t="shared" si="0"/>
        <v>5</v>
      </c>
      <c r="I62" s="1887" t="s">
        <v>1214</v>
      </c>
      <c r="J62" s="1888" t="s">
        <v>1215</v>
      </c>
      <c r="K62" s="1888" t="s">
        <v>1216</v>
      </c>
      <c r="L62" s="1888" t="s">
        <v>1217</v>
      </c>
      <c r="M62" s="1889" t="s">
        <v>1218</v>
      </c>
      <c r="O62" s="1853" t="s">
        <v>1016</v>
      </c>
      <c r="P62" s="1854" t="s">
        <v>1193</v>
      </c>
      <c r="Q62" s="1892">
        <f ca="1">Q56+Q57</f>
        <v>8603</v>
      </c>
      <c r="R62" s="1892" t="s">
        <v>1194</v>
      </c>
    </row>
    <row r="63" spans="1:18" s="739" customFormat="1">
      <c r="A63" s="1714"/>
      <c r="B63" s="1806"/>
      <c r="C63" s="1733"/>
      <c r="D63" s="1807"/>
      <c r="E63" s="1795" t="s">
        <v>1115</v>
      </c>
      <c r="F63" s="1673">
        <f t="shared" ca="1" si="0"/>
        <v>2003.82</v>
      </c>
      <c r="I63" s="1887" t="s">
        <v>1219</v>
      </c>
      <c r="J63" s="1888">
        <v>70</v>
      </c>
      <c r="K63" s="1888">
        <v>50</v>
      </c>
      <c r="L63" s="1888">
        <v>80</v>
      </c>
      <c r="M63" s="1890">
        <v>0.02</v>
      </c>
      <c r="O63" s="1841" t="s">
        <v>1220</v>
      </c>
      <c r="P63" s="1743"/>
      <c r="Q63" s="1743"/>
      <c r="R63" s="1743"/>
    </row>
    <row r="64" spans="1:18" s="739" customFormat="1">
      <c r="A64" s="1701" t="s">
        <v>810</v>
      </c>
      <c r="B64" s="1795" t="s">
        <v>1117</v>
      </c>
      <c r="C64" s="285">
        <f ca="1">ROUND(C57*F64,1)</f>
        <v>41.3</v>
      </c>
      <c r="D64" s="1803" t="s">
        <v>1149</v>
      </c>
      <c r="E64" s="1795" t="s">
        <v>1089</v>
      </c>
      <c r="F64" s="1736">
        <f t="shared" ca="1" si="0"/>
        <v>0.02</v>
      </c>
      <c r="I64" s="1887" t="s">
        <v>1221</v>
      </c>
      <c r="J64" s="1888">
        <v>50</v>
      </c>
      <c r="K64" s="1888">
        <v>35</v>
      </c>
      <c r="L64" s="1888">
        <v>60</v>
      </c>
      <c r="M64" s="1889">
        <v>0</v>
      </c>
      <c r="O64" s="1846" t="s">
        <v>1157</v>
      </c>
      <c r="P64" s="1847" t="s">
        <v>1158</v>
      </c>
      <c r="Q64" s="1891" t="s">
        <v>1159</v>
      </c>
      <c r="R64" s="1891" t="s">
        <v>1160</v>
      </c>
    </row>
    <row r="65" spans="1:18" s="739" customFormat="1">
      <c r="A65" s="1701" t="s">
        <v>854</v>
      </c>
      <c r="B65" s="1795" t="s">
        <v>1121</v>
      </c>
      <c r="C65" s="285">
        <f ca="1">ROUND(C56*F65,1)</f>
        <v>2.8</v>
      </c>
      <c r="D65" s="1803" t="s">
        <v>1122</v>
      </c>
      <c r="E65" s="1795" t="s">
        <v>1089</v>
      </c>
      <c r="F65" s="1737">
        <f t="shared" ca="1" si="0"/>
        <v>1.5E-3</v>
      </c>
      <c r="I65" s="1887" t="s">
        <v>1222</v>
      </c>
      <c r="J65" s="1888">
        <v>40</v>
      </c>
      <c r="K65" s="1888">
        <v>30</v>
      </c>
      <c r="L65" s="1888">
        <v>50</v>
      </c>
      <c r="M65" s="1890">
        <v>0.02</v>
      </c>
      <c r="O65" s="1853" t="s">
        <v>910</v>
      </c>
      <c r="P65" s="1854" t="s">
        <v>1163</v>
      </c>
      <c r="Q65" s="1892">
        <f ca="1">C40+J29</f>
        <v>8603</v>
      </c>
      <c r="R65" s="1892" t="s">
        <v>1164</v>
      </c>
    </row>
    <row r="66" spans="1:18" s="739" customFormat="1" ht="15.75">
      <c r="A66" s="1701" t="s">
        <v>858</v>
      </c>
      <c r="B66" s="1795" t="s">
        <v>1107</v>
      </c>
      <c r="C66" s="285">
        <f ca="1">ROUND(C48*F66,1)</f>
        <v>0</v>
      </c>
      <c r="D66" s="1803" t="s">
        <v>1125</v>
      </c>
      <c r="E66" s="1795" t="s">
        <v>1089</v>
      </c>
      <c r="F66" s="1680">
        <f t="shared" ca="1" si="0"/>
        <v>0.02</v>
      </c>
      <c r="O66" s="1853" t="s">
        <v>913</v>
      </c>
      <c r="P66" s="1854" t="s">
        <v>1202</v>
      </c>
      <c r="Q66" s="1892">
        <f ca="1">L60</f>
        <v>0</v>
      </c>
      <c r="R66" s="1892" t="s">
        <v>1203</v>
      </c>
    </row>
    <row r="67" spans="1:18" s="739" customFormat="1" ht="15.75">
      <c r="A67" s="1790" t="s">
        <v>1128</v>
      </c>
      <c r="B67" s="1894" t="s">
        <v>1129</v>
      </c>
      <c r="C67" s="284">
        <f ca="1">C48-C58</f>
        <v>-219</v>
      </c>
      <c r="D67" s="1802" t="s">
        <v>1130</v>
      </c>
      <c r="E67" s="1895"/>
      <c r="F67" s="1896"/>
      <c r="O67" s="1860" t="s">
        <v>1175</v>
      </c>
      <c r="P67" s="1854" t="s">
        <v>1206</v>
      </c>
      <c r="Q67" s="1916">
        <f ca="1">L51</f>
        <v>4529</v>
      </c>
      <c r="R67" s="1892" t="s">
        <v>1223</v>
      </c>
    </row>
    <row r="68" spans="1:18" s="739" customFormat="1" ht="15.75">
      <c r="A68" s="1897" t="s">
        <v>1134</v>
      </c>
      <c r="B68" s="1898" t="s">
        <v>1150</v>
      </c>
      <c r="C68" s="1742">
        <f ca="1">ROUND(C67*(1-((1+F70)/(1+F68))^F69)/(F68-F70),0)</f>
        <v>-3338</v>
      </c>
      <c r="D68" s="1805" t="s">
        <v>1136</v>
      </c>
      <c r="E68" s="1795" t="s">
        <v>1137</v>
      </c>
      <c r="F68" s="1680">
        <f ca="1">F40</f>
        <v>5.5E-2</v>
      </c>
      <c r="O68" s="1860" t="s">
        <v>1179</v>
      </c>
      <c r="P68" s="1915" t="s">
        <v>1224</v>
      </c>
      <c r="Q68" s="1892">
        <f ca="1">ROUND(Q69-Q70*Q71,0)</f>
        <v>280</v>
      </c>
      <c r="R68" s="1892" t="s">
        <v>1225</v>
      </c>
    </row>
    <row r="69" spans="1:18" s="739" customFormat="1">
      <c r="A69" s="1899"/>
      <c r="B69" s="1900"/>
      <c r="C69" s="1679"/>
      <c r="D69" s="1901" t="s">
        <v>1140</v>
      </c>
      <c r="E69" s="1795" t="s">
        <v>1141</v>
      </c>
      <c r="F69" s="1746">
        <f ca="1">F41</f>
        <v>34.03</v>
      </c>
      <c r="O69" s="1860" t="s">
        <v>1226</v>
      </c>
      <c r="P69" s="1915" t="s">
        <v>1227</v>
      </c>
      <c r="Q69" s="1892">
        <f ca="1">C39</f>
        <v>441</v>
      </c>
      <c r="R69" s="1892" t="s">
        <v>1164</v>
      </c>
    </row>
    <row r="70" spans="1:18" s="739" customFormat="1">
      <c r="A70" s="1902"/>
      <c r="B70" s="1903"/>
      <c r="C70" s="1698"/>
      <c r="D70" s="1807"/>
      <c r="E70" s="1795" t="s">
        <v>1144</v>
      </c>
      <c r="F70" s="1785"/>
      <c r="O70" s="1860" t="s">
        <v>1228</v>
      </c>
      <c r="P70" s="1915" t="s">
        <v>1229</v>
      </c>
      <c r="Q70" s="1892">
        <f ca="1">C13</f>
        <v>1899</v>
      </c>
      <c r="R70" s="1892" t="s">
        <v>1164</v>
      </c>
    </row>
    <row r="71" spans="1:18" s="739" customFormat="1">
      <c r="A71" s="1904" t="s">
        <v>1146</v>
      </c>
      <c r="B71" s="1905" t="s">
        <v>1151</v>
      </c>
      <c r="C71" s="1750">
        <f ca="1">ROUND(C68*10000/F71,0)</f>
        <v>-7723</v>
      </c>
      <c r="D71" s="1906" t="s">
        <v>1152</v>
      </c>
      <c r="E71" s="1907" t="s">
        <v>1153</v>
      </c>
      <c r="F71" s="1753">
        <f ca="1">F43</f>
        <v>4322.1499999999996</v>
      </c>
      <c r="O71" s="1860" t="s">
        <v>1230</v>
      </c>
      <c r="P71" s="1915" t="s">
        <v>1231</v>
      </c>
      <c r="Q71" s="1893">
        <f ca="1">C76</f>
        <v>8.5000000000000006E-2</v>
      </c>
      <c r="R71" s="1892"/>
    </row>
    <row r="72" spans="1:18" s="739" customFormat="1">
      <c r="B72" s="315"/>
      <c r="C72" s="315"/>
      <c r="O72" s="1860" t="s">
        <v>1183</v>
      </c>
      <c r="P72" s="1854" t="s">
        <v>1208</v>
      </c>
      <c r="Q72" s="1893">
        <f>L52</f>
        <v>0</v>
      </c>
      <c r="R72" s="1892"/>
    </row>
    <row r="73" spans="1:18" ht="15.75">
      <c r="A73" s="739"/>
      <c r="B73" s="315"/>
      <c r="C73" s="315"/>
      <c r="D73" s="739"/>
      <c r="E73" s="739"/>
      <c r="F73" s="739"/>
      <c r="O73" s="1860" t="s">
        <v>1187</v>
      </c>
      <c r="P73" s="1854" t="s">
        <v>1211</v>
      </c>
      <c r="Q73" s="1892" t="e">
        <f ca="1">L58</f>
        <v>#DIV/0!</v>
      </c>
      <c r="R73" s="1892" t="s">
        <v>1212</v>
      </c>
    </row>
    <row r="74" spans="1:18">
      <c r="A74" s="739"/>
      <c r="B74" s="222" t="s">
        <v>1232</v>
      </c>
      <c r="C74" s="1908"/>
      <c r="D74" s="739"/>
      <c r="E74" s="739"/>
      <c r="F74" s="739"/>
      <c r="O74" s="1860" t="s">
        <v>1233</v>
      </c>
      <c r="P74" s="1854" t="str">
        <f>K59</f>
        <v>建筑物剩余耐用年限下的土地年期修正系数Kn</v>
      </c>
      <c r="Q74" s="1892" t="e">
        <f ca="1">L59</f>
        <v>#DIV/0!</v>
      </c>
      <c r="R74" s="1892" t="s">
        <v>1213</v>
      </c>
    </row>
    <row r="75" spans="1:18">
      <c r="A75" s="739"/>
      <c r="B75" s="1909" t="s">
        <v>1234</v>
      </c>
      <c r="C75" s="1910">
        <f ca="1">ROUND(C13*C76,0)</f>
        <v>161</v>
      </c>
      <c r="D75" s="739"/>
      <c r="E75" s="739"/>
      <c r="F75" s="739"/>
      <c r="K75" s="1840"/>
      <c r="L75" s="739"/>
      <c r="O75" s="1853" t="s">
        <v>1016</v>
      </c>
      <c r="P75" s="1854" t="s">
        <v>1193</v>
      </c>
      <c r="Q75" s="1892">
        <f ca="1">Q65+Q66</f>
        <v>8603</v>
      </c>
      <c r="R75" s="1892" t="s">
        <v>1194</v>
      </c>
    </row>
    <row r="76" spans="1:18">
      <c r="B76" s="563" t="s">
        <v>1235</v>
      </c>
      <c r="C76" s="1911">
        <f ca="1">INDIRECT("'数据-取费表'!j"&amp;$G$1)</f>
        <v>8.5000000000000006E-2</v>
      </c>
      <c r="I76" s="739"/>
      <c r="J76" s="739"/>
      <c r="K76" s="1840"/>
      <c r="L76" s="739"/>
    </row>
    <row r="77" spans="1:18">
      <c r="B77" s="1912" t="s">
        <v>1236</v>
      </c>
      <c r="C77" s="1913"/>
      <c r="I77" s="739"/>
      <c r="J77" s="739"/>
      <c r="K77" s="1840"/>
      <c r="L77" s="739"/>
    </row>
    <row r="78" spans="1:18">
      <c r="B78" s="220" t="s">
        <v>1237</v>
      </c>
      <c r="C78" s="1914"/>
    </row>
    <row r="79" spans="1:18">
      <c r="B79" s="1909" t="s">
        <v>1238</v>
      </c>
      <c r="C79" s="223">
        <f ca="1">1-C80</f>
        <v>0.63500000000000001</v>
      </c>
    </row>
    <row r="80" spans="1:18">
      <c r="B80" s="1909" t="s">
        <v>1239</v>
      </c>
      <c r="C80" s="223">
        <f ca="1">ROUND(C75/C39,3)</f>
        <v>0.36499999999999999</v>
      </c>
    </row>
    <row r="81" spans="2:3">
      <c r="B81" s="220" t="s">
        <v>1240</v>
      </c>
      <c r="C81" s="190"/>
    </row>
    <row r="82" spans="2:3">
      <c r="B82" s="222" t="s">
        <v>989</v>
      </c>
      <c r="C82" s="224">
        <f ca="1">1-C83</f>
        <v>0.77900000000000003</v>
      </c>
    </row>
    <row r="83" spans="2:3">
      <c r="B83" s="222" t="s">
        <v>990</v>
      </c>
      <c r="C83" s="223">
        <f ca="1">ROUND(C13/C40,3)</f>
        <v>0.221</v>
      </c>
    </row>
  </sheetData>
  <sheetProtection password="C66D" sheet="1" objects="1" scenarios="1" formatCells="0" formatColumns="0" formatRows="0"/>
  <mergeCells count="3">
    <mergeCell ref="K53:L53"/>
    <mergeCell ref="B6:B9"/>
    <mergeCell ref="I6:I9"/>
  </mergeCells>
  <phoneticPr fontId="225" type="noConversion"/>
  <conditionalFormatting sqref="C11">
    <cfRule type="expression" dxfId="118" priority="3">
      <formula>$F$10="自定义"</formula>
    </cfRule>
  </conditionalFormatting>
  <conditionalFormatting sqref="J11">
    <cfRule type="expression" dxfId="117" priority="2">
      <formula>$M$10="自定义"</formula>
    </cfRule>
  </conditionalFormatting>
  <conditionalFormatting sqref="C54">
    <cfRule type="expression" dxfId="116" priority="1">
      <formula>$F$53="自定义"</formula>
    </cfRule>
  </conditionalFormatting>
  <conditionalFormatting sqref="I55 I60">
    <cfRule type="expression" dxfId="115" priority="57">
      <formula>$J$51&gt;$L$48</formula>
    </cfRule>
  </conditionalFormatting>
  <conditionalFormatting sqref="K55 K60">
    <cfRule type="expression" dxfId="1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69930555555555596" right="0.69930555555555596"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workbookViewId="0">
      <selection activeCell="J53" sqref="J53"/>
    </sheetView>
  </sheetViews>
  <sheetFormatPr defaultColWidth="9" defaultRowHeight="12.75"/>
  <cols>
    <col min="1" max="1" width="9" style="136" customWidth="1"/>
    <col min="2" max="2" width="20.625" style="225" customWidth="1"/>
    <col min="3" max="3" width="11.875" style="225" customWidth="1"/>
    <col min="4" max="4" width="40.5" style="136" customWidth="1"/>
    <col min="5" max="5" width="15.75" style="136" customWidth="1"/>
    <col min="6" max="6" width="10.625" style="136" customWidth="1"/>
    <col min="7" max="7" width="4.875" style="136" customWidth="1"/>
    <col min="8" max="8" width="8.5" style="136" customWidth="1"/>
    <col min="9" max="9" width="21.25" style="136" customWidth="1"/>
    <col min="10" max="10" width="12.25" style="136" customWidth="1"/>
    <col min="11" max="11" width="40.125" style="1639" customWidth="1"/>
    <col min="12" max="12" width="16.375" style="136" customWidth="1"/>
    <col min="13" max="13" width="13" style="136" customWidth="1"/>
    <col min="14" max="14" width="13.75" style="739" customWidth="1"/>
    <col min="15" max="15" width="5.125" style="739" customWidth="1"/>
    <col min="16" max="16" width="25.75" style="739" customWidth="1"/>
    <col min="17" max="17" width="13.75" style="739" customWidth="1"/>
    <col min="18" max="18" width="20.5" style="739" customWidth="1"/>
    <col min="19" max="19" width="13.25" style="739" customWidth="1"/>
    <col min="20" max="37" width="9" style="739"/>
    <col min="38" max="16384" width="9" style="136"/>
  </cols>
  <sheetData>
    <row r="1" spans="1:37" s="1637" customFormat="1" ht="21">
      <c r="A1" s="1640" t="s">
        <v>1054</v>
      </c>
      <c r="B1" s="1083"/>
      <c r="C1" s="1641"/>
      <c r="D1" s="1642"/>
      <c r="E1" s="1643" t="s">
        <v>1055</v>
      </c>
      <c r="F1" s="1644" t="b">
        <f>J53</f>
        <v>0</v>
      </c>
      <c r="G1" s="1645">
        <f>MATCH(C1,'数据-取费表'!A6:A16,0)+5</f>
        <v>10</v>
      </c>
      <c r="H1" s="1646"/>
      <c r="I1" s="1808"/>
      <c r="J1" s="1808"/>
      <c r="K1" s="1809"/>
      <c r="L1" s="1808"/>
      <c r="M1" s="1808"/>
      <c r="N1" s="1810"/>
      <c r="O1" s="1810"/>
      <c r="P1" s="1810"/>
      <c r="Q1" s="1810"/>
      <c r="R1" s="1810"/>
      <c r="S1" s="1810"/>
      <c r="T1" s="1810"/>
      <c r="U1" s="1810"/>
      <c r="V1" s="1810"/>
      <c r="W1" s="1810"/>
      <c r="X1" s="1810"/>
      <c r="Y1" s="1810"/>
      <c r="Z1" s="1810"/>
      <c r="AA1" s="1810"/>
      <c r="AB1" s="1810"/>
      <c r="AC1" s="1810"/>
      <c r="AD1" s="1810"/>
      <c r="AE1" s="1810"/>
      <c r="AF1" s="1810"/>
      <c r="AG1" s="1810"/>
      <c r="AH1" s="1810"/>
      <c r="AI1" s="1810"/>
      <c r="AJ1" s="1810"/>
      <c r="AK1" s="1810"/>
    </row>
    <row r="2" spans="1:37" ht="18" customHeight="1">
      <c r="A2" s="1647" t="s">
        <v>1056</v>
      </c>
      <c r="B2" s="1648" t="e">
        <f ca="1">ROUND(D2/10000,0)</f>
        <v>#DIV/0!</v>
      </c>
      <c r="C2" s="1649" t="s">
        <v>1057</v>
      </c>
      <c r="D2" s="1650" t="e">
        <f ca="1">C40+J29+L46</f>
        <v>#DIV/0!</v>
      </c>
      <c r="E2" s="1651" t="s">
        <v>1241</v>
      </c>
      <c r="F2" s="1652"/>
      <c r="G2" s="1653"/>
      <c r="H2" s="1654"/>
      <c r="I2" s="1654"/>
      <c r="J2" s="1654"/>
      <c r="K2" s="1811"/>
      <c r="L2" s="1654"/>
      <c r="M2" s="1654"/>
    </row>
    <row r="3" spans="1:37" ht="18" customHeight="1">
      <c r="A3" s="1655" t="s">
        <v>1058</v>
      </c>
      <c r="B3" s="1656">
        <f ca="1">IF(ISERROR(D2/F43),0,ROUND(D2/F43,0))</f>
        <v>0</v>
      </c>
      <c r="C3" s="1649" t="s">
        <v>1059</v>
      </c>
      <c r="D3" s="1649"/>
      <c r="E3" s="1651"/>
      <c r="F3" s="1652"/>
      <c r="G3" s="1653"/>
      <c r="H3" s="1657" t="s">
        <v>1060</v>
      </c>
      <c r="I3" s="1654"/>
      <c r="J3" s="1654"/>
      <c r="K3" s="1811"/>
      <c r="L3" s="1654"/>
      <c r="M3" s="1654"/>
    </row>
    <row r="4" spans="1:37" ht="18" customHeight="1">
      <c r="A4" s="1658" t="s">
        <v>1061</v>
      </c>
      <c r="B4" s="1659" t="s">
        <v>1062</v>
      </c>
      <c r="C4" s="1659" t="s">
        <v>1063</v>
      </c>
      <c r="D4" s="1659" t="s">
        <v>1064</v>
      </c>
      <c r="E4" s="1660" t="s">
        <v>1065</v>
      </c>
      <c r="F4" s="1661"/>
      <c r="G4" s="1662"/>
      <c r="H4" s="1658" t="s">
        <v>1061</v>
      </c>
      <c r="I4" s="1659" t="s">
        <v>1062</v>
      </c>
      <c r="J4" s="1659" t="s">
        <v>1063</v>
      </c>
      <c r="K4" s="1659" t="s">
        <v>1064</v>
      </c>
      <c r="L4" s="1660" t="s">
        <v>1065</v>
      </c>
      <c r="M4" s="1661"/>
    </row>
    <row r="5" spans="1:37" ht="18" customHeight="1">
      <c r="A5" s="1663">
        <v>1</v>
      </c>
      <c r="B5" s="1664" t="s">
        <v>1066</v>
      </c>
      <c r="C5" s="1665">
        <f ca="1">C6+C10+C12</f>
        <v>0</v>
      </c>
      <c r="D5" s="1666" t="s">
        <v>1067</v>
      </c>
      <c r="E5" s="1667"/>
      <c r="F5" s="1668"/>
      <c r="G5" s="1662"/>
      <c r="H5" s="1663">
        <v>1</v>
      </c>
      <c r="I5" s="1664" t="s">
        <v>1066</v>
      </c>
      <c r="J5" s="1665">
        <f ca="1">J6+J10+J12</f>
        <v>0</v>
      </c>
      <c r="K5" s="1666" t="s">
        <v>1067</v>
      </c>
      <c r="L5" s="1667"/>
      <c r="M5" s="1668"/>
    </row>
    <row r="6" spans="1:37" ht="18" customHeight="1">
      <c r="A6" s="1669" t="s">
        <v>806</v>
      </c>
      <c r="B6" s="3500" t="s">
        <v>1068</v>
      </c>
      <c r="C6" s="1670">
        <f ca="1">ROUND(F6*F8*F7*(1-F9),0)</f>
        <v>0</v>
      </c>
      <c r="D6" s="1671" t="s">
        <v>1242</v>
      </c>
      <c r="E6" s="1672" t="s">
        <v>1070</v>
      </c>
      <c r="F6" s="1673">
        <f ca="1">INDIRECT("'数据-取费表'!u"&amp;$G$1)</f>
        <v>0</v>
      </c>
      <c r="G6" s="1662"/>
      <c r="H6" s="1669" t="s">
        <v>806</v>
      </c>
      <c r="I6" s="3500" t="s">
        <v>1068</v>
      </c>
      <c r="J6" s="1742">
        <f ca="1">ROUND(M6*M8*M7*(1-M9),0)</f>
        <v>0</v>
      </c>
      <c r="K6" s="1812" t="s">
        <v>1243</v>
      </c>
      <c r="L6" s="1672" t="s">
        <v>1070</v>
      </c>
      <c r="M6" s="1673">
        <f ca="1">INDIRECT("'数据-取费表'!z"&amp;$G$1)</f>
        <v>0</v>
      </c>
    </row>
    <row r="7" spans="1:37" ht="18" customHeight="1">
      <c r="A7" s="1674"/>
      <c r="B7" s="3501"/>
      <c r="C7" s="1675"/>
      <c r="D7" s="1676"/>
      <c r="E7" s="1677" t="s">
        <v>1072</v>
      </c>
      <c r="F7" s="1673">
        <f ca="1">IF(INDIRECT("'数据-取费表'!ah"&amp;$G$1)="",INDIRECT("'数据-取费表'!k"&amp;$G$1),INDIRECT("'数据-取费表'!ah"&amp;$G$1))</f>
        <v>0</v>
      </c>
      <c r="G7" s="1662"/>
      <c r="H7" s="1678"/>
      <c r="I7" s="3501"/>
      <c r="J7" s="1679"/>
      <c r="K7" s="1676"/>
      <c r="L7" s="1672" t="s">
        <v>1072</v>
      </c>
      <c r="M7" s="1673">
        <f ca="1">F7</f>
        <v>0</v>
      </c>
    </row>
    <row r="8" spans="1:37" ht="18" customHeight="1">
      <c r="A8" s="1678"/>
      <c r="B8" s="3501"/>
      <c r="C8" s="1679"/>
      <c r="D8" s="1676"/>
      <c r="E8" s="1672" t="s">
        <v>1073</v>
      </c>
      <c r="F8" s="1673">
        <f ca="1">INDIRECT("'数据-取费表'!ai"&amp;$G$1)</f>
        <v>0</v>
      </c>
      <c r="G8" s="1662"/>
      <c r="H8" s="1678"/>
      <c r="I8" s="3501"/>
      <c r="J8" s="1679"/>
      <c r="K8" s="1676"/>
      <c r="L8" s="1672" t="s">
        <v>1073</v>
      </c>
      <c r="M8" s="1673">
        <f ca="1">INDIRECT("'数据-取费表'!ai"&amp;$G$1)</f>
        <v>0</v>
      </c>
    </row>
    <row r="9" spans="1:37" ht="18" customHeight="1">
      <c r="A9" s="1678"/>
      <c r="B9" s="3502"/>
      <c r="C9" s="1679"/>
      <c r="D9" s="1676"/>
      <c r="E9" s="1672" t="s">
        <v>1074</v>
      </c>
      <c r="F9" s="1680">
        <f ca="1">INDIRECT("'数据-取费表'!w"&amp;$G$1)</f>
        <v>0</v>
      </c>
      <c r="G9" s="1662"/>
      <c r="H9" s="1678"/>
      <c r="I9" s="3502"/>
      <c r="J9" s="1679"/>
      <c r="K9" s="1676"/>
      <c r="L9" s="1683" t="s">
        <v>1074</v>
      </c>
      <c r="M9" s="1688">
        <f ca="1">INDIRECT("'数据-取费表'!ab"&amp;$G$1)</f>
        <v>0</v>
      </c>
    </row>
    <row r="10" spans="1:37" ht="18" customHeight="1">
      <c r="A10" s="1669" t="s">
        <v>810</v>
      </c>
      <c r="B10" s="1681" t="s">
        <v>1075</v>
      </c>
      <c r="C10" s="284">
        <f ca="1">ROUND(IF(F10="押一",C6/12*F11,IF(F10="押二",C6/12*2*F11,IF(F10="押三",C6/12*3*F11,C11*F11))),0)</f>
        <v>0</v>
      </c>
      <c r="D10" s="1682" t="s">
        <v>1076</v>
      </c>
      <c r="E10" s="1683" t="s">
        <v>1077</v>
      </c>
      <c r="F10" s="1684"/>
      <c r="G10" s="1662"/>
      <c r="H10" s="1669" t="s">
        <v>810</v>
      </c>
      <c r="I10" s="1681" t="s">
        <v>1075</v>
      </c>
      <c r="J10" s="1742">
        <f ca="1">ROUND(IF(M10="押一",J6/12*M11,IF(M10="押二",J6/12*2*M11,IF(M10="押三",J6/12*3*M11,J11*M11))),0)</f>
        <v>0</v>
      </c>
      <c r="K10" s="1813" t="s">
        <v>1244</v>
      </c>
      <c r="L10" s="1683" t="s">
        <v>1077</v>
      </c>
      <c r="M10" s="1684"/>
    </row>
    <row r="11" spans="1:37" ht="18" customHeight="1">
      <c r="A11" s="1685"/>
      <c r="B11" s="1686" t="s">
        <v>1245</v>
      </c>
      <c r="C11" s="1687"/>
      <c r="D11" s="1676"/>
      <c r="E11" s="1683" t="s">
        <v>1080</v>
      </c>
      <c r="F11" s="1688">
        <f ca="1">'数据-取费表'!B39</f>
        <v>1.4999999999999999E-2</v>
      </c>
      <c r="G11" s="1662"/>
      <c r="H11" s="1689"/>
      <c r="I11" s="1686" t="s">
        <v>1246</v>
      </c>
      <c r="J11" s="1687"/>
      <c r="K11" s="1814"/>
      <c r="L11" s="1683" t="s">
        <v>1080</v>
      </c>
      <c r="M11" s="1815">
        <f ca="1">'数据-取费表'!B39</f>
        <v>1.4999999999999999E-2</v>
      </c>
    </row>
    <row r="12" spans="1:37" ht="18" customHeight="1">
      <c r="A12" s="1690" t="s">
        <v>854</v>
      </c>
      <c r="B12" s="1691" t="s">
        <v>1081</v>
      </c>
      <c r="C12" s="1692"/>
      <c r="D12" s="1693"/>
      <c r="E12" s="1694"/>
      <c r="F12" s="1695"/>
      <c r="G12" s="1662"/>
      <c r="H12" s="1690" t="s">
        <v>854</v>
      </c>
      <c r="I12" s="1691" t="s">
        <v>1081</v>
      </c>
      <c r="J12" s="1692"/>
      <c r="K12" s="1816"/>
      <c r="L12" s="1694"/>
      <c r="M12" s="1817"/>
    </row>
    <row r="13" spans="1:37" ht="18" customHeight="1">
      <c r="A13" s="1696">
        <v>2</v>
      </c>
      <c r="B13" s="1697" t="s">
        <v>1082</v>
      </c>
      <c r="C13" s="1698">
        <f ca="1">ROUND(C29*F13,0)</f>
        <v>0</v>
      </c>
      <c r="D13" s="1699" t="s">
        <v>1083</v>
      </c>
      <c r="E13" s="1699" t="s">
        <v>1084</v>
      </c>
      <c r="F13" s="1700">
        <f ca="1">INDIRECT("'数据-取费表'!y"&amp;$G$1)</f>
        <v>0</v>
      </c>
      <c r="G13" s="1662"/>
      <c r="H13" s="1696">
        <v>2</v>
      </c>
      <c r="I13" s="1697" t="s">
        <v>1082</v>
      </c>
      <c r="J13" s="1818">
        <f ca="1">ROUND(J14*J15,0)</f>
        <v>0</v>
      </c>
      <c r="K13" s="1722" t="s">
        <v>1083</v>
      </c>
      <c r="L13" s="1819"/>
      <c r="M13" s="1820"/>
    </row>
    <row r="14" spans="1:37" ht="18" customHeight="1">
      <c r="A14" s="1701" t="s">
        <v>829</v>
      </c>
      <c r="B14" s="1672" t="s">
        <v>1085</v>
      </c>
      <c r="C14" s="1702">
        <f ca="1">ROUND(INDIRECT("'数据-取费表'!l"&amp;$G$1)*F43+'数据-取费表'!L14*INDIRECT("'数据-取费表'!S"&amp;$G$1),0)</f>
        <v>0</v>
      </c>
      <c r="D14" s="1703" t="s">
        <v>1086</v>
      </c>
      <c r="E14" s="1704"/>
      <c r="F14" s="1705"/>
      <c r="G14" s="1662"/>
      <c r="H14" s="1701" t="s">
        <v>806</v>
      </c>
      <c r="I14" s="1672" t="s">
        <v>1087</v>
      </c>
      <c r="J14" s="285">
        <f ca="1">C29</f>
        <v>0</v>
      </c>
      <c r="K14" s="1821"/>
      <c r="L14" s="1822"/>
      <c r="M14" s="1823"/>
    </row>
    <row r="15" spans="1:37" s="1638" customFormat="1" ht="18" customHeight="1">
      <c r="A15" s="1701" t="s">
        <v>834</v>
      </c>
      <c r="B15" s="1672" t="s">
        <v>1014</v>
      </c>
      <c r="C15" s="285">
        <f ca="1">ROUND(C14*F15,0)</f>
        <v>0</v>
      </c>
      <c r="D15" s="1706" t="s">
        <v>1088</v>
      </c>
      <c r="E15" s="1706" t="s">
        <v>1089</v>
      </c>
      <c r="F15" s="1707">
        <f>'数据-取费表'!B33</f>
        <v>0.05</v>
      </c>
      <c r="G15" s="1708"/>
      <c r="H15" s="1709" t="s">
        <v>810</v>
      </c>
      <c r="I15" s="1694" t="s">
        <v>1084</v>
      </c>
      <c r="J15" s="1817">
        <f ca="1">INDIRECT("'数据-取费表'!ad"&amp;$G$1)</f>
        <v>0</v>
      </c>
      <c r="K15" s="1824"/>
      <c r="L15" s="1825"/>
      <c r="M15" s="1826"/>
      <c r="N15" s="1827"/>
      <c r="O15" s="1827"/>
      <c r="P15" s="1827"/>
      <c r="Q15" s="1827"/>
      <c r="R15" s="1827"/>
      <c r="S15" s="1827"/>
      <c r="T15" s="1827"/>
      <c r="U15" s="1827"/>
      <c r="V15" s="1827"/>
      <c r="W15" s="1827"/>
      <c r="X15" s="1827"/>
      <c r="Y15" s="1827"/>
      <c r="Z15" s="1827"/>
      <c r="AA15" s="1827"/>
      <c r="AB15" s="1827"/>
      <c r="AC15" s="1827"/>
      <c r="AD15" s="1827"/>
      <c r="AE15" s="1827"/>
      <c r="AF15" s="1827"/>
      <c r="AG15" s="1827"/>
      <c r="AH15" s="1827"/>
      <c r="AI15" s="1827"/>
      <c r="AJ15" s="1827"/>
      <c r="AK15" s="1827"/>
    </row>
    <row r="16" spans="1:37" ht="18" customHeight="1">
      <c r="A16" s="1701" t="s">
        <v>837</v>
      </c>
      <c r="B16" s="1672" t="s">
        <v>1017</v>
      </c>
      <c r="C16" s="285">
        <f ca="1">ROUND(INDIRECT("'数据-取费表'!l"&amp;$G$1)*F43*F16,0)</f>
        <v>0</v>
      </c>
      <c r="D16" s="1672" t="s">
        <v>1088</v>
      </c>
      <c r="E16" s="1672" t="s">
        <v>1089</v>
      </c>
      <c r="F16" s="1710">
        <f ca="1">IF(INDIRECT("'数据-取费表'!c"&amp;$G$1)="住宅",'数据-取费表'!B34,0)</f>
        <v>0</v>
      </c>
      <c r="G16" s="1662"/>
      <c r="H16" s="1696" t="s">
        <v>1090</v>
      </c>
      <c r="I16" s="1697" t="s">
        <v>1091</v>
      </c>
      <c r="J16" s="1698">
        <f ca="1">ROUND(J17+J22+J23+J24,0)</f>
        <v>0</v>
      </c>
      <c r="K16" s="1722" t="s">
        <v>1092</v>
      </c>
      <c r="L16" s="1723"/>
      <c r="M16" s="1668"/>
    </row>
    <row r="17" spans="1:37" s="1638" customFormat="1" ht="18" customHeight="1">
      <c r="A17" s="1701" t="s">
        <v>1093</v>
      </c>
      <c r="B17" s="1672" t="s">
        <v>1094</v>
      </c>
      <c r="C17" s="285">
        <f ca="1">ROUND(F17*(F43+INDIRECT("'数据-取费表'!S"&amp;$G$1)),0)</f>
        <v>0</v>
      </c>
      <c r="D17" s="1672" t="s">
        <v>1095</v>
      </c>
      <c r="E17" s="1672" t="s">
        <v>1096</v>
      </c>
      <c r="F17" s="1711">
        <f>'数据-取费表'!B35</f>
        <v>200</v>
      </c>
      <c r="G17" s="1708"/>
      <c r="H17" s="1701" t="s">
        <v>806</v>
      </c>
      <c r="I17" s="1672" t="s">
        <v>1097</v>
      </c>
      <c r="J17" s="285">
        <f ca="1">ROUND(IF(项目基本情况!B11="自然人",J5*M17,J18+J19+J20),0)</f>
        <v>0</v>
      </c>
      <c r="K17" s="1703" t="s">
        <v>1098</v>
      </c>
      <c r="L17" s="1725" t="s">
        <v>1099</v>
      </c>
      <c r="M17" s="1726" t="str">
        <f ca="1">IF(项目基本情况!B11="企业","",IF(INDIRECT("'数据-取费表'!c"&amp;$G$1)="住宅",5%,IF(M6*M7*M8/12/(1+'数据-取费表'!C42)&gt;20000,12%,7%)))</f>
        <v/>
      </c>
      <c r="N17" s="1827"/>
      <c r="O17" s="1827"/>
      <c r="P17" s="1827"/>
      <c r="Q17" s="1827"/>
      <c r="R17" s="1827"/>
      <c r="S17" s="1827"/>
      <c r="T17" s="1827"/>
      <c r="U17" s="1827"/>
      <c r="V17" s="1827"/>
      <c r="W17" s="1827"/>
      <c r="X17" s="1827"/>
      <c r="Y17" s="1827"/>
      <c r="Z17" s="1827"/>
      <c r="AA17" s="1827"/>
      <c r="AB17" s="1827"/>
      <c r="AC17" s="1827"/>
      <c r="AD17" s="1827"/>
      <c r="AE17" s="1827"/>
      <c r="AF17" s="1827"/>
      <c r="AG17" s="1827"/>
      <c r="AH17" s="1827"/>
      <c r="AI17" s="1827"/>
      <c r="AJ17" s="1827"/>
      <c r="AK17" s="1827"/>
    </row>
    <row r="18" spans="1:37" s="1638" customFormat="1" ht="18" customHeight="1">
      <c r="A18" s="1701" t="s">
        <v>1100</v>
      </c>
      <c r="B18" s="1672" t="s">
        <v>1023</v>
      </c>
      <c r="C18" s="285">
        <f ca="1">ROUND(C14*F18,0)</f>
        <v>0</v>
      </c>
      <c r="D18" s="1672" t="s">
        <v>1088</v>
      </c>
      <c r="E18" s="1672" t="s">
        <v>1089</v>
      </c>
      <c r="F18" s="1710">
        <f>'数据-取费表'!B36</f>
        <v>1.4999999999999999E-2</v>
      </c>
      <c r="G18" s="1708"/>
      <c r="H18" s="1701" t="s">
        <v>829</v>
      </c>
      <c r="I18" s="1672" t="s">
        <v>1101</v>
      </c>
      <c r="J18" s="285">
        <f ca="1">ROUND(J5*M18/(1+'数据-取费表'!C42),0)</f>
        <v>0</v>
      </c>
      <c r="K18" s="1725" t="s">
        <v>1102</v>
      </c>
      <c r="L18" s="1672" t="s">
        <v>1089</v>
      </c>
      <c r="M18" s="1710">
        <f>'数据-取费表'!B41</f>
        <v>5.6000000000000001E-2</v>
      </c>
      <c r="N18" s="1827"/>
      <c r="O18" s="1827"/>
      <c r="P18" s="1827"/>
      <c r="Q18" s="1827"/>
      <c r="R18" s="1827"/>
      <c r="S18" s="1827"/>
      <c r="T18" s="1827"/>
      <c r="U18" s="1827"/>
      <c r="V18" s="1827"/>
      <c r="W18" s="1827"/>
      <c r="X18" s="1827"/>
      <c r="Y18" s="1827"/>
      <c r="Z18" s="1827"/>
      <c r="AA18" s="1827"/>
      <c r="AB18" s="1827"/>
      <c r="AC18" s="1827"/>
      <c r="AD18" s="1827"/>
      <c r="AE18" s="1827"/>
      <c r="AF18" s="1827"/>
      <c r="AG18" s="1827"/>
      <c r="AH18" s="1827"/>
      <c r="AI18" s="1827"/>
      <c r="AJ18" s="1827"/>
      <c r="AK18" s="1827"/>
    </row>
    <row r="19" spans="1:37" ht="18" customHeight="1">
      <c r="A19" s="1701" t="s">
        <v>806</v>
      </c>
      <c r="B19" s="1672" t="s">
        <v>1103</v>
      </c>
      <c r="C19" s="285">
        <f ca="1">SUM(C14:C18)</f>
        <v>0</v>
      </c>
      <c r="D19" s="1712" t="s">
        <v>1104</v>
      </c>
      <c r="E19" s="287"/>
      <c r="F19" s="1711"/>
      <c r="G19" s="1662"/>
      <c r="H19" s="1701" t="s">
        <v>834</v>
      </c>
      <c r="I19" s="1672" t="s">
        <v>1105</v>
      </c>
      <c r="J19" s="285">
        <f ca="1">IF(K19="按租金收入计税",ROUND(J5*M19,0),ROUND(C29*M19*0.7,0))</f>
        <v>0</v>
      </c>
      <c r="K19" s="1727" t="s">
        <v>1106</v>
      </c>
      <c r="L19" s="1672" t="s">
        <v>1089</v>
      </c>
      <c r="M19" s="1710">
        <f>IF(K19="按租金收入计税",'数据-取费表'!B51,'数据-取费表'!B50)</f>
        <v>1.2E-2</v>
      </c>
    </row>
    <row r="20" spans="1:37" s="1638" customFormat="1" ht="18" customHeight="1">
      <c r="A20" s="1701" t="s">
        <v>810</v>
      </c>
      <c r="B20" s="1672" t="s">
        <v>1107</v>
      </c>
      <c r="C20" s="285">
        <f ca="1">ROUND(C19*F20,0)</f>
        <v>0</v>
      </c>
      <c r="D20" s="1713" t="s">
        <v>1108</v>
      </c>
      <c r="E20" s="1672" t="s">
        <v>1089</v>
      </c>
      <c r="F20" s="1710">
        <f>'数据-取费表'!B37</f>
        <v>2.5000000000000001E-2</v>
      </c>
      <c r="G20" s="1708"/>
      <c r="H20" s="1701" t="s">
        <v>837</v>
      </c>
      <c r="I20" s="1671" t="s">
        <v>1109</v>
      </c>
      <c r="J20" s="1729">
        <f ca="1">ROUND(M20*M21,0)</f>
        <v>0</v>
      </c>
      <c r="K20" s="1730" t="s">
        <v>1110</v>
      </c>
      <c r="L20" s="1672" t="s">
        <v>1111</v>
      </c>
      <c r="M20" s="1716">
        <f>'数据-取费表'!B52</f>
        <v>5</v>
      </c>
      <c r="N20" s="1827"/>
      <c r="O20" s="1827"/>
      <c r="P20" s="1827"/>
      <c r="Q20" s="1827"/>
      <c r="R20" s="1827"/>
      <c r="S20" s="1827"/>
      <c r="T20" s="1827"/>
      <c r="U20" s="1827"/>
      <c r="V20" s="1827"/>
      <c r="W20" s="1827"/>
      <c r="X20" s="1827"/>
      <c r="Y20" s="1827"/>
      <c r="Z20" s="1827"/>
      <c r="AA20" s="1827"/>
      <c r="AB20" s="1827"/>
      <c r="AC20" s="1827"/>
      <c r="AD20" s="1827"/>
      <c r="AE20" s="1827"/>
      <c r="AF20" s="1827"/>
      <c r="AG20" s="1827"/>
      <c r="AH20" s="1827"/>
      <c r="AI20" s="1827"/>
      <c r="AJ20" s="1827"/>
      <c r="AK20" s="1827"/>
    </row>
    <row r="21" spans="1:37" s="1638" customFormat="1" ht="18" customHeight="1">
      <c r="A21" s="1701" t="s">
        <v>854</v>
      </c>
      <c r="B21" s="1672" t="s">
        <v>1112</v>
      </c>
      <c r="C21" s="285" t="s">
        <v>124</v>
      </c>
      <c r="D21" s="1713" t="s">
        <v>1113</v>
      </c>
      <c r="E21" s="1672" t="s">
        <v>1114</v>
      </c>
      <c r="F21" s="1710">
        <f>'数据-取费表'!B38</f>
        <v>0.03</v>
      </c>
      <c r="G21" s="1708"/>
      <c r="H21" s="1714"/>
      <c r="I21" s="1828"/>
      <c r="J21" s="1733"/>
      <c r="K21" s="1734"/>
      <c r="L21" s="1672" t="s">
        <v>1115</v>
      </c>
      <c r="M21" s="1673">
        <f ca="1">INDIRECT("'数据-取费表'!r"&amp;$G$1)</f>
        <v>0</v>
      </c>
      <c r="N21" s="1827"/>
      <c r="O21" s="1827"/>
      <c r="P21" s="1827"/>
      <c r="Q21" s="1827"/>
      <c r="R21" s="1827"/>
      <c r="S21" s="1827"/>
      <c r="T21" s="1827"/>
      <c r="U21" s="1827"/>
      <c r="V21" s="1827"/>
      <c r="W21" s="1827"/>
      <c r="X21" s="1827"/>
      <c r="Y21" s="1827"/>
      <c r="Z21" s="1827"/>
      <c r="AA21" s="1827"/>
      <c r="AB21" s="1827"/>
      <c r="AC21" s="1827"/>
      <c r="AD21" s="1827"/>
      <c r="AE21" s="1827"/>
      <c r="AF21" s="1827"/>
      <c r="AG21" s="1827"/>
      <c r="AH21" s="1827"/>
      <c r="AI21" s="1827"/>
      <c r="AJ21" s="1827"/>
      <c r="AK21" s="1827"/>
    </row>
    <row r="22" spans="1:37" ht="18" customHeight="1">
      <c r="A22" s="1701" t="s">
        <v>858</v>
      </c>
      <c r="B22" s="1672" t="s">
        <v>1116</v>
      </c>
      <c r="C22" s="285"/>
      <c r="D22" s="1712" t="str">
        <f>IF(F23&lt;=1,"单利计息。","复利计息。")&amp;"建造成本、管理费用、销售费用产生的利息。"</f>
        <v>复利计息。建造成本、管理费用、销售费用产生的利息。</v>
      </c>
      <c r="E22" s="287"/>
      <c r="F22" s="1711"/>
      <c r="G22" s="1662"/>
      <c r="H22" s="1701" t="s">
        <v>810</v>
      </c>
      <c r="I22" s="1672" t="s">
        <v>1117</v>
      </c>
      <c r="J22" s="285">
        <f ca="1">ROUND(J14*M22,0)</f>
        <v>0</v>
      </c>
      <c r="K22" s="1725" t="s">
        <v>1118</v>
      </c>
      <c r="L22" s="1672" t="s">
        <v>1089</v>
      </c>
      <c r="M22" s="1736">
        <f ca="1">INDIRECT("'数据-取费表'!Ak"&amp;$G$1)</f>
        <v>0.02</v>
      </c>
    </row>
    <row r="23" spans="1:37" s="1638" customFormat="1" ht="18" customHeight="1">
      <c r="A23" s="1701" t="s">
        <v>829</v>
      </c>
      <c r="B23" s="1672" t="s">
        <v>1119</v>
      </c>
      <c r="C23" s="285">
        <f ca="1">IF('数据-取费表'!B22&lt;=1,ROUND(C19*F24*F23/2,0)+ROUND(C20*F24*F23/2,0),ROUND(C19*(POWER((1+F24),F23/2)-1),0)+ROUND(C20*(POWER((1+F24),F23/2)-1),0))</f>
        <v>0</v>
      </c>
      <c r="D23" s="1715" t="str">
        <f>IF(F23&lt;=1,"(建造成本+管理费用)×利率×(建设周期÷2)","(建造成本+管理费用)×((1+利率)^(建设周期÷2)-1)")</f>
        <v>(建造成本+管理费用)×((1+利率)^(建设周期÷2)-1)</v>
      </c>
      <c r="E23" s="1672" t="s">
        <v>1120</v>
      </c>
      <c r="F23" s="1716">
        <f>'数据-取费表'!B20</f>
        <v>2</v>
      </c>
      <c r="G23" s="1708"/>
      <c r="H23" s="1701" t="s">
        <v>854</v>
      </c>
      <c r="I23" s="1672" t="s">
        <v>1121</v>
      </c>
      <c r="J23" s="285">
        <f ca="1">ROUND(J13*M23,0)</f>
        <v>0</v>
      </c>
      <c r="K23" s="1725" t="s">
        <v>1122</v>
      </c>
      <c r="L23" s="1672" t="s">
        <v>1089</v>
      </c>
      <c r="M23" s="1737">
        <f ca="1">INDIRECT("'数据-取费表'!Al"&amp;$G$1)</f>
        <v>1.5E-3</v>
      </c>
      <c r="N23" s="1827"/>
      <c r="O23" s="1827"/>
      <c r="P23" s="1827"/>
      <c r="Q23" s="1827"/>
      <c r="R23" s="1827"/>
      <c r="S23" s="1827"/>
      <c r="T23" s="1827"/>
      <c r="U23" s="1827"/>
      <c r="V23" s="1827"/>
      <c r="W23" s="1827"/>
      <c r="X23" s="1827"/>
      <c r="Y23" s="1827"/>
      <c r="Z23" s="1827"/>
      <c r="AA23" s="1827"/>
      <c r="AB23" s="1827"/>
      <c r="AC23" s="1827"/>
      <c r="AD23" s="1827"/>
      <c r="AE23" s="1827"/>
      <c r="AF23" s="1827"/>
      <c r="AG23" s="1827"/>
      <c r="AH23" s="1827"/>
      <c r="AI23" s="1827"/>
      <c r="AJ23" s="1827"/>
      <c r="AK23" s="1827"/>
    </row>
    <row r="24" spans="1:37" s="1638" customFormat="1" ht="18" customHeight="1">
      <c r="A24" s="1701" t="s">
        <v>834</v>
      </c>
      <c r="B24" s="1672" t="s">
        <v>1123</v>
      </c>
      <c r="C24" s="285">
        <f ca="1">ROUND(IF('数据-取费表'!B22&lt;=1,F21*F24*F23/2,F21*(POWER((1+F24),F23/2)-1)),4)</f>
        <v>1.4E-3</v>
      </c>
      <c r="D24" s="1715" t="str">
        <f>IF(F23&lt;=1,"销售费用×利率×(建设周期÷2)","销售费用×((1+利率)^(建设周期÷2)-1)")</f>
        <v>销售费用×((1+利率)^(建设周期÷2)-1)</v>
      </c>
      <c r="E24" s="1672" t="s">
        <v>1124</v>
      </c>
      <c r="F24" s="1717">
        <f ca="1">'数据-取费表'!B40</f>
        <v>4.7500000000000001E-2</v>
      </c>
      <c r="G24" s="1708"/>
      <c r="H24" s="1709" t="s">
        <v>858</v>
      </c>
      <c r="I24" s="1694" t="s">
        <v>1107</v>
      </c>
      <c r="J24" s="1718">
        <f ca="1">ROUND(J5*M24,0)</f>
        <v>0</v>
      </c>
      <c r="K24" s="1719" t="s">
        <v>1125</v>
      </c>
      <c r="L24" s="1694" t="s">
        <v>1089</v>
      </c>
      <c r="M24" s="1695">
        <f ca="1">INDIRECT("'数据-取费表'!Am"&amp;$G$1)</f>
        <v>0.02</v>
      </c>
      <c r="N24" s="1827"/>
      <c r="O24" s="1827"/>
      <c r="P24" s="1827"/>
      <c r="Q24" s="1827"/>
      <c r="R24" s="1827"/>
      <c r="S24" s="1827"/>
      <c r="T24" s="1827"/>
      <c r="U24" s="1827"/>
      <c r="V24" s="1827"/>
      <c r="W24" s="1827"/>
      <c r="X24" s="1827"/>
      <c r="Y24" s="1827"/>
      <c r="Z24" s="1827"/>
      <c r="AA24" s="1827"/>
      <c r="AB24" s="1827"/>
      <c r="AC24" s="1827"/>
      <c r="AD24" s="1827"/>
      <c r="AE24" s="1827"/>
      <c r="AF24" s="1827"/>
      <c r="AG24" s="1827"/>
      <c r="AH24" s="1827"/>
      <c r="AI24" s="1827"/>
      <c r="AJ24" s="1827"/>
      <c r="AK24" s="1827"/>
    </row>
    <row r="25" spans="1:37" ht="18" customHeight="1">
      <c r="A25" s="1701" t="s">
        <v>861</v>
      </c>
      <c r="B25" s="1672" t="s">
        <v>1126</v>
      </c>
      <c r="C25" s="285"/>
      <c r="D25" s="1712" t="s">
        <v>1127</v>
      </c>
      <c r="E25" s="287"/>
      <c r="F25" s="1711"/>
      <c r="G25" s="1662"/>
      <c r="H25" s="1696" t="s">
        <v>1128</v>
      </c>
      <c r="I25" s="1738" t="s">
        <v>1129</v>
      </c>
      <c r="J25" s="1698">
        <f ca="1">J5-J16</f>
        <v>0</v>
      </c>
      <c r="K25" s="1739" t="s">
        <v>1130</v>
      </c>
      <c r="L25" s="1740"/>
      <c r="M25" s="1741"/>
    </row>
    <row r="26" spans="1:37" ht="18" customHeight="1">
      <c r="A26" s="1701" t="s">
        <v>829</v>
      </c>
      <c r="B26" s="1672" t="s">
        <v>1131</v>
      </c>
      <c r="C26" s="285">
        <f ca="1">ROUND((C19+C20)*F26,0)</f>
        <v>0</v>
      </c>
      <c r="D26" s="1713" t="s">
        <v>1132</v>
      </c>
      <c r="E26" s="1683" t="s">
        <v>1133</v>
      </c>
      <c r="F26" s="1680">
        <f ca="1">INDIRECT("'数据-取费表'!q"&amp;$G$1)</f>
        <v>0.2</v>
      </c>
      <c r="G26" s="1662"/>
      <c r="H26" s="1663" t="s">
        <v>1134</v>
      </c>
      <c r="I26" s="1664" t="s">
        <v>1135</v>
      </c>
      <c r="J26" s="1742">
        <f ca="1">IF(J5&lt;&gt;0,ROUND(J25*(1-((1+M28)/(1+M26))^M27)/(M26-M28),0),0)</f>
        <v>0</v>
      </c>
      <c r="K26" s="1730" t="s">
        <v>1136</v>
      </c>
      <c r="L26" s="1672" t="s">
        <v>1137</v>
      </c>
      <c r="M26" s="1680">
        <f ca="1">INDIRECT("'数据-取费表'!I"&amp;$G$1)</f>
        <v>0</v>
      </c>
    </row>
    <row r="27" spans="1:37" ht="18" customHeight="1">
      <c r="A27" s="1701" t="s">
        <v>834</v>
      </c>
      <c r="B27" s="1672" t="s">
        <v>1138</v>
      </c>
      <c r="C27" s="285">
        <f ca="1">ROUND(F21*F26,4)</f>
        <v>6.0000000000000001E-3</v>
      </c>
      <c r="D27" s="1713" t="s">
        <v>1139</v>
      </c>
      <c r="E27" s="1706"/>
      <c r="F27" s="1707"/>
      <c r="G27" s="1662"/>
      <c r="H27" s="1678"/>
      <c r="I27" s="1744"/>
      <c r="J27" s="1679"/>
      <c r="K27" s="1745" t="s">
        <v>1140</v>
      </c>
      <c r="L27" s="1672" t="s">
        <v>1141</v>
      </c>
      <c r="M27" s="1746">
        <f ca="1">INDIRECT("'数据-取费表'!ag"&amp;$G$1)</f>
        <v>0</v>
      </c>
    </row>
    <row r="28" spans="1:37" s="1638" customFormat="1" ht="18" customHeight="1">
      <c r="A28" s="1701" t="s">
        <v>862</v>
      </c>
      <c r="B28" s="1672" t="s">
        <v>1142</v>
      </c>
      <c r="C28" s="285">
        <f>ROUND(F28/(1+'数据-取费表'!C42),4)</f>
        <v>5.33E-2</v>
      </c>
      <c r="D28" s="1713" t="s">
        <v>1143</v>
      </c>
      <c r="E28" s="1672" t="s">
        <v>1089</v>
      </c>
      <c r="F28" s="1710">
        <f>'数据-取费表'!B41</f>
        <v>5.6000000000000001E-2</v>
      </c>
      <c r="G28" s="1708"/>
      <c r="H28" s="1685"/>
      <c r="I28" s="1748"/>
      <c r="J28" s="1698"/>
      <c r="K28" s="1734"/>
      <c r="L28" s="1672" t="s">
        <v>1144</v>
      </c>
      <c r="M28" s="1680">
        <f ca="1">INDIRECT("'数据-取费表'!aa"&amp;$G$1)</f>
        <v>0</v>
      </c>
      <c r="N28" s="1827"/>
      <c r="O28" s="1827"/>
      <c r="P28" s="1827"/>
      <c r="Q28" s="1827"/>
      <c r="R28" s="1827"/>
      <c r="S28" s="1827"/>
      <c r="T28" s="1827"/>
      <c r="U28" s="1827"/>
      <c r="V28" s="1827"/>
      <c r="W28" s="1827"/>
      <c r="X28" s="1827"/>
      <c r="Y28" s="1827"/>
      <c r="Z28" s="1827"/>
      <c r="AA28" s="1827"/>
      <c r="AB28" s="1827"/>
      <c r="AC28" s="1827"/>
      <c r="AD28" s="1827"/>
      <c r="AE28" s="1827"/>
      <c r="AF28" s="1827"/>
      <c r="AG28" s="1827"/>
      <c r="AH28" s="1827"/>
      <c r="AI28" s="1827"/>
      <c r="AJ28" s="1827"/>
      <c r="AK28" s="1827"/>
    </row>
    <row r="29" spans="1:37" s="1638" customFormat="1" ht="18" customHeight="1">
      <c r="A29" s="1709" t="s">
        <v>1049</v>
      </c>
      <c r="B29" s="1694" t="s">
        <v>1145</v>
      </c>
      <c r="C29" s="1718">
        <f ca="1">ROUND((C19+C20+C23+C26)/(1-F21-C24-C27-C28),0)</f>
        <v>0</v>
      </c>
      <c r="D29" s="1719"/>
      <c r="E29" s="1694"/>
      <c r="F29" s="1720"/>
      <c r="G29" s="1708"/>
      <c r="H29" s="1721" t="s">
        <v>1146</v>
      </c>
      <c r="I29" s="1749" t="s">
        <v>1147</v>
      </c>
      <c r="J29" s="1750">
        <f ca="1">ROUND(J26/(1+F40)^F41,0)</f>
        <v>0</v>
      </c>
      <c r="K29" s="1751" t="s">
        <v>1148</v>
      </c>
      <c r="L29" s="1752"/>
      <c r="M29" s="1753">
        <f ca="1">INDIRECT("'数据-取费表'!k"&amp;$G$1)</f>
        <v>0</v>
      </c>
      <c r="N29" s="1827"/>
      <c r="O29" s="1827"/>
      <c r="P29" s="1827"/>
      <c r="Q29" s="1827"/>
      <c r="R29" s="1827"/>
      <c r="S29" s="1827"/>
      <c r="T29" s="1827"/>
      <c r="U29" s="1827"/>
      <c r="V29" s="1827"/>
      <c r="W29" s="1827"/>
      <c r="X29" s="1827"/>
      <c r="Y29" s="1827"/>
      <c r="Z29" s="1827"/>
      <c r="AA29" s="1827"/>
      <c r="AB29" s="1827"/>
      <c r="AC29" s="1827"/>
      <c r="AD29" s="1827"/>
      <c r="AE29" s="1827"/>
      <c r="AF29" s="1827"/>
      <c r="AG29" s="1827"/>
      <c r="AH29" s="1827"/>
      <c r="AI29" s="1827"/>
      <c r="AJ29" s="1827"/>
      <c r="AK29" s="1827"/>
    </row>
    <row r="30" spans="1:37" ht="18" customHeight="1">
      <c r="A30" s="1696" t="s">
        <v>1090</v>
      </c>
      <c r="B30" s="1697" t="s">
        <v>1091</v>
      </c>
      <c r="C30" s="1698">
        <f ca="1">ROUND(C31+C36+C37+C38,0)</f>
        <v>0</v>
      </c>
      <c r="D30" s="1722" t="s">
        <v>1092</v>
      </c>
      <c r="E30" s="1723"/>
      <c r="F30" s="1668"/>
      <c r="G30" s="1662"/>
      <c r="H30" s="1724"/>
      <c r="I30" s="1829"/>
      <c r="J30" s="1830"/>
      <c r="K30" s="1814"/>
      <c r="L30" s="1831"/>
      <c r="M30" s="1832"/>
    </row>
    <row r="31" spans="1:37" ht="18" customHeight="1">
      <c r="A31" s="1701" t="s">
        <v>806</v>
      </c>
      <c r="B31" s="1672" t="s">
        <v>1097</v>
      </c>
      <c r="C31" s="285">
        <f ca="1">ROUND(IF(项目基本情况!B11="自然人",C5*F31,C32+C33+C34),0)</f>
        <v>0</v>
      </c>
      <c r="D31" s="1703" t="s">
        <v>1098</v>
      </c>
      <c r="E31" s="1725" t="s">
        <v>1099</v>
      </c>
      <c r="F31" s="1726" t="str">
        <f ca="1">IF(项目基本情况!B11="企业","",IF(INDIRECT("'数据-取费表'!c"&amp;$G$1)="住宅",5%,IF(F6*F7*F8/12/(1+'数据-取费表'!C42)&gt;20000,12%,7%)))</f>
        <v/>
      </c>
      <c r="G31" s="1662"/>
      <c r="H31" s="1724"/>
      <c r="I31" s="1829"/>
      <c r="J31" s="1830"/>
      <c r="K31" s="1814"/>
      <c r="L31" s="1831"/>
      <c r="M31" s="1832"/>
    </row>
    <row r="32" spans="1:37" ht="18" customHeight="1">
      <c r="A32" s="1701" t="s">
        <v>829</v>
      </c>
      <c r="B32" s="1672" t="s">
        <v>1101</v>
      </c>
      <c r="C32" s="285">
        <f ca="1">IF(项目基本情况!B11="自然人","——",ROUND(C5*F32/(1+'数据-取费表'!C42),0))</f>
        <v>0</v>
      </c>
      <c r="D32" s="1725" t="s">
        <v>1102</v>
      </c>
      <c r="E32" s="1672" t="s">
        <v>1089</v>
      </c>
      <c r="F32" s="1717">
        <f>'数据-取费表'!B41</f>
        <v>5.6000000000000001E-2</v>
      </c>
      <c r="G32" s="1662"/>
      <c r="H32" s="1724"/>
      <c r="I32" s="1829"/>
      <c r="J32" s="1830"/>
      <c r="K32" s="1814"/>
      <c r="L32" s="1831"/>
      <c r="M32" s="1832"/>
    </row>
    <row r="33" spans="1:18" ht="18" customHeight="1">
      <c r="A33" s="1701" t="s">
        <v>834</v>
      </c>
      <c r="B33" s="1672" t="s">
        <v>1105</v>
      </c>
      <c r="C33" s="285">
        <f ca="1">IF(项目基本情况!B11="自然人","——",IF(D33="按租金收入计税",ROUND(C5*F33,0),IF(D33="按房产原值计税",ROUND(C29*F33*0.7,0),INDIRECT("'数据-取费表'!Aj"&amp;$G$1))))</f>
        <v>0</v>
      </c>
      <c r="D33" s="1727" t="s">
        <v>1106</v>
      </c>
      <c r="E33" s="1672" t="s">
        <v>1089</v>
      </c>
      <c r="F33" s="1710">
        <f>IF(D33="按票据","——",IF(D33="按租金收入计税",'数据-取费表'!B51,'数据-取费表'!B50))</f>
        <v>1.2E-2</v>
      </c>
      <c r="G33" s="1662"/>
      <c r="H33" s="1728"/>
      <c r="I33" s="1833"/>
      <c r="J33" s="1834"/>
      <c r="K33" s="1835"/>
      <c r="L33" s="1728"/>
      <c r="M33" s="1728"/>
    </row>
    <row r="34" spans="1:18" ht="18" customHeight="1">
      <c r="A34" s="1669" t="s">
        <v>837</v>
      </c>
      <c r="B34" s="1671" t="s">
        <v>1109</v>
      </c>
      <c r="C34" s="1729">
        <f ca="1">IF(项目基本情况!B11="自然人","——",ROUND(F34*F35,))</f>
        <v>0</v>
      </c>
      <c r="D34" s="1730" t="s">
        <v>1110</v>
      </c>
      <c r="E34" s="1672" t="s">
        <v>1111</v>
      </c>
      <c r="F34" s="1716">
        <f>'数据-取费表'!B52</f>
        <v>5</v>
      </c>
      <c r="G34" s="1662"/>
      <c r="H34" s="1724"/>
      <c r="I34" s="1833"/>
      <c r="J34" s="1834"/>
      <c r="K34" s="1836"/>
      <c r="L34" s="1837"/>
      <c r="M34" s="1837"/>
    </row>
    <row r="35" spans="1:18" ht="18" customHeight="1">
      <c r="A35" s="1731"/>
      <c r="B35" s="1732"/>
      <c r="C35" s="1733"/>
      <c r="D35" s="1734"/>
      <c r="E35" s="1672" t="s">
        <v>1115</v>
      </c>
      <c r="F35" s="1673">
        <f ca="1">INDIRECT("'数据-取费表'!r"&amp;$G$1)</f>
        <v>0</v>
      </c>
      <c r="G35" s="1662"/>
      <c r="H35" s="1724"/>
      <c r="I35" s="1833"/>
      <c r="J35" s="1834"/>
      <c r="K35" s="1835"/>
      <c r="L35" s="1728"/>
      <c r="M35" s="1728"/>
    </row>
    <row r="36" spans="1:18" ht="18" customHeight="1">
      <c r="A36" s="1735" t="s">
        <v>810</v>
      </c>
      <c r="B36" s="1672" t="s">
        <v>1117</v>
      </c>
      <c r="C36" s="285">
        <f ca="1">ROUND(C29*F36,0)</f>
        <v>0</v>
      </c>
      <c r="D36" s="1725" t="s">
        <v>1149</v>
      </c>
      <c r="E36" s="1672" t="s">
        <v>1089</v>
      </c>
      <c r="F36" s="1736">
        <f ca="1">INDIRECT("'数据-取费表'!Ak"&amp;$G$1)</f>
        <v>0.02</v>
      </c>
      <c r="G36" s="1662"/>
      <c r="H36" s="1728"/>
      <c r="I36" s="1833"/>
      <c r="J36" s="1834"/>
      <c r="K36" s="1838"/>
      <c r="L36" s="1728"/>
      <c r="M36" s="1728"/>
    </row>
    <row r="37" spans="1:18" ht="18" customHeight="1">
      <c r="A37" s="1701" t="s">
        <v>854</v>
      </c>
      <c r="B37" s="1672" t="s">
        <v>1121</v>
      </c>
      <c r="C37" s="285">
        <f ca="1">ROUND(C13*F37,0)</f>
        <v>0</v>
      </c>
      <c r="D37" s="1725" t="s">
        <v>1122</v>
      </c>
      <c r="E37" s="1672" t="s">
        <v>1089</v>
      </c>
      <c r="F37" s="1737">
        <f ca="1">INDIRECT("'数据-取费表'!Al"&amp;$G$1)</f>
        <v>1.5E-3</v>
      </c>
      <c r="G37" s="1662"/>
      <c r="H37" s="1728"/>
      <c r="I37" s="1833"/>
      <c r="J37" s="1834"/>
      <c r="K37" s="1838"/>
      <c r="L37" s="1728"/>
      <c r="M37" s="1728"/>
    </row>
    <row r="38" spans="1:18" ht="18" customHeight="1">
      <c r="A38" s="1709" t="s">
        <v>858</v>
      </c>
      <c r="B38" s="1694" t="s">
        <v>1107</v>
      </c>
      <c r="C38" s="1718">
        <f ca="1">ROUND(C5*F38,1)</f>
        <v>0</v>
      </c>
      <c r="D38" s="1719" t="s">
        <v>1125</v>
      </c>
      <c r="E38" s="1694" t="s">
        <v>1089</v>
      </c>
      <c r="F38" s="1695">
        <f ca="1">INDIRECT("'数据-取费表'!Am"&amp;$G$1)</f>
        <v>0.02</v>
      </c>
      <c r="G38" s="1662"/>
      <c r="H38" s="1728"/>
      <c r="I38" s="1833"/>
      <c r="J38" s="1834"/>
      <c r="K38" s="1839"/>
      <c r="L38" s="1728"/>
      <c r="M38" s="1728"/>
    </row>
    <row r="39" spans="1:18" ht="24.6" customHeight="1">
      <c r="A39" s="1696" t="s">
        <v>1128</v>
      </c>
      <c r="B39" s="1738" t="s">
        <v>1129</v>
      </c>
      <c r="C39" s="1698">
        <f ca="1">C5-C30</f>
        <v>0</v>
      </c>
      <c r="D39" s="1739" t="s">
        <v>1130</v>
      </c>
      <c r="E39" s="1740"/>
      <c r="F39" s="1741"/>
      <c r="G39" s="1662"/>
      <c r="H39" s="1728"/>
      <c r="I39" s="1833"/>
      <c r="J39" s="1834"/>
      <c r="K39" s="1839"/>
      <c r="L39" s="1728"/>
      <c r="M39" s="1728"/>
    </row>
    <row r="40" spans="1:18" ht="18" customHeight="1">
      <c r="A40" s="1663" t="s">
        <v>1134</v>
      </c>
      <c r="B40" s="1664" t="s">
        <v>1150</v>
      </c>
      <c r="C40" s="1742" t="e">
        <f ca="1">ROUND(C39*(1-((1+F42)/(1+F40))^F41)/(F40-F42),0)</f>
        <v>#DIV/0!</v>
      </c>
      <c r="D40" s="1730" t="s">
        <v>1136</v>
      </c>
      <c r="E40" s="1672" t="s">
        <v>1137</v>
      </c>
      <c r="F40" s="1680">
        <f ca="1">INDIRECT("'数据-取费表'!I"&amp;$G$1)</f>
        <v>0</v>
      </c>
      <c r="G40" s="1662"/>
      <c r="H40" s="1743"/>
      <c r="I40" s="1833"/>
      <c r="J40" s="1834"/>
      <c r="K40" s="1839"/>
      <c r="L40" s="1743"/>
      <c r="M40" s="1743"/>
    </row>
    <row r="41" spans="1:18" ht="18" customHeight="1">
      <c r="A41" s="1678"/>
      <c r="B41" s="1744"/>
      <c r="C41" s="1679"/>
      <c r="D41" s="1745" t="s">
        <v>1140</v>
      </c>
      <c r="E41" s="1672" t="s">
        <v>1141</v>
      </c>
      <c r="F41" s="1746">
        <f ca="1">IF(INDIRECT("'数据-取费表'!af"&amp;$G$1)=0,INDIRECT("'数据-取费表'!ae"&amp;$G$1),INDIRECT("'数据-取费表'!af"&amp;$G$1))</f>
        <v>0</v>
      </c>
      <c r="G41" s="1662"/>
      <c r="H41" s="1747"/>
      <c r="I41" s="1833"/>
      <c r="J41" s="1834"/>
      <c r="K41" s="1838"/>
      <c r="L41" s="1747"/>
      <c r="M41" s="1747"/>
    </row>
    <row r="42" spans="1:18" ht="18" customHeight="1">
      <c r="A42" s="1685"/>
      <c r="B42" s="1748"/>
      <c r="C42" s="1698"/>
      <c r="D42" s="1734"/>
      <c r="E42" s="1672" t="s">
        <v>1144</v>
      </c>
      <c r="F42" s="1680">
        <f ca="1">INDIRECT("'数据-取费表'!v"&amp;$G$1)</f>
        <v>0</v>
      </c>
      <c r="G42" s="1662"/>
      <c r="H42" s="1747"/>
      <c r="I42" s="1833"/>
      <c r="J42" s="1834"/>
      <c r="K42" s="1838"/>
      <c r="L42" s="1747"/>
      <c r="M42" s="1747"/>
    </row>
    <row r="43" spans="1:18" ht="18" customHeight="1">
      <c r="A43" s="1721" t="s">
        <v>1146</v>
      </c>
      <c r="B43" s="1749" t="s">
        <v>1151</v>
      </c>
      <c r="C43" s="1750" t="e">
        <f ca="1">ROUND(C40/F43,0)</f>
        <v>#DIV/0!</v>
      </c>
      <c r="D43" s="1751" t="s">
        <v>1152</v>
      </c>
      <c r="E43" s="1752" t="s">
        <v>1153</v>
      </c>
      <c r="F43" s="1753">
        <f ca="1">INDIRECT("'数据-取费表'!k"&amp;$G$1)</f>
        <v>0</v>
      </c>
      <c r="G43" s="1662"/>
      <c r="H43" s="1747"/>
      <c r="I43" s="1747"/>
      <c r="J43" s="1747"/>
      <c r="K43" s="1838"/>
      <c r="L43" s="1747"/>
      <c r="M43" s="1747"/>
    </row>
    <row r="44" spans="1:18" s="739" customFormat="1" ht="18" customHeight="1">
      <c r="A44" s="1754"/>
      <c r="B44" s="1754"/>
      <c r="C44" s="1755"/>
      <c r="D44" s="1754"/>
      <c r="E44" s="1754"/>
      <c r="F44" s="1754"/>
      <c r="K44" s="1840"/>
    </row>
    <row r="45" spans="1:18" s="739" customFormat="1" ht="18" customHeight="1">
      <c r="A45" s="1754"/>
      <c r="B45" s="1754"/>
      <c r="C45" s="1756" t="e">
        <f ca="1">C68-C40</f>
        <v>#DIV/0!</v>
      </c>
      <c r="D45" s="1757" t="s">
        <v>1247</v>
      </c>
      <c r="E45" s="1754"/>
      <c r="F45" s="1754"/>
      <c r="O45" s="1841" t="s">
        <v>1154</v>
      </c>
      <c r="P45" s="1743"/>
      <c r="Q45" s="1743"/>
      <c r="R45" s="1743"/>
    </row>
    <row r="46" spans="1:18" s="739" customFormat="1">
      <c r="A46" s="1758" t="s">
        <v>1155</v>
      </c>
      <c r="C46" s="1759" t="e">
        <f ca="1">ROUND(C45/10000,0)</f>
        <v>#DIV/0!</v>
      </c>
      <c r="D46" s="1760" t="str">
        <f>C2</f>
        <v>万元</v>
      </c>
      <c r="I46" s="1842" t="s">
        <v>1156</v>
      </c>
      <c r="J46" s="1843"/>
      <c r="K46" s="1844"/>
      <c r="L46" s="1845" t="e">
        <f ca="1">IF(M47="住宅",0,IF(L48&gt;J51,L60,J60))</f>
        <v>#DIV/0!</v>
      </c>
      <c r="O46" s="1846" t="s">
        <v>1157</v>
      </c>
      <c r="P46" s="1847" t="s">
        <v>1158</v>
      </c>
      <c r="Q46" s="1891" t="s">
        <v>1159</v>
      </c>
      <c r="R46" s="1891" t="s">
        <v>1160</v>
      </c>
    </row>
    <row r="47" spans="1:18" s="739" customFormat="1">
      <c r="A47" s="1761" t="s">
        <v>1061</v>
      </c>
      <c r="B47" s="1762" t="s">
        <v>1062</v>
      </c>
      <c r="C47" s="1762" t="s">
        <v>1063</v>
      </c>
      <c r="D47" s="1762" t="s">
        <v>1064</v>
      </c>
      <c r="E47" s="1763" t="s">
        <v>1065</v>
      </c>
      <c r="F47" s="278"/>
      <c r="G47" s="1764"/>
      <c r="I47" s="1848" t="s">
        <v>1161</v>
      </c>
      <c r="J47" s="1849"/>
      <c r="K47" s="1850" t="s">
        <v>1162</v>
      </c>
      <c r="L47" s="1851">
        <f ca="1">INDIRECT("'数据-取费表'!d"&amp;$G$1)</f>
        <v>0</v>
      </c>
      <c r="M47" s="1852" t="str">
        <f>IF(ISNUMBER(FIND("住宅",C1)),"住宅","非住宅")</f>
        <v>非住宅</v>
      </c>
      <c r="O47" s="1853" t="s">
        <v>910</v>
      </c>
      <c r="P47" s="1854" t="s">
        <v>1163</v>
      </c>
      <c r="Q47" s="1892" t="e">
        <f ca="1">C40+J29</f>
        <v>#DIV/0!</v>
      </c>
      <c r="R47" s="1892" t="s">
        <v>1164</v>
      </c>
    </row>
    <row r="48" spans="1:18" s="739" customFormat="1" ht="27.75">
      <c r="A48" s="1765" t="s">
        <v>1165</v>
      </c>
      <c r="B48" s="1664" t="s">
        <v>1066</v>
      </c>
      <c r="C48" s="286">
        <f ca="1">C49+C53+C55</f>
        <v>0</v>
      </c>
      <c r="D48" s="1766"/>
      <c r="E48" s="1767"/>
      <c r="F48" s="1768"/>
      <c r="G48" s="1764"/>
      <c r="H48" s="1769"/>
      <c r="I48" s="796" t="s">
        <v>1166</v>
      </c>
      <c r="J48" s="1855"/>
      <c r="K48" s="1856" t="s">
        <v>1167</v>
      </c>
      <c r="L48" s="1857">
        <f ca="1">INDIRECT("'数据-取费表'!f"&amp;$G$1)</f>
        <v>0</v>
      </c>
      <c r="O48" s="1853" t="s">
        <v>913</v>
      </c>
      <c r="P48" s="1854" t="s">
        <v>1168</v>
      </c>
      <c r="Q48" s="1892" t="e">
        <f ca="1">J60</f>
        <v>#DIV/0!</v>
      </c>
      <c r="R48" s="1892" t="s">
        <v>1169</v>
      </c>
    </row>
    <row r="49" spans="1:18" s="739" customFormat="1">
      <c r="A49" s="1770" t="s">
        <v>1170</v>
      </c>
      <c r="B49" s="1771" t="s">
        <v>1171</v>
      </c>
      <c r="C49" s="1772">
        <f ca="1">ROUND(F49*F51*F50*(1-F52),0)</f>
        <v>0</v>
      </c>
      <c r="D49" s="1773" t="s">
        <v>1248</v>
      </c>
      <c r="E49" s="1774" t="s">
        <v>1172</v>
      </c>
      <c r="F49" s="1775"/>
      <c r="G49" s="1776"/>
      <c r="H49" s="1769"/>
      <c r="I49" s="796" t="s">
        <v>1173</v>
      </c>
      <c r="J49" s="1858"/>
      <c r="K49" s="1856" t="s">
        <v>1174</v>
      </c>
      <c r="L49" s="1859"/>
      <c r="O49" s="1860" t="s">
        <v>1175</v>
      </c>
      <c r="P49" s="1854" t="s">
        <v>1176</v>
      </c>
      <c r="Q49" s="1892">
        <f ca="1">C29</f>
        <v>0</v>
      </c>
      <c r="R49" s="1892" t="s">
        <v>1164</v>
      </c>
    </row>
    <row r="50" spans="1:18" s="739" customFormat="1">
      <c r="A50" s="1777"/>
      <c r="B50" s="1778"/>
      <c r="C50" s="1779"/>
      <c r="D50" s="1780"/>
      <c r="E50" s="1781" t="s">
        <v>1072</v>
      </c>
      <c r="F50" s="1782">
        <f ca="1">F7</f>
        <v>0</v>
      </c>
      <c r="H50" s="1769"/>
      <c r="I50" s="796" t="s">
        <v>1177</v>
      </c>
      <c r="J50" s="1861">
        <f>SUMPRODUCT((I63:I65=J47)*(J62:L62=J48)*(J63:L65))</f>
        <v>0</v>
      </c>
      <c r="K50" s="1856" t="s">
        <v>1178</v>
      </c>
      <c r="L50" s="1859"/>
      <c r="M50" s="1862"/>
      <c r="O50" s="1860" t="s">
        <v>1179</v>
      </c>
      <c r="P50" s="1854" t="s">
        <v>1180</v>
      </c>
      <c r="Q50" s="1893" t="e">
        <f ca="1">J58</f>
        <v>#DIV/0!</v>
      </c>
      <c r="R50" s="1892"/>
    </row>
    <row r="51" spans="1:18" s="739" customFormat="1">
      <c r="A51" s="1783"/>
      <c r="B51" s="1778"/>
      <c r="C51" s="1779"/>
      <c r="D51" s="1780"/>
      <c r="E51" s="1784" t="s">
        <v>1073</v>
      </c>
      <c r="F51" s="1673">
        <f ca="1">F8</f>
        <v>0</v>
      </c>
      <c r="I51" s="1863" t="s">
        <v>1181</v>
      </c>
      <c r="J51" s="1864">
        <f>IF(J49="",J50,J49+J50-YEAR('数据-取费表'!B2))</f>
        <v>0</v>
      </c>
      <c r="K51" s="1865" t="s">
        <v>1182</v>
      </c>
      <c r="L51" s="1866">
        <f ca="1">ROUND(-PV(INDIRECT("'数据-取费表'!h"&amp;$G$1),L48,(C39-C13*C76),0),0)</f>
        <v>0</v>
      </c>
      <c r="M51" s="1867"/>
      <c r="O51" s="1860" t="s">
        <v>1183</v>
      </c>
      <c r="P51" s="1854" t="s">
        <v>1184</v>
      </c>
      <c r="Q51" s="1893">
        <f>J52</f>
        <v>0</v>
      </c>
      <c r="R51" s="1892"/>
    </row>
    <row r="52" spans="1:18" s="739" customFormat="1">
      <c r="A52" s="1783"/>
      <c r="B52" s="1778"/>
      <c r="C52" s="1779"/>
      <c r="D52" s="1780"/>
      <c r="E52" s="1784" t="s">
        <v>1074</v>
      </c>
      <c r="F52" s="1785"/>
      <c r="I52" s="1868" t="s">
        <v>1185</v>
      </c>
      <c r="J52" s="1869"/>
      <c r="K52" s="1868" t="s">
        <v>1186</v>
      </c>
      <c r="L52" s="1869"/>
      <c r="O52" s="1860" t="s">
        <v>1187</v>
      </c>
      <c r="P52" s="1854" t="s">
        <v>1188</v>
      </c>
      <c r="Q52" s="1892" t="b">
        <f>J53</f>
        <v>0</v>
      </c>
      <c r="R52" s="1892" t="s">
        <v>1189</v>
      </c>
    </row>
    <row r="53" spans="1:18" s="739" customFormat="1" ht="30.75" customHeight="1">
      <c r="A53" s="1786" t="s">
        <v>1190</v>
      </c>
      <c r="B53" s="1713" t="s">
        <v>1075</v>
      </c>
      <c r="C53" s="284">
        <f ca="1">ROUND(IF(F53="押一",C49/12*F11,IF(F53="押二",C49/12*2*F11,IF(F53="押三",C49/12*3*F11,C54*F11))),0)</f>
        <v>0</v>
      </c>
      <c r="D53" s="1682" t="s">
        <v>1249</v>
      </c>
      <c r="E53" s="1683" t="s">
        <v>1077</v>
      </c>
      <c r="F53" s="1684"/>
      <c r="I53" s="1870" t="s">
        <v>1191</v>
      </c>
      <c r="J53" s="1871" t="b">
        <f>IF(M47="住宅",IF(D1="——",MAX(J51,L48),IF(D1="在建（套用方法）",MAX(J51,L48-'数据-取费表'!B24),MAX(J51,L48-'数据-取费表'!B20))),IF(D1="——",MIN(J51,L48),IF(D1="在建（套用方法）",MIN(J51,L48-'数据-取费表'!B24),IF(D1="土地（套用方法）",MIN(J51,L48-'数据-取费表'!B20)))))</f>
        <v>0</v>
      </c>
      <c r="K53" s="3503" t="s">
        <v>1192</v>
      </c>
      <c r="L53" s="3504"/>
      <c r="O53" s="1853" t="s">
        <v>1016</v>
      </c>
      <c r="P53" s="1854" t="s">
        <v>1193</v>
      </c>
      <c r="Q53" s="1892" t="e">
        <f ca="1">Q47+Q48</f>
        <v>#DIV/0!</v>
      </c>
      <c r="R53" s="1892" t="s">
        <v>1194</v>
      </c>
    </row>
    <row r="54" spans="1:18" s="739" customFormat="1">
      <c r="A54" s="1770"/>
      <c r="B54" s="1787" t="s">
        <v>1246</v>
      </c>
      <c r="C54" s="1687"/>
      <c r="D54" s="1682"/>
      <c r="E54" s="1788"/>
      <c r="F54" s="1789"/>
      <c r="I54" s="187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873"/>
      <c r="K54" s="1873"/>
      <c r="L54" s="1873"/>
      <c r="M54" s="1776"/>
      <c r="O54" s="1841" t="s">
        <v>1195</v>
      </c>
      <c r="P54" s="1743"/>
      <c r="Q54" s="1743"/>
      <c r="R54" s="1743"/>
    </row>
    <row r="55" spans="1:18" s="739" customFormat="1">
      <c r="A55" s="1690" t="s">
        <v>854</v>
      </c>
      <c r="B55" s="1691" t="s">
        <v>1081</v>
      </c>
      <c r="C55" s="1692"/>
      <c r="D55" s="1682"/>
      <c r="E55" s="1788"/>
      <c r="F55" s="1789"/>
      <c r="I55" s="1874" t="s">
        <v>1196</v>
      </c>
      <c r="J55" s="1875" t="e">
        <f ca="1">ROUND(IF(J47="钢混",J57/J50,1-(1-2%)*(J50-J57)/J50),3)</f>
        <v>#DIV/0!</v>
      </c>
      <c r="K55" s="1876" t="s">
        <v>1197</v>
      </c>
      <c r="L55" s="1877"/>
      <c r="O55" s="1846" t="s">
        <v>1157</v>
      </c>
      <c r="P55" s="1847" t="s">
        <v>1158</v>
      </c>
      <c r="Q55" s="1891" t="s">
        <v>1159</v>
      </c>
      <c r="R55" s="1891" t="s">
        <v>1160</v>
      </c>
    </row>
    <row r="56" spans="1:18" s="739" customFormat="1" ht="36" customHeight="1">
      <c r="A56" s="1790">
        <v>2</v>
      </c>
      <c r="B56" s="1791" t="s">
        <v>1082</v>
      </c>
      <c r="C56" s="180">
        <f ca="1">C13</f>
        <v>0</v>
      </c>
      <c r="D56" s="1792"/>
      <c r="E56" s="1793"/>
      <c r="F56" s="1789"/>
      <c r="I56" s="1878" t="s">
        <v>1198</v>
      </c>
      <c r="J56" s="1879"/>
      <c r="K56" s="796" t="s">
        <v>1199</v>
      </c>
      <c r="L56" s="1857">
        <f ca="1">IF(L48&lt;J51,"——",L48-J51)</f>
        <v>0</v>
      </c>
      <c r="O56" s="1853" t="s">
        <v>910</v>
      </c>
      <c r="P56" s="1854" t="s">
        <v>1163</v>
      </c>
      <c r="Q56" s="1892" t="e">
        <f ca="1">C40+J29</f>
        <v>#DIV/0!</v>
      </c>
      <c r="R56" s="1892" t="s">
        <v>1164</v>
      </c>
    </row>
    <row r="57" spans="1:18" s="739" customFormat="1" ht="24">
      <c r="A57" s="1794"/>
      <c r="B57" s="1795" t="s">
        <v>1145</v>
      </c>
      <c r="C57" s="190">
        <f ca="1">C29</f>
        <v>0</v>
      </c>
      <c r="D57" s="1796"/>
      <c r="E57" s="1797"/>
      <c r="F57" s="1798"/>
      <c r="I57" s="1880" t="s">
        <v>1200</v>
      </c>
      <c r="J57" s="1881">
        <f ca="1">IF(OR(M47="住宅",J51&lt;L48,J56="是"),"——",J51-L48)</f>
        <v>0</v>
      </c>
      <c r="K57" s="796" t="s">
        <v>1250</v>
      </c>
      <c r="L57" s="1857">
        <f ca="1">IF(L48&lt;J51,"——",IF(L55="比较法",L49,IF(L55="基准地价",L50,L51)))</f>
        <v>0</v>
      </c>
      <c r="O57" s="1853" t="s">
        <v>913</v>
      </c>
      <c r="P57" s="1854" t="s">
        <v>1202</v>
      </c>
      <c r="Q57" s="1892" t="e">
        <f ca="1">L60</f>
        <v>#DIV/0!</v>
      </c>
      <c r="R57" s="1892" t="s">
        <v>1203</v>
      </c>
    </row>
    <row r="58" spans="1:18" s="739" customFormat="1" ht="24">
      <c r="A58" s="1799" t="s">
        <v>1090</v>
      </c>
      <c r="B58" s="1791" t="s">
        <v>1091</v>
      </c>
      <c r="C58" s="284">
        <f ca="1">ROUND(C59+C64+C65+C66,0)</f>
        <v>0</v>
      </c>
      <c r="D58" s="1800" t="s">
        <v>1092</v>
      </c>
      <c r="E58" s="1801"/>
      <c r="F58" s="1768"/>
      <c r="I58" s="1880" t="s">
        <v>1204</v>
      </c>
      <c r="J58" s="1882" t="e">
        <f ca="1">IF(J55&lt;0.4,0.4,J55)</f>
        <v>#DIV/0!</v>
      </c>
      <c r="K58" s="1865" t="s">
        <v>1251</v>
      </c>
      <c r="L58" s="1857" t="e">
        <f ca="1">ROUND(POWER(1+L52,L47-L48)*(POWER(1+L52,L48)-1)/(POWER(1+L52,L47)-1),4)</f>
        <v>#DIV/0!</v>
      </c>
      <c r="O58" s="1860" t="s">
        <v>1175</v>
      </c>
      <c r="P58" s="1854" t="s">
        <v>1206</v>
      </c>
      <c r="Q58" s="1892">
        <f>IF(L55="比较法",L49,IF(L55="基准地价",L50,0))</f>
        <v>0</v>
      </c>
      <c r="R58" s="1892" t="s">
        <v>1164</v>
      </c>
    </row>
    <row r="59" spans="1:18" s="739" customFormat="1" ht="24">
      <c r="A59" s="1701" t="s">
        <v>806</v>
      </c>
      <c r="B59" s="1795" t="s">
        <v>1097</v>
      </c>
      <c r="C59" s="285">
        <f ca="1">ROUND(IF(项目基本情况!B11="自然人",C48*F59,C60+C61+C62),0)</f>
        <v>0</v>
      </c>
      <c r="D59" s="1802" t="s">
        <v>1098</v>
      </c>
      <c r="E59" s="1803" t="s">
        <v>1099</v>
      </c>
      <c r="F59" s="1726" t="str">
        <f ca="1">IF(项目基本情况!B11="企业","",IF(INDIRECT("'数据-取费表'!c"&amp;$G$1)="住宅",5%,IF(F49*F50*F51/12/(1+'数据-取费表'!C42)&gt;20000,12%,7%)))</f>
        <v/>
      </c>
      <c r="I59" s="1880" t="s">
        <v>1207</v>
      </c>
      <c r="J59" s="1881" t="e">
        <f ca="1">IF(OR(M47="住宅",J51&lt;L48,J56="是"),"——",ROUND(C29*J58,0))</f>
        <v>#DIV/0!</v>
      </c>
      <c r="K59" s="79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57" t="e">
        <f ca="1">ROUND(IF(D1="在建（套用方法）",M59,IF(D1="土地（套用方法）",N59,POWER(1+L52,L47-J51)*(POWER(1+L52,J51)-1)/(POWER(1+L52,L47)-1))),4)</f>
        <v>#DIV/0!</v>
      </c>
      <c r="M59" s="1743" t="e">
        <f ca="1">ROUND(POWER(1+L52,L47-(J51+'数据-取费表'!B24))*(POWER(1+L52,(J51+'数据-取费表'!B24))-1)/(POWER(1+L52,L47)-1),4)</f>
        <v>#DIV/0!</v>
      </c>
      <c r="N59" s="1743" t="e">
        <f ca="1">ROUND(POWER(1+L52,L47-(J51+'数据-取费表'!B20))*(POWER(1+L52,(J51+'数据-取费表'!B20))-1)/(POWER(1+L52,L47)-1),4)</f>
        <v>#DIV/0!</v>
      </c>
      <c r="O59" s="1860" t="s">
        <v>1179</v>
      </c>
      <c r="P59" s="1854" t="s">
        <v>1208</v>
      </c>
      <c r="Q59" s="1893">
        <f>L52</f>
        <v>0</v>
      </c>
      <c r="R59" s="1892"/>
    </row>
    <row r="60" spans="1:18" s="739" customFormat="1" ht="15.75">
      <c r="A60" s="1701" t="s">
        <v>829</v>
      </c>
      <c r="B60" s="1795" t="s">
        <v>1101</v>
      </c>
      <c r="C60" s="285">
        <f ca="1">IF(项目基本情况!B11="自然人","——",ROUND(C48*F60/(1+'数据-取费表'!C42),0))</f>
        <v>0</v>
      </c>
      <c r="D60" s="1803" t="s">
        <v>1102</v>
      </c>
      <c r="E60" s="1795" t="s">
        <v>1089</v>
      </c>
      <c r="F60" s="1717">
        <f t="shared" ref="F60:F66" si="0">F32</f>
        <v>5.6000000000000001E-2</v>
      </c>
      <c r="I60" s="1883" t="s">
        <v>1209</v>
      </c>
      <c r="J60" s="1884" t="e">
        <f ca="1">IF(OR(M47="住宅",J51&lt;L48,J56="是"),"0",ROUND(J59/(1+J52)^J53,0))</f>
        <v>#DIV/0!</v>
      </c>
      <c r="K60" s="1885" t="s">
        <v>1210</v>
      </c>
      <c r="L60" s="1884" t="e">
        <f ca="1">IF(OR(M47="住宅",L48&lt;J51),0,ROUND(L57*(L58/L59-1),0))</f>
        <v>#DIV/0!</v>
      </c>
      <c r="O60" s="1860" t="s">
        <v>1183</v>
      </c>
      <c r="P60" s="1854" t="s">
        <v>1211</v>
      </c>
      <c r="Q60" s="1892" t="e">
        <f ca="1">L58</f>
        <v>#DIV/0!</v>
      </c>
      <c r="R60" s="1892" t="s">
        <v>1212</v>
      </c>
    </row>
    <row r="61" spans="1:18" s="739" customFormat="1">
      <c r="A61" s="1701" t="s">
        <v>834</v>
      </c>
      <c r="B61" s="1795" t="s">
        <v>1105</v>
      </c>
      <c r="C61" s="285">
        <f ca="1">IF(项目基本情况!B11="自然人","——",IF(D61="按租金收入计税",ROUND(C48*F61,0),IF(D61="按房产原值计税",ROUND(C57*F61*0.7,0),INDIRECT("'数据-取费表'!Aj"&amp;$G$1))))</f>
        <v>0</v>
      </c>
      <c r="D61" s="1727" t="s">
        <v>1106</v>
      </c>
      <c r="E61" s="1795" t="s">
        <v>1089</v>
      </c>
      <c r="F61" s="1710">
        <f t="shared" si="0"/>
        <v>1.2E-2</v>
      </c>
      <c r="I61" s="1886"/>
      <c r="J61" s="1886"/>
      <c r="K61" s="1886"/>
      <c r="L61" s="1886"/>
      <c r="O61" s="1860" t="s">
        <v>1187</v>
      </c>
      <c r="P61" s="1854" t="str">
        <f>K59</f>
        <v>建设期及建筑物耐用年限下的土地年期修正系数Kn</v>
      </c>
      <c r="Q61" s="1892" t="e">
        <f ca="1">L59</f>
        <v>#DIV/0!</v>
      </c>
      <c r="R61" s="1892" t="s">
        <v>1213</v>
      </c>
    </row>
    <row r="62" spans="1:18" s="739" customFormat="1">
      <c r="A62" s="1701" t="s">
        <v>837</v>
      </c>
      <c r="B62" s="1804" t="s">
        <v>1109</v>
      </c>
      <c r="C62" s="1729">
        <f ca="1">IF(项目基本情况!B11="自然人","——",ROUND(F62*F63,0))</f>
        <v>0</v>
      </c>
      <c r="D62" s="1805" t="s">
        <v>1110</v>
      </c>
      <c r="E62" s="1795" t="s">
        <v>1111</v>
      </c>
      <c r="F62" s="1716">
        <f t="shared" si="0"/>
        <v>5</v>
      </c>
      <c r="I62" s="1887" t="s">
        <v>1214</v>
      </c>
      <c r="J62" s="1888" t="s">
        <v>1215</v>
      </c>
      <c r="K62" s="1888" t="s">
        <v>1216</v>
      </c>
      <c r="L62" s="1888" t="s">
        <v>1217</v>
      </c>
      <c r="M62" s="1889" t="s">
        <v>1218</v>
      </c>
      <c r="O62" s="1853" t="s">
        <v>1016</v>
      </c>
      <c r="P62" s="1854" t="s">
        <v>1193</v>
      </c>
      <c r="Q62" s="1892" t="e">
        <f ca="1">Q56+Q57</f>
        <v>#DIV/0!</v>
      </c>
      <c r="R62" s="1892" t="s">
        <v>1194</v>
      </c>
    </row>
    <row r="63" spans="1:18" s="739" customFormat="1">
      <c r="A63" s="1714"/>
      <c r="B63" s="1806"/>
      <c r="C63" s="1733"/>
      <c r="D63" s="1807"/>
      <c r="E63" s="1795" t="s">
        <v>1115</v>
      </c>
      <c r="F63" s="1673">
        <f t="shared" ca="1" si="0"/>
        <v>0</v>
      </c>
      <c r="I63" s="1887" t="s">
        <v>1219</v>
      </c>
      <c r="J63" s="1888">
        <v>70</v>
      </c>
      <c r="K63" s="1888">
        <v>50</v>
      </c>
      <c r="L63" s="1888">
        <v>80</v>
      </c>
      <c r="M63" s="1890">
        <v>0.02</v>
      </c>
      <c r="O63" s="1841" t="s">
        <v>1220</v>
      </c>
      <c r="P63" s="1743"/>
      <c r="Q63" s="1743"/>
      <c r="R63" s="1743"/>
    </row>
    <row r="64" spans="1:18" s="739" customFormat="1">
      <c r="A64" s="1701" t="s">
        <v>810</v>
      </c>
      <c r="B64" s="1795" t="s">
        <v>1117</v>
      </c>
      <c r="C64" s="285">
        <f ca="1">ROUND(C57*F64,0)</f>
        <v>0</v>
      </c>
      <c r="D64" s="1803" t="s">
        <v>1149</v>
      </c>
      <c r="E64" s="1795" t="s">
        <v>1089</v>
      </c>
      <c r="F64" s="1736">
        <f t="shared" ca="1" si="0"/>
        <v>0.02</v>
      </c>
      <c r="I64" s="1887" t="s">
        <v>1221</v>
      </c>
      <c r="J64" s="1888">
        <v>50</v>
      </c>
      <c r="K64" s="1888">
        <v>35</v>
      </c>
      <c r="L64" s="1888">
        <v>60</v>
      </c>
      <c r="M64" s="1889">
        <v>0</v>
      </c>
      <c r="O64" s="1846" t="s">
        <v>1157</v>
      </c>
      <c r="P64" s="1847" t="s">
        <v>1158</v>
      </c>
      <c r="Q64" s="1891" t="s">
        <v>1159</v>
      </c>
      <c r="R64" s="1891" t="s">
        <v>1160</v>
      </c>
    </row>
    <row r="65" spans="1:18" s="739" customFormat="1">
      <c r="A65" s="1701" t="s">
        <v>854</v>
      </c>
      <c r="B65" s="1795" t="s">
        <v>1121</v>
      </c>
      <c r="C65" s="285">
        <f ca="1">ROUND(C56*F65,0)</f>
        <v>0</v>
      </c>
      <c r="D65" s="1803" t="s">
        <v>1122</v>
      </c>
      <c r="E65" s="1795" t="s">
        <v>1089</v>
      </c>
      <c r="F65" s="1737">
        <f t="shared" ca="1" si="0"/>
        <v>1.5E-3</v>
      </c>
      <c r="I65" s="1887" t="s">
        <v>1222</v>
      </c>
      <c r="J65" s="1888">
        <v>40</v>
      </c>
      <c r="K65" s="1888">
        <v>30</v>
      </c>
      <c r="L65" s="1888">
        <v>50</v>
      </c>
      <c r="M65" s="1890">
        <v>0.02</v>
      </c>
      <c r="O65" s="1853" t="s">
        <v>910</v>
      </c>
      <c r="P65" s="1854" t="s">
        <v>1163</v>
      </c>
      <c r="Q65" s="1892" t="e">
        <f ca="1">C40+J29</f>
        <v>#DIV/0!</v>
      </c>
      <c r="R65" s="1892" t="s">
        <v>1164</v>
      </c>
    </row>
    <row r="66" spans="1:18" s="739" customFormat="1" ht="15.75">
      <c r="A66" s="1701" t="s">
        <v>858</v>
      </c>
      <c r="B66" s="1795" t="s">
        <v>1107</v>
      </c>
      <c r="C66" s="285">
        <f ca="1">ROUND(C48*F66,0)</f>
        <v>0</v>
      </c>
      <c r="D66" s="1803" t="s">
        <v>1125</v>
      </c>
      <c r="E66" s="1795" t="s">
        <v>1089</v>
      </c>
      <c r="F66" s="1680">
        <f t="shared" ca="1" si="0"/>
        <v>0.02</v>
      </c>
      <c r="O66" s="1853" t="s">
        <v>913</v>
      </c>
      <c r="P66" s="1854" t="s">
        <v>1202</v>
      </c>
      <c r="Q66" s="1892" t="e">
        <f ca="1">L60</f>
        <v>#DIV/0!</v>
      </c>
      <c r="R66" s="1892" t="s">
        <v>1203</v>
      </c>
    </row>
    <row r="67" spans="1:18" s="739" customFormat="1" ht="15.75">
      <c r="A67" s="1790" t="s">
        <v>1128</v>
      </c>
      <c r="B67" s="1894" t="s">
        <v>1129</v>
      </c>
      <c r="C67" s="284">
        <f ca="1">C48-C58</f>
        <v>0</v>
      </c>
      <c r="D67" s="1802" t="s">
        <v>1130</v>
      </c>
      <c r="E67" s="1895"/>
      <c r="F67" s="1896"/>
      <c r="O67" s="1860" t="s">
        <v>1175</v>
      </c>
      <c r="P67" s="1854" t="s">
        <v>1206</v>
      </c>
      <c r="Q67" s="1916">
        <f ca="1">L51</f>
        <v>0</v>
      </c>
      <c r="R67" s="1892" t="s">
        <v>1223</v>
      </c>
    </row>
    <row r="68" spans="1:18" s="739" customFormat="1" ht="15.75">
      <c r="A68" s="1897" t="s">
        <v>1134</v>
      </c>
      <c r="B68" s="1898" t="s">
        <v>1150</v>
      </c>
      <c r="C68" s="1742" t="e">
        <f ca="1">ROUND(C67*(1-((1+F70)/(1+F68))^F69)/(F68-F70),0)</f>
        <v>#DIV/0!</v>
      </c>
      <c r="D68" s="1805" t="s">
        <v>1136</v>
      </c>
      <c r="E68" s="1795" t="s">
        <v>1137</v>
      </c>
      <c r="F68" s="1680">
        <f ca="1">F40</f>
        <v>0</v>
      </c>
      <c r="O68" s="1860" t="s">
        <v>1179</v>
      </c>
      <c r="P68" s="1915" t="s">
        <v>1224</v>
      </c>
      <c r="Q68" s="1892">
        <f ca="1">ROUND(Q69-Q70*Q71,0)</f>
        <v>0</v>
      </c>
      <c r="R68" s="1892" t="s">
        <v>1225</v>
      </c>
    </row>
    <row r="69" spans="1:18" s="739" customFormat="1">
      <c r="A69" s="1899"/>
      <c r="B69" s="1900"/>
      <c r="C69" s="1679"/>
      <c r="D69" s="1901" t="s">
        <v>1140</v>
      </c>
      <c r="E69" s="1795" t="s">
        <v>1141</v>
      </c>
      <c r="F69" s="1746">
        <f ca="1">F41</f>
        <v>0</v>
      </c>
      <c r="O69" s="1860" t="s">
        <v>1226</v>
      </c>
      <c r="P69" s="1915" t="s">
        <v>1227</v>
      </c>
      <c r="Q69" s="1892">
        <f ca="1">C39</f>
        <v>0</v>
      </c>
      <c r="R69" s="1892" t="s">
        <v>1164</v>
      </c>
    </row>
    <row r="70" spans="1:18" s="739" customFormat="1">
      <c r="A70" s="1902"/>
      <c r="B70" s="1903"/>
      <c r="C70" s="1698"/>
      <c r="D70" s="1807"/>
      <c r="E70" s="1795" t="s">
        <v>1144</v>
      </c>
      <c r="F70" s="1785">
        <f ca="1">F42</f>
        <v>0</v>
      </c>
      <c r="O70" s="1860" t="s">
        <v>1228</v>
      </c>
      <c r="P70" s="1915" t="s">
        <v>1229</v>
      </c>
      <c r="Q70" s="1892">
        <f ca="1">C13</f>
        <v>0</v>
      </c>
      <c r="R70" s="1892" t="s">
        <v>1164</v>
      </c>
    </row>
    <row r="71" spans="1:18" s="739" customFormat="1">
      <c r="A71" s="1904" t="s">
        <v>1146</v>
      </c>
      <c r="B71" s="1905" t="s">
        <v>1151</v>
      </c>
      <c r="C71" s="1750" t="e">
        <f ca="1">ROUND(C68/F71,0)</f>
        <v>#DIV/0!</v>
      </c>
      <c r="D71" s="1906" t="s">
        <v>1152</v>
      </c>
      <c r="E71" s="1907" t="s">
        <v>1153</v>
      </c>
      <c r="F71" s="1753">
        <f ca="1">F43</f>
        <v>0</v>
      </c>
      <c r="O71" s="1860" t="s">
        <v>1230</v>
      </c>
      <c r="P71" s="1915" t="s">
        <v>1231</v>
      </c>
      <c r="Q71" s="1893">
        <f ca="1">C76</f>
        <v>0</v>
      </c>
      <c r="R71" s="1892"/>
    </row>
    <row r="72" spans="1:18" s="739" customFormat="1">
      <c r="B72" s="315"/>
      <c r="C72" s="315"/>
      <c r="O72" s="1860" t="s">
        <v>1183</v>
      </c>
      <c r="P72" s="1854" t="s">
        <v>1208</v>
      </c>
      <c r="Q72" s="1893">
        <f>L52</f>
        <v>0</v>
      </c>
      <c r="R72" s="1892"/>
    </row>
    <row r="73" spans="1:18" ht="15.75">
      <c r="A73" s="739"/>
      <c r="B73" s="315"/>
      <c r="C73" s="315"/>
      <c r="D73" s="739"/>
      <c r="E73" s="739"/>
      <c r="F73" s="739"/>
      <c r="O73" s="1860" t="s">
        <v>1187</v>
      </c>
      <c r="P73" s="1854" t="s">
        <v>1211</v>
      </c>
      <c r="Q73" s="1892" t="e">
        <f ca="1">L58</f>
        <v>#DIV/0!</v>
      </c>
      <c r="R73" s="1892" t="s">
        <v>1212</v>
      </c>
    </row>
    <row r="74" spans="1:18">
      <c r="A74" s="739"/>
      <c r="B74" s="222" t="s">
        <v>1232</v>
      </c>
      <c r="C74" s="1908"/>
      <c r="D74" s="739"/>
      <c r="E74" s="739"/>
      <c r="F74" s="739"/>
      <c r="O74" s="1860" t="s">
        <v>1233</v>
      </c>
      <c r="P74" s="1854" t="str">
        <f>K59</f>
        <v>建设期及建筑物耐用年限下的土地年期修正系数Kn</v>
      </c>
      <c r="Q74" s="1892" t="e">
        <f ca="1">L59</f>
        <v>#DIV/0!</v>
      </c>
      <c r="R74" s="1892" t="s">
        <v>1213</v>
      </c>
    </row>
    <row r="75" spans="1:18">
      <c r="A75" s="739"/>
      <c r="B75" s="1909" t="s">
        <v>1234</v>
      </c>
      <c r="C75" s="1910">
        <f ca="1">ROUND(C13*C76,0)</f>
        <v>0</v>
      </c>
      <c r="D75" s="739"/>
      <c r="E75" s="739"/>
      <c r="F75" s="739"/>
      <c r="K75" s="1840"/>
      <c r="L75" s="739"/>
      <c r="O75" s="1853" t="s">
        <v>1016</v>
      </c>
      <c r="P75" s="1854" t="s">
        <v>1193</v>
      </c>
      <c r="Q75" s="1892" t="e">
        <f ca="1">Q65+Q66</f>
        <v>#DIV/0!</v>
      </c>
      <c r="R75" s="1892" t="s">
        <v>1194</v>
      </c>
    </row>
    <row r="76" spans="1:18">
      <c r="B76" s="563" t="s">
        <v>1235</v>
      </c>
      <c r="C76" s="1911">
        <f ca="1">INDIRECT("'数据-取费表'!j"&amp;$G$1)</f>
        <v>0</v>
      </c>
      <c r="I76" s="739"/>
      <c r="J76" s="739"/>
      <c r="K76" s="1840"/>
      <c r="L76" s="739"/>
    </row>
    <row r="77" spans="1:18">
      <c r="B77" s="1912" t="s">
        <v>1236</v>
      </c>
      <c r="C77" s="1913"/>
      <c r="I77" s="739"/>
      <c r="J77" s="739"/>
      <c r="K77" s="1840"/>
      <c r="L77" s="739"/>
    </row>
    <row r="78" spans="1:18">
      <c r="B78" s="220" t="s">
        <v>1237</v>
      </c>
      <c r="C78" s="1914"/>
    </row>
    <row r="79" spans="1:18">
      <c r="B79" s="1909" t="s">
        <v>1238</v>
      </c>
      <c r="C79" s="223" t="e">
        <f ca="1">1-C80</f>
        <v>#DIV/0!</v>
      </c>
    </row>
    <row r="80" spans="1:18">
      <c r="B80" s="1909" t="s">
        <v>1239</v>
      </c>
      <c r="C80" s="223" t="e">
        <f ca="1">ROUND(C75/C39,3)</f>
        <v>#DIV/0!</v>
      </c>
    </row>
    <row r="81" spans="2:3">
      <c r="B81" s="220" t="s">
        <v>1240</v>
      </c>
      <c r="C81" s="190"/>
    </row>
    <row r="82" spans="2:3">
      <c r="B82" s="222" t="s">
        <v>989</v>
      </c>
      <c r="C82" s="224" t="e">
        <f ca="1">1-C83</f>
        <v>#DIV/0!</v>
      </c>
    </row>
    <row r="83" spans="2:3">
      <c r="B83" s="222" t="s">
        <v>990</v>
      </c>
      <c r="C83" s="223" t="e">
        <f ca="1">ROUND(C13/C40,3)</f>
        <v>#DIV/0!</v>
      </c>
    </row>
  </sheetData>
  <sheetProtection password="C66D" sheet="1" objects="1" scenarios="1" formatCells="0" formatColumns="0" formatRows="0"/>
  <mergeCells count="3">
    <mergeCell ref="K53:L53"/>
    <mergeCell ref="B6:B9"/>
    <mergeCell ref="I6:I9"/>
  </mergeCells>
  <phoneticPr fontId="225" type="noConversion"/>
  <conditionalFormatting sqref="C11">
    <cfRule type="expression" dxfId="113" priority="3">
      <formula>$F$10="自定义"</formula>
    </cfRule>
  </conditionalFormatting>
  <conditionalFormatting sqref="J11">
    <cfRule type="expression" dxfId="112" priority="2">
      <formula>$M$10="自定义"</formula>
    </cfRule>
  </conditionalFormatting>
  <conditionalFormatting sqref="C54">
    <cfRule type="expression" dxfId="111" priority="1">
      <formula>$F$53="自定义"</formula>
    </cfRule>
  </conditionalFormatting>
  <conditionalFormatting sqref="I55 I60">
    <cfRule type="expression" dxfId="110" priority="5">
      <formula>$J$51&gt;$L$48</formula>
    </cfRule>
  </conditionalFormatting>
  <conditionalFormatting sqref="K55 K60">
    <cfRule type="expression" dxfId="109"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69930555555555596" right="0.69930555555555596"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25" activePane="bottomLeft" state="frozen"/>
      <selection pane="bottomLeft" activeCell="T34" sqref="T34"/>
    </sheetView>
  </sheetViews>
  <sheetFormatPr defaultColWidth="9" defaultRowHeight="12.75"/>
  <cols>
    <col min="1" max="1" width="11.5" style="230" customWidth="1"/>
    <col min="2" max="2" width="9.25" style="231" customWidth="1"/>
    <col min="3" max="3" width="5" style="231" customWidth="1"/>
    <col min="4" max="4" width="9" style="231"/>
    <col min="5" max="5" width="5" style="231" customWidth="1"/>
    <col min="6" max="6" width="9" style="231"/>
    <col min="7" max="7" width="5" style="231" customWidth="1"/>
    <col min="8" max="8" width="9" style="231"/>
    <col min="9" max="9" width="5" style="231" customWidth="1"/>
    <col min="10" max="10" width="9" style="231"/>
    <col min="11" max="11" width="5" style="231" customWidth="1"/>
    <col min="12" max="12" width="9" style="231"/>
    <col min="13" max="13" width="5" style="231" customWidth="1"/>
    <col min="14" max="14" width="9" style="231"/>
    <col min="15" max="15" width="5" style="231" customWidth="1"/>
    <col min="16" max="16" width="9" style="231"/>
    <col min="17" max="17" width="5" style="231" customWidth="1"/>
    <col min="18" max="18" width="9" style="232"/>
    <col min="19" max="19" width="9" style="230"/>
    <col min="20" max="45" width="9" style="233"/>
    <col min="46" max="16384" width="9" style="230"/>
  </cols>
  <sheetData>
    <row r="1" spans="1:45" ht="14.25" customHeight="1">
      <c r="A1" s="234"/>
      <c r="B1" s="235" t="s">
        <v>2345</v>
      </c>
      <c r="C1" s="3505" t="s">
        <v>2346</v>
      </c>
      <c r="D1" s="3506"/>
      <c r="E1" s="3506"/>
      <c r="F1" s="3506"/>
      <c r="G1" s="3506"/>
      <c r="H1" s="3506"/>
      <c r="I1" s="3506"/>
      <c r="J1" s="3506"/>
      <c r="K1" s="3506"/>
      <c r="L1" s="3506"/>
      <c r="M1" s="3506"/>
      <c r="N1" s="3506"/>
      <c r="O1" s="3506"/>
      <c r="P1" s="3506"/>
      <c r="Q1" s="3506"/>
      <c r="R1" s="3506"/>
      <c r="S1" s="3507"/>
      <c r="T1" s="235" t="s">
        <v>1922</v>
      </c>
    </row>
    <row r="2" spans="1:45" s="225" customFormat="1" ht="25.5">
      <c r="A2" s="236"/>
      <c r="B2" s="237" t="s">
        <v>425</v>
      </c>
      <c r="C2" s="238" t="str">
        <f t="shared" ref="C2:L2" si="0">C3&amp;"(含)"&amp;"-"&amp;D3</f>
        <v>0(含)-50000</v>
      </c>
      <c r="D2" s="239" t="str">
        <f t="shared" si="0"/>
        <v>50000(含)-</v>
      </c>
      <c r="E2" s="239" t="str">
        <f t="shared" si="0"/>
        <v>(含)-</v>
      </c>
      <c r="F2" s="239" t="str">
        <f t="shared" si="0"/>
        <v>(含)-</v>
      </c>
      <c r="G2" s="239" t="str">
        <f t="shared" si="0"/>
        <v>(含)-</v>
      </c>
      <c r="H2" s="239" t="str">
        <f t="shared" si="0"/>
        <v>(含)-</v>
      </c>
      <c r="I2" s="239" t="str">
        <f t="shared" si="0"/>
        <v>(含)-</v>
      </c>
      <c r="J2" s="239" t="str">
        <f t="shared" si="0"/>
        <v>(含)-</v>
      </c>
      <c r="K2" s="239" t="str">
        <f t="shared" si="0"/>
        <v>(含)-</v>
      </c>
      <c r="L2" s="239" t="str">
        <f t="shared" si="0"/>
        <v>(含)-</v>
      </c>
      <c r="M2" s="239" t="str">
        <f t="shared" ref="M2" si="1">M3&amp;"(含)"&amp;"-"&amp;N3</f>
        <v>(含)-</v>
      </c>
      <c r="N2" s="239" t="str">
        <f t="shared" ref="N2" si="2">N3&amp;"(含)"&amp;"-"&amp;O3</f>
        <v>(含)-</v>
      </c>
      <c r="O2" s="239" t="str">
        <f t="shared" ref="O2" si="3">O3&amp;"(含)"&amp;"-"&amp;P3</f>
        <v>(含)-</v>
      </c>
      <c r="P2" s="239" t="str">
        <f t="shared" ref="P2" si="4">P3&amp;"(含)"&amp;"-"&amp;Q3</f>
        <v>(含)-</v>
      </c>
      <c r="Q2" s="239" t="str">
        <f t="shared" ref="Q2" si="5">Q3&amp;"(含)"&amp;"-"&amp;R3</f>
        <v>(含)-</v>
      </c>
      <c r="R2" s="239" t="str">
        <f t="shared" ref="R2" si="6">R3&amp;"(含)"&amp;"-"&amp;S3</f>
        <v>(含)-</v>
      </c>
      <c r="S2" s="313" t="str">
        <f>S3&amp;"(含)"&amp;"-"</f>
        <v>(含)-</v>
      </c>
      <c r="T2" s="314"/>
      <c r="U2" s="315"/>
      <c r="V2" s="315"/>
      <c r="W2" s="315"/>
      <c r="X2" s="315"/>
      <c r="Y2" s="315"/>
      <c r="Z2" s="315"/>
      <c r="AA2" s="315"/>
      <c r="AB2" s="315"/>
      <c r="AC2" s="315"/>
      <c r="AD2" s="315"/>
      <c r="AE2" s="315"/>
      <c r="AF2" s="315"/>
      <c r="AG2" s="315"/>
      <c r="AH2" s="315"/>
      <c r="AI2" s="315"/>
      <c r="AJ2" s="315"/>
      <c r="AK2" s="315"/>
      <c r="AL2" s="315"/>
      <c r="AM2" s="315"/>
      <c r="AN2" s="315"/>
      <c r="AO2" s="315"/>
      <c r="AP2" s="315"/>
      <c r="AQ2" s="315"/>
      <c r="AR2" s="315"/>
      <c r="AS2" s="315"/>
    </row>
    <row r="3" spans="1:45" s="226" customFormat="1">
      <c r="A3" s="240"/>
      <c r="B3" s="241"/>
      <c r="C3" s="3174">
        <v>0</v>
      </c>
      <c r="D3" s="3175">
        <f>C3+50000</f>
        <v>50000</v>
      </c>
      <c r="E3" s="242"/>
      <c r="F3" s="242"/>
      <c r="G3" s="242"/>
      <c r="H3" s="242"/>
      <c r="I3" s="242"/>
      <c r="J3" s="242"/>
      <c r="K3" s="242"/>
      <c r="L3" s="242"/>
      <c r="M3" s="242"/>
      <c r="N3" s="242"/>
      <c r="O3" s="242"/>
      <c r="P3" s="243"/>
      <c r="Q3" s="243"/>
      <c r="R3" s="243"/>
      <c r="S3" s="316"/>
      <c r="T3" s="317"/>
      <c r="U3" s="318"/>
      <c r="V3" s="318"/>
      <c r="W3" s="318"/>
      <c r="X3" s="318"/>
      <c r="Y3" s="318"/>
      <c r="Z3" s="318"/>
      <c r="AA3" s="318"/>
      <c r="AB3" s="318"/>
      <c r="AC3" s="318"/>
      <c r="AD3" s="318"/>
      <c r="AE3" s="318"/>
      <c r="AF3" s="318"/>
      <c r="AG3" s="318"/>
      <c r="AH3" s="318"/>
      <c r="AI3" s="318"/>
      <c r="AJ3" s="318"/>
      <c r="AK3" s="318"/>
      <c r="AL3" s="318"/>
      <c r="AM3" s="318"/>
      <c r="AN3" s="318"/>
      <c r="AO3" s="318"/>
      <c r="AP3" s="318"/>
      <c r="AQ3" s="318"/>
      <c r="AR3" s="318"/>
      <c r="AS3" s="318"/>
    </row>
    <row r="4" spans="1:45" s="226" customFormat="1">
      <c r="A4" s="244"/>
      <c r="B4" s="245"/>
      <c r="C4" s="3176">
        <v>100</v>
      </c>
      <c r="D4" s="3177">
        <f>C4-5</f>
        <v>95</v>
      </c>
      <c r="E4" s="247"/>
      <c r="F4" s="247"/>
      <c r="G4" s="247"/>
      <c r="H4" s="247"/>
      <c r="I4" s="247"/>
      <c r="J4" s="247"/>
      <c r="K4" s="247"/>
      <c r="L4" s="247"/>
      <c r="M4" s="247"/>
      <c r="N4" s="247"/>
      <c r="O4" s="247"/>
      <c r="P4" s="248"/>
      <c r="Q4" s="248"/>
      <c r="R4" s="248"/>
      <c r="S4" s="319"/>
      <c r="T4" s="320"/>
      <c r="U4" s="318"/>
      <c r="V4" s="318"/>
      <c r="W4" s="318"/>
      <c r="X4" s="318"/>
      <c r="Y4" s="318"/>
      <c r="Z4" s="318"/>
      <c r="AA4" s="318"/>
      <c r="AB4" s="318"/>
      <c r="AC4" s="318"/>
      <c r="AD4" s="318"/>
      <c r="AE4" s="318"/>
      <c r="AF4" s="318"/>
      <c r="AG4" s="318"/>
      <c r="AH4" s="318"/>
      <c r="AI4" s="318"/>
      <c r="AJ4" s="318"/>
      <c r="AK4" s="318"/>
      <c r="AL4" s="318"/>
      <c r="AM4" s="318"/>
      <c r="AN4" s="318"/>
      <c r="AO4" s="318"/>
      <c r="AP4" s="318"/>
      <c r="AQ4" s="318"/>
      <c r="AR4" s="318"/>
      <c r="AS4" s="318"/>
    </row>
    <row r="5" spans="1:45" s="227" customFormat="1">
      <c r="A5" s="249"/>
      <c r="B5" s="250" t="s">
        <v>2347</v>
      </c>
      <c r="C5" s="251"/>
      <c r="D5" s="252"/>
      <c r="E5" s="252"/>
      <c r="F5" s="253"/>
      <c r="G5" s="253"/>
      <c r="H5" s="253"/>
      <c r="I5" s="253"/>
      <c r="J5" s="253"/>
      <c r="K5" s="253"/>
      <c r="L5" s="294"/>
      <c r="M5" s="295"/>
      <c r="N5" s="295"/>
      <c r="O5" s="253"/>
      <c r="P5" s="253"/>
      <c r="Q5" s="253"/>
      <c r="R5" s="253"/>
      <c r="S5" s="321"/>
      <c r="T5" s="322"/>
      <c r="U5" s="323"/>
      <c r="V5" s="323"/>
      <c r="W5" s="323"/>
      <c r="X5" s="323"/>
      <c r="Y5" s="323"/>
      <c r="Z5" s="323"/>
      <c r="AA5" s="323"/>
      <c r="AB5" s="323"/>
      <c r="AC5" s="323"/>
      <c r="AD5" s="323"/>
      <c r="AE5" s="323"/>
      <c r="AF5" s="323"/>
      <c r="AG5" s="323"/>
      <c r="AH5" s="323"/>
      <c r="AI5" s="323"/>
      <c r="AJ5" s="323"/>
      <c r="AK5" s="323"/>
      <c r="AL5" s="323"/>
      <c r="AM5" s="323"/>
      <c r="AN5" s="323"/>
      <c r="AO5" s="323"/>
      <c r="AP5" s="323"/>
      <c r="AQ5" s="323"/>
      <c r="AR5" s="323"/>
      <c r="AS5" s="323"/>
    </row>
    <row r="6" spans="1:45" s="227" customFormat="1">
      <c r="A6" s="249"/>
      <c r="B6" s="254"/>
      <c r="C6" s="255">
        <v>100</v>
      </c>
      <c r="D6" s="256">
        <f>C6-$T5</f>
        <v>100</v>
      </c>
      <c r="E6" s="256">
        <f t="shared" ref="E6:S6" si="7">D6-$T5</f>
        <v>100</v>
      </c>
      <c r="F6" s="257">
        <f t="shared" si="7"/>
        <v>100</v>
      </c>
      <c r="G6" s="257">
        <f t="shared" si="7"/>
        <v>100</v>
      </c>
      <c r="H6" s="257">
        <f t="shared" si="7"/>
        <v>100</v>
      </c>
      <c r="I6" s="257">
        <f t="shared" si="7"/>
        <v>100</v>
      </c>
      <c r="J6" s="257">
        <f t="shared" si="7"/>
        <v>100</v>
      </c>
      <c r="K6" s="257">
        <f t="shared" si="7"/>
        <v>100</v>
      </c>
      <c r="L6" s="257">
        <f t="shared" si="7"/>
        <v>100</v>
      </c>
      <c r="M6" s="257">
        <f t="shared" si="7"/>
        <v>100</v>
      </c>
      <c r="N6" s="257">
        <f t="shared" si="7"/>
        <v>100</v>
      </c>
      <c r="O6" s="257">
        <f t="shared" si="7"/>
        <v>100</v>
      </c>
      <c r="P6" s="257">
        <f t="shared" si="7"/>
        <v>100</v>
      </c>
      <c r="Q6" s="257">
        <f t="shared" si="7"/>
        <v>100</v>
      </c>
      <c r="R6" s="257">
        <f t="shared" si="7"/>
        <v>100</v>
      </c>
      <c r="S6" s="257">
        <f t="shared" si="7"/>
        <v>100</v>
      </c>
      <c r="T6" s="324"/>
      <c r="U6" s="323"/>
      <c r="V6" s="323"/>
      <c r="W6" s="323"/>
      <c r="X6" s="323"/>
      <c r="Y6" s="323"/>
      <c r="Z6" s="323"/>
      <c r="AA6" s="323"/>
      <c r="AB6" s="323"/>
      <c r="AC6" s="323"/>
      <c r="AD6" s="323"/>
      <c r="AE6" s="323"/>
      <c r="AF6" s="323"/>
      <c r="AG6" s="323"/>
      <c r="AH6" s="323"/>
      <c r="AI6" s="323"/>
      <c r="AJ6" s="323"/>
      <c r="AK6" s="323"/>
      <c r="AL6" s="323"/>
      <c r="AM6" s="323"/>
      <c r="AN6" s="323"/>
      <c r="AO6" s="323"/>
      <c r="AP6" s="323"/>
      <c r="AQ6" s="323"/>
      <c r="AR6" s="323"/>
      <c r="AS6" s="323"/>
    </row>
    <row r="7" spans="1:45" s="227" customFormat="1">
      <c r="A7" s="249"/>
      <c r="B7" s="258" t="s">
        <v>2348</v>
      </c>
      <c r="C7" s="259"/>
      <c r="D7" s="260"/>
      <c r="E7" s="260"/>
      <c r="F7" s="261"/>
      <c r="G7" s="261"/>
      <c r="H7" s="261"/>
      <c r="I7" s="261"/>
      <c r="J7" s="261"/>
      <c r="K7" s="261"/>
      <c r="L7" s="261"/>
      <c r="M7" s="296"/>
      <c r="N7" s="297"/>
      <c r="O7" s="298"/>
      <c r="P7" s="299"/>
      <c r="Q7" s="325"/>
      <c r="R7" s="326"/>
      <c r="S7" s="327"/>
      <c r="T7" s="328"/>
      <c r="U7" s="323"/>
      <c r="V7" s="323"/>
      <c r="W7" s="323"/>
      <c r="X7" s="323"/>
      <c r="Y7" s="323"/>
      <c r="Z7" s="323"/>
      <c r="AA7" s="323"/>
      <c r="AB7" s="323"/>
      <c r="AC7" s="323"/>
      <c r="AD7" s="323"/>
      <c r="AE7" s="323"/>
      <c r="AF7" s="323"/>
      <c r="AG7" s="323"/>
      <c r="AH7" s="323"/>
      <c r="AI7" s="323"/>
      <c r="AJ7" s="323"/>
      <c r="AK7" s="323"/>
      <c r="AL7" s="323"/>
      <c r="AM7" s="323"/>
      <c r="AN7" s="323"/>
      <c r="AO7" s="323"/>
      <c r="AP7" s="323"/>
      <c r="AQ7" s="323"/>
      <c r="AR7" s="323"/>
      <c r="AS7" s="323"/>
    </row>
    <row r="8" spans="1:45" s="227" customFormat="1">
      <c r="A8" s="249"/>
      <c r="B8" s="254"/>
      <c r="C8" s="255">
        <v>100</v>
      </c>
      <c r="D8" s="256">
        <f>C8-$T7</f>
        <v>100</v>
      </c>
      <c r="E8" s="256">
        <f t="shared" ref="E8:S8" si="8">D8-$T7</f>
        <v>100</v>
      </c>
      <c r="F8" s="257">
        <f t="shared" si="8"/>
        <v>100</v>
      </c>
      <c r="G8" s="257">
        <f t="shared" si="8"/>
        <v>100</v>
      </c>
      <c r="H8" s="257">
        <f t="shared" si="8"/>
        <v>100</v>
      </c>
      <c r="I8" s="257">
        <f t="shared" si="8"/>
        <v>100</v>
      </c>
      <c r="J8" s="257">
        <f t="shared" si="8"/>
        <v>100</v>
      </c>
      <c r="K8" s="257">
        <f t="shared" si="8"/>
        <v>100</v>
      </c>
      <c r="L8" s="257">
        <f t="shared" si="8"/>
        <v>100</v>
      </c>
      <c r="M8" s="257">
        <f t="shared" si="8"/>
        <v>100</v>
      </c>
      <c r="N8" s="257">
        <f t="shared" si="8"/>
        <v>100</v>
      </c>
      <c r="O8" s="257">
        <f t="shared" si="8"/>
        <v>100</v>
      </c>
      <c r="P8" s="257">
        <f t="shared" si="8"/>
        <v>100</v>
      </c>
      <c r="Q8" s="257">
        <f t="shared" si="8"/>
        <v>100</v>
      </c>
      <c r="R8" s="257">
        <f t="shared" si="8"/>
        <v>100</v>
      </c>
      <c r="S8" s="257">
        <f t="shared" si="8"/>
        <v>100</v>
      </c>
      <c r="T8" s="324"/>
      <c r="U8" s="323"/>
      <c r="V8" s="323"/>
      <c r="W8" s="323"/>
      <c r="X8" s="323"/>
      <c r="Y8" s="323"/>
      <c r="Z8" s="323"/>
      <c r="AA8" s="323"/>
      <c r="AB8" s="323"/>
      <c r="AC8" s="323"/>
      <c r="AD8" s="323"/>
      <c r="AE8" s="323"/>
      <c r="AF8" s="323"/>
      <c r="AG8" s="323"/>
      <c r="AH8" s="323"/>
      <c r="AI8" s="323"/>
      <c r="AJ8" s="323"/>
      <c r="AK8" s="323"/>
      <c r="AL8" s="323"/>
      <c r="AM8" s="323"/>
      <c r="AN8" s="323"/>
      <c r="AO8" s="323"/>
      <c r="AP8" s="323"/>
      <c r="AQ8" s="323"/>
      <c r="AR8" s="323"/>
      <c r="AS8" s="323"/>
    </row>
    <row r="9" spans="1:45" s="227" customFormat="1">
      <c r="A9" s="249"/>
      <c r="B9" s="258" t="s">
        <v>2349</v>
      </c>
      <c r="C9" s="259"/>
      <c r="D9" s="260"/>
      <c r="E9" s="260"/>
      <c r="F9" s="261"/>
      <c r="G9" s="261"/>
      <c r="H9" s="261"/>
      <c r="I9" s="261"/>
      <c r="J9" s="261"/>
      <c r="K9" s="261"/>
      <c r="L9" s="300"/>
      <c r="M9" s="296"/>
      <c r="N9" s="297"/>
      <c r="O9" s="298"/>
      <c r="P9" s="299"/>
      <c r="Q9" s="325"/>
      <c r="R9" s="326"/>
      <c r="S9" s="327"/>
      <c r="T9" s="328"/>
      <c r="U9" s="323"/>
      <c r="V9" s="323"/>
      <c r="W9" s="323"/>
      <c r="X9" s="323"/>
      <c r="Y9" s="323"/>
      <c r="Z9" s="323"/>
      <c r="AA9" s="323"/>
      <c r="AB9" s="323"/>
      <c r="AC9" s="323"/>
      <c r="AD9" s="323"/>
      <c r="AE9" s="323"/>
      <c r="AF9" s="323"/>
      <c r="AG9" s="323"/>
      <c r="AH9" s="323"/>
      <c r="AI9" s="323"/>
      <c r="AJ9" s="323"/>
      <c r="AK9" s="323"/>
      <c r="AL9" s="323"/>
      <c r="AM9" s="323"/>
      <c r="AN9" s="323"/>
      <c r="AO9" s="323"/>
      <c r="AP9" s="323"/>
      <c r="AQ9" s="323"/>
      <c r="AR9" s="323"/>
      <c r="AS9" s="323"/>
    </row>
    <row r="10" spans="1:45" s="227" customFormat="1">
      <c r="A10" s="249"/>
      <c r="B10" s="245"/>
      <c r="C10" s="262">
        <v>100</v>
      </c>
      <c r="D10" s="263">
        <f>C10-$T9</f>
        <v>100</v>
      </c>
      <c r="E10" s="263">
        <f t="shared" ref="E10:S10" si="9">D10-$T9</f>
        <v>100</v>
      </c>
      <c r="F10" s="264">
        <f t="shared" si="9"/>
        <v>100</v>
      </c>
      <c r="G10" s="264">
        <f t="shared" si="9"/>
        <v>100</v>
      </c>
      <c r="H10" s="264">
        <f t="shared" si="9"/>
        <v>100</v>
      </c>
      <c r="I10" s="264">
        <f t="shared" si="9"/>
        <v>100</v>
      </c>
      <c r="J10" s="264">
        <f t="shared" si="9"/>
        <v>100</v>
      </c>
      <c r="K10" s="264">
        <f t="shared" si="9"/>
        <v>100</v>
      </c>
      <c r="L10" s="264">
        <f t="shared" si="9"/>
        <v>100</v>
      </c>
      <c r="M10" s="264">
        <f t="shared" si="9"/>
        <v>100</v>
      </c>
      <c r="N10" s="264">
        <f t="shared" si="9"/>
        <v>100</v>
      </c>
      <c r="O10" s="264">
        <f t="shared" si="9"/>
        <v>100</v>
      </c>
      <c r="P10" s="264">
        <f t="shared" si="9"/>
        <v>100</v>
      </c>
      <c r="Q10" s="264">
        <f t="shared" si="9"/>
        <v>100</v>
      </c>
      <c r="R10" s="264">
        <f t="shared" si="9"/>
        <v>100</v>
      </c>
      <c r="S10" s="264">
        <f t="shared" si="9"/>
        <v>100</v>
      </c>
      <c r="T10" s="320"/>
      <c r="U10" s="323"/>
      <c r="V10" s="323"/>
      <c r="W10" s="323"/>
      <c r="X10" s="323"/>
      <c r="Y10" s="323"/>
      <c r="Z10" s="323"/>
      <c r="AA10" s="323"/>
      <c r="AB10" s="323"/>
      <c r="AC10" s="323"/>
      <c r="AD10" s="323"/>
      <c r="AE10" s="323"/>
      <c r="AF10" s="323"/>
      <c r="AG10" s="323"/>
      <c r="AH10" s="323"/>
      <c r="AI10" s="323"/>
      <c r="AJ10" s="323"/>
      <c r="AK10" s="323"/>
      <c r="AL10" s="323"/>
      <c r="AM10" s="323"/>
      <c r="AN10" s="323"/>
      <c r="AO10" s="323"/>
      <c r="AP10" s="323"/>
      <c r="AQ10" s="323"/>
      <c r="AR10" s="323"/>
      <c r="AS10" s="323"/>
    </row>
    <row r="11" spans="1:45" s="227" customFormat="1">
      <c r="A11" s="249"/>
      <c r="B11" s="250" t="s">
        <v>2350</v>
      </c>
      <c r="C11" s="251"/>
      <c r="D11" s="252"/>
      <c r="E11" s="252"/>
      <c r="F11" s="252"/>
      <c r="G11" s="252"/>
      <c r="H11" s="252"/>
      <c r="I11" s="252"/>
      <c r="J11" s="252"/>
      <c r="K11" s="252"/>
      <c r="L11" s="252"/>
      <c r="M11" s="301"/>
      <c r="N11" s="302"/>
      <c r="O11" s="303"/>
      <c r="P11" s="304"/>
      <c r="Q11" s="329"/>
      <c r="R11" s="330"/>
      <c r="S11" s="331"/>
      <c r="T11" s="322"/>
      <c r="U11" s="323"/>
      <c r="V11" s="323"/>
      <c r="W11" s="323"/>
      <c r="X11" s="323"/>
      <c r="Y11" s="323"/>
      <c r="Z11" s="323"/>
      <c r="AA11" s="323"/>
      <c r="AB11" s="323"/>
      <c r="AC11" s="323"/>
      <c r="AD11" s="323"/>
      <c r="AE11" s="323"/>
      <c r="AF11" s="323"/>
      <c r="AG11" s="323"/>
      <c r="AH11" s="323"/>
      <c r="AI11" s="323"/>
      <c r="AJ11" s="323"/>
      <c r="AK11" s="323"/>
      <c r="AL11" s="323"/>
      <c r="AM11" s="323"/>
      <c r="AN11" s="323"/>
      <c r="AO11" s="323"/>
      <c r="AP11" s="323"/>
      <c r="AQ11" s="323"/>
      <c r="AR11" s="323"/>
      <c r="AS11" s="323"/>
    </row>
    <row r="12" spans="1:45" s="227" customFormat="1">
      <c r="A12" s="249"/>
      <c r="B12" s="254"/>
      <c r="C12" s="255">
        <v>100</v>
      </c>
      <c r="D12" s="256">
        <f>C12-$T11</f>
        <v>100</v>
      </c>
      <c r="E12" s="256">
        <f t="shared" ref="E12:S12" si="10">D12-$T11</f>
        <v>100</v>
      </c>
      <c r="F12" s="256">
        <f t="shared" si="10"/>
        <v>100</v>
      </c>
      <c r="G12" s="256">
        <f t="shared" si="10"/>
        <v>100</v>
      </c>
      <c r="H12" s="256">
        <f t="shared" si="10"/>
        <v>100</v>
      </c>
      <c r="I12" s="256">
        <f t="shared" si="10"/>
        <v>100</v>
      </c>
      <c r="J12" s="256">
        <f t="shared" si="10"/>
        <v>100</v>
      </c>
      <c r="K12" s="256">
        <f t="shared" si="10"/>
        <v>100</v>
      </c>
      <c r="L12" s="256">
        <f t="shared" si="10"/>
        <v>100</v>
      </c>
      <c r="M12" s="256">
        <f t="shared" si="10"/>
        <v>100</v>
      </c>
      <c r="N12" s="256">
        <f t="shared" si="10"/>
        <v>100</v>
      </c>
      <c r="O12" s="256">
        <f t="shared" si="10"/>
        <v>100</v>
      </c>
      <c r="P12" s="256">
        <f t="shared" si="10"/>
        <v>100</v>
      </c>
      <c r="Q12" s="256">
        <f t="shared" si="10"/>
        <v>100</v>
      </c>
      <c r="R12" s="256">
        <f t="shared" si="10"/>
        <v>100</v>
      </c>
      <c r="S12" s="256">
        <f t="shared" si="10"/>
        <v>100</v>
      </c>
      <c r="T12" s="324"/>
      <c r="U12" s="323"/>
      <c r="V12" s="323"/>
      <c r="W12" s="323"/>
      <c r="X12" s="323"/>
      <c r="Y12" s="323"/>
      <c r="Z12" s="323"/>
      <c r="AA12" s="323"/>
      <c r="AB12" s="323"/>
      <c r="AC12" s="323"/>
      <c r="AD12" s="323"/>
      <c r="AE12" s="323"/>
      <c r="AF12" s="323"/>
      <c r="AG12" s="323"/>
      <c r="AH12" s="323"/>
      <c r="AI12" s="323"/>
      <c r="AJ12" s="323"/>
      <c r="AK12" s="323"/>
      <c r="AL12" s="323"/>
      <c r="AM12" s="323"/>
      <c r="AN12" s="323"/>
      <c r="AO12" s="323"/>
      <c r="AP12" s="323"/>
      <c r="AQ12" s="323"/>
      <c r="AR12" s="323"/>
      <c r="AS12" s="323"/>
    </row>
    <row r="13" spans="1:45" s="227" customFormat="1">
      <c r="A13" s="249"/>
      <c r="B13" s="250" t="s">
        <v>2351</v>
      </c>
      <c r="C13" s="251"/>
      <c r="D13" s="252"/>
      <c r="E13" s="252"/>
      <c r="F13" s="252"/>
      <c r="G13" s="252"/>
      <c r="H13" s="252"/>
      <c r="I13" s="252"/>
      <c r="J13" s="252"/>
      <c r="K13" s="252"/>
      <c r="L13" s="252"/>
      <c r="M13" s="301"/>
      <c r="N13" s="302"/>
      <c r="O13" s="303"/>
      <c r="P13" s="304"/>
      <c r="Q13" s="329"/>
      <c r="R13" s="330"/>
      <c r="S13" s="331"/>
      <c r="T13" s="332"/>
      <c r="U13" s="323"/>
      <c r="V13" s="323"/>
      <c r="W13" s="323"/>
      <c r="X13" s="323"/>
      <c r="Y13" s="323"/>
      <c r="Z13" s="323"/>
      <c r="AA13" s="323"/>
      <c r="AB13" s="323"/>
      <c r="AC13" s="323"/>
      <c r="AD13" s="323"/>
      <c r="AE13" s="323"/>
      <c r="AF13" s="323"/>
      <c r="AG13" s="323"/>
      <c r="AH13" s="323"/>
      <c r="AI13" s="323"/>
      <c r="AJ13" s="323"/>
      <c r="AK13" s="323"/>
      <c r="AL13" s="323"/>
      <c r="AM13" s="323"/>
      <c r="AN13" s="323"/>
      <c r="AO13" s="323"/>
      <c r="AP13" s="323"/>
      <c r="AQ13" s="323"/>
      <c r="AR13" s="323"/>
      <c r="AS13" s="323"/>
    </row>
    <row r="14" spans="1:45" s="227" customFormat="1">
      <c r="A14" s="249"/>
      <c r="B14" s="254"/>
      <c r="C14" s="265"/>
      <c r="D14" s="266"/>
      <c r="E14" s="266"/>
      <c r="F14" s="266"/>
      <c r="G14" s="266"/>
      <c r="H14" s="266"/>
      <c r="I14" s="266"/>
      <c r="J14" s="266"/>
      <c r="K14" s="266"/>
      <c r="L14" s="266"/>
      <c r="M14" s="305"/>
      <c r="N14" s="305"/>
      <c r="O14" s="266"/>
      <c r="P14" s="266"/>
      <c r="Q14" s="266"/>
      <c r="R14" s="266"/>
      <c r="S14" s="333"/>
      <c r="T14" s="324"/>
      <c r="U14" s="323"/>
      <c r="V14" s="323"/>
      <c r="W14" s="323"/>
      <c r="X14" s="323"/>
      <c r="Y14" s="323"/>
      <c r="Z14" s="323"/>
      <c r="AA14" s="323"/>
      <c r="AB14" s="323"/>
      <c r="AC14" s="323"/>
      <c r="AD14" s="323"/>
      <c r="AE14" s="323"/>
      <c r="AF14" s="323"/>
      <c r="AG14" s="323"/>
      <c r="AH14" s="323"/>
      <c r="AI14" s="323"/>
      <c r="AJ14" s="323"/>
      <c r="AK14" s="323"/>
      <c r="AL14" s="323"/>
      <c r="AM14" s="323"/>
      <c r="AN14" s="323"/>
      <c r="AO14" s="323"/>
      <c r="AP14" s="323"/>
      <c r="AQ14" s="323"/>
      <c r="AR14" s="323"/>
      <c r="AS14" s="323"/>
    </row>
    <row r="15" spans="1:45" s="227" customFormat="1">
      <c r="A15" s="249"/>
      <c r="B15" s="250" t="s">
        <v>2352</v>
      </c>
      <c r="C15" s="251"/>
      <c r="D15" s="252"/>
      <c r="E15" s="252"/>
      <c r="F15" s="252"/>
      <c r="G15" s="252"/>
      <c r="H15" s="252"/>
      <c r="I15" s="252"/>
      <c r="J15" s="252"/>
      <c r="K15" s="252"/>
      <c r="L15" s="252"/>
      <c r="M15" s="301"/>
      <c r="N15" s="302"/>
      <c r="O15" s="303"/>
      <c r="P15" s="304"/>
      <c r="Q15" s="329"/>
      <c r="R15" s="330"/>
      <c r="S15" s="331"/>
      <c r="T15" s="332"/>
      <c r="U15" s="323"/>
      <c r="V15" s="323"/>
      <c r="W15" s="323"/>
      <c r="X15" s="323"/>
      <c r="Y15" s="323"/>
      <c r="Z15" s="323"/>
      <c r="AA15" s="323"/>
      <c r="AB15" s="323"/>
      <c r="AC15" s="323"/>
      <c r="AD15" s="323"/>
      <c r="AE15" s="323"/>
      <c r="AF15" s="323"/>
      <c r="AG15" s="323"/>
      <c r="AH15" s="323"/>
      <c r="AI15" s="323"/>
      <c r="AJ15" s="323"/>
      <c r="AK15" s="323"/>
      <c r="AL15" s="323"/>
      <c r="AM15" s="323"/>
      <c r="AN15" s="323"/>
      <c r="AO15" s="323"/>
      <c r="AP15" s="323"/>
      <c r="AQ15" s="323"/>
      <c r="AR15" s="323"/>
      <c r="AS15" s="323"/>
    </row>
    <row r="16" spans="1:45" s="227" customFormat="1">
      <c r="A16" s="249"/>
      <c r="B16" s="245"/>
      <c r="C16" s="246"/>
      <c r="D16" s="247"/>
      <c r="E16" s="247"/>
      <c r="F16" s="247"/>
      <c r="G16" s="247"/>
      <c r="H16" s="247"/>
      <c r="I16" s="247"/>
      <c r="J16" s="247"/>
      <c r="K16" s="247"/>
      <c r="L16" s="247"/>
      <c r="M16" s="306"/>
      <c r="N16" s="306"/>
      <c r="O16" s="247"/>
      <c r="P16" s="247"/>
      <c r="Q16" s="247"/>
      <c r="R16" s="247"/>
      <c r="S16" s="334"/>
      <c r="T16" s="320"/>
      <c r="U16" s="323"/>
      <c r="V16" s="323"/>
      <c r="W16" s="323"/>
      <c r="X16" s="323"/>
      <c r="Y16" s="323"/>
      <c r="Z16" s="323"/>
      <c r="AA16" s="323"/>
      <c r="AB16" s="323"/>
      <c r="AC16" s="323"/>
      <c r="AD16" s="323"/>
      <c r="AE16" s="323"/>
      <c r="AF16" s="323"/>
      <c r="AG16" s="323"/>
      <c r="AH16" s="323"/>
      <c r="AI16" s="323"/>
      <c r="AJ16" s="323"/>
      <c r="AK16" s="323"/>
      <c r="AL16" s="323"/>
      <c r="AM16" s="323"/>
      <c r="AN16" s="323"/>
      <c r="AO16" s="323"/>
      <c r="AP16" s="323"/>
      <c r="AQ16" s="323"/>
      <c r="AR16" s="323"/>
      <c r="AS16" s="323"/>
    </row>
    <row r="17" spans="1:45" s="225" customFormat="1">
      <c r="A17" s="267" t="s">
        <v>2353</v>
      </c>
      <c r="B17" s="268" t="s">
        <v>2354</v>
      </c>
      <c r="C17" s="3163" t="s">
        <v>3386</v>
      </c>
      <c r="D17" s="3164" t="s">
        <v>3387</v>
      </c>
      <c r="E17" s="3164" t="s">
        <v>3388</v>
      </c>
      <c r="F17" s="3164" t="s">
        <v>3389</v>
      </c>
      <c r="G17" s="269"/>
      <c r="H17" s="269"/>
      <c r="I17" s="269"/>
      <c r="J17" s="269"/>
      <c r="K17" s="269"/>
      <c r="L17" s="307"/>
      <c r="M17" s="308"/>
      <c r="N17" s="309"/>
      <c r="O17" s="310"/>
      <c r="P17" s="311"/>
      <c r="Q17" s="335"/>
      <c r="R17" s="336"/>
      <c r="S17" s="337"/>
      <c r="T17" s="337"/>
      <c r="U17" s="337"/>
      <c r="V17" s="337"/>
      <c r="W17" s="337"/>
      <c r="X17" s="337"/>
      <c r="Y17" s="337"/>
      <c r="Z17" s="337"/>
      <c r="AA17" s="337"/>
      <c r="AB17" s="337"/>
      <c r="AC17" s="337"/>
      <c r="AD17" s="337"/>
      <c r="AE17" s="337"/>
      <c r="AF17" s="337"/>
      <c r="AG17" s="337"/>
      <c r="AH17" s="337"/>
      <c r="AI17" s="337"/>
      <c r="AJ17" s="337"/>
      <c r="AK17" s="337"/>
      <c r="AL17" s="337"/>
      <c r="AM17" s="337"/>
      <c r="AN17" s="337"/>
      <c r="AO17" s="337"/>
      <c r="AP17" s="337"/>
      <c r="AQ17" s="337"/>
      <c r="AR17" s="315"/>
      <c r="AS17" s="315"/>
    </row>
    <row r="18" spans="1:45" s="225" customFormat="1">
      <c r="A18" s="270"/>
      <c r="B18" s="271"/>
      <c r="C18" s="272">
        <v>100</v>
      </c>
      <c r="D18" s="3178">
        <v>60</v>
      </c>
      <c r="E18" s="273">
        <v>50</v>
      </c>
      <c r="F18" s="273">
        <v>45</v>
      </c>
      <c r="G18" s="273"/>
      <c r="H18" s="273"/>
      <c r="I18" s="273"/>
      <c r="J18" s="273"/>
      <c r="K18" s="273"/>
      <c r="L18" s="273"/>
      <c r="M18" s="312"/>
      <c r="N18" s="312"/>
      <c r="O18" s="273"/>
      <c r="P18" s="273"/>
      <c r="Q18" s="273"/>
      <c r="R18" s="273"/>
      <c r="S18" s="338"/>
      <c r="T18" s="338"/>
      <c r="U18" s="338"/>
      <c r="V18" s="338"/>
      <c r="W18" s="338"/>
      <c r="X18" s="338"/>
      <c r="Y18" s="338"/>
      <c r="Z18" s="338"/>
      <c r="AA18" s="338"/>
      <c r="AB18" s="338"/>
      <c r="AC18" s="338"/>
      <c r="AD18" s="338"/>
      <c r="AE18" s="338"/>
      <c r="AF18" s="338"/>
      <c r="AG18" s="338"/>
      <c r="AH18" s="338"/>
      <c r="AI18" s="338"/>
      <c r="AJ18" s="338"/>
      <c r="AK18" s="338"/>
      <c r="AL18" s="338"/>
      <c r="AM18" s="338"/>
      <c r="AN18" s="338"/>
      <c r="AO18" s="338"/>
      <c r="AP18" s="338"/>
      <c r="AQ18" s="338"/>
      <c r="AR18" s="315"/>
      <c r="AS18" s="315"/>
    </row>
    <row r="19" spans="1:45">
      <c r="A19" s="274"/>
      <c r="B19" s="275"/>
      <c r="C19" s="275"/>
      <c r="D19" s="276" t="s">
        <v>2355</v>
      </c>
      <c r="E19" s="277"/>
      <c r="F19" s="277"/>
      <c r="G19" s="277"/>
      <c r="H19" s="278"/>
      <c r="I19" s="275"/>
      <c r="J19" s="275"/>
      <c r="K19" s="275"/>
      <c r="L19" s="275"/>
      <c r="M19" s="275"/>
      <c r="N19" s="275"/>
      <c r="O19" s="275"/>
      <c r="P19" s="275"/>
      <c r="Q19" s="275"/>
      <c r="R19" s="339"/>
      <c r="S19" s="274"/>
    </row>
    <row r="20" spans="1:45" ht="15.75">
      <c r="A20" s="279" t="s">
        <v>2356</v>
      </c>
      <c r="B20" s="280">
        <f ca="1">IF(D20="——",S22,S22-F20)</f>
        <v>101963</v>
      </c>
      <c r="C20" s="275"/>
      <c r="D20" s="281" t="s">
        <v>124</v>
      </c>
      <c r="E20" s="282"/>
      <c r="F20" s="235" t="e">
        <f ca="1">SUMIF(INDIRECT("'"&amp;H20&amp;"'"&amp;"!A:A"),"承租人权益价值",INDIRECT("'"&amp;H20&amp;"'"&amp;"!c:c"))</f>
        <v>#REF!</v>
      </c>
      <c r="G20" s="235" t="s">
        <v>714</v>
      </c>
      <c r="H20" s="283"/>
      <c r="I20" s="275"/>
      <c r="J20" s="275"/>
      <c r="K20" s="275"/>
      <c r="L20" s="275"/>
      <c r="M20" s="275"/>
      <c r="N20" s="275"/>
      <c r="O20" s="275"/>
      <c r="P20" s="275"/>
      <c r="Q20" s="275"/>
      <c r="R20" s="339"/>
      <c r="S20" s="274"/>
    </row>
    <row r="21" spans="1:45" ht="15.75">
      <c r="A21" s="279" t="s">
        <v>2357</v>
      </c>
      <c r="B21" s="280">
        <f ca="1">R22</f>
        <v>10313</v>
      </c>
      <c r="C21" s="275"/>
      <c r="D21" s="275"/>
      <c r="E21" s="275"/>
      <c r="F21" s="275"/>
      <c r="G21" s="275"/>
      <c r="H21" s="275"/>
      <c r="I21" s="275"/>
      <c r="J21" s="275"/>
      <c r="K21" s="275"/>
      <c r="L21" s="275"/>
      <c r="M21" s="275"/>
      <c r="N21" s="275"/>
      <c r="O21" s="275"/>
      <c r="P21" s="275"/>
      <c r="Q21" s="275"/>
      <c r="R21" s="339"/>
      <c r="S21" s="274"/>
    </row>
    <row r="22" spans="1:45">
      <c r="A22" s="284" t="s">
        <v>2358</v>
      </c>
      <c r="B22" s="285">
        <f>SUM(B24:B10000)</f>
        <v>98873.18</v>
      </c>
      <c r="C22" s="3393" t="s">
        <v>124</v>
      </c>
      <c r="D22" s="3394"/>
      <c r="E22" s="3394"/>
      <c r="F22" s="3394"/>
      <c r="G22" s="3394"/>
      <c r="H22" s="3394"/>
      <c r="I22" s="3394"/>
      <c r="J22" s="3394"/>
      <c r="K22" s="3394"/>
      <c r="L22" s="3394"/>
      <c r="M22" s="3394"/>
      <c r="N22" s="3394"/>
      <c r="O22" s="3394"/>
      <c r="P22" s="3394"/>
      <c r="Q22" s="3508"/>
      <c r="R22" s="341">
        <f ca="1">ROUND(S22*10000/B22,0)</f>
        <v>10313</v>
      </c>
      <c r="S22" s="285">
        <f ca="1">SUM(S24:S10000)</f>
        <v>101963</v>
      </c>
    </row>
    <row r="23" spans="1:45" s="228" customFormat="1" ht="24">
      <c r="A23" s="288" t="s">
        <v>2359</v>
      </c>
      <c r="B23" s="288" t="s">
        <v>425</v>
      </c>
      <c r="C23" s="288" t="s">
        <v>1922</v>
      </c>
      <c r="D23" s="288" t="str">
        <f>B5</f>
        <v>修正项2</v>
      </c>
      <c r="E23" s="288" t="s">
        <v>1922</v>
      </c>
      <c r="F23" s="288" t="str">
        <f>B7</f>
        <v>修正项3</v>
      </c>
      <c r="G23" s="288" t="s">
        <v>1922</v>
      </c>
      <c r="H23" s="288" t="str">
        <f>B9</f>
        <v>修正项4</v>
      </c>
      <c r="I23" s="288" t="s">
        <v>1922</v>
      </c>
      <c r="J23" s="288" t="str">
        <f>B11</f>
        <v>修正项5</v>
      </c>
      <c r="K23" s="288" t="s">
        <v>1922</v>
      </c>
      <c r="L23" s="288" t="str">
        <f>B13</f>
        <v>修正项6</v>
      </c>
      <c r="M23" s="288" t="s">
        <v>1922</v>
      </c>
      <c r="N23" s="288" t="str">
        <f>B15</f>
        <v>修正项7</v>
      </c>
      <c r="O23" s="288" t="s">
        <v>1922</v>
      </c>
      <c r="P23" s="288" t="str">
        <f>B17</f>
        <v>楼层</v>
      </c>
      <c r="Q23" s="288" t="s">
        <v>1922</v>
      </c>
      <c r="R23" s="342" t="s">
        <v>2360</v>
      </c>
      <c r="S23" s="288" t="s">
        <v>2361</v>
      </c>
      <c r="T23" s="343"/>
      <c r="U23" s="343"/>
      <c r="V23" s="343"/>
      <c r="W23" s="343"/>
      <c r="X23" s="343"/>
      <c r="Y23" s="343"/>
      <c r="Z23" s="343"/>
      <c r="AA23" s="343"/>
      <c r="AB23" s="343"/>
      <c r="AC23" s="343"/>
      <c r="AD23" s="343"/>
      <c r="AE23" s="343"/>
      <c r="AF23" s="343"/>
      <c r="AG23" s="343"/>
      <c r="AH23" s="343"/>
      <c r="AI23" s="343"/>
      <c r="AJ23" s="343"/>
      <c r="AK23" s="343"/>
      <c r="AL23" s="343"/>
      <c r="AM23" s="343"/>
      <c r="AN23" s="343"/>
      <c r="AO23" s="343"/>
      <c r="AP23" s="343"/>
      <c r="AQ23" s="343"/>
      <c r="AR23" s="343"/>
      <c r="AS23" s="343"/>
    </row>
    <row r="24" spans="1:45" s="229" customFormat="1">
      <c r="A24" s="289" t="str">
        <f>'数据-基础表'!C13</f>
        <v>一层</v>
      </c>
      <c r="B24" s="289">
        <f>'数据-基础表'!I13</f>
        <v>4322.1499999999996</v>
      </c>
      <c r="C24" s="290">
        <v>1</v>
      </c>
      <c r="D24" s="291"/>
      <c r="E24" s="290">
        <v>1</v>
      </c>
      <c r="F24" s="291"/>
      <c r="G24" s="290">
        <v>1</v>
      </c>
      <c r="H24" s="291"/>
      <c r="I24" s="290">
        <v>1</v>
      </c>
      <c r="J24" s="291"/>
      <c r="K24" s="290">
        <v>1</v>
      </c>
      <c r="L24" s="291"/>
      <c r="M24" s="290">
        <v>1</v>
      </c>
      <c r="N24" s="291"/>
      <c r="O24" s="290">
        <v>1</v>
      </c>
      <c r="P24" s="291" t="s">
        <v>3293</v>
      </c>
      <c r="Q24" s="290">
        <v>1</v>
      </c>
      <c r="R24" s="344">
        <f ca="1">'收益法（一层）'!B3</f>
        <v>20006</v>
      </c>
      <c r="S24" s="290">
        <f t="shared" ref="S24:S54" ca="1" si="11">ROUND(R24*B24/10000,0)</f>
        <v>8647</v>
      </c>
      <c r="T24" s="345"/>
      <c r="U24" s="345"/>
      <c r="V24" s="345"/>
      <c r="W24" s="345"/>
      <c r="X24" s="345"/>
      <c r="Y24" s="345"/>
      <c r="Z24" s="345"/>
      <c r="AA24" s="345"/>
      <c r="AB24" s="345"/>
      <c r="AC24" s="345"/>
      <c r="AD24" s="345"/>
      <c r="AE24" s="345"/>
      <c r="AF24" s="345"/>
      <c r="AG24" s="345"/>
      <c r="AH24" s="345"/>
      <c r="AI24" s="345"/>
      <c r="AJ24" s="345"/>
      <c r="AK24" s="345"/>
      <c r="AL24" s="345"/>
      <c r="AM24" s="345"/>
      <c r="AN24" s="345"/>
      <c r="AO24" s="345"/>
      <c r="AP24" s="345"/>
      <c r="AQ24" s="345"/>
      <c r="AR24" s="345"/>
      <c r="AS24" s="345"/>
    </row>
    <row r="25" spans="1:45">
      <c r="A25" s="289" t="str">
        <f>'数据-基础表'!C14</f>
        <v>二层</v>
      </c>
      <c r="B25" s="289">
        <f>'数据-基础表'!I14</f>
        <v>18020.97</v>
      </c>
      <c r="C25" s="285">
        <f>IF(B25="",1,(LOOKUP(B25,$3:$3,$4:$4)-LOOKUP($B$24,$3:$3,$4:$4)+100)/100)</f>
        <v>1</v>
      </c>
      <c r="D25" s="291"/>
      <c r="E25" s="285">
        <f>(SUMIF($5:$5,D25,$6:$6)-SUMIF($5:$5,$D$24,$6:$6)+100)/100</f>
        <v>1</v>
      </c>
      <c r="F25" s="291"/>
      <c r="G25" s="285">
        <f>(SUMIF($7:$7,F25,$8:$8)-SUMIF($7:$7,$F$24,$8:$8)+100)/100</f>
        <v>1</v>
      </c>
      <c r="H25" s="291"/>
      <c r="I25" s="285">
        <f>(SUMIF($9:$9,H25,$10:$10)-SUMIF($9:$9,$H$24,$10:$10)+100)/100</f>
        <v>1</v>
      </c>
      <c r="J25" s="291"/>
      <c r="K25" s="285">
        <f>(SUMIF($11:$11,J25,$12:$12)-SUMIF($11:$11,$J$24,$12:$12)+100)/100</f>
        <v>1</v>
      </c>
      <c r="L25" s="291"/>
      <c r="M25" s="285">
        <f>(SUMIF($13:$13,L25,$14:$14)-SUMIF($13:$13,$L$24,$14:$14)+100)/100</f>
        <v>1</v>
      </c>
      <c r="N25" s="291"/>
      <c r="O25" s="285">
        <f>(SUMIF($15:$15,N25,$16:$16)-SUMIF($15:$15,$N$24,$16:$16)+100)/100</f>
        <v>1</v>
      </c>
      <c r="P25" s="291" t="s">
        <v>3294</v>
      </c>
      <c r="Q25" s="285">
        <f>(SUMIF($17:$17,P25,$18:$18)-SUMIF($17:$17,$P$24,$18:$18)+100)/100</f>
        <v>0.6</v>
      </c>
      <c r="R25" s="341">
        <f ca="1">IF(B25="",0,ROUND($R$24*C25*E25*G25*I25*K25*M25*O25*Q25,0))</f>
        <v>12004</v>
      </c>
      <c r="S25" s="284">
        <f t="shared" ca="1" si="11"/>
        <v>21632</v>
      </c>
    </row>
    <row r="26" spans="1:45">
      <c r="A26" s="289" t="str">
        <f>'数据-基础表'!C15</f>
        <v>三层</v>
      </c>
      <c r="B26" s="289">
        <f>'数据-基础表'!I15</f>
        <v>55674.09</v>
      </c>
      <c r="C26" s="285">
        <f t="shared" ref="C26:C89" si="12">IF(B26="",1,(LOOKUP(B26,$3:$3,$4:$4)-LOOKUP($B$24,$3:$3,$4:$4)+100)/100)</f>
        <v>0.95</v>
      </c>
      <c r="D26" s="291"/>
      <c r="E26" s="285">
        <f t="shared" ref="E26:E89" si="13">(SUMIF($5:$5,D26,$6:$6)-SUMIF($5:$5,$D$24,$6:$6)+100)/100</f>
        <v>1</v>
      </c>
      <c r="F26" s="291"/>
      <c r="G26" s="285">
        <f t="shared" ref="G26:G89" si="14">(SUMIF($7:$7,F26,$8:$8)-SUMIF($7:$7,$F$24,$8:$8)+100)/100</f>
        <v>1</v>
      </c>
      <c r="H26" s="291"/>
      <c r="I26" s="285">
        <f t="shared" ref="I26:I89" si="15">(SUMIF($9:$9,H26,$10:$10)-SUMIF($9:$9,$H$24,$10:$10)+100)/100</f>
        <v>1</v>
      </c>
      <c r="J26" s="291"/>
      <c r="K26" s="285">
        <f t="shared" ref="K26:K89" si="16">(SUMIF($11:$11,J26,$12:$12)-SUMIF($11:$11,$J$24,$12:$12)+100)/100</f>
        <v>1</v>
      </c>
      <c r="L26" s="291"/>
      <c r="M26" s="285">
        <f t="shared" ref="M26:M89" si="17">(SUMIF($13:$13,L26,$14:$14)-SUMIF($13:$13,$L$24,$14:$14)+100)/100</f>
        <v>1</v>
      </c>
      <c r="N26" s="291"/>
      <c r="O26" s="285">
        <f t="shared" ref="O26:O89" si="18">(SUMIF($15:$15,N26,$16:$16)-SUMIF($15:$15,$N$24,$16:$16)+100)/100</f>
        <v>1</v>
      </c>
      <c r="P26" s="291" t="s">
        <v>3295</v>
      </c>
      <c r="Q26" s="285">
        <f t="shared" ref="Q26:Q89" si="19">(SUMIF($17:$17,P26,$18:$18)-SUMIF($17:$17,$P$24,$18:$18)+100)/100</f>
        <v>0.5</v>
      </c>
      <c r="R26" s="341">
        <f t="shared" ref="R26:R89" ca="1" si="20">IF(B26="",0,ROUND($R$24*C26*E26*G26*I26*K26*M26*O26*Q26,0))</f>
        <v>9503</v>
      </c>
      <c r="S26" s="284">
        <f t="shared" ca="1" si="11"/>
        <v>52907</v>
      </c>
    </row>
    <row r="27" spans="1:45">
      <c r="A27" s="289" t="str">
        <f>'数据-基础表'!C16</f>
        <v>四层</v>
      </c>
      <c r="B27" s="289">
        <f>'数据-基础表'!I16</f>
        <v>20855.97</v>
      </c>
      <c r="C27" s="285">
        <f t="shared" si="12"/>
        <v>1</v>
      </c>
      <c r="D27" s="291"/>
      <c r="E27" s="285">
        <f t="shared" si="13"/>
        <v>1</v>
      </c>
      <c r="F27" s="291"/>
      <c r="G27" s="285">
        <f t="shared" si="14"/>
        <v>1</v>
      </c>
      <c r="H27" s="291"/>
      <c r="I27" s="285">
        <f t="shared" si="15"/>
        <v>1</v>
      </c>
      <c r="J27" s="291"/>
      <c r="K27" s="285">
        <f t="shared" si="16"/>
        <v>1</v>
      </c>
      <c r="L27" s="291"/>
      <c r="M27" s="285">
        <f t="shared" si="17"/>
        <v>1</v>
      </c>
      <c r="N27" s="291"/>
      <c r="O27" s="285">
        <f t="shared" si="18"/>
        <v>1</v>
      </c>
      <c r="P27" s="291" t="s">
        <v>3296</v>
      </c>
      <c r="Q27" s="285">
        <f t="shared" si="19"/>
        <v>0.45</v>
      </c>
      <c r="R27" s="341">
        <f t="shared" ca="1" si="20"/>
        <v>9003</v>
      </c>
      <c r="S27" s="284">
        <f t="shared" ca="1" si="11"/>
        <v>18777</v>
      </c>
    </row>
    <row r="28" spans="1:45">
      <c r="A28" s="292"/>
      <c r="B28" s="293"/>
      <c r="C28" s="285">
        <f t="shared" si="12"/>
        <v>1</v>
      </c>
      <c r="D28" s="291"/>
      <c r="E28" s="285">
        <f t="shared" si="13"/>
        <v>1</v>
      </c>
      <c r="F28" s="291"/>
      <c r="G28" s="285">
        <f t="shared" si="14"/>
        <v>1</v>
      </c>
      <c r="H28" s="291"/>
      <c r="I28" s="285">
        <f t="shared" si="15"/>
        <v>1</v>
      </c>
      <c r="J28" s="291"/>
      <c r="K28" s="285">
        <f t="shared" si="16"/>
        <v>1</v>
      </c>
      <c r="L28" s="291"/>
      <c r="M28" s="285">
        <f t="shared" si="17"/>
        <v>1</v>
      </c>
      <c r="N28" s="291"/>
      <c r="O28" s="285">
        <f t="shared" si="18"/>
        <v>1</v>
      </c>
      <c r="P28" s="291"/>
      <c r="Q28" s="285">
        <f t="shared" si="19"/>
        <v>0</v>
      </c>
      <c r="R28" s="341">
        <f t="shared" si="20"/>
        <v>0</v>
      </c>
      <c r="S28" s="284">
        <f t="shared" si="11"/>
        <v>0</v>
      </c>
    </row>
    <row r="29" spans="1:45">
      <c r="A29" s="292"/>
      <c r="B29" s="293"/>
      <c r="C29" s="285">
        <f t="shared" si="12"/>
        <v>1</v>
      </c>
      <c r="D29" s="291"/>
      <c r="E29" s="285">
        <f t="shared" si="13"/>
        <v>1</v>
      </c>
      <c r="F29" s="291"/>
      <c r="G29" s="285">
        <f t="shared" si="14"/>
        <v>1</v>
      </c>
      <c r="H29" s="291"/>
      <c r="I29" s="285">
        <f t="shared" si="15"/>
        <v>1</v>
      </c>
      <c r="J29" s="291"/>
      <c r="K29" s="285">
        <f t="shared" si="16"/>
        <v>1</v>
      </c>
      <c r="L29" s="291"/>
      <c r="M29" s="285">
        <f t="shared" si="17"/>
        <v>1</v>
      </c>
      <c r="N29" s="291"/>
      <c r="O29" s="285">
        <f t="shared" si="18"/>
        <v>1</v>
      </c>
      <c r="P29" s="291"/>
      <c r="Q29" s="285">
        <f t="shared" si="19"/>
        <v>0</v>
      </c>
      <c r="R29" s="341">
        <f t="shared" si="20"/>
        <v>0</v>
      </c>
      <c r="S29" s="284">
        <f t="shared" si="11"/>
        <v>0</v>
      </c>
    </row>
    <row r="30" spans="1:45">
      <c r="A30" s="292"/>
      <c r="B30" s="293"/>
      <c r="C30" s="285">
        <f t="shared" si="12"/>
        <v>1</v>
      </c>
      <c r="D30" s="291"/>
      <c r="E30" s="285">
        <f t="shared" si="13"/>
        <v>1</v>
      </c>
      <c r="F30" s="291"/>
      <c r="G30" s="285">
        <f t="shared" si="14"/>
        <v>1</v>
      </c>
      <c r="H30" s="291"/>
      <c r="I30" s="285">
        <f t="shared" si="15"/>
        <v>1</v>
      </c>
      <c r="J30" s="291"/>
      <c r="K30" s="285">
        <f t="shared" si="16"/>
        <v>1</v>
      </c>
      <c r="L30" s="291"/>
      <c r="M30" s="285">
        <f t="shared" si="17"/>
        <v>1</v>
      </c>
      <c r="N30" s="291"/>
      <c r="O30" s="285">
        <f t="shared" si="18"/>
        <v>1</v>
      </c>
      <c r="P30" s="291"/>
      <c r="Q30" s="285">
        <f t="shared" si="19"/>
        <v>0</v>
      </c>
      <c r="R30" s="341">
        <f t="shared" si="20"/>
        <v>0</v>
      </c>
      <c r="S30" s="284">
        <f t="shared" si="11"/>
        <v>0</v>
      </c>
    </row>
    <row r="31" spans="1:45">
      <c r="A31" s="292"/>
      <c r="B31" s="293"/>
      <c r="C31" s="285">
        <f t="shared" si="12"/>
        <v>1</v>
      </c>
      <c r="D31" s="291"/>
      <c r="E31" s="285">
        <f t="shared" si="13"/>
        <v>1</v>
      </c>
      <c r="F31" s="291"/>
      <c r="G31" s="285">
        <f t="shared" si="14"/>
        <v>1</v>
      </c>
      <c r="H31" s="291"/>
      <c r="I31" s="285">
        <f t="shared" si="15"/>
        <v>1</v>
      </c>
      <c r="J31" s="291"/>
      <c r="K31" s="285">
        <f t="shared" si="16"/>
        <v>1</v>
      </c>
      <c r="L31" s="291"/>
      <c r="M31" s="285">
        <f t="shared" si="17"/>
        <v>1</v>
      </c>
      <c r="N31" s="291"/>
      <c r="O31" s="285">
        <f t="shared" si="18"/>
        <v>1</v>
      </c>
      <c r="P31" s="291"/>
      <c r="Q31" s="285">
        <f t="shared" si="19"/>
        <v>0</v>
      </c>
      <c r="R31" s="341">
        <f t="shared" si="20"/>
        <v>0</v>
      </c>
      <c r="S31" s="284">
        <f t="shared" si="11"/>
        <v>0</v>
      </c>
    </row>
    <row r="32" spans="1:45">
      <c r="A32" s="292"/>
      <c r="B32" s="293"/>
      <c r="C32" s="285">
        <f t="shared" si="12"/>
        <v>1</v>
      </c>
      <c r="D32" s="291"/>
      <c r="E32" s="285">
        <f t="shared" si="13"/>
        <v>1</v>
      </c>
      <c r="F32" s="291"/>
      <c r="G32" s="285">
        <f t="shared" si="14"/>
        <v>1</v>
      </c>
      <c r="H32" s="291"/>
      <c r="I32" s="285">
        <f t="shared" si="15"/>
        <v>1</v>
      </c>
      <c r="J32" s="291"/>
      <c r="K32" s="285">
        <f t="shared" si="16"/>
        <v>1</v>
      </c>
      <c r="L32" s="291"/>
      <c r="M32" s="285">
        <f t="shared" si="17"/>
        <v>1</v>
      </c>
      <c r="N32" s="291"/>
      <c r="O32" s="285">
        <f t="shared" si="18"/>
        <v>1</v>
      </c>
      <c r="P32" s="291"/>
      <c r="Q32" s="285">
        <f t="shared" si="19"/>
        <v>0</v>
      </c>
      <c r="R32" s="341">
        <f t="shared" si="20"/>
        <v>0</v>
      </c>
      <c r="S32" s="284">
        <f t="shared" si="11"/>
        <v>0</v>
      </c>
    </row>
    <row r="33" spans="1:19">
      <c r="A33" s="292"/>
      <c r="B33" s="293"/>
      <c r="C33" s="285">
        <f t="shared" si="12"/>
        <v>1</v>
      </c>
      <c r="D33" s="291"/>
      <c r="E33" s="285">
        <f t="shared" si="13"/>
        <v>1</v>
      </c>
      <c r="F33" s="291"/>
      <c r="G33" s="285">
        <f t="shared" si="14"/>
        <v>1</v>
      </c>
      <c r="H33" s="291"/>
      <c r="I33" s="285">
        <f t="shared" si="15"/>
        <v>1</v>
      </c>
      <c r="J33" s="291"/>
      <c r="K33" s="285">
        <f t="shared" si="16"/>
        <v>1</v>
      </c>
      <c r="L33" s="291"/>
      <c r="M33" s="285">
        <f t="shared" si="17"/>
        <v>1</v>
      </c>
      <c r="N33" s="291"/>
      <c r="O33" s="285">
        <f t="shared" si="18"/>
        <v>1</v>
      </c>
      <c r="P33" s="291"/>
      <c r="Q33" s="285">
        <f t="shared" si="19"/>
        <v>0</v>
      </c>
      <c r="R33" s="341">
        <f t="shared" si="20"/>
        <v>0</v>
      </c>
      <c r="S33" s="284">
        <f t="shared" si="11"/>
        <v>0</v>
      </c>
    </row>
    <row r="34" spans="1:19">
      <c r="A34" s="292"/>
      <c r="B34" s="293"/>
      <c r="C34" s="285">
        <f t="shared" si="12"/>
        <v>1</v>
      </c>
      <c r="D34" s="291"/>
      <c r="E34" s="285">
        <f t="shared" si="13"/>
        <v>1</v>
      </c>
      <c r="F34" s="291"/>
      <c r="G34" s="285">
        <f t="shared" si="14"/>
        <v>1</v>
      </c>
      <c r="H34" s="291"/>
      <c r="I34" s="285">
        <f t="shared" si="15"/>
        <v>1</v>
      </c>
      <c r="J34" s="291"/>
      <c r="K34" s="285">
        <f t="shared" si="16"/>
        <v>1</v>
      </c>
      <c r="L34" s="291"/>
      <c r="M34" s="285">
        <f t="shared" si="17"/>
        <v>1</v>
      </c>
      <c r="N34" s="291"/>
      <c r="O34" s="285">
        <f t="shared" si="18"/>
        <v>1</v>
      </c>
      <c r="P34" s="291"/>
      <c r="Q34" s="285">
        <f t="shared" si="19"/>
        <v>0</v>
      </c>
      <c r="R34" s="341">
        <f t="shared" si="20"/>
        <v>0</v>
      </c>
      <c r="S34" s="284">
        <f t="shared" si="11"/>
        <v>0</v>
      </c>
    </row>
    <row r="35" spans="1:19">
      <c r="A35" s="292"/>
      <c r="B35" s="293"/>
      <c r="C35" s="285">
        <f t="shared" si="12"/>
        <v>1</v>
      </c>
      <c r="D35" s="291"/>
      <c r="E35" s="285">
        <f t="shared" si="13"/>
        <v>1</v>
      </c>
      <c r="F35" s="291"/>
      <c r="G35" s="285">
        <f t="shared" si="14"/>
        <v>1</v>
      </c>
      <c r="H35" s="291"/>
      <c r="I35" s="285">
        <f t="shared" si="15"/>
        <v>1</v>
      </c>
      <c r="J35" s="291"/>
      <c r="K35" s="285">
        <f t="shared" si="16"/>
        <v>1</v>
      </c>
      <c r="L35" s="291"/>
      <c r="M35" s="285">
        <f t="shared" si="17"/>
        <v>1</v>
      </c>
      <c r="N35" s="291"/>
      <c r="O35" s="285">
        <f t="shared" si="18"/>
        <v>1</v>
      </c>
      <c r="P35" s="291"/>
      <c r="Q35" s="285">
        <f t="shared" si="19"/>
        <v>0</v>
      </c>
      <c r="R35" s="341">
        <f t="shared" si="20"/>
        <v>0</v>
      </c>
      <c r="S35" s="284">
        <f t="shared" si="11"/>
        <v>0</v>
      </c>
    </row>
    <row r="36" spans="1:19">
      <c r="A36" s="292"/>
      <c r="B36" s="293"/>
      <c r="C36" s="285">
        <f t="shared" si="12"/>
        <v>1</v>
      </c>
      <c r="D36" s="291"/>
      <c r="E36" s="285">
        <f t="shared" si="13"/>
        <v>1</v>
      </c>
      <c r="F36" s="291"/>
      <c r="G36" s="285">
        <f t="shared" si="14"/>
        <v>1</v>
      </c>
      <c r="H36" s="291"/>
      <c r="I36" s="285">
        <f t="shared" si="15"/>
        <v>1</v>
      </c>
      <c r="J36" s="291"/>
      <c r="K36" s="285">
        <f t="shared" si="16"/>
        <v>1</v>
      </c>
      <c r="L36" s="291"/>
      <c r="M36" s="285">
        <f t="shared" si="17"/>
        <v>1</v>
      </c>
      <c r="N36" s="291"/>
      <c r="O36" s="285">
        <f t="shared" si="18"/>
        <v>1</v>
      </c>
      <c r="P36" s="291"/>
      <c r="Q36" s="285">
        <f t="shared" si="19"/>
        <v>0</v>
      </c>
      <c r="R36" s="341">
        <f t="shared" si="20"/>
        <v>0</v>
      </c>
      <c r="S36" s="284">
        <f t="shared" si="11"/>
        <v>0</v>
      </c>
    </row>
    <row r="37" spans="1:19">
      <c r="A37" s="292"/>
      <c r="B37" s="293"/>
      <c r="C37" s="285">
        <f t="shared" si="12"/>
        <v>1</v>
      </c>
      <c r="D37" s="291"/>
      <c r="E37" s="285">
        <f t="shared" si="13"/>
        <v>1</v>
      </c>
      <c r="F37" s="291"/>
      <c r="G37" s="285">
        <f t="shared" si="14"/>
        <v>1</v>
      </c>
      <c r="H37" s="291"/>
      <c r="I37" s="285">
        <f t="shared" si="15"/>
        <v>1</v>
      </c>
      <c r="J37" s="291"/>
      <c r="K37" s="285">
        <f t="shared" si="16"/>
        <v>1</v>
      </c>
      <c r="L37" s="291"/>
      <c r="M37" s="285">
        <f t="shared" si="17"/>
        <v>1</v>
      </c>
      <c r="N37" s="291"/>
      <c r="O37" s="285">
        <f t="shared" si="18"/>
        <v>1</v>
      </c>
      <c r="P37" s="291"/>
      <c r="Q37" s="285">
        <f t="shared" si="19"/>
        <v>0</v>
      </c>
      <c r="R37" s="341">
        <f t="shared" si="20"/>
        <v>0</v>
      </c>
      <c r="S37" s="284">
        <f t="shared" si="11"/>
        <v>0</v>
      </c>
    </row>
    <row r="38" spans="1:19">
      <c r="A38" s="292"/>
      <c r="B38" s="293"/>
      <c r="C38" s="285">
        <f t="shared" si="12"/>
        <v>1</v>
      </c>
      <c r="D38" s="291"/>
      <c r="E38" s="285">
        <f t="shared" si="13"/>
        <v>1</v>
      </c>
      <c r="F38" s="291"/>
      <c r="G38" s="285">
        <f t="shared" si="14"/>
        <v>1</v>
      </c>
      <c r="H38" s="291"/>
      <c r="I38" s="285">
        <f t="shared" si="15"/>
        <v>1</v>
      </c>
      <c r="J38" s="291"/>
      <c r="K38" s="285">
        <f t="shared" si="16"/>
        <v>1</v>
      </c>
      <c r="L38" s="291"/>
      <c r="M38" s="285">
        <f t="shared" si="17"/>
        <v>1</v>
      </c>
      <c r="N38" s="291"/>
      <c r="O38" s="285">
        <f t="shared" si="18"/>
        <v>1</v>
      </c>
      <c r="P38" s="291"/>
      <c r="Q38" s="285">
        <f t="shared" si="19"/>
        <v>0</v>
      </c>
      <c r="R38" s="341">
        <f t="shared" si="20"/>
        <v>0</v>
      </c>
      <c r="S38" s="284">
        <f t="shared" si="11"/>
        <v>0</v>
      </c>
    </row>
    <row r="39" spans="1:19">
      <c r="A39" s="292"/>
      <c r="B39" s="293"/>
      <c r="C39" s="285">
        <f t="shared" si="12"/>
        <v>1</v>
      </c>
      <c r="D39" s="291"/>
      <c r="E39" s="285">
        <f t="shared" si="13"/>
        <v>1</v>
      </c>
      <c r="F39" s="291"/>
      <c r="G39" s="285">
        <f t="shared" si="14"/>
        <v>1</v>
      </c>
      <c r="H39" s="291"/>
      <c r="I39" s="285">
        <f t="shared" si="15"/>
        <v>1</v>
      </c>
      <c r="J39" s="291"/>
      <c r="K39" s="285">
        <f t="shared" si="16"/>
        <v>1</v>
      </c>
      <c r="L39" s="291"/>
      <c r="M39" s="285">
        <f t="shared" si="17"/>
        <v>1</v>
      </c>
      <c r="N39" s="291"/>
      <c r="O39" s="285">
        <f t="shared" si="18"/>
        <v>1</v>
      </c>
      <c r="P39" s="291"/>
      <c r="Q39" s="285">
        <f t="shared" si="19"/>
        <v>0</v>
      </c>
      <c r="R39" s="341">
        <f t="shared" si="20"/>
        <v>0</v>
      </c>
      <c r="S39" s="284">
        <f t="shared" si="11"/>
        <v>0</v>
      </c>
    </row>
    <row r="40" spans="1:19">
      <c r="A40" s="292"/>
      <c r="B40" s="293"/>
      <c r="C40" s="285">
        <f t="shared" si="12"/>
        <v>1</v>
      </c>
      <c r="D40" s="291"/>
      <c r="E40" s="285">
        <f t="shared" si="13"/>
        <v>1</v>
      </c>
      <c r="F40" s="291"/>
      <c r="G40" s="285">
        <f t="shared" si="14"/>
        <v>1</v>
      </c>
      <c r="H40" s="291"/>
      <c r="I40" s="285">
        <f t="shared" si="15"/>
        <v>1</v>
      </c>
      <c r="J40" s="291"/>
      <c r="K40" s="285">
        <f t="shared" si="16"/>
        <v>1</v>
      </c>
      <c r="L40" s="291"/>
      <c r="M40" s="285">
        <f t="shared" si="17"/>
        <v>1</v>
      </c>
      <c r="N40" s="291"/>
      <c r="O40" s="285">
        <f t="shared" si="18"/>
        <v>1</v>
      </c>
      <c r="P40" s="291"/>
      <c r="Q40" s="285">
        <f t="shared" si="19"/>
        <v>0</v>
      </c>
      <c r="R40" s="341">
        <f t="shared" si="20"/>
        <v>0</v>
      </c>
      <c r="S40" s="284">
        <f t="shared" si="11"/>
        <v>0</v>
      </c>
    </row>
    <row r="41" spans="1:19">
      <c r="A41" s="292"/>
      <c r="B41" s="293"/>
      <c r="C41" s="285">
        <f t="shared" si="12"/>
        <v>1</v>
      </c>
      <c r="D41" s="291"/>
      <c r="E41" s="285">
        <f t="shared" si="13"/>
        <v>1</v>
      </c>
      <c r="F41" s="291"/>
      <c r="G41" s="285">
        <f t="shared" si="14"/>
        <v>1</v>
      </c>
      <c r="H41" s="291"/>
      <c r="I41" s="285">
        <f t="shared" si="15"/>
        <v>1</v>
      </c>
      <c r="J41" s="291"/>
      <c r="K41" s="285">
        <f t="shared" si="16"/>
        <v>1</v>
      </c>
      <c r="L41" s="291"/>
      <c r="M41" s="285">
        <f t="shared" si="17"/>
        <v>1</v>
      </c>
      <c r="N41" s="291"/>
      <c r="O41" s="285">
        <f t="shared" si="18"/>
        <v>1</v>
      </c>
      <c r="P41" s="291"/>
      <c r="Q41" s="285">
        <f t="shared" si="19"/>
        <v>0</v>
      </c>
      <c r="R41" s="341">
        <f t="shared" si="20"/>
        <v>0</v>
      </c>
      <c r="S41" s="284">
        <f t="shared" si="11"/>
        <v>0</v>
      </c>
    </row>
    <row r="42" spans="1:19">
      <c r="A42" s="292"/>
      <c r="B42" s="293"/>
      <c r="C42" s="285">
        <f t="shared" si="12"/>
        <v>1</v>
      </c>
      <c r="D42" s="291"/>
      <c r="E42" s="285">
        <f t="shared" si="13"/>
        <v>1</v>
      </c>
      <c r="F42" s="291"/>
      <c r="G42" s="285">
        <f t="shared" si="14"/>
        <v>1</v>
      </c>
      <c r="H42" s="291"/>
      <c r="I42" s="285">
        <f t="shared" si="15"/>
        <v>1</v>
      </c>
      <c r="J42" s="291"/>
      <c r="K42" s="285">
        <f t="shared" si="16"/>
        <v>1</v>
      </c>
      <c r="L42" s="291"/>
      <c r="M42" s="285">
        <f t="shared" si="17"/>
        <v>1</v>
      </c>
      <c r="N42" s="291"/>
      <c r="O42" s="285">
        <f t="shared" si="18"/>
        <v>1</v>
      </c>
      <c r="P42" s="291"/>
      <c r="Q42" s="285">
        <f t="shared" si="19"/>
        <v>0</v>
      </c>
      <c r="R42" s="341">
        <f t="shared" si="20"/>
        <v>0</v>
      </c>
      <c r="S42" s="284">
        <f t="shared" si="11"/>
        <v>0</v>
      </c>
    </row>
    <row r="43" spans="1:19">
      <c r="A43" s="292"/>
      <c r="B43" s="293"/>
      <c r="C43" s="285">
        <f t="shared" si="12"/>
        <v>1</v>
      </c>
      <c r="D43" s="291"/>
      <c r="E43" s="285">
        <f t="shared" si="13"/>
        <v>1</v>
      </c>
      <c r="F43" s="291"/>
      <c r="G43" s="285">
        <f t="shared" si="14"/>
        <v>1</v>
      </c>
      <c r="H43" s="291"/>
      <c r="I43" s="285">
        <f t="shared" si="15"/>
        <v>1</v>
      </c>
      <c r="J43" s="291"/>
      <c r="K43" s="285">
        <f t="shared" si="16"/>
        <v>1</v>
      </c>
      <c r="L43" s="291"/>
      <c r="M43" s="285">
        <f t="shared" si="17"/>
        <v>1</v>
      </c>
      <c r="N43" s="291"/>
      <c r="O43" s="285">
        <f t="shared" si="18"/>
        <v>1</v>
      </c>
      <c r="P43" s="291"/>
      <c r="Q43" s="285">
        <f t="shared" si="19"/>
        <v>0</v>
      </c>
      <c r="R43" s="341">
        <f t="shared" si="20"/>
        <v>0</v>
      </c>
      <c r="S43" s="284">
        <f t="shared" si="11"/>
        <v>0</v>
      </c>
    </row>
    <row r="44" spans="1:19">
      <c r="A44" s="292"/>
      <c r="B44" s="293"/>
      <c r="C44" s="285">
        <f t="shared" si="12"/>
        <v>1</v>
      </c>
      <c r="D44" s="291"/>
      <c r="E44" s="285">
        <f t="shared" si="13"/>
        <v>1</v>
      </c>
      <c r="F44" s="291"/>
      <c r="G44" s="285">
        <f t="shared" si="14"/>
        <v>1</v>
      </c>
      <c r="H44" s="291"/>
      <c r="I44" s="285">
        <f t="shared" si="15"/>
        <v>1</v>
      </c>
      <c r="J44" s="291"/>
      <c r="K44" s="285">
        <f t="shared" si="16"/>
        <v>1</v>
      </c>
      <c r="L44" s="291"/>
      <c r="M44" s="285">
        <f t="shared" si="17"/>
        <v>1</v>
      </c>
      <c r="N44" s="291"/>
      <c r="O44" s="285">
        <f t="shared" si="18"/>
        <v>1</v>
      </c>
      <c r="P44" s="291"/>
      <c r="Q44" s="285">
        <f t="shared" si="19"/>
        <v>0</v>
      </c>
      <c r="R44" s="341">
        <f t="shared" si="20"/>
        <v>0</v>
      </c>
      <c r="S44" s="284">
        <f t="shared" si="11"/>
        <v>0</v>
      </c>
    </row>
    <row r="45" spans="1:19">
      <c r="A45" s="292"/>
      <c r="B45" s="293"/>
      <c r="C45" s="285">
        <f t="shared" si="12"/>
        <v>1</v>
      </c>
      <c r="D45" s="291"/>
      <c r="E45" s="285">
        <f t="shared" si="13"/>
        <v>1</v>
      </c>
      <c r="F45" s="291"/>
      <c r="G45" s="285">
        <f t="shared" si="14"/>
        <v>1</v>
      </c>
      <c r="H45" s="291"/>
      <c r="I45" s="285">
        <f t="shared" si="15"/>
        <v>1</v>
      </c>
      <c r="J45" s="291"/>
      <c r="K45" s="285">
        <f t="shared" si="16"/>
        <v>1</v>
      </c>
      <c r="L45" s="291"/>
      <c r="M45" s="285">
        <f t="shared" si="17"/>
        <v>1</v>
      </c>
      <c r="N45" s="291"/>
      <c r="O45" s="285">
        <f t="shared" si="18"/>
        <v>1</v>
      </c>
      <c r="P45" s="291"/>
      <c r="Q45" s="285">
        <f t="shared" si="19"/>
        <v>0</v>
      </c>
      <c r="R45" s="341">
        <f t="shared" si="20"/>
        <v>0</v>
      </c>
      <c r="S45" s="284">
        <f t="shared" si="11"/>
        <v>0</v>
      </c>
    </row>
    <row r="46" spans="1:19">
      <c r="A46" s="292"/>
      <c r="B46" s="293"/>
      <c r="C46" s="285">
        <f t="shared" si="12"/>
        <v>1</v>
      </c>
      <c r="D46" s="291"/>
      <c r="E46" s="285">
        <f t="shared" si="13"/>
        <v>1</v>
      </c>
      <c r="F46" s="291"/>
      <c r="G46" s="285">
        <f t="shared" si="14"/>
        <v>1</v>
      </c>
      <c r="H46" s="291"/>
      <c r="I46" s="285">
        <f t="shared" si="15"/>
        <v>1</v>
      </c>
      <c r="J46" s="291"/>
      <c r="K46" s="285">
        <f t="shared" si="16"/>
        <v>1</v>
      </c>
      <c r="L46" s="291"/>
      <c r="M46" s="285">
        <f t="shared" si="17"/>
        <v>1</v>
      </c>
      <c r="N46" s="291"/>
      <c r="O46" s="285">
        <f t="shared" si="18"/>
        <v>1</v>
      </c>
      <c r="P46" s="291"/>
      <c r="Q46" s="285">
        <f t="shared" si="19"/>
        <v>0</v>
      </c>
      <c r="R46" s="341">
        <f t="shared" si="20"/>
        <v>0</v>
      </c>
      <c r="S46" s="284">
        <f t="shared" si="11"/>
        <v>0</v>
      </c>
    </row>
    <row r="47" spans="1:19">
      <c r="A47" s="292"/>
      <c r="B47" s="293"/>
      <c r="C47" s="285">
        <f t="shared" si="12"/>
        <v>1</v>
      </c>
      <c r="D47" s="291"/>
      <c r="E47" s="285">
        <f t="shared" si="13"/>
        <v>1</v>
      </c>
      <c r="F47" s="291"/>
      <c r="G47" s="285">
        <f t="shared" si="14"/>
        <v>1</v>
      </c>
      <c r="H47" s="291"/>
      <c r="I47" s="285">
        <f t="shared" si="15"/>
        <v>1</v>
      </c>
      <c r="J47" s="291"/>
      <c r="K47" s="285">
        <f t="shared" si="16"/>
        <v>1</v>
      </c>
      <c r="L47" s="291"/>
      <c r="M47" s="285">
        <f t="shared" si="17"/>
        <v>1</v>
      </c>
      <c r="N47" s="291"/>
      <c r="O47" s="285">
        <f t="shared" si="18"/>
        <v>1</v>
      </c>
      <c r="P47" s="291"/>
      <c r="Q47" s="285">
        <f t="shared" si="19"/>
        <v>0</v>
      </c>
      <c r="R47" s="341">
        <f t="shared" si="20"/>
        <v>0</v>
      </c>
      <c r="S47" s="284">
        <f t="shared" si="11"/>
        <v>0</v>
      </c>
    </row>
    <row r="48" spans="1:19">
      <c r="A48" s="292"/>
      <c r="B48" s="293"/>
      <c r="C48" s="285">
        <f t="shared" si="12"/>
        <v>1</v>
      </c>
      <c r="D48" s="291"/>
      <c r="E48" s="285">
        <f t="shared" si="13"/>
        <v>1</v>
      </c>
      <c r="F48" s="291"/>
      <c r="G48" s="285">
        <f t="shared" si="14"/>
        <v>1</v>
      </c>
      <c r="H48" s="291"/>
      <c r="I48" s="285">
        <f t="shared" si="15"/>
        <v>1</v>
      </c>
      <c r="J48" s="291"/>
      <c r="K48" s="285">
        <f t="shared" si="16"/>
        <v>1</v>
      </c>
      <c r="L48" s="291"/>
      <c r="M48" s="285">
        <f t="shared" si="17"/>
        <v>1</v>
      </c>
      <c r="N48" s="291"/>
      <c r="O48" s="285">
        <f t="shared" si="18"/>
        <v>1</v>
      </c>
      <c r="P48" s="291"/>
      <c r="Q48" s="285">
        <f t="shared" si="19"/>
        <v>0</v>
      </c>
      <c r="R48" s="341">
        <f t="shared" si="20"/>
        <v>0</v>
      </c>
      <c r="S48" s="284">
        <f t="shared" si="11"/>
        <v>0</v>
      </c>
    </row>
    <row r="49" spans="1:19">
      <c r="A49" s="292"/>
      <c r="B49" s="293"/>
      <c r="C49" s="285">
        <f t="shared" si="12"/>
        <v>1</v>
      </c>
      <c r="D49" s="291"/>
      <c r="E49" s="285">
        <f t="shared" si="13"/>
        <v>1</v>
      </c>
      <c r="F49" s="291"/>
      <c r="G49" s="285">
        <f t="shared" si="14"/>
        <v>1</v>
      </c>
      <c r="H49" s="291"/>
      <c r="I49" s="285">
        <f t="shared" si="15"/>
        <v>1</v>
      </c>
      <c r="J49" s="291"/>
      <c r="K49" s="285">
        <f t="shared" si="16"/>
        <v>1</v>
      </c>
      <c r="L49" s="291"/>
      <c r="M49" s="285">
        <f t="shared" si="17"/>
        <v>1</v>
      </c>
      <c r="N49" s="291"/>
      <c r="O49" s="285">
        <f t="shared" si="18"/>
        <v>1</v>
      </c>
      <c r="P49" s="291"/>
      <c r="Q49" s="285">
        <f t="shared" si="19"/>
        <v>0</v>
      </c>
      <c r="R49" s="341">
        <f t="shared" si="20"/>
        <v>0</v>
      </c>
      <c r="S49" s="284">
        <f t="shared" si="11"/>
        <v>0</v>
      </c>
    </row>
    <row r="50" spans="1:19">
      <c r="A50" s="292"/>
      <c r="B50" s="293"/>
      <c r="C50" s="285">
        <f t="shared" si="12"/>
        <v>1</v>
      </c>
      <c r="D50" s="291"/>
      <c r="E50" s="285">
        <f t="shared" si="13"/>
        <v>1</v>
      </c>
      <c r="F50" s="291"/>
      <c r="G50" s="285">
        <f t="shared" si="14"/>
        <v>1</v>
      </c>
      <c r="H50" s="291"/>
      <c r="I50" s="285">
        <f t="shared" si="15"/>
        <v>1</v>
      </c>
      <c r="J50" s="291"/>
      <c r="K50" s="285">
        <f t="shared" si="16"/>
        <v>1</v>
      </c>
      <c r="L50" s="291"/>
      <c r="M50" s="285">
        <f t="shared" si="17"/>
        <v>1</v>
      </c>
      <c r="N50" s="291"/>
      <c r="O50" s="285">
        <f t="shared" si="18"/>
        <v>1</v>
      </c>
      <c r="P50" s="291"/>
      <c r="Q50" s="285">
        <f t="shared" si="19"/>
        <v>0</v>
      </c>
      <c r="R50" s="341">
        <f t="shared" si="20"/>
        <v>0</v>
      </c>
      <c r="S50" s="284">
        <f t="shared" si="11"/>
        <v>0</v>
      </c>
    </row>
    <row r="51" spans="1:19">
      <c r="A51" s="292"/>
      <c r="B51" s="293"/>
      <c r="C51" s="285">
        <f t="shared" si="12"/>
        <v>1</v>
      </c>
      <c r="D51" s="291"/>
      <c r="E51" s="285">
        <f t="shared" si="13"/>
        <v>1</v>
      </c>
      <c r="F51" s="291"/>
      <c r="G51" s="285">
        <f t="shared" si="14"/>
        <v>1</v>
      </c>
      <c r="H51" s="291"/>
      <c r="I51" s="285">
        <f t="shared" si="15"/>
        <v>1</v>
      </c>
      <c r="J51" s="291"/>
      <c r="K51" s="285">
        <f t="shared" si="16"/>
        <v>1</v>
      </c>
      <c r="L51" s="291"/>
      <c r="M51" s="285">
        <f t="shared" si="17"/>
        <v>1</v>
      </c>
      <c r="N51" s="291"/>
      <c r="O51" s="285">
        <f t="shared" si="18"/>
        <v>1</v>
      </c>
      <c r="P51" s="291"/>
      <c r="Q51" s="285">
        <f t="shared" si="19"/>
        <v>0</v>
      </c>
      <c r="R51" s="341">
        <f t="shared" si="20"/>
        <v>0</v>
      </c>
      <c r="S51" s="284">
        <f t="shared" si="11"/>
        <v>0</v>
      </c>
    </row>
    <row r="52" spans="1:19">
      <c r="A52" s="292"/>
      <c r="B52" s="293"/>
      <c r="C52" s="285">
        <f t="shared" si="12"/>
        <v>1</v>
      </c>
      <c r="D52" s="291"/>
      <c r="E52" s="285">
        <f t="shared" si="13"/>
        <v>1</v>
      </c>
      <c r="F52" s="291"/>
      <c r="G52" s="285">
        <f t="shared" si="14"/>
        <v>1</v>
      </c>
      <c r="H52" s="291"/>
      <c r="I52" s="285">
        <f t="shared" si="15"/>
        <v>1</v>
      </c>
      <c r="J52" s="291"/>
      <c r="K52" s="285">
        <f t="shared" si="16"/>
        <v>1</v>
      </c>
      <c r="L52" s="291"/>
      <c r="M52" s="285">
        <f t="shared" si="17"/>
        <v>1</v>
      </c>
      <c r="N52" s="291"/>
      <c r="O52" s="285">
        <f t="shared" si="18"/>
        <v>1</v>
      </c>
      <c r="P52" s="291"/>
      <c r="Q52" s="285">
        <f t="shared" si="19"/>
        <v>0</v>
      </c>
      <c r="R52" s="341">
        <f t="shared" si="20"/>
        <v>0</v>
      </c>
      <c r="S52" s="284">
        <f t="shared" si="11"/>
        <v>0</v>
      </c>
    </row>
    <row r="53" spans="1:19">
      <c r="A53" s="292"/>
      <c r="B53" s="293"/>
      <c r="C53" s="285">
        <f t="shared" si="12"/>
        <v>1</v>
      </c>
      <c r="D53" s="291"/>
      <c r="E53" s="285">
        <f t="shared" si="13"/>
        <v>1</v>
      </c>
      <c r="F53" s="291"/>
      <c r="G53" s="285">
        <f t="shared" si="14"/>
        <v>1</v>
      </c>
      <c r="H53" s="291"/>
      <c r="I53" s="285">
        <f t="shared" si="15"/>
        <v>1</v>
      </c>
      <c r="J53" s="291"/>
      <c r="K53" s="285">
        <f t="shared" si="16"/>
        <v>1</v>
      </c>
      <c r="L53" s="291"/>
      <c r="M53" s="285">
        <f t="shared" si="17"/>
        <v>1</v>
      </c>
      <c r="N53" s="291"/>
      <c r="O53" s="285">
        <f t="shared" si="18"/>
        <v>1</v>
      </c>
      <c r="P53" s="291"/>
      <c r="Q53" s="285">
        <f t="shared" si="19"/>
        <v>0</v>
      </c>
      <c r="R53" s="341">
        <f t="shared" si="20"/>
        <v>0</v>
      </c>
      <c r="S53" s="284">
        <f t="shared" si="11"/>
        <v>0</v>
      </c>
    </row>
    <row r="54" spans="1:19">
      <c r="A54" s="292"/>
      <c r="B54" s="293"/>
      <c r="C54" s="285">
        <f t="shared" si="12"/>
        <v>1</v>
      </c>
      <c r="D54" s="291"/>
      <c r="E54" s="285">
        <f t="shared" si="13"/>
        <v>1</v>
      </c>
      <c r="F54" s="291"/>
      <c r="G54" s="285">
        <f t="shared" si="14"/>
        <v>1</v>
      </c>
      <c r="H54" s="291"/>
      <c r="I54" s="285">
        <f t="shared" si="15"/>
        <v>1</v>
      </c>
      <c r="J54" s="291"/>
      <c r="K54" s="285">
        <f t="shared" si="16"/>
        <v>1</v>
      </c>
      <c r="L54" s="291"/>
      <c r="M54" s="285">
        <f t="shared" si="17"/>
        <v>1</v>
      </c>
      <c r="N54" s="291"/>
      <c r="O54" s="285">
        <f t="shared" si="18"/>
        <v>1</v>
      </c>
      <c r="P54" s="291"/>
      <c r="Q54" s="285">
        <f t="shared" si="19"/>
        <v>0</v>
      </c>
      <c r="R54" s="341">
        <f t="shared" si="20"/>
        <v>0</v>
      </c>
      <c r="S54" s="284">
        <f t="shared" si="11"/>
        <v>0</v>
      </c>
    </row>
    <row r="55" spans="1:19">
      <c r="A55" s="292"/>
      <c r="B55" s="293"/>
      <c r="C55" s="285">
        <f t="shared" si="12"/>
        <v>1</v>
      </c>
      <c r="D55" s="291"/>
      <c r="E55" s="285">
        <f t="shared" si="13"/>
        <v>1</v>
      </c>
      <c r="F55" s="291"/>
      <c r="G55" s="285">
        <f t="shared" si="14"/>
        <v>1</v>
      </c>
      <c r="H55" s="291"/>
      <c r="I55" s="285">
        <f t="shared" si="15"/>
        <v>1</v>
      </c>
      <c r="J55" s="291"/>
      <c r="K55" s="285">
        <f t="shared" si="16"/>
        <v>1</v>
      </c>
      <c r="L55" s="291"/>
      <c r="M55" s="285">
        <f t="shared" si="17"/>
        <v>1</v>
      </c>
      <c r="N55" s="291"/>
      <c r="O55" s="285">
        <f t="shared" si="18"/>
        <v>1</v>
      </c>
      <c r="P55" s="291"/>
      <c r="Q55" s="285">
        <f t="shared" si="19"/>
        <v>0</v>
      </c>
      <c r="R55" s="341">
        <f t="shared" si="20"/>
        <v>0</v>
      </c>
      <c r="S55" s="284">
        <f t="shared" ref="S55:S77" si="21">ROUND(R55*B55/10000,0)</f>
        <v>0</v>
      </c>
    </row>
    <row r="56" spans="1:19">
      <c r="A56" s="292"/>
      <c r="B56" s="293"/>
      <c r="C56" s="285">
        <f t="shared" si="12"/>
        <v>1</v>
      </c>
      <c r="D56" s="291"/>
      <c r="E56" s="285">
        <f t="shared" si="13"/>
        <v>1</v>
      </c>
      <c r="F56" s="291"/>
      <c r="G56" s="285">
        <f t="shared" si="14"/>
        <v>1</v>
      </c>
      <c r="H56" s="291"/>
      <c r="I56" s="285">
        <f t="shared" si="15"/>
        <v>1</v>
      </c>
      <c r="J56" s="291"/>
      <c r="K56" s="285">
        <f t="shared" si="16"/>
        <v>1</v>
      </c>
      <c r="L56" s="291"/>
      <c r="M56" s="285">
        <f t="shared" si="17"/>
        <v>1</v>
      </c>
      <c r="N56" s="291"/>
      <c r="O56" s="285">
        <f t="shared" si="18"/>
        <v>1</v>
      </c>
      <c r="P56" s="291"/>
      <c r="Q56" s="285">
        <f t="shared" si="19"/>
        <v>0</v>
      </c>
      <c r="R56" s="341">
        <f t="shared" si="20"/>
        <v>0</v>
      </c>
      <c r="S56" s="284">
        <f t="shared" si="21"/>
        <v>0</v>
      </c>
    </row>
    <row r="57" spans="1:19">
      <c r="A57" s="292"/>
      <c r="B57" s="293"/>
      <c r="C57" s="285">
        <f t="shared" si="12"/>
        <v>1</v>
      </c>
      <c r="D57" s="291"/>
      <c r="E57" s="285">
        <f t="shared" si="13"/>
        <v>1</v>
      </c>
      <c r="F57" s="291"/>
      <c r="G57" s="285">
        <f t="shared" si="14"/>
        <v>1</v>
      </c>
      <c r="H57" s="291"/>
      <c r="I57" s="285">
        <f t="shared" si="15"/>
        <v>1</v>
      </c>
      <c r="J57" s="291"/>
      <c r="K57" s="285">
        <f t="shared" si="16"/>
        <v>1</v>
      </c>
      <c r="L57" s="291"/>
      <c r="M57" s="285">
        <f t="shared" si="17"/>
        <v>1</v>
      </c>
      <c r="N57" s="291"/>
      <c r="O57" s="285">
        <f t="shared" si="18"/>
        <v>1</v>
      </c>
      <c r="P57" s="291"/>
      <c r="Q57" s="285">
        <f t="shared" si="19"/>
        <v>0</v>
      </c>
      <c r="R57" s="341">
        <f t="shared" si="20"/>
        <v>0</v>
      </c>
      <c r="S57" s="284">
        <f t="shared" si="21"/>
        <v>0</v>
      </c>
    </row>
    <row r="58" spans="1:19">
      <c r="A58" s="292"/>
      <c r="B58" s="293"/>
      <c r="C58" s="285">
        <f t="shared" si="12"/>
        <v>1</v>
      </c>
      <c r="D58" s="291"/>
      <c r="E58" s="285">
        <f t="shared" si="13"/>
        <v>1</v>
      </c>
      <c r="F58" s="291"/>
      <c r="G58" s="285">
        <f t="shared" si="14"/>
        <v>1</v>
      </c>
      <c r="H58" s="291"/>
      <c r="I58" s="285">
        <f t="shared" si="15"/>
        <v>1</v>
      </c>
      <c r="J58" s="291"/>
      <c r="K58" s="285">
        <f t="shared" si="16"/>
        <v>1</v>
      </c>
      <c r="L58" s="291"/>
      <c r="M58" s="285">
        <f t="shared" si="17"/>
        <v>1</v>
      </c>
      <c r="N58" s="291"/>
      <c r="O58" s="285">
        <f t="shared" si="18"/>
        <v>1</v>
      </c>
      <c r="P58" s="291"/>
      <c r="Q58" s="285">
        <f t="shared" si="19"/>
        <v>0</v>
      </c>
      <c r="R58" s="341">
        <f t="shared" si="20"/>
        <v>0</v>
      </c>
      <c r="S58" s="284">
        <f t="shared" si="21"/>
        <v>0</v>
      </c>
    </row>
    <row r="59" spans="1:19">
      <c r="A59" s="292"/>
      <c r="B59" s="293"/>
      <c r="C59" s="285">
        <f t="shared" si="12"/>
        <v>1</v>
      </c>
      <c r="D59" s="291"/>
      <c r="E59" s="285">
        <f t="shared" si="13"/>
        <v>1</v>
      </c>
      <c r="F59" s="291"/>
      <c r="G59" s="285">
        <f t="shared" si="14"/>
        <v>1</v>
      </c>
      <c r="H59" s="291"/>
      <c r="I59" s="285">
        <f t="shared" si="15"/>
        <v>1</v>
      </c>
      <c r="J59" s="291"/>
      <c r="K59" s="285">
        <f t="shared" si="16"/>
        <v>1</v>
      </c>
      <c r="L59" s="291"/>
      <c r="M59" s="285">
        <f t="shared" si="17"/>
        <v>1</v>
      </c>
      <c r="N59" s="291"/>
      <c r="O59" s="285">
        <f t="shared" si="18"/>
        <v>1</v>
      </c>
      <c r="P59" s="291"/>
      <c r="Q59" s="285">
        <f t="shared" si="19"/>
        <v>0</v>
      </c>
      <c r="R59" s="341">
        <f t="shared" si="20"/>
        <v>0</v>
      </c>
      <c r="S59" s="284">
        <f t="shared" si="21"/>
        <v>0</v>
      </c>
    </row>
    <row r="60" spans="1:19">
      <c r="A60" s="292"/>
      <c r="B60" s="293"/>
      <c r="C60" s="285">
        <f t="shared" si="12"/>
        <v>1</v>
      </c>
      <c r="D60" s="291"/>
      <c r="E60" s="285">
        <f t="shared" si="13"/>
        <v>1</v>
      </c>
      <c r="F60" s="291"/>
      <c r="G60" s="285">
        <f t="shared" si="14"/>
        <v>1</v>
      </c>
      <c r="H60" s="291"/>
      <c r="I60" s="285">
        <f t="shared" si="15"/>
        <v>1</v>
      </c>
      <c r="J60" s="291"/>
      <c r="K60" s="285">
        <f t="shared" si="16"/>
        <v>1</v>
      </c>
      <c r="L60" s="291"/>
      <c r="M60" s="285">
        <f t="shared" si="17"/>
        <v>1</v>
      </c>
      <c r="N60" s="291"/>
      <c r="O60" s="285">
        <f t="shared" si="18"/>
        <v>1</v>
      </c>
      <c r="P60" s="291"/>
      <c r="Q60" s="285">
        <f t="shared" si="19"/>
        <v>0</v>
      </c>
      <c r="R60" s="341">
        <f t="shared" si="20"/>
        <v>0</v>
      </c>
      <c r="S60" s="284">
        <f t="shared" si="21"/>
        <v>0</v>
      </c>
    </row>
    <row r="61" spans="1:19">
      <c r="A61" s="292"/>
      <c r="B61" s="293"/>
      <c r="C61" s="285">
        <f t="shared" si="12"/>
        <v>1</v>
      </c>
      <c r="D61" s="291"/>
      <c r="E61" s="285">
        <f t="shared" si="13"/>
        <v>1</v>
      </c>
      <c r="F61" s="291"/>
      <c r="G61" s="285">
        <f t="shared" si="14"/>
        <v>1</v>
      </c>
      <c r="H61" s="291"/>
      <c r="I61" s="285">
        <f t="shared" si="15"/>
        <v>1</v>
      </c>
      <c r="J61" s="291"/>
      <c r="K61" s="285">
        <f t="shared" si="16"/>
        <v>1</v>
      </c>
      <c r="L61" s="291"/>
      <c r="M61" s="285">
        <f t="shared" si="17"/>
        <v>1</v>
      </c>
      <c r="N61" s="291"/>
      <c r="O61" s="285">
        <f t="shared" si="18"/>
        <v>1</v>
      </c>
      <c r="P61" s="291"/>
      <c r="Q61" s="285">
        <f t="shared" si="19"/>
        <v>0</v>
      </c>
      <c r="R61" s="341">
        <f t="shared" si="20"/>
        <v>0</v>
      </c>
      <c r="S61" s="284">
        <f t="shared" si="21"/>
        <v>0</v>
      </c>
    </row>
    <row r="62" spans="1:19">
      <c r="A62" s="292"/>
      <c r="B62" s="293"/>
      <c r="C62" s="285">
        <f t="shared" si="12"/>
        <v>1</v>
      </c>
      <c r="D62" s="291"/>
      <c r="E62" s="285">
        <f t="shared" si="13"/>
        <v>1</v>
      </c>
      <c r="F62" s="291"/>
      <c r="G62" s="285">
        <f t="shared" si="14"/>
        <v>1</v>
      </c>
      <c r="H62" s="291"/>
      <c r="I62" s="285">
        <f t="shared" si="15"/>
        <v>1</v>
      </c>
      <c r="J62" s="291"/>
      <c r="K62" s="285">
        <f t="shared" si="16"/>
        <v>1</v>
      </c>
      <c r="L62" s="291"/>
      <c r="M62" s="285">
        <f t="shared" si="17"/>
        <v>1</v>
      </c>
      <c r="N62" s="291"/>
      <c r="O62" s="285">
        <f t="shared" si="18"/>
        <v>1</v>
      </c>
      <c r="P62" s="291"/>
      <c r="Q62" s="285">
        <f t="shared" si="19"/>
        <v>0</v>
      </c>
      <c r="R62" s="341">
        <f t="shared" si="20"/>
        <v>0</v>
      </c>
      <c r="S62" s="284">
        <f t="shared" si="21"/>
        <v>0</v>
      </c>
    </row>
    <row r="63" spans="1:19">
      <c r="A63" s="292"/>
      <c r="B63" s="293"/>
      <c r="C63" s="285">
        <f t="shared" si="12"/>
        <v>1</v>
      </c>
      <c r="D63" s="291"/>
      <c r="E63" s="285">
        <f t="shared" si="13"/>
        <v>1</v>
      </c>
      <c r="F63" s="291"/>
      <c r="G63" s="285">
        <f t="shared" si="14"/>
        <v>1</v>
      </c>
      <c r="H63" s="291"/>
      <c r="I63" s="285">
        <f t="shared" si="15"/>
        <v>1</v>
      </c>
      <c r="J63" s="291"/>
      <c r="K63" s="285">
        <f t="shared" si="16"/>
        <v>1</v>
      </c>
      <c r="L63" s="291"/>
      <c r="M63" s="285">
        <f t="shared" si="17"/>
        <v>1</v>
      </c>
      <c r="N63" s="291"/>
      <c r="O63" s="285">
        <f t="shared" si="18"/>
        <v>1</v>
      </c>
      <c r="P63" s="291"/>
      <c r="Q63" s="285">
        <f t="shared" si="19"/>
        <v>0</v>
      </c>
      <c r="R63" s="341">
        <f t="shared" si="20"/>
        <v>0</v>
      </c>
      <c r="S63" s="284">
        <f t="shared" si="21"/>
        <v>0</v>
      </c>
    </row>
    <row r="64" spans="1:19">
      <c r="A64" s="292"/>
      <c r="B64" s="293"/>
      <c r="C64" s="285">
        <f t="shared" si="12"/>
        <v>1</v>
      </c>
      <c r="D64" s="291"/>
      <c r="E64" s="285">
        <f t="shared" si="13"/>
        <v>1</v>
      </c>
      <c r="F64" s="291"/>
      <c r="G64" s="285">
        <f t="shared" si="14"/>
        <v>1</v>
      </c>
      <c r="H64" s="291"/>
      <c r="I64" s="285">
        <f t="shared" si="15"/>
        <v>1</v>
      </c>
      <c r="J64" s="291"/>
      <c r="K64" s="285">
        <f t="shared" si="16"/>
        <v>1</v>
      </c>
      <c r="L64" s="291"/>
      <c r="M64" s="285">
        <f t="shared" si="17"/>
        <v>1</v>
      </c>
      <c r="N64" s="291"/>
      <c r="O64" s="285">
        <f t="shared" si="18"/>
        <v>1</v>
      </c>
      <c r="P64" s="291"/>
      <c r="Q64" s="285">
        <f t="shared" si="19"/>
        <v>0</v>
      </c>
      <c r="R64" s="341">
        <f t="shared" si="20"/>
        <v>0</v>
      </c>
      <c r="S64" s="284">
        <f t="shared" si="21"/>
        <v>0</v>
      </c>
    </row>
    <row r="65" spans="1:19">
      <c r="A65" s="292"/>
      <c r="B65" s="293"/>
      <c r="C65" s="285">
        <f t="shared" si="12"/>
        <v>1</v>
      </c>
      <c r="D65" s="291"/>
      <c r="E65" s="285">
        <f t="shared" si="13"/>
        <v>1</v>
      </c>
      <c r="F65" s="291"/>
      <c r="G65" s="285">
        <f t="shared" si="14"/>
        <v>1</v>
      </c>
      <c r="H65" s="291"/>
      <c r="I65" s="285">
        <f t="shared" si="15"/>
        <v>1</v>
      </c>
      <c r="J65" s="291"/>
      <c r="K65" s="285">
        <f t="shared" si="16"/>
        <v>1</v>
      </c>
      <c r="L65" s="291"/>
      <c r="M65" s="285">
        <f t="shared" si="17"/>
        <v>1</v>
      </c>
      <c r="N65" s="291"/>
      <c r="O65" s="285">
        <f t="shared" si="18"/>
        <v>1</v>
      </c>
      <c r="P65" s="291"/>
      <c r="Q65" s="285">
        <f t="shared" si="19"/>
        <v>0</v>
      </c>
      <c r="R65" s="341">
        <f t="shared" si="20"/>
        <v>0</v>
      </c>
      <c r="S65" s="284">
        <f t="shared" si="21"/>
        <v>0</v>
      </c>
    </row>
    <row r="66" spans="1:19">
      <c r="A66" s="292"/>
      <c r="B66" s="293"/>
      <c r="C66" s="285">
        <f t="shared" si="12"/>
        <v>1</v>
      </c>
      <c r="D66" s="291"/>
      <c r="E66" s="285">
        <f t="shared" si="13"/>
        <v>1</v>
      </c>
      <c r="F66" s="291"/>
      <c r="G66" s="285">
        <f t="shared" si="14"/>
        <v>1</v>
      </c>
      <c r="H66" s="291"/>
      <c r="I66" s="285">
        <f t="shared" si="15"/>
        <v>1</v>
      </c>
      <c r="J66" s="291"/>
      <c r="K66" s="285">
        <f t="shared" si="16"/>
        <v>1</v>
      </c>
      <c r="L66" s="291"/>
      <c r="M66" s="285">
        <f t="shared" si="17"/>
        <v>1</v>
      </c>
      <c r="N66" s="291"/>
      <c r="O66" s="285">
        <f t="shared" si="18"/>
        <v>1</v>
      </c>
      <c r="P66" s="291"/>
      <c r="Q66" s="285">
        <f t="shared" si="19"/>
        <v>0</v>
      </c>
      <c r="R66" s="341">
        <f t="shared" si="20"/>
        <v>0</v>
      </c>
      <c r="S66" s="284">
        <f t="shared" si="21"/>
        <v>0</v>
      </c>
    </row>
    <row r="67" spans="1:19">
      <c r="A67" s="292"/>
      <c r="B67" s="293"/>
      <c r="C67" s="285">
        <f t="shared" si="12"/>
        <v>1</v>
      </c>
      <c r="D67" s="291"/>
      <c r="E67" s="285">
        <f t="shared" si="13"/>
        <v>1</v>
      </c>
      <c r="F67" s="291"/>
      <c r="G67" s="285">
        <f t="shared" si="14"/>
        <v>1</v>
      </c>
      <c r="H67" s="291"/>
      <c r="I67" s="285">
        <f t="shared" si="15"/>
        <v>1</v>
      </c>
      <c r="J67" s="291"/>
      <c r="K67" s="285">
        <f t="shared" si="16"/>
        <v>1</v>
      </c>
      <c r="L67" s="291"/>
      <c r="M67" s="285">
        <f t="shared" si="17"/>
        <v>1</v>
      </c>
      <c r="N67" s="291"/>
      <c r="O67" s="285">
        <f t="shared" si="18"/>
        <v>1</v>
      </c>
      <c r="P67" s="291"/>
      <c r="Q67" s="285">
        <f t="shared" si="19"/>
        <v>0</v>
      </c>
      <c r="R67" s="341">
        <f t="shared" si="20"/>
        <v>0</v>
      </c>
      <c r="S67" s="284">
        <f t="shared" si="21"/>
        <v>0</v>
      </c>
    </row>
    <row r="68" spans="1:19">
      <c r="A68" s="292"/>
      <c r="B68" s="293"/>
      <c r="C68" s="285">
        <f t="shared" si="12"/>
        <v>1</v>
      </c>
      <c r="D68" s="291"/>
      <c r="E68" s="285">
        <f t="shared" si="13"/>
        <v>1</v>
      </c>
      <c r="F68" s="291"/>
      <c r="G68" s="285">
        <f t="shared" si="14"/>
        <v>1</v>
      </c>
      <c r="H68" s="291"/>
      <c r="I68" s="285">
        <f t="shared" si="15"/>
        <v>1</v>
      </c>
      <c r="J68" s="291"/>
      <c r="K68" s="285">
        <f t="shared" si="16"/>
        <v>1</v>
      </c>
      <c r="L68" s="291"/>
      <c r="M68" s="285">
        <f t="shared" si="17"/>
        <v>1</v>
      </c>
      <c r="N68" s="291"/>
      <c r="O68" s="285">
        <f t="shared" si="18"/>
        <v>1</v>
      </c>
      <c r="P68" s="291"/>
      <c r="Q68" s="285">
        <f t="shared" si="19"/>
        <v>0</v>
      </c>
      <c r="R68" s="341">
        <f t="shared" si="20"/>
        <v>0</v>
      </c>
      <c r="S68" s="284">
        <f t="shared" si="21"/>
        <v>0</v>
      </c>
    </row>
    <row r="69" spans="1:19">
      <c r="A69" s="292"/>
      <c r="B69" s="293"/>
      <c r="C69" s="285">
        <f t="shared" si="12"/>
        <v>1</v>
      </c>
      <c r="D69" s="291"/>
      <c r="E69" s="285">
        <f t="shared" si="13"/>
        <v>1</v>
      </c>
      <c r="F69" s="291"/>
      <c r="G69" s="285">
        <f t="shared" si="14"/>
        <v>1</v>
      </c>
      <c r="H69" s="291"/>
      <c r="I69" s="285">
        <f t="shared" si="15"/>
        <v>1</v>
      </c>
      <c r="J69" s="291"/>
      <c r="K69" s="285">
        <f t="shared" si="16"/>
        <v>1</v>
      </c>
      <c r="L69" s="291"/>
      <c r="M69" s="285">
        <f t="shared" si="17"/>
        <v>1</v>
      </c>
      <c r="N69" s="291"/>
      <c r="O69" s="285">
        <f t="shared" si="18"/>
        <v>1</v>
      </c>
      <c r="P69" s="291"/>
      <c r="Q69" s="285">
        <f t="shared" si="19"/>
        <v>0</v>
      </c>
      <c r="R69" s="341">
        <f t="shared" si="20"/>
        <v>0</v>
      </c>
      <c r="S69" s="284">
        <f t="shared" si="21"/>
        <v>0</v>
      </c>
    </row>
    <row r="70" spans="1:19">
      <c r="A70" s="292"/>
      <c r="B70" s="293"/>
      <c r="C70" s="285">
        <f t="shared" si="12"/>
        <v>1</v>
      </c>
      <c r="D70" s="291"/>
      <c r="E70" s="285">
        <f t="shared" si="13"/>
        <v>1</v>
      </c>
      <c r="F70" s="291"/>
      <c r="G70" s="285">
        <f t="shared" si="14"/>
        <v>1</v>
      </c>
      <c r="H70" s="291"/>
      <c r="I70" s="285">
        <f t="shared" si="15"/>
        <v>1</v>
      </c>
      <c r="J70" s="291"/>
      <c r="K70" s="285">
        <f t="shared" si="16"/>
        <v>1</v>
      </c>
      <c r="L70" s="291"/>
      <c r="M70" s="285">
        <f t="shared" si="17"/>
        <v>1</v>
      </c>
      <c r="N70" s="291"/>
      <c r="O70" s="285">
        <f t="shared" si="18"/>
        <v>1</v>
      </c>
      <c r="P70" s="291"/>
      <c r="Q70" s="285">
        <f t="shared" si="19"/>
        <v>0</v>
      </c>
      <c r="R70" s="341">
        <f t="shared" si="20"/>
        <v>0</v>
      </c>
      <c r="S70" s="284">
        <f t="shared" si="21"/>
        <v>0</v>
      </c>
    </row>
    <row r="71" spans="1:19">
      <c r="A71" s="292"/>
      <c r="B71" s="293"/>
      <c r="C71" s="285">
        <f t="shared" si="12"/>
        <v>1</v>
      </c>
      <c r="D71" s="291"/>
      <c r="E71" s="285">
        <f t="shared" si="13"/>
        <v>1</v>
      </c>
      <c r="F71" s="291"/>
      <c r="G71" s="285">
        <f t="shared" si="14"/>
        <v>1</v>
      </c>
      <c r="H71" s="291"/>
      <c r="I71" s="285">
        <f t="shared" si="15"/>
        <v>1</v>
      </c>
      <c r="J71" s="291"/>
      <c r="K71" s="285">
        <f t="shared" si="16"/>
        <v>1</v>
      </c>
      <c r="L71" s="291"/>
      <c r="M71" s="285">
        <f t="shared" si="17"/>
        <v>1</v>
      </c>
      <c r="N71" s="291"/>
      <c r="O71" s="285">
        <f t="shared" si="18"/>
        <v>1</v>
      </c>
      <c r="P71" s="291"/>
      <c r="Q71" s="285">
        <f t="shared" si="19"/>
        <v>0</v>
      </c>
      <c r="R71" s="341">
        <f t="shared" si="20"/>
        <v>0</v>
      </c>
      <c r="S71" s="284">
        <f t="shared" si="21"/>
        <v>0</v>
      </c>
    </row>
    <row r="72" spans="1:19">
      <c r="A72" s="292"/>
      <c r="B72" s="293"/>
      <c r="C72" s="285">
        <f t="shared" si="12"/>
        <v>1</v>
      </c>
      <c r="D72" s="291"/>
      <c r="E72" s="285">
        <f t="shared" si="13"/>
        <v>1</v>
      </c>
      <c r="F72" s="291"/>
      <c r="G72" s="285">
        <f t="shared" si="14"/>
        <v>1</v>
      </c>
      <c r="H72" s="291"/>
      <c r="I72" s="285">
        <f t="shared" si="15"/>
        <v>1</v>
      </c>
      <c r="J72" s="291"/>
      <c r="K72" s="285">
        <f t="shared" si="16"/>
        <v>1</v>
      </c>
      <c r="L72" s="291"/>
      <c r="M72" s="285">
        <f t="shared" si="17"/>
        <v>1</v>
      </c>
      <c r="N72" s="291"/>
      <c r="O72" s="285">
        <f t="shared" si="18"/>
        <v>1</v>
      </c>
      <c r="P72" s="291"/>
      <c r="Q72" s="285">
        <f t="shared" si="19"/>
        <v>0</v>
      </c>
      <c r="R72" s="341">
        <f t="shared" si="20"/>
        <v>0</v>
      </c>
      <c r="S72" s="284">
        <f t="shared" si="21"/>
        <v>0</v>
      </c>
    </row>
    <row r="73" spans="1:19">
      <c r="A73" s="292"/>
      <c r="B73" s="293"/>
      <c r="C73" s="285">
        <f t="shared" si="12"/>
        <v>1</v>
      </c>
      <c r="D73" s="291"/>
      <c r="E73" s="285">
        <f t="shared" si="13"/>
        <v>1</v>
      </c>
      <c r="F73" s="291"/>
      <c r="G73" s="285">
        <f t="shared" si="14"/>
        <v>1</v>
      </c>
      <c r="H73" s="291"/>
      <c r="I73" s="285">
        <f t="shared" si="15"/>
        <v>1</v>
      </c>
      <c r="J73" s="291"/>
      <c r="K73" s="285">
        <f t="shared" si="16"/>
        <v>1</v>
      </c>
      <c r="L73" s="291"/>
      <c r="M73" s="285">
        <f t="shared" si="17"/>
        <v>1</v>
      </c>
      <c r="N73" s="291"/>
      <c r="O73" s="285">
        <f t="shared" si="18"/>
        <v>1</v>
      </c>
      <c r="P73" s="291"/>
      <c r="Q73" s="285">
        <f t="shared" si="19"/>
        <v>0</v>
      </c>
      <c r="R73" s="341">
        <f t="shared" si="20"/>
        <v>0</v>
      </c>
      <c r="S73" s="284">
        <f t="shared" si="21"/>
        <v>0</v>
      </c>
    </row>
    <row r="74" spans="1:19">
      <c r="A74" s="292"/>
      <c r="B74" s="293"/>
      <c r="C74" s="285">
        <f t="shared" si="12"/>
        <v>1</v>
      </c>
      <c r="D74" s="291"/>
      <c r="E74" s="285">
        <f t="shared" si="13"/>
        <v>1</v>
      </c>
      <c r="F74" s="291"/>
      <c r="G74" s="285">
        <f t="shared" si="14"/>
        <v>1</v>
      </c>
      <c r="H74" s="291"/>
      <c r="I74" s="285">
        <f t="shared" si="15"/>
        <v>1</v>
      </c>
      <c r="J74" s="291"/>
      <c r="K74" s="285">
        <f t="shared" si="16"/>
        <v>1</v>
      </c>
      <c r="L74" s="291"/>
      <c r="M74" s="285">
        <f t="shared" si="17"/>
        <v>1</v>
      </c>
      <c r="N74" s="291"/>
      <c r="O74" s="285">
        <f t="shared" si="18"/>
        <v>1</v>
      </c>
      <c r="P74" s="291"/>
      <c r="Q74" s="285">
        <f t="shared" si="19"/>
        <v>0</v>
      </c>
      <c r="R74" s="341">
        <f t="shared" si="20"/>
        <v>0</v>
      </c>
      <c r="S74" s="284">
        <f t="shared" si="21"/>
        <v>0</v>
      </c>
    </row>
    <row r="75" spans="1:19">
      <c r="A75" s="292"/>
      <c r="B75" s="293"/>
      <c r="C75" s="285">
        <f t="shared" si="12"/>
        <v>1</v>
      </c>
      <c r="D75" s="291"/>
      <c r="E75" s="285">
        <f t="shared" si="13"/>
        <v>1</v>
      </c>
      <c r="F75" s="291"/>
      <c r="G75" s="285">
        <f t="shared" si="14"/>
        <v>1</v>
      </c>
      <c r="H75" s="291"/>
      <c r="I75" s="285">
        <f t="shared" si="15"/>
        <v>1</v>
      </c>
      <c r="J75" s="291"/>
      <c r="K75" s="285">
        <f t="shared" si="16"/>
        <v>1</v>
      </c>
      <c r="L75" s="291"/>
      <c r="M75" s="285">
        <f t="shared" si="17"/>
        <v>1</v>
      </c>
      <c r="N75" s="291"/>
      <c r="O75" s="285">
        <f t="shared" si="18"/>
        <v>1</v>
      </c>
      <c r="P75" s="291"/>
      <c r="Q75" s="285">
        <f t="shared" si="19"/>
        <v>0</v>
      </c>
      <c r="R75" s="341">
        <f t="shared" si="20"/>
        <v>0</v>
      </c>
      <c r="S75" s="284">
        <f t="shared" si="21"/>
        <v>0</v>
      </c>
    </row>
    <row r="76" spans="1:19">
      <c r="A76" s="292"/>
      <c r="B76" s="293"/>
      <c r="C76" s="285">
        <f t="shared" si="12"/>
        <v>1</v>
      </c>
      <c r="D76" s="291"/>
      <c r="E76" s="285">
        <f t="shared" si="13"/>
        <v>1</v>
      </c>
      <c r="F76" s="291"/>
      <c r="G76" s="285">
        <f t="shared" si="14"/>
        <v>1</v>
      </c>
      <c r="H76" s="291"/>
      <c r="I76" s="285">
        <f t="shared" si="15"/>
        <v>1</v>
      </c>
      <c r="J76" s="291"/>
      <c r="K76" s="285">
        <f t="shared" si="16"/>
        <v>1</v>
      </c>
      <c r="L76" s="291"/>
      <c r="M76" s="285">
        <f t="shared" si="17"/>
        <v>1</v>
      </c>
      <c r="N76" s="291"/>
      <c r="O76" s="285">
        <f t="shared" si="18"/>
        <v>1</v>
      </c>
      <c r="P76" s="291"/>
      <c r="Q76" s="285">
        <f t="shared" si="19"/>
        <v>0</v>
      </c>
      <c r="R76" s="341">
        <f t="shared" si="20"/>
        <v>0</v>
      </c>
      <c r="S76" s="284">
        <f t="shared" si="21"/>
        <v>0</v>
      </c>
    </row>
    <row r="77" spans="1:19">
      <c r="A77" s="292"/>
      <c r="B77" s="293"/>
      <c r="C77" s="285">
        <f t="shared" si="12"/>
        <v>1</v>
      </c>
      <c r="D77" s="291"/>
      <c r="E77" s="285">
        <f t="shared" si="13"/>
        <v>1</v>
      </c>
      <c r="F77" s="291"/>
      <c r="G77" s="285">
        <f t="shared" si="14"/>
        <v>1</v>
      </c>
      <c r="H77" s="291"/>
      <c r="I77" s="285">
        <f t="shared" si="15"/>
        <v>1</v>
      </c>
      <c r="J77" s="291"/>
      <c r="K77" s="285">
        <f t="shared" si="16"/>
        <v>1</v>
      </c>
      <c r="L77" s="291"/>
      <c r="M77" s="285">
        <f t="shared" si="17"/>
        <v>1</v>
      </c>
      <c r="N77" s="291"/>
      <c r="O77" s="285">
        <f t="shared" si="18"/>
        <v>1</v>
      </c>
      <c r="P77" s="291"/>
      <c r="Q77" s="285">
        <f t="shared" si="19"/>
        <v>0</v>
      </c>
      <c r="R77" s="341">
        <f t="shared" si="20"/>
        <v>0</v>
      </c>
      <c r="S77" s="284">
        <f t="shared" si="21"/>
        <v>0</v>
      </c>
    </row>
    <row r="78" spans="1:19">
      <c r="A78" s="292"/>
      <c r="B78" s="293"/>
      <c r="C78" s="285">
        <f t="shared" si="12"/>
        <v>1</v>
      </c>
      <c r="D78" s="291"/>
      <c r="E78" s="285">
        <f t="shared" si="13"/>
        <v>1</v>
      </c>
      <c r="F78" s="291"/>
      <c r="G78" s="285">
        <f t="shared" si="14"/>
        <v>1</v>
      </c>
      <c r="H78" s="291"/>
      <c r="I78" s="285">
        <f t="shared" si="15"/>
        <v>1</v>
      </c>
      <c r="J78" s="291"/>
      <c r="K78" s="285">
        <f t="shared" si="16"/>
        <v>1</v>
      </c>
      <c r="L78" s="291"/>
      <c r="M78" s="285">
        <f t="shared" si="17"/>
        <v>1</v>
      </c>
      <c r="N78" s="291"/>
      <c r="O78" s="285">
        <f t="shared" si="18"/>
        <v>1</v>
      </c>
      <c r="P78" s="291"/>
      <c r="Q78" s="285">
        <f t="shared" si="19"/>
        <v>0</v>
      </c>
      <c r="R78" s="341">
        <f t="shared" si="20"/>
        <v>0</v>
      </c>
      <c r="S78" s="284">
        <f t="shared" ref="S78:S122" si="22">ROUND(R78*B78/10000,0)</f>
        <v>0</v>
      </c>
    </row>
    <row r="79" spans="1:19">
      <c r="A79" s="292"/>
      <c r="B79" s="293"/>
      <c r="C79" s="285">
        <f t="shared" si="12"/>
        <v>1</v>
      </c>
      <c r="D79" s="291"/>
      <c r="E79" s="285">
        <f t="shared" si="13"/>
        <v>1</v>
      </c>
      <c r="F79" s="291"/>
      <c r="G79" s="285">
        <f t="shared" si="14"/>
        <v>1</v>
      </c>
      <c r="H79" s="291"/>
      <c r="I79" s="285">
        <f t="shared" si="15"/>
        <v>1</v>
      </c>
      <c r="J79" s="291"/>
      <c r="K79" s="285">
        <f t="shared" si="16"/>
        <v>1</v>
      </c>
      <c r="L79" s="291"/>
      <c r="M79" s="285">
        <f t="shared" si="17"/>
        <v>1</v>
      </c>
      <c r="N79" s="291"/>
      <c r="O79" s="285">
        <f t="shared" si="18"/>
        <v>1</v>
      </c>
      <c r="P79" s="291"/>
      <c r="Q79" s="285">
        <f t="shared" si="19"/>
        <v>0</v>
      </c>
      <c r="R79" s="341">
        <f t="shared" si="20"/>
        <v>0</v>
      </c>
      <c r="S79" s="284">
        <f t="shared" si="22"/>
        <v>0</v>
      </c>
    </row>
    <row r="80" spans="1:19">
      <c r="A80" s="292"/>
      <c r="B80" s="293"/>
      <c r="C80" s="285">
        <f t="shared" si="12"/>
        <v>1</v>
      </c>
      <c r="D80" s="291"/>
      <c r="E80" s="285">
        <f t="shared" si="13"/>
        <v>1</v>
      </c>
      <c r="F80" s="291"/>
      <c r="G80" s="285">
        <f t="shared" si="14"/>
        <v>1</v>
      </c>
      <c r="H80" s="291"/>
      <c r="I80" s="285">
        <f t="shared" si="15"/>
        <v>1</v>
      </c>
      <c r="J80" s="291"/>
      <c r="K80" s="285">
        <f t="shared" si="16"/>
        <v>1</v>
      </c>
      <c r="L80" s="291"/>
      <c r="M80" s="285">
        <f t="shared" si="17"/>
        <v>1</v>
      </c>
      <c r="N80" s="291"/>
      <c r="O80" s="285">
        <f t="shared" si="18"/>
        <v>1</v>
      </c>
      <c r="P80" s="291"/>
      <c r="Q80" s="285">
        <f t="shared" si="19"/>
        <v>0</v>
      </c>
      <c r="R80" s="341">
        <f t="shared" si="20"/>
        <v>0</v>
      </c>
      <c r="S80" s="284">
        <f t="shared" si="22"/>
        <v>0</v>
      </c>
    </row>
    <row r="81" spans="1:19">
      <c r="A81" s="292"/>
      <c r="B81" s="293"/>
      <c r="C81" s="285">
        <f t="shared" si="12"/>
        <v>1</v>
      </c>
      <c r="D81" s="291"/>
      <c r="E81" s="285">
        <f t="shared" si="13"/>
        <v>1</v>
      </c>
      <c r="F81" s="291"/>
      <c r="G81" s="285">
        <f t="shared" si="14"/>
        <v>1</v>
      </c>
      <c r="H81" s="291"/>
      <c r="I81" s="285">
        <f t="shared" si="15"/>
        <v>1</v>
      </c>
      <c r="J81" s="291"/>
      <c r="K81" s="285">
        <f t="shared" si="16"/>
        <v>1</v>
      </c>
      <c r="L81" s="291"/>
      <c r="M81" s="285">
        <f t="shared" si="17"/>
        <v>1</v>
      </c>
      <c r="N81" s="291"/>
      <c r="O81" s="285">
        <f t="shared" si="18"/>
        <v>1</v>
      </c>
      <c r="P81" s="291"/>
      <c r="Q81" s="285">
        <f t="shared" si="19"/>
        <v>0</v>
      </c>
      <c r="R81" s="341">
        <f t="shared" si="20"/>
        <v>0</v>
      </c>
      <c r="S81" s="284">
        <f t="shared" si="22"/>
        <v>0</v>
      </c>
    </row>
    <row r="82" spans="1:19">
      <c r="A82" s="292"/>
      <c r="B82" s="293"/>
      <c r="C82" s="285">
        <f t="shared" si="12"/>
        <v>1</v>
      </c>
      <c r="D82" s="291"/>
      <c r="E82" s="285">
        <f t="shared" si="13"/>
        <v>1</v>
      </c>
      <c r="F82" s="291"/>
      <c r="G82" s="285">
        <f t="shared" si="14"/>
        <v>1</v>
      </c>
      <c r="H82" s="291"/>
      <c r="I82" s="285">
        <f t="shared" si="15"/>
        <v>1</v>
      </c>
      <c r="J82" s="291"/>
      <c r="K82" s="285">
        <f t="shared" si="16"/>
        <v>1</v>
      </c>
      <c r="L82" s="291"/>
      <c r="M82" s="285">
        <f t="shared" si="17"/>
        <v>1</v>
      </c>
      <c r="N82" s="291"/>
      <c r="O82" s="285">
        <f t="shared" si="18"/>
        <v>1</v>
      </c>
      <c r="P82" s="291"/>
      <c r="Q82" s="285">
        <f t="shared" si="19"/>
        <v>0</v>
      </c>
      <c r="R82" s="341">
        <f t="shared" si="20"/>
        <v>0</v>
      </c>
      <c r="S82" s="284">
        <f t="shared" si="22"/>
        <v>0</v>
      </c>
    </row>
    <row r="83" spans="1:19">
      <c r="A83" s="292"/>
      <c r="B83" s="293"/>
      <c r="C83" s="285">
        <f t="shared" si="12"/>
        <v>1</v>
      </c>
      <c r="D83" s="291"/>
      <c r="E83" s="285">
        <f t="shared" si="13"/>
        <v>1</v>
      </c>
      <c r="F83" s="291"/>
      <c r="G83" s="285">
        <f t="shared" si="14"/>
        <v>1</v>
      </c>
      <c r="H83" s="291"/>
      <c r="I83" s="285">
        <f t="shared" si="15"/>
        <v>1</v>
      </c>
      <c r="J83" s="291"/>
      <c r="K83" s="285">
        <f t="shared" si="16"/>
        <v>1</v>
      </c>
      <c r="L83" s="291"/>
      <c r="M83" s="285">
        <f t="shared" si="17"/>
        <v>1</v>
      </c>
      <c r="N83" s="291"/>
      <c r="O83" s="285">
        <f t="shared" si="18"/>
        <v>1</v>
      </c>
      <c r="P83" s="291"/>
      <c r="Q83" s="285">
        <f t="shared" si="19"/>
        <v>0</v>
      </c>
      <c r="R83" s="341">
        <f t="shared" si="20"/>
        <v>0</v>
      </c>
      <c r="S83" s="284">
        <f t="shared" si="22"/>
        <v>0</v>
      </c>
    </row>
    <row r="84" spans="1:19">
      <c r="A84" s="292"/>
      <c r="B84" s="293"/>
      <c r="C84" s="285">
        <f t="shared" si="12"/>
        <v>1</v>
      </c>
      <c r="D84" s="291"/>
      <c r="E84" s="285">
        <f t="shared" si="13"/>
        <v>1</v>
      </c>
      <c r="F84" s="291"/>
      <c r="G84" s="285">
        <f t="shared" si="14"/>
        <v>1</v>
      </c>
      <c r="H84" s="291"/>
      <c r="I84" s="285">
        <f t="shared" si="15"/>
        <v>1</v>
      </c>
      <c r="J84" s="291"/>
      <c r="K84" s="285">
        <f t="shared" si="16"/>
        <v>1</v>
      </c>
      <c r="L84" s="291"/>
      <c r="M84" s="285">
        <f t="shared" si="17"/>
        <v>1</v>
      </c>
      <c r="N84" s="291"/>
      <c r="O84" s="285">
        <f t="shared" si="18"/>
        <v>1</v>
      </c>
      <c r="P84" s="291"/>
      <c r="Q84" s="285">
        <f t="shared" si="19"/>
        <v>0</v>
      </c>
      <c r="R84" s="341">
        <f t="shared" si="20"/>
        <v>0</v>
      </c>
      <c r="S84" s="284">
        <f t="shared" si="22"/>
        <v>0</v>
      </c>
    </row>
    <row r="85" spans="1:19">
      <c r="A85" s="292"/>
      <c r="B85" s="293"/>
      <c r="C85" s="285">
        <f t="shared" si="12"/>
        <v>1</v>
      </c>
      <c r="D85" s="291"/>
      <c r="E85" s="285">
        <f t="shared" si="13"/>
        <v>1</v>
      </c>
      <c r="F85" s="291"/>
      <c r="G85" s="285">
        <f t="shared" si="14"/>
        <v>1</v>
      </c>
      <c r="H85" s="291"/>
      <c r="I85" s="285">
        <f t="shared" si="15"/>
        <v>1</v>
      </c>
      <c r="J85" s="291"/>
      <c r="K85" s="285">
        <f t="shared" si="16"/>
        <v>1</v>
      </c>
      <c r="L85" s="291"/>
      <c r="M85" s="285">
        <f t="shared" si="17"/>
        <v>1</v>
      </c>
      <c r="N85" s="291"/>
      <c r="O85" s="285">
        <f t="shared" si="18"/>
        <v>1</v>
      </c>
      <c r="P85" s="291"/>
      <c r="Q85" s="285">
        <f t="shared" si="19"/>
        <v>0</v>
      </c>
      <c r="R85" s="341">
        <f t="shared" si="20"/>
        <v>0</v>
      </c>
      <c r="S85" s="284">
        <f t="shared" si="22"/>
        <v>0</v>
      </c>
    </row>
    <row r="86" spans="1:19">
      <c r="A86" s="292"/>
      <c r="B86" s="293"/>
      <c r="C86" s="285">
        <f t="shared" si="12"/>
        <v>1</v>
      </c>
      <c r="D86" s="291"/>
      <c r="E86" s="285">
        <f t="shared" si="13"/>
        <v>1</v>
      </c>
      <c r="F86" s="291"/>
      <c r="G86" s="285">
        <f t="shared" si="14"/>
        <v>1</v>
      </c>
      <c r="H86" s="291"/>
      <c r="I86" s="285">
        <f t="shared" si="15"/>
        <v>1</v>
      </c>
      <c r="J86" s="291"/>
      <c r="K86" s="285">
        <f t="shared" si="16"/>
        <v>1</v>
      </c>
      <c r="L86" s="291"/>
      <c r="M86" s="285">
        <f t="shared" si="17"/>
        <v>1</v>
      </c>
      <c r="N86" s="291"/>
      <c r="O86" s="285">
        <f t="shared" si="18"/>
        <v>1</v>
      </c>
      <c r="P86" s="291"/>
      <c r="Q86" s="285">
        <f t="shared" si="19"/>
        <v>0</v>
      </c>
      <c r="R86" s="341">
        <f t="shared" si="20"/>
        <v>0</v>
      </c>
      <c r="S86" s="284">
        <f t="shared" si="22"/>
        <v>0</v>
      </c>
    </row>
    <row r="87" spans="1:19">
      <c r="A87" s="292"/>
      <c r="B87" s="293"/>
      <c r="C87" s="285">
        <f t="shared" si="12"/>
        <v>1</v>
      </c>
      <c r="D87" s="291"/>
      <c r="E87" s="285">
        <f t="shared" si="13"/>
        <v>1</v>
      </c>
      <c r="F87" s="291"/>
      <c r="G87" s="285">
        <f t="shared" si="14"/>
        <v>1</v>
      </c>
      <c r="H87" s="291"/>
      <c r="I87" s="285">
        <f t="shared" si="15"/>
        <v>1</v>
      </c>
      <c r="J87" s="291"/>
      <c r="K87" s="285">
        <f t="shared" si="16"/>
        <v>1</v>
      </c>
      <c r="L87" s="291"/>
      <c r="M87" s="285">
        <f t="shared" si="17"/>
        <v>1</v>
      </c>
      <c r="N87" s="291"/>
      <c r="O87" s="285">
        <f t="shared" si="18"/>
        <v>1</v>
      </c>
      <c r="P87" s="291"/>
      <c r="Q87" s="285">
        <f t="shared" si="19"/>
        <v>0</v>
      </c>
      <c r="R87" s="341">
        <f t="shared" si="20"/>
        <v>0</v>
      </c>
      <c r="S87" s="284">
        <f t="shared" si="22"/>
        <v>0</v>
      </c>
    </row>
    <row r="88" spans="1:19">
      <c r="A88" s="292"/>
      <c r="B88" s="293"/>
      <c r="C88" s="285">
        <f t="shared" si="12"/>
        <v>1</v>
      </c>
      <c r="D88" s="291"/>
      <c r="E88" s="285">
        <f t="shared" si="13"/>
        <v>1</v>
      </c>
      <c r="F88" s="291"/>
      <c r="G88" s="285">
        <f t="shared" si="14"/>
        <v>1</v>
      </c>
      <c r="H88" s="291"/>
      <c r="I88" s="285">
        <f t="shared" si="15"/>
        <v>1</v>
      </c>
      <c r="J88" s="291"/>
      <c r="K88" s="285">
        <f t="shared" si="16"/>
        <v>1</v>
      </c>
      <c r="L88" s="291"/>
      <c r="M88" s="285">
        <f t="shared" si="17"/>
        <v>1</v>
      </c>
      <c r="N88" s="291"/>
      <c r="O88" s="285">
        <f t="shared" si="18"/>
        <v>1</v>
      </c>
      <c r="P88" s="291"/>
      <c r="Q88" s="285">
        <f t="shared" si="19"/>
        <v>0</v>
      </c>
      <c r="R88" s="341">
        <f t="shared" si="20"/>
        <v>0</v>
      </c>
      <c r="S88" s="284">
        <f t="shared" si="22"/>
        <v>0</v>
      </c>
    </row>
    <row r="89" spans="1:19">
      <c r="A89" s="292"/>
      <c r="B89" s="293"/>
      <c r="C89" s="285">
        <f t="shared" si="12"/>
        <v>1</v>
      </c>
      <c r="D89" s="291"/>
      <c r="E89" s="285">
        <f t="shared" si="13"/>
        <v>1</v>
      </c>
      <c r="F89" s="291"/>
      <c r="G89" s="285">
        <f t="shared" si="14"/>
        <v>1</v>
      </c>
      <c r="H89" s="291"/>
      <c r="I89" s="285">
        <f t="shared" si="15"/>
        <v>1</v>
      </c>
      <c r="J89" s="291"/>
      <c r="K89" s="285">
        <f t="shared" si="16"/>
        <v>1</v>
      </c>
      <c r="L89" s="291"/>
      <c r="M89" s="285">
        <f t="shared" si="17"/>
        <v>1</v>
      </c>
      <c r="N89" s="291"/>
      <c r="O89" s="285">
        <f t="shared" si="18"/>
        <v>1</v>
      </c>
      <c r="P89" s="291"/>
      <c r="Q89" s="285">
        <f t="shared" si="19"/>
        <v>0</v>
      </c>
      <c r="R89" s="341">
        <f t="shared" si="20"/>
        <v>0</v>
      </c>
      <c r="S89" s="284">
        <f t="shared" si="22"/>
        <v>0</v>
      </c>
    </row>
    <row r="90" spans="1:19">
      <c r="A90" s="292"/>
      <c r="B90" s="293"/>
      <c r="C90" s="285">
        <f t="shared" ref="C90:C153" si="23">IF(B90="",1,(LOOKUP(B90,$3:$3,$4:$4)-LOOKUP($B$24,$3:$3,$4:$4)+100)/100)</f>
        <v>1</v>
      </c>
      <c r="D90" s="291"/>
      <c r="E90" s="285">
        <f t="shared" ref="E90:E153" si="24">(SUMIF($5:$5,D90,$6:$6)-SUMIF($5:$5,$D$24,$6:$6)+100)/100</f>
        <v>1</v>
      </c>
      <c r="F90" s="291"/>
      <c r="G90" s="285">
        <f t="shared" ref="G90:G153" si="25">(SUMIF($7:$7,F90,$8:$8)-SUMIF($7:$7,$F$24,$8:$8)+100)/100</f>
        <v>1</v>
      </c>
      <c r="H90" s="291"/>
      <c r="I90" s="285">
        <f t="shared" ref="I90:I153" si="26">(SUMIF($9:$9,H90,$10:$10)-SUMIF($9:$9,$H$24,$10:$10)+100)/100</f>
        <v>1</v>
      </c>
      <c r="J90" s="291"/>
      <c r="K90" s="285">
        <f t="shared" ref="K90:K153" si="27">(SUMIF($11:$11,J90,$12:$12)-SUMIF($11:$11,$J$24,$12:$12)+100)/100</f>
        <v>1</v>
      </c>
      <c r="L90" s="291"/>
      <c r="M90" s="285">
        <f t="shared" ref="M90:M153" si="28">(SUMIF($13:$13,L90,$14:$14)-SUMIF($13:$13,$L$24,$14:$14)+100)/100</f>
        <v>1</v>
      </c>
      <c r="N90" s="291"/>
      <c r="O90" s="285">
        <f t="shared" ref="O90:O153" si="29">(SUMIF($15:$15,N90,$16:$16)-SUMIF($15:$15,$N$24,$16:$16)+100)/100</f>
        <v>1</v>
      </c>
      <c r="P90" s="291"/>
      <c r="Q90" s="285">
        <f t="shared" ref="Q90:Q153" si="30">(SUMIF($17:$17,P90,$18:$18)-SUMIF($17:$17,$P$24,$18:$18)+100)/100</f>
        <v>0</v>
      </c>
      <c r="R90" s="341">
        <f t="shared" ref="R90:R153" si="31">IF(B90="",0,ROUND($R$24*C90*E90*G90*I90*K90*M90*O90*Q90,0))</f>
        <v>0</v>
      </c>
      <c r="S90" s="284">
        <f t="shared" si="22"/>
        <v>0</v>
      </c>
    </row>
    <row r="91" spans="1:19">
      <c r="A91" s="292"/>
      <c r="B91" s="293"/>
      <c r="C91" s="285">
        <f t="shared" si="23"/>
        <v>1</v>
      </c>
      <c r="D91" s="291"/>
      <c r="E91" s="285">
        <f t="shared" si="24"/>
        <v>1</v>
      </c>
      <c r="F91" s="291"/>
      <c r="G91" s="285">
        <f t="shared" si="25"/>
        <v>1</v>
      </c>
      <c r="H91" s="291"/>
      <c r="I91" s="285">
        <f t="shared" si="26"/>
        <v>1</v>
      </c>
      <c r="J91" s="291"/>
      <c r="K91" s="285">
        <f t="shared" si="27"/>
        <v>1</v>
      </c>
      <c r="L91" s="291"/>
      <c r="M91" s="285">
        <f t="shared" si="28"/>
        <v>1</v>
      </c>
      <c r="N91" s="291"/>
      <c r="O91" s="285">
        <f t="shared" si="29"/>
        <v>1</v>
      </c>
      <c r="P91" s="291"/>
      <c r="Q91" s="285">
        <f t="shared" si="30"/>
        <v>0</v>
      </c>
      <c r="R91" s="341">
        <f t="shared" si="31"/>
        <v>0</v>
      </c>
      <c r="S91" s="284">
        <f t="shared" si="22"/>
        <v>0</v>
      </c>
    </row>
    <row r="92" spans="1:19">
      <c r="A92" s="292"/>
      <c r="B92" s="293"/>
      <c r="C92" s="285">
        <f t="shared" si="23"/>
        <v>1</v>
      </c>
      <c r="D92" s="291"/>
      <c r="E92" s="285">
        <f t="shared" si="24"/>
        <v>1</v>
      </c>
      <c r="F92" s="291"/>
      <c r="G92" s="285">
        <f t="shared" si="25"/>
        <v>1</v>
      </c>
      <c r="H92" s="291"/>
      <c r="I92" s="285">
        <f t="shared" si="26"/>
        <v>1</v>
      </c>
      <c r="J92" s="291"/>
      <c r="K92" s="285">
        <f t="shared" si="27"/>
        <v>1</v>
      </c>
      <c r="L92" s="291"/>
      <c r="M92" s="285">
        <f t="shared" si="28"/>
        <v>1</v>
      </c>
      <c r="N92" s="291"/>
      <c r="O92" s="285">
        <f t="shared" si="29"/>
        <v>1</v>
      </c>
      <c r="P92" s="291"/>
      <c r="Q92" s="285">
        <f t="shared" si="30"/>
        <v>0</v>
      </c>
      <c r="R92" s="341">
        <f t="shared" si="31"/>
        <v>0</v>
      </c>
      <c r="S92" s="284">
        <f t="shared" si="22"/>
        <v>0</v>
      </c>
    </row>
    <row r="93" spans="1:19">
      <c r="A93" s="292"/>
      <c r="B93" s="293"/>
      <c r="C93" s="285">
        <f t="shared" si="23"/>
        <v>1</v>
      </c>
      <c r="D93" s="291"/>
      <c r="E93" s="285">
        <f t="shared" si="24"/>
        <v>1</v>
      </c>
      <c r="F93" s="291"/>
      <c r="G93" s="285">
        <f t="shared" si="25"/>
        <v>1</v>
      </c>
      <c r="H93" s="291"/>
      <c r="I93" s="285">
        <f t="shared" si="26"/>
        <v>1</v>
      </c>
      <c r="J93" s="291"/>
      <c r="K93" s="285">
        <f t="shared" si="27"/>
        <v>1</v>
      </c>
      <c r="L93" s="291"/>
      <c r="M93" s="285">
        <f t="shared" si="28"/>
        <v>1</v>
      </c>
      <c r="N93" s="291"/>
      <c r="O93" s="285">
        <f t="shared" si="29"/>
        <v>1</v>
      </c>
      <c r="P93" s="291"/>
      <c r="Q93" s="285">
        <f t="shared" si="30"/>
        <v>0</v>
      </c>
      <c r="R93" s="341">
        <f t="shared" si="31"/>
        <v>0</v>
      </c>
      <c r="S93" s="284">
        <f t="shared" si="22"/>
        <v>0</v>
      </c>
    </row>
    <row r="94" spans="1:19">
      <c r="A94" s="292"/>
      <c r="B94" s="293"/>
      <c r="C94" s="285">
        <f t="shared" si="23"/>
        <v>1</v>
      </c>
      <c r="D94" s="291"/>
      <c r="E94" s="285">
        <f t="shared" si="24"/>
        <v>1</v>
      </c>
      <c r="F94" s="291"/>
      <c r="G94" s="285">
        <f t="shared" si="25"/>
        <v>1</v>
      </c>
      <c r="H94" s="291"/>
      <c r="I94" s="285">
        <f t="shared" si="26"/>
        <v>1</v>
      </c>
      <c r="J94" s="291"/>
      <c r="K94" s="285">
        <f t="shared" si="27"/>
        <v>1</v>
      </c>
      <c r="L94" s="291"/>
      <c r="M94" s="285">
        <f t="shared" si="28"/>
        <v>1</v>
      </c>
      <c r="N94" s="291"/>
      <c r="O94" s="285">
        <f t="shared" si="29"/>
        <v>1</v>
      </c>
      <c r="P94" s="291"/>
      <c r="Q94" s="285">
        <f t="shared" si="30"/>
        <v>0</v>
      </c>
      <c r="R94" s="341">
        <f t="shared" si="31"/>
        <v>0</v>
      </c>
      <c r="S94" s="284">
        <f t="shared" si="22"/>
        <v>0</v>
      </c>
    </row>
    <row r="95" spans="1:19">
      <c r="A95" s="292"/>
      <c r="B95" s="293"/>
      <c r="C95" s="285">
        <f t="shared" si="23"/>
        <v>1</v>
      </c>
      <c r="D95" s="291"/>
      <c r="E95" s="285">
        <f t="shared" si="24"/>
        <v>1</v>
      </c>
      <c r="F95" s="291"/>
      <c r="G95" s="285">
        <f t="shared" si="25"/>
        <v>1</v>
      </c>
      <c r="H95" s="291"/>
      <c r="I95" s="285">
        <f t="shared" si="26"/>
        <v>1</v>
      </c>
      <c r="J95" s="291"/>
      <c r="K95" s="285">
        <f t="shared" si="27"/>
        <v>1</v>
      </c>
      <c r="L95" s="291"/>
      <c r="M95" s="285">
        <f t="shared" si="28"/>
        <v>1</v>
      </c>
      <c r="N95" s="291"/>
      <c r="O95" s="285">
        <f t="shared" si="29"/>
        <v>1</v>
      </c>
      <c r="P95" s="291"/>
      <c r="Q95" s="285">
        <f t="shared" si="30"/>
        <v>0</v>
      </c>
      <c r="R95" s="341">
        <f t="shared" si="31"/>
        <v>0</v>
      </c>
      <c r="S95" s="284">
        <f t="shared" si="22"/>
        <v>0</v>
      </c>
    </row>
    <row r="96" spans="1:19">
      <c r="A96" s="292"/>
      <c r="B96" s="293"/>
      <c r="C96" s="285">
        <f t="shared" si="23"/>
        <v>1</v>
      </c>
      <c r="D96" s="291"/>
      <c r="E96" s="285">
        <f t="shared" si="24"/>
        <v>1</v>
      </c>
      <c r="F96" s="291"/>
      <c r="G96" s="285">
        <f t="shared" si="25"/>
        <v>1</v>
      </c>
      <c r="H96" s="291"/>
      <c r="I96" s="285">
        <f t="shared" si="26"/>
        <v>1</v>
      </c>
      <c r="J96" s="291"/>
      <c r="K96" s="285">
        <f t="shared" si="27"/>
        <v>1</v>
      </c>
      <c r="L96" s="291"/>
      <c r="M96" s="285">
        <f t="shared" si="28"/>
        <v>1</v>
      </c>
      <c r="N96" s="291"/>
      <c r="O96" s="285">
        <f t="shared" si="29"/>
        <v>1</v>
      </c>
      <c r="P96" s="291"/>
      <c r="Q96" s="285">
        <f t="shared" si="30"/>
        <v>0</v>
      </c>
      <c r="R96" s="341">
        <f t="shared" si="31"/>
        <v>0</v>
      </c>
      <c r="S96" s="284">
        <f t="shared" si="22"/>
        <v>0</v>
      </c>
    </row>
    <row r="97" spans="1:19">
      <c r="A97" s="292"/>
      <c r="B97" s="293"/>
      <c r="C97" s="285">
        <f t="shared" si="23"/>
        <v>1</v>
      </c>
      <c r="D97" s="291"/>
      <c r="E97" s="285">
        <f t="shared" si="24"/>
        <v>1</v>
      </c>
      <c r="F97" s="291"/>
      <c r="G97" s="285">
        <f t="shared" si="25"/>
        <v>1</v>
      </c>
      <c r="H97" s="291"/>
      <c r="I97" s="285">
        <f t="shared" si="26"/>
        <v>1</v>
      </c>
      <c r="J97" s="291"/>
      <c r="K97" s="285">
        <f t="shared" si="27"/>
        <v>1</v>
      </c>
      <c r="L97" s="291"/>
      <c r="M97" s="285">
        <f t="shared" si="28"/>
        <v>1</v>
      </c>
      <c r="N97" s="291"/>
      <c r="O97" s="285">
        <f t="shared" si="29"/>
        <v>1</v>
      </c>
      <c r="P97" s="291"/>
      <c r="Q97" s="285">
        <f t="shared" si="30"/>
        <v>0</v>
      </c>
      <c r="R97" s="341">
        <f t="shared" si="31"/>
        <v>0</v>
      </c>
      <c r="S97" s="284">
        <f t="shared" si="22"/>
        <v>0</v>
      </c>
    </row>
    <row r="98" spans="1:19">
      <c r="A98" s="292"/>
      <c r="B98" s="293"/>
      <c r="C98" s="285">
        <f t="shared" si="23"/>
        <v>1</v>
      </c>
      <c r="D98" s="291"/>
      <c r="E98" s="285">
        <f t="shared" si="24"/>
        <v>1</v>
      </c>
      <c r="F98" s="291"/>
      <c r="G98" s="285">
        <f t="shared" si="25"/>
        <v>1</v>
      </c>
      <c r="H98" s="291"/>
      <c r="I98" s="285">
        <f t="shared" si="26"/>
        <v>1</v>
      </c>
      <c r="J98" s="291"/>
      <c r="K98" s="285">
        <f t="shared" si="27"/>
        <v>1</v>
      </c>
      <c r="L98" s="291"/>
      <c r="M98" s="285">
        <f t="shared" si="28"/>
        <v>1</v>
      </c>
      <c r="N98" s="291"/>
      <c r="O98" s="285">
        <f t="shared" si="29"/>
        <v>1</v>
      </c>
      <c r="P98" s="291"/>
      <c r="Q98" s="285">
        <f t="shared" si="30"/>
        <v>0</v>
      </c>
      <c r="R98" s="341">
        <f t="shared" si="31"/>
        <v>0</v>
      </c>
      <c r="S98" s="284">
        <f t="shared" si="22"/>
        <v>0</v>
      </c>
    </row>
    <row r="99" spans="1:19">
      <c r="A99" s="292"/>
      <c r="B99" s="293"/>
      <c r="C99" s="285">
        <f t="shared" si="23"/>
        <v>1</v>
      </c>
      <c r="D99" s="291"/>
      <c r="E99" s="285">
        <f t="shared" si="24"/>
        <v>1</v>
      </c>
      <c r="F99" s="291"/>
      <c r="G99" s="285">
        <f t="shared" si="25"/>
        <v>1</v>
      </c>
      <c r="H99" s="291"/>
      <c r="I99" s="285">
        <f t="shared" si="26"/>
        <v>1</v>
      </c>
      <c r="J99" s="291"/>
      <c r="K99" s="285">
        <f t="shared" si="27"/>
        <v>1</v>
      </c>
      <c r="L99" s="291"/>
      <c r="M99" s="285">
        <f t="shared" si="28"/>
        <v>1</v>
      </c>
      <c r="N99" s="291"/>
      <c r="O99" s="285">
        <f t="shared" si="29"/>
        <v>1</v>
      </c>
      <c r="P99" s="291"/>
      <c r="Q99" s="285">
        <f t="shared" si="30"/>
        <v>0</v>
      </c>
      <c r="R99" s="341">
        <f t="shared" si="31"/>
        <v>0</v>
      </c>
      <c r="S99" s="284">
        <f t="shared" si="22"/>
        <v>0</v>
      </c>
    </row>
    <row r="100" spans="1:19">
      <c r="A100" s="292"/>
      <c r="B100" s="293"/>
      <c r="C100" s="285">
        <f t="shared" si="23"/>
        <v>1</v>
      </c>
      <c r="D100" s="291"/>
      <c r="E100" s="285">
        <f t="shared" si="24"/>
        <v>1</v>
      </c>
      <c r="F100" s="291"/>
      <c r="G100" s="285">
        <f t="shared" si="25"/>
        <v>1</v>
      </c>
      <c r="H100" s="291"/>
      <c r="I100" s="285">
        <f t="shared" si="26"/>
        <v>1</v>
      </c>
      <c r="J100" s="291"/>
      <c r="K100" s="285">
        <f t="shared" si="27"/>
        <v>1</v>
      </c>
      <c r="L100" s="291"/>
      <c r="M100" s="285">
        <f t="shared" si="28"/>
        <v>1</v>
      </c>
      <c r="N100" s="291"/>
      <c r="O100" s="285">
        <f t="shared" si="29"/>
        <v>1</v>
      </c>
      <c r="P100" s="291"/>
      <c r="Q100" s="285">
        <f t="shared" si="30"/>
        <v>0</v>
      </c>
      <c r="R100" s="341">
        <f t="shared" si="31"/>
        <v>0</v>
      </c>
      <c r="S100" s="284">
        <f t="shared" si="22"/>
        <v>0</v>
      </c>
    </row>
    <row r="101" spans="1:19">
      <c r="A101" s="292"/>
      <c r="B101" s="293"/>
      <c r="C101" s="285">
        <f t="shared" si="23"/>
        <v>1</v>
      </c>
      <c r="D101" s="291"/>
      <c r="E101" s="285">
        <f t="shared" si="24"/>
        <v>1</v>
      </c>
      <c r="F101" s="291"/>
      <c r="G101" s="285">
        <f t="shared" si="25"/>
        <v>1</v>
      </c>
      <c r="H101" s="291"/>
      <c r="I101" s="285">
        <f t="shared" si="26"/>
        <v>1</v>
      </c>
      <c r="J101" s="291"/>
      <c r="K101" s="285">
        <f t="shared" si="27"/>
        <v>1</v>
      </c>
      <c r="L101" s="291"/>
      <c r="M101" s="285">
        <f t="shared" si="28"/>
        <v>1</v>
      </c>
      <c r="N101" s="291"/>
      <c r="O101" s="285">
        <f t="shared" si="29"/>
        <v>1</v>
      </c>
      <c r="P101" s="291"/>
      <c r="Q101" s="285">
        <f t="shared" si="30"/>
        <v>0</v>
      </c>
      <c r="R101" s="341">
        <f t="shared" si="31"/>
        <v>0</v>
      </c>
      <c r="S101" s="284">
        <f t="shared" si="22"/>
        <v>0</v>
      </c>
    </row>
    <row r="102" spans="1:19">
      <c r="A102" s="292"/>
      <c r="B102" s="293"/>
      <c r="C102" s="285">
        <f t="shared" si="23"/>
        <v>1</v>
      </c>
      <c r="D102" s="291"/>
      <c r="E102" s="285">
        <f t="shared" si="24"/>
        <v>1</v>
      </c>
      <c r="F102" s="291"/>
      <c r="G102" s="285">
        <f t="shared" si="25"/>
        <v>1</v>
      </c>
      <c r="H102" s="291"/>
      <c r="I102" s="285">
        <f t="shared" si="26"/>
        <v>1</v>
      </c>
      <c r="J102" s="291"/>
      <c r="K102" s="285">
        <f t="shared" si="27"/>
        <v>1</v>
      </c>
      <c r="L102" s="291"/>
      <c r="M102" s="285">
        <f t="shared" si="28"/>
        <v>1</v>
      </c>
      <c r="N102" s="291"/>
      <c r="O102" s="285">
        <f t="shared" si="29"/>
        <v>1</v>
      </c>
      <c r="P102" s="291"/>
      <c r="Q102" s="285">
        <f t="shared" si="30"/>
        <v>0</v>
      </c>
      <c r="R102" s="341">
        <f t="shared" si="31"/>
        <v>0</v>
      </c>
      <c r="S102" s="284">
        <f t="shared" si="22"/>
        <v>0</v>
      </c>
    </row>
    <row r="103" spans="1:19">
      <c r="A103" s="292"/>
      <c r="B103" s="293"/>
      <c r="C103" s="285">
        <f t="shared" si="23"/>
        <v>1</v>
      </c>
      <c r="D103" s="291"/>
      <c r="E103" s="285">
        <f t="shared" si="24"/>
        <v>1</v>
      </c>
      <c r="F103" s="291"/>
      <c r="G103" s="285">
        <f t="shared" si="25"/>
        <v>1</v>
      </c>
      <c r="H103" s="291"/>
      <c r="I103" s="285">
        <f t="shared" si="26"/>
        <v>1</v>
      </c>
      <c r="J103" s="291"/>
      <c r="K103" s="285">
        <f t="shared" si="27"/>
        <v>1</v>
      </c>
      <c r="L103" s="291"/>
      <c r="M103" s="285">
        <f t="shared" si="28"/>
        <v>1</v>
      </c>
      <c r="N103" s="291"/>
      <c r="O103" s="285">
        <f t="shared" si="29"/>
        <v>1</v>
      </c>
      <c r="P103" s="291"/>
      <c r="Q103" s="285">
        <f t="shared" si="30"/>
        <v>0</v>
      </c>
      <c r="R103" s="341">
        <f t="shared" si="31"/>
        <v>0</v>
      </c>
      <c r="S103" s="284">
        <f t="shared" si="22"/>
        <v>0</v>
      </c>
    </row>
    <row r="104" spans="1:19">
      <c r="A104" s="292"/>
      <c r="B104" s="293"/>
      <c r="C104" s="285">
        <f t="shared" si="23"/>
        <v>1</v>
      </c>
      <c r="D104" s="291"/>
      <c r="E104" s="285">
        <f t="shared" si="24"/>
        <v>1</v>
      </c>
      <c r="F104" s="291"/>
      <c r="G104" s="285">
        <f t="shared" si="25"/>
        <v>1</v>
      </c>
      <c r="H104" s="291"/>
      <c r="I104" s="285">
        <f t="shared" si="26"/>
        <v>1</v>
      </c>
      <c r="J104" s="291"/>
      <c r="K104" s="285">
        <f t="shared" si="27"/>
        <v>1</v>
      </c>
      <c r="L104" s="291"/>
      <c r="M104" s="285">
        <f t="shared" si="28"/>
        <v>1</v>
      </c>
      <c r="N104" s="291"/>
      <c r="O104" s="285">
        <f t="shared" si="29"/>
        <v>1</v>
      </c>
      <c r="P104" s="291"/>
      <c r="Q104" s="285">
        <f t="shared" si="30"/>
        <v>0</v>
      </c>
      <c r="R104" s="341">
        <f t="shared" si="31"/>
        <v>0</v>
      </c>
      <c r="S104" s="284">
        <f t="shared" si="22"/>
        <v>0</v>
      </c>
    </row>
    <row r="105" spans="1:19">
      <c r="A105" s="292"/>
      <c r="B105" s="293"/>
      <c r="C105" s="285">
        <f t="shared" si="23"/>
        <v>1</v>
      </c>
      <c r="D105" s="291"/>
      <c r="E105" s="285">
        <f t="shared" si="24"/>
        <v>1</v>
      </c>
      <c r="F105" s="291"/>
      <c r="G105" s="285">
        <f t="shared" si="25"/>
        <v>1</v>
      </c>
      <c r="H105" s="291"/>
      <c r="I105" s="285">
        <f t="shared" si="26"/>
        <v>1</v>
      </c>
      <c r="J105" s="291"/>
      <c r="K105" s="285">
        <f t="shared" si="27"/>
        <v>1</v>
      </c>
      <c r="L105" s="291"/>
      <c r="M105" s="285">
        <f t="shared" si="28"/>
        <v>1</v>
      </c>
      <c r="N105" s="291"/>
      <c r="O105" s="285">
        <f t="shared" si="29"/>
        <v>1</v>
      </c>
      <c r="P105" s="291"/>
      <c r="Q105" s="285">
        <f t="shared" si="30"/>
        <v>0</v>
      </c>
      <c r="R105" s="341">
        <f t="shared" si="31"/>
        <v>0</v>
      </c>
      <c r="S105" s="284">
        <f t="shared" si="22"/>
        <v>0</v>
      </c>
    </row>
    <row r="106" spans="1:19">
      <c r="A106" s="292"/>
      <c r="B106" s="293"/>
      <c r="C106" s="285">
        <f t="shared" si="23"/>
        <v>1</v>
      </c>
      <c r="D106" s="291"/>
      <c r="E106" s="285">
        <f t="shared" si="24"/>
        <v>1</v>
      </c>
      <c r="F106" s="291"/>
      <c r="G106" s="285">
        <f t="shared" si="25"/>
        <v>1</v>
      </c>
      <c r="H106" s="291"/>
      <c r="I106" s="285">
        <f t="shared" si="26"/>
        <v>1</v>
      </c>
      <c r="J106" s="291"/>
      <c r="K106" s="285">
        <f t="shared" si="27"/>
        <v>1</v>
      </c>
      <c r="L106" s="291"/>
      <c r="M106" s="285">
        <f t="shared" si="28"/>
        <v>1</v>
      </c>
      <c r="N106" s="291"/>
      <c r="O106" s="285">
        <f t="shared" si="29"/>
        <v>1</v>
      </c>
      <c r="P106" s="291"/>
      <c r="Q106" s="285">
        <f t="shared" si="30"/>
        <v>0</v>
      </c>
      <c r="R106" s="341">
        <f t="shared" si="31"/>
        <v>0</v>
      </c>
      <c r="S106" s="284">
        <f t="shared" si="22"/>
        <v>0</v>
      </c>
    </row>
    <row r="107" spans="1:19">
      <c r="A107" s="292"/>
      <c r="B107" s="293"/>
      <c r="C107" s="285">
        <f t="shared" si="23"/>
        <v>1</v>
      </c>
      <c r="D107" s="291"/>
      <c r="E107" s="285">
        <f t="shared" si="24"/>
        <v>1</v>
      </c>
      <c r="F107" s="291"/>
      <c r="G107" s="285">
        <f t="shared" si="25"/>
        <v>1</v>
      </c>
      <c r="H107" s="291"/>
      <c r="I107" s="285">
        <f t="shared" si="26"/>
        <v>1</v>
      </c>
      <c r="J107" s="291"/>
      <c r="K107" s="285">
        <f t="shared" si="27"/>
        <v>1</v>
      </c>
      <c r="L107" s="291"/>
      <c r="M107" s="285">
        <f t="shared" si="28"/>
        <v>1</v>
      </c>
      <c r="N107" s="291"/>
      <c r="O107" s="285">
        <f t="shared" si="29"/>
        <v>1</v>
      </c>
      <c r="P107" s="291"/>
      <c r="Q107" s="285">
        <f t="shared" si="30"/>
        <v>0</v>
      </c>
      <c r="R107" s="341">
        <f t="shared" si="31"/>
        <v>0</v>
      </c>
      <c r="S107" s="284">
        <f t="shared" si="22"/>
        <v>0</v>
      </c>
    </row>
    <row r="108" spans="1:19">
      <c r="A108" s="292"/>
      <c r="B108" s="293"/>
      <c r="C108" s="285">
        <f t="shared" si="23"/>
        <v>1</v>
      </c>
      <c r="D108" s="291"/>
      <c r="E108" s="285">
        <f t="shared" si="24"/>
        <v>1</v>
      </c>
      <c r="F108" s="291"/>
      <c r="G108" s="285">
        <f t="shared" si="25"/>
        <v>1</v>
      </c>
      <c r="H108" s="291"/>
      <c r="I108" s="285">
        <f t="shared" si="26"/>
        <v>1</v>
      </c>
      <c r="J108" s="291"/>
      <c r="K108" s="285">
        <f t="shared" si="27"/>
        <v>1</v>
      </c>
      <c r="L108" s="291"/>
      <c r="M108" s="285">
        <f t="shared" si="28"/>
        <v>1</v>
      </c>
      <c r="N108" s="291"/>
      <c r="O108" s="285">
        <f t="shared" si="29"/>
        <v>1</v>
      </c>
      <c r="P108" s="291"/>
      <c r="Q108" s="285">
        <f t="shared" si="30"/>
        <v>0</v>
      </c>
      <c r="R108" s="341">
        <f t="shared" si="31"/>
        <v>0</v>
      </c>
      <c r="S108" s="284">
        <f t="shared" si="22"/>
        <v>0</v>
      </c>
    </row>
    <row r="109" spans="1:19">
      <c r="A109" s="292"/>
      <c r="B109" s="293"/>
      <c r="C109" s="285">
        <f t="shared" si="23"/>
        <v>1</v>
      </c>
      <c r="D109" s="291"/>
      <c r="E109" s="285">
        <f t="shared" si="24"/>
        <v>1</v>
      </c>
      <c r="F109" s="291"/>
      <c r="G109" s="285">
        <f t="shared" si="25"/>
        <v>1</v>
      </c>
      <c r="H109" s="291"/>
      <c r="I109" s="285">
        <f t="shared" si="26"/>
        <v>1</v>
      </c>
      <c r="J109" s="291"/>
      <c r="K109" s="285">
        <f t="shared" si="27"/>
        <v>1</v>
      </c>
      <c r="L109" s="291"/>
      <c r="M109" s="285">
        <f t="shared" si="28"/>
        <v>1</v>
      </c>
      <c r="N109" s="291"/>
      <c r="O109" s="285">
        <f t="shared" si="29"/>
        <v>1</v>
      </c>
      <c r="P109" s="291"/>
      <c r="Q109" s="285">
        <f t="shared" si="30"/>
        <v>0</v>
      </c>
      <c r="R109" s="341">
        <f t="shared" si="31"/>
        <v>0</v>
      </c>
      <c r="S109" s="284">
        <f t="shared" si="22"/>
        <v>0</v>
      </c>
    </row>
    <row r="110" spans="1:19">
      <c r="A110" s="292"/>
      <c r="B110" s="293"/>
      <c r="C110" s="285">
        <f t="shared" si="23"/>
        <v>1</v>
      </c>
      <c r="D110" s="291"/>
      <c r="E110" s="285">
        <f t="shared" si="24"/>
        <v>1</v>
      </c>
      <c r="F110" s="291"/>
      <c r="G110" s="285">
        <f t="shared" si="25"/>
        <v>1</v>
      </c>
      <c r="H110" s="291"/>
      <c r="I110" s="285">
        <f t="shared" si="26"/>
        <v>1</v>
      </c>
      <c r="J110" s="291"/>
      <c r="K110" s="285">
        <f t="shared" si="27"/>
        <v>1</v>
      </c>
      <c r="L110" s="291"/>
      <c r="M110" s="285">
        <f t="shared" si="28"/>
        <v>1</v>
      </c>
      <c r="N110" s="291"/>
      <c r="O110" s="285">
        <f t="shared" si="29"/>
        <v>1</v>
      </c>
      <c r="P110" s="291"/>
      <c r="Q110" s="285">
        <f t="shared" si="30"/>
        <v>0</v>
      </c>
      <c r="R110" s="341">
        <f t="shared" si="31"/>
        <v>0</v>
      </c>
      <c r="S110" s="284">
        <f t="shared" si="22"/>
        <v>0</v>
      </c>
    </row>
    <row r="111" spans="1:19">
      <c r="A111" s="292"/>
      <c r="B111" s="293"/>
      <c r="C111" s="285">
        <f t="shared" si="23"/>
        <v>1</v>
      </c>
      <c r="D111" s="291"/>
      <c r="E111" s="285">
        <f t="shared" si="24"/>
        <v>1</v>
      </c>
      <c r="F111" s="291"/>
      <c r="G111" s="285">
        <f t="shared" si="25"/>
        <v>1</v>
      </c>
      <c r="H111" s="291"/>
      <c r="I111" s="285">
        <f t="shared" si="26"/>
        <v>1</v>
      </c>
      <c r="J111" s="291"/>
      <c r="K111" s="285">
        <f t="shared" si="27"/>
        <v>1</v>
      </c>
      <c r="L111" s="291"/>
      <c r="M111" s="285">
        <f t="shared" si="28"/>
        <v>1</v>
      </c>
      <c r="N111" s="291"/>
      <c r="O111" s="285">
        <f t="shared" si="29"/>
        <v>1</v>
      </c>
      <c r="P111" s="291"/>
      <c r="Q111" s="285">
        <f t="shared" si="30"/>
        <v>0</v>
      </c>
      <c r="R111" s="341">
        <f t="shared" si="31"/>
        <v>0</v>
      </c>
      <c r="S111" s="284">
        <f t="shared" si="22"/>
        <v>0</v>
      </c>
    </row>
    <row r="112" spans="1:19">
      <c r="A112" s="292"/>
      <c r="B112" s="293"/>
      <c r="C112" s="285">
        <f t="shared" si="23"/>
        <v>1</v>
      </c>
      <c r="D112" s="291"/>
      <c r="E112" s="285">
        <f t="shared" si="24"/>
        <v>1</v>
      </c>
      <c r="F112" s="291"/>
      <c r="G112" s="285">
        <f t="shared" si="25"/>
        <v>1</v>
      </c>
      <c r="H112" s="291"/>
      <c r="I112" s="285">
        <f t="shared" si="26"/>
        <v>1</v>
      </c>
      <c r="J112" s="291"/>
      <c r="K112" s="285">
        <f t="shared" si="27"/>
        <v>1</v>
      </c>
      <c r="L112" s="291"/>
      <c r="M112" s="285">
        <f t="shared" si="28"/>
        <v>1</v>
      </c>
      <c r="N112" s="291"/>
      <c r="O112" s="285">
        <f t="shared" si="29"/>
        <v>1</v>
      </c>
      <c r="P112" s="291"/>
      <c r="Q112" s="285">
        <f t="shared" si="30"/>
        <v>0</v>
      </c>
      <c r="R112" s="341">
        <f t="shared" si="31"/>
        <v>0</v>
      </c>
      <c r="S112" s="284">
        <f t="shared" si="22"/>
        <v>0</v>
      </c>
    </row>
    <row r="113" spans="1:19">
      <c r="A113" s="292"/>
      <c r="B113" s="293"/>
      <c r="C113" s="285">
        <f t="shared" si="23"/>
        <v>1</v>
      </c>
      <c r="D113" s="291"/>
      <c r="E113" s="285">
        <f t="shared" si="24"/>
        <v>1</v>
      </c>
      <c r="F113" s="291"/>
      <c r="G113" s="285">
        <f t="shared" si="25"/>
        <v>1</v>
      </c>
      <c r="H113" s="291"/>
      <c r="I113" s="285">
        <f t="shared" si="26"/>
        <v>1</v>
      </c>
      <c r="J113" s="291"/>
      <c r="K113" s="285">
        <f t="shared" si="27"/>
        <v>1</v>
      </c>
      <c r="L113" s="291"/>
      <c r="M113" s="285">
        <f t="shared" si="28"/>
        <v>1</v>
      </c>
      <c r="N113" s="291"/>
      <c r="O113" s="285">
        <f t="shared" si="29"/>
        <v>1</v>
      </c>
      <c r="P113" s="291"/>
      <c r="Q113" s="285">
        <f t="shared" si="30"/>
        <v>0</v>
      </c>
      <c r="R113" s="341">
        <f t="shared" si="31"/>
        <v>0</v>
      </c>
      <c r="S113" s="284">
        <f t="shared" si="22"/>
        <v>0</v>
      </c>
    </row>
    <row r="114" spans="1:19">
      <c r="A114" s="292"/>
      <c r="B114" s="293"/>
      <c r="C114" s="285">
        <f t="shared" si="23"/>
        <v>1</v>
      </c>
      <c r="D114" s="291"/>
      <c r="E114" s="285">
        <f t="shared" si="24"/>
        <v>1</v>
      </c>
      <c r="F114" s="291"/>
      <c r="G114" s="285">
        <f t="shared" si="25"/>
        <v>1</v>
      </c>
      <c r="H114" s="291"/>
      <c r="I114" s="285">
        <f t="shared" si="26"/>
        <v>1</v>
      </c>
      <c r="J114" s="291"/>
      <c r="K114" s="285">
        <f t="shared" si="27"/>
        <v>1</v>
      </c>
      <c r="L114" s="291"/>
      <c r="M114" s="285">
        <f t="shared" si="28"/>
        <v>1</v>
      </c>
      <c r="N114" s="291"/>
      <c r="O114" s="285">
        <f t="shared" si="29"/>
        <v>1</v>
      </c>
      <c r="P114" s="291"/>
      <c r="Q114" s="285">
        <f t="shared" si="30"/>
        <v>0</v>
      </c>
      <c r="R114" s="341">
        <f t="shared" si="31"/>
        <v>0</v>
      </c>
      <c r="S114" s="284">
        <f t="shared" si="22"/>
        <v>0</v>
      </c>
    </row>
    <row r="115" spans="1:19">
      <c r="A115" s="292"/>
      <c r="B115" s="293"/>
      <c r="C115" s="285">
        <f t="shared" si="23"/>
        <v>1</v>
      </c>
      <c r="D115" s="291"/>
      <c r="E115" s="285">
        <f t="shared" si="24"/>
        <v>1</v>
      </c>
      <c r="F115" s="291"/>
      <c r="G115" s="285">
        <f t="shared" si="25"/>
        <v>1</v>
      </c>
      <c r="H115" s="291"/>
      <c r="I115" s="285">
        <f t="shared" si="26"/>
        <v>1</v>
      </c>
      <c r="J115" s="291"/>
      <c r="K115" s="285">
        <f t="shared" si="27"/>
        <v>1</v>
      </c>
      <c r="L115" s="291"/>
      <c r="M115" s="285">
        <f t="shared" si="28"/>
        <v>1</v>
      </c>
      <c r="N115" s="291"/>
      <c r="O115" s="285">
        <f t="shared" si="29"/>
        <v>1</v>
      </c>
      <c r="P115" s="291"/>
      <c r="Q115" s="285">
        <f t="shared" si="30"/>
        <v>0</v>
      </c>
      <c r="R115" s="341">
        <f t="shared" si="31"/>
        <v>0</v>
      </c>
      <c r="S115" s="284">
        <f t="shared" si="22"/>
        <v>0</v>
      </c>
    </row>
    <row r="116" spans="1:19">
      <c r="A116" s="292"/>
      <c r="B116" s="293"/>
      <c r="C116" s="285">
        <f t="shared" si="23"/>
        <v>1</v>
      </c>
      <c r="D116" s="291"/>
      <c r="E116" s="285">
        <f t="shared" si="24"/>
        <v>1</v>
      </c>
      <c r="F116" s="291"/>
      <c r="G116" s="285">
        <f t="shared" si="25"/>
        <v>1</v>
      </c>
      <c r="H116" s="291"/>
      <c r="I116" s="285">
        <f t="shared" si="26"/>
        <v>1</v>
      </c>
      <c r="J116" s="291"/>
      <c r="K116" s="285">
        <f t="shared" si="27"/>
        <v>1</v>
      </c>
      <c r="L116" s="291"/>
      <c r="M116" s="285">
        <f t="shared" si="28"/>
        <v>1</v>
      </c>
      <c r="N116" s="291"/>
      <c r="O116" s="285">
        <f t="shared" si="29"/>
        <v>1</v>
      </c>
      <c r="P116" s="291"/>
      <c r="Q116" s="285">
        <f t="shared" si="30"/>
        <v>0</v>
      </c>
      <c r="R116" s="341">
        <f t="shared" si="31"/>
        <v>0</v>
      </c>
      <c r="S116" s="284">
        <f t="shared" si="22"/>
        <v>0</v>
      </c>
    </row>
    <row r="117" spans="1:19">
      <c r="A117" s="292"/>
      <c r="B117" s="293"/>
      <c r="C117" s="285">
        <f t="shared" si="23"/>
        <v>1</v>
      </c>
      <c r="D117" s="291"/>
      <c r="E117" s="285">
        <f t="shared" si="24"/>
        <v>1</v>
      </c>
      <c r="F117" s="291"/>
      <c r="G117" s="285">
        <f t="shared" si="25"/>
        <v>1</v>
      </c>
      <c r="H117" s="291"/>
      <c r="I117" s="285">
        <f t="shared" si="26"/>
        <v>1</v>
      </c>
      <c r="J117" s="291"/>
      <c r="K117" s="285">
        <f t="shared" si="27"/>
        <v>1</v>
      </c>
      <c r="L117" s="291"/>
      <c r="M117" s="285">
        <f t="shared" si="28"/>
        <v>1</v>
      </c>
      <c r="N117" s="291"/>
      <c r="O117" s="285">
        <f t="shared" si="29"/>
        <v>1</v>
      </c>
      <c r="P117" s="291"/>
      <c r="Q117" s="285">
        <f t="shared" si="30"/>
        <v>0</v>
      </c>
      <c r="R117" s="341">
        <f t="shared" si="31"/>
        <v>0</v>
      </c>
      <c r="S117" s="284">
        <f t="shared" si="22"/>
        <v>0</v>
      </c>
    </row>
    <row r="118" spans="1:19">
      <c r="A118" s="292"/>
      <c r="B118" s="293"/>
      <c r="C118" s="285">
        <f t="shared" si="23"/>
        <v>1</v>
      </c>
      <c r="D118" s="291"/>
      <c r="E118" s="285">
        <f t="shared" si="24"/>
        <v>1</v>
      </c>
      <c r="F118" s="291"/>
      <c r="G118" s="285">
        <f t="shared" si="25"/>
        <v>1</v>
      </c>
      <c r="H118" s="291"/>
      <c r="I118" s="285">
        <f t="shared" si="26"/>
        <v>1</v>
      </c>
      <c r="J118" s="291"/>
      <c r="K118" s="285">
        <f t="shared" si="27"/>
        <v>1</v>
      </c>
      <c r="L118" s="291"/>
      <c r="M118" s="285">
        <f t="shared" si="28"/>
        <v>1</v>
      </c>
      <c r="N118" s="291"/>
      <c r="O118" s="285">
        <f t="shared" si="29"/>
        <v>1</v>
      </c>
      <c r="P118" s="291"/>
      <c r="Q118" s="285">
        <f t="shared" si="30"/>
        <v>0</v>
      </c>
      <c r="R118" s="341">
        <f t="shared" si="31"/>
        <v>0</v>
      </c>
      <c r="S118" s="284">
        <f t="shared" si="22"/>
        <v>0</v>
      </c>
    </row>
    <row r="119" spans="1:19">
      <c r="A119" s="292"/>
      <c r="B119" s="293"/>
      <c r="C119" s="285">
        <f t="shared" si="23"/>
        <v>1</v>
      </c>
      <c r="D119" s="291"/>
      <c r="E119" s="285">
        <f t="shared" si="24"/>
        <v>1</v>
      </c>
      <c r="F119" s="291"/>
      <c r="G119" s="285">
        <f t="shared" si="25"/>
        <v>1</v>
      </c>
      <c r="H119" s="291"/>
      <c r="I119" s="285">
        <f t="shared" si="26"/>
        <v>1</v>
      </c>
      <c r="J119" s="291"/>
      <c r="K119" s="285">
        <f t="shared" si="27"/>
        <v>1</v>
      </c>
      <c r="L119" s="291"/>
      <c r="M119" s="285">
        <f t="shared" si="28"/>
        <v>1</v>
      </c>
      <c r="N119" s="291"/>
      <c r="O119" s="285">
        <f t="shared" si="29"/>
        <v>1</v>
      </c>
      <c r="P119" s="291"/>
      <c r="Q119" s="285">
        <f t="shared" si="30"/>
        <v>0</v>
      </c>
      <c r="R119" s="341">
        <f t="shared" si="31"/>
        <v>0</v>
      </c>
      <c r="S119" s="284">
        <f t="shared" si="22"/>
        <v>0</v>
      </c>
    </row>
    <row r="120" spans="1:19">
      <c r="A120" s="292"/>
      <c r="B120" s="293"/>
      <c r="C120" s="285">
        <f t="shared" si="23"/>
        <v>1</v>
      </c>
      <c r="D120" s="291"/>
      <c r="E120" s="285">
        <f t="shared" si="24"/>
        <v>1</v>
      </c>
      <c r="F120" s="291"/>
      <c r="G120" s="285">
        <f t="shared" si="25"/>
        <v>1</v>
      </c>
      <c r="H120" s="291"/>
      <c r="I120" s="285">
        <f t="shared" si="26"/>
        <v>1</v>
      </c>
      <c r="J120" s="291"/>
      <c r="K120" s="285">
        <f t="shared" si="27"/>
        <v>1</v>
      </c>
      <c r="L120" s="291"/>
      <c r="M120" s="285">
        <f t="shared" si="28"/>
        <v>1</v>
      </c>
      <c r="N120" s="291"/>
      <c r="O120" s="285">
        <f t="shared" si="29"/>
        <v>1</v>
      </c>
      <c r="P120" s="291"/>
      <c r="Q120" s="285">
        <f t="shared" si="30"/>
        <v>0</v>
      </c>
      <c r="R120" s="341">
        <f t="shared" si="31"/>
        <v>0</v>
      </c>
      <c r="S120" s="284">
        <f t="shared" si="22"/>
        <v>0</v>
      </c>
    </row>
    <row r="121" spans="1:19">
      <c r="A121" s="292"/>
      <c r="B121" s="293"/>
      <c r="C121" s="285">
        <f t="shared" si="23"/>
        <v>1</v>
      </c>
      <c r="D121" s="291"/>
      <c r="E121" s="285">
        <f t="shared" si="24"/>
        <v>1</v>
      </c>
      <c r="F121" s="291"/>
      <c r="G121" s="285">
        <f t="shared" si="25"/>
        <v>1</v>
      </c>
      <c r="H121" s="291"/>
      <c r="I121" s="285">
        <f t="shared" si="26"/>
        <v>1</v>
      </c>
      <c r="J121" s="291"/>
      <c r="K121" s="285">
        <f t="shared" si="27"/>
        <v>1</v>
      </c>
      <c r="L121" s="291"/>
      <c r="M121" s="285">
        <f t="shared" si="28"/>
        <v>1</v>
      </c>
      <c r="N121" s="291"/>
      <c r="O121" s="285">
        <f t="shared" si="29"/>
        <v>1</v>
      </c>
      <c r="P121" s="291"/>
      <c r="Q121" s="285">
        <f t="shared" si="30"/>
        <v>0</v>
      </c>
      <c r="R121" s="341">
        <f t="shared" si="31"/>
        <v>0</v>
      </c>
      <c r="S121" s="284">
        <f t="shared" si="22"/>
        <v>0</v>
      </c>
    </row>
    <row r="122" spans="1:19">
      <c r="A122" s="292"/>
      <c r="B122" s="293"/>
      <c r="C122" s="285">
        <f t="shared" si="23"/>
        <v>1</v>
      </c>
      <c r="D122" s="291"/>
      <c r="E122" s="285">
        <f t="shared" si="24"/>
        <v>1</v>
      </c>
      <c r="F122" s="291"/>
      <c r="G122" s="285">
        <f t="shared" si="25"/>
        <v>1</v>
      </c>
      <c r="H122" s="291"/>
      <c r="I122" s="285">
        <f t="shared" si="26"/>
        <v>1</v>
      </c>
      <c r="J122" s="291"/>
      <c r="K122" s="285">
        <f t="shared" si="27"/>
        <v>1</v>
      </c>
      <c r="L122" s="291"/>
      <c r="M122" s="285">
        <f t="shared" si="28"/>
        <v>1</v>
      </c>
      <c r="N122" s="291"/>
      <c r="O122" s="285">
        <f t="shared" si="29"/>
        <v>1</v>
      </c>
      <c r="P122" s="291"/>
      <c r="Q122" s="285">
        <f t="shared" si="30"/>
        <v>0</v>
      </c>
      <c r="R122" s="341">
        <f t="shared" si="31"/>
        <v>0</v>
      </c>
      <c r="S122" s="284">
        <f t="shared" si="22"/>
        <v>0</v>
      </c>
    </row>
    <row r="123" spans="1:19">
      <c r="A123" s="292"/>
      <c r="B123" s="293"/>
      <c r="C123" s="285">
        <f t="shared" si="23"/>
        <v>1</v>
      </c>
      <c r="D123" s="291"/>
      <c r="E123" s="285">
        <f t="shared" si="24"/>
        <v>1</v>
      </c>
      <c r="F123" s="291"/>
      <c r="G123" s="285">
        <f t="shared" si="25"/>
        <v>1</v>
      </c>
      <c r="H123" s="291"/>
      <c r="I123" s="285">
        <f t="shared" si="26"/>
        <v>1</v>
      </c>
      <c r="J123" s="291"/>
      <c r="K123" s="285">
        <f t="shared" si="27"/>
        <v>1</v>
      </c>
      <c r="L123" s="291"/>
      <c r="M123" s="285">
        <f t="shared" si="28"/>
        <v>1</v>
      </c>
      <c r="N123" s="291"/>
      <c r="O123" s="285">
        <f t="shared" si="29"/>
        <v>1</v>
      </c>
      <c r="P123" s="291"/>
      <c r="Q123" s="285">
        <f t="shared" si="30"/>
        <v>0</v>
      </c>
      <c r="R123" s="341">
        <f t="shared" si="31"/>
        <v>0</v>
      </c>
      <c r="S123" s="284">
        <f t="shared" ref="S123:S186" si="32">ROUND(R123*B123/10000,0)</f>
        <v>0</v>
      </c>
    </row>
    <row r="124" spans="1:19">
      <c r="A124" s="292"/>
      <c r="B124" s="293"/>
      <c r="C124" s="285">
        <f t="shared" si="23"/>
        <v>1</v>
      </c>
      <c r="D124" s="291"/>
      <c r="E124" s="285">
        <f t="shared" si="24"/>
        <v>1</v>
      </c>
      <c r="F124" s="291"/>
      <c r="G124" s="285">
        <f t="shared" si="25"/>
        <v>1</v>
      </c>
      <c r="H124" s="291"/>
      <c r="I124" s="285">
        <f t="shared" si="26"/>
        <v>1</v>
      </c>
      <c r="J124" s="291"/>
      <c r="K124" s="285">
        <f t="shared" si="27"/>
        <v>1</v>
      </c>
      <c r="L124" s="291"/>
      <c r="M124" s="285">
        <f t="shared" si="28"/>
        <v>1</v>
      </c>
      <c r="N124" s="291"/>
      <c r="O124" s="285">
        <f t="shared" si="29"/>
        <v>1</v>
      </c>
      <c r="P124" s="291"/>
      <c r="Q124" s="285">
        <f t="shared" si="30"/>
        <v>0</v>
      </c>
      <c r="R124" s="341">
        <f t="shared" si="31"/>
        <v>0</v>
      </c>
      <c r="S124" s="284">
        <f t="shared" si="32"/>
        <v>0</v>
      </c>
    </row>
    <row r="125" spans="1:19">
      <c r="A125" s="292"/>
      <c r="B125" s="293"/>
      <c r="C125" s="285">
        <f t="shared" si="23"/>
        <v>1</v>
      </c>
      <c r="D125" s="291"/>
      <c r="E125" s="285">
        <f t="shared" si="24"/>
        <v>1</v>
      </c>
      <c r="F125" s="291"/>
      <c r="G125" s="285">
        <f t="shared" si="25"/>
        <v>1</v>
      </c>
      <c r="H125" s="291"/>
      <c r="I125" s="285">
        <f t="shared" si="26"/>
        <v>1</v>
      </c>
      <c r="J125" s="291"/>
      <c r="K125" s="285">
        <f t="shared" si="27"/>
        <v>1</v>
      </c>
      <c r="L125" s="291"/>
      <c r="M125" s="285">
        <f t="shared" si="28"/>
        <v>1</v>
      </c>
      <c r="N125" s="291"/>
      <c r="O125" s="285">
        <f t="shared" si="29"/>
        <v>1</v>
      </c>
      <c r="P125" s="291"/>
      <c r="Q125" s="285">
        <f t="shared" si="30"/>
        <v>0</v>
      </c>
      <c r="R125" s="341">
        <f t="shared" si="31"/>
        <v>0</v>
      </c>
      <c r="S125" s="284">
        <f t="shared" si="32"/>
        <v>0</v>
      </c>
    </row>
    <row r="126" spans="1:19">
      <c r="A126" s="292"/>
      <c r="B126" s="293"/>
      <c r="C126" s="285">
        <f t="shared" si="23"/>
        <v>1</v>
      </c>
      <c r="D126" s="291"/>
      <c r="E126" s="285">
        <f t="shared" si="24"/>
        <v>1</v>
      </c>
      <c r="F126" s="291"/>
      <c r="G126" s="285">
        <f t="shared" si="25"/>
        <v>1</v>
      </c>
      <c r="H126" s="291"/>
      <c r="I126" s="285">
        <f t="shared" si="26"/>
        <v>1</v>
      </c>
      <c r="J126" s="291"/>
      <c r="K126" s="285">
        <f t="shared" si="27"/>
        <v>1</v>
      </c>
      <c r="L126" s="291"/>
      <c r="M126" s="285">
        <f t="shared" si="28"/>
        <v>1</v>
      </c>
      <c r="N126" s="291"/>
      <c r="O126" s="285">
        <f t="shared" si="29"/>
        <v>1</v>
      </c>
      <c r="P126" s="291"/>
      <c r="Q126" s="285">
        <f t="shared" si="30"/>
        <v>0</v>
      </c>
      <c r="R126" s="341">
        <f t="shared" si="31"/>
        <v>0</v>
      </c>
      <c r="S126" s="284">
        <f t="shared" si="32"/>
        <v>0</v>
      </c>
    </row>
    <row r="127" spans="1:19">
      <c r="A127" s="292"/>
      <c r="B127" s="293"/>
      <c r="C127" s="285">
        <f t="shared" si="23"/>
        <v>1</v>
      </c>
      <c r="D127" s="291"/>
      <c r="E127" s="285">
        <f t="shared" si="24"/>
        <v>1</v>
      </c>
      <c r="F127" s="291"/>
      <c r="G127" s="285">
        <f t="shared" si="25"/>
        <v>1</v>
      </c>
      <c r="H127" s="291"/>
      <c r="I127" s="285">
        <f t="shared" si="26"/>
        <v>1</v>
      </c>
      <c r="J127" s="291"/>
      <c r="K127" s="285">
        <f t="shared" si="27"/>
        <v>1</v>
      </c>
      <c r="L127" s="291"/>
      <c r="M127" s="285">
        <f t="shared" si="28"/>
        <v>1</v>
      </c>
      <c r="N127" s="291"/>
      <c r="O127" s="285">
        <f t="shared" si="29"/>
        <v>1</v>
      </c>
      <c r="P127" s="291"/>
      <c r="Q127" s="285">
        <f t="shared" si="30"/>
        <v>0</v>
      </c>
      <c r="R127" s="341">
        <f t="shared" si="31"/>
        <v>0</v>
      </c>
      <c r="S127" s="284">
        <f t="shared" si="32"/>
        <v>0</v>
      </c>
    </row>
    <row r="128" spans="1:19">
      <c r="A128" s="292"/>
      <c r="B128" s="293"/>
      <c r="C128" s="285">
        <f t="shared" si="23"/>
        <v>1</v>
      </c>
      <c r="D128" s="291"/>
      <c r="E128" s="285">
        <f t="shared" si="24"/>
        <v>1</v>
      </c>
      <c r="F128" s="291"/>
      <c r="G128" s="285">
        <f t="shared" si="25"/>
        <v>1</v>
      </c>
      <c r="H128" s="291"/>
      <c r="I128" s="285">
        <f t="shared" si="26"/>
        <v>1</v>
      </c>
      <c r="J128" s="291"/>
      <c r="K128" s="285">
        <f t="shared" si="27"/>
        <v>1</v>
      </c>
      <c r="L128" s="291"/>
      <c r="M128" s="285">
        <f t="shared" si="28"/>
        <v>1</v>
      </c>
      <c r="N128" s="291"/>
      <c r="O128" s="285">
        <f t="shared" si="29"/>
        <v>1</v>
      </c>
      <c r="P128" s="291"/>
      <c r="Q128" s="285">
        <f t="shared" si="30"/>
        <v>0</v>
      </c>
      <c r="R128" s="341">
        <f t="shared" si="31"/>
        <v>0</v>
      </c>
      <c r="S128" s="284">
        <f t="shared" si="32"/>
        <v>0</v>
      </c>
    </row>
    <row r="129" spans="1:19">
      <c r="A129" s="292"/>
      <c r="B129" s="293"/>
      <c r="C129" s="285">
        <f t="shared" si="23"/>
        <v>1</v>
      </c>
      <c r="D129" s="291"/>
      <c r="E129" s="285">
        <f t="shared" si="24"/>
        <v>1</v>
      </c>
      <c r="F129" s="291"/>
      <c r="G129" s="285">
        <f t="shared" si="25"/>
        <v>1</v>
      </c>
      <c r="H129" s="291"/>
      <c r="I129" s="285">
        <f t="shared" si="26"/>
        <v>1</v>
      </c>
      <c r="J129" s="291"/>
      <c r="K129" s="285">
        <f t="shared" si="27"/>
        <v>1</v>
      </c>
      <c r="L129" s="291"/>
      <c r="M129" s="285">
        <f t="shared" si="28"/>
        <v>1</v>
      </c>
      <c r="N129" s="291"/>
      <c r="O129" s="285">
        <f t="shared" si="29"/>
        <v>1</v>
      </c>
      <c r="P129" s="291"/>
      <c r="Q129" s="285">
        <f t="shared" si="30"/>
        <v>0</v>
      </c>
      <c r="R129" s="341">
        <f t="shared" si="31"/>
        <v>0</v>
      </c>
      <c r="S129" s="284">
        <f t="shared" si="32"/>
        <v>0</v>
      </c>
    </row>
    <row r="130" spans="1:19">
      <c r="A130" s="292"/>
      <c r="B130" s="293"/>
      <c r="C130" s="285">
        <f t="shared" si="23"/>
        <v>1</v>
      </c>
      <c r="D130" s="291"/>
      <c r="E130" s="285">
        <f t="shared" si="24"/>
        <v>1</v>
      </c>
      <c r="F130" s="291"/>
      <c r="G130" s="285">
        <f t="shared" si="25"/>
        <v>1</v>
      </c>
      <c r="H130" s="291"/>
      <c r="I130" s="285">
        <f t="shared" si="26"/>
        <v>1</v>
      </c>
      <c r="J130" s="291"/>
      <c r="K130" s="285">
        <f t="shared" si="27"/>
        <v>1</v>
      </c>
      <c r="L130" s="291"/>
      <c r="M130" s="285">
        <f t="shared" si="28"/>
        <v>1</v>
      </c>
      <c r="N130" s="291"/>
      <c r="O130" s="285">
        <f t="shared" si="29"/>
        <v>1</v>
      </c>
      <c r="P130" s="291"/>
      <c r="Q130" s="285">
        <f t="shared" si="30"/>
        <v>0</v>
      </c>
      <c r="R130" s="341">
        <f t="shared" si="31"/>
        <v>0</v>
      </c>
      <c r="S130" s="284">
        <f t="shared" si="32"/>
        <v>0</v>
      </c>
    </row>
    <row r="131" spans="1:19">
      <c r="A131" s="292"/>
      <c r="B131" s="293"/>
      <c r="C131" s="285">
        <f t="shared" si="23"/>
        <v>1</v>
      </c>
      <c r="D131" s="291"/>
      <c r="E131" s="285">
        <f t="shared" si="24"/>
        <v>1</v>
      </c>
      <c r="F131" s="291"/>
      <c r="G131" s="285">
        <f t="shared" si="25"/>
        <v>1</v>
      </c>
      <c r="H131" s="291"/>
      <c r="I131" s="285">
        <f t="shared" si="26"/>
        <v>1</v>
      </c>
      <c r="J131" s="291"/>
      <c r="K131" s="285">
        <f t="shared" si="27"/>
        <v>1</v>
      </c>
      <c r="L131" s="291"/>
      <c r="M131" s="285">
        <f t="shared" si="28"/>
        <v>1</v>
      </c>
      <c r="N131" s="291"/>
      <c r="O131" s="285">
        <f t="shared" si="29"/>
        <v>1</v>
      </c>
      <c r="P131" s="291"/>
      <c r="Q131" s="285">
        <f t="shared" si="30"/>
        <v>0</v>
      </c>
      <c r="R131" s="341">
        <f t="shared" si="31"/>
        <v>0</v>
      </c>
      <c r="S131" s="284">
        <f t="shared" si="32"/>
        <v>0</v>
      </c>
    </row>
    <row r="132" spans="1:19">
      <c r="A132" s="292"/>
      <c r="B132" s="293"/>
      <c r="C132" s="285">
        <f t="shared" si="23"/>
        <v>1</v>
      </c>
      <c r="D132" s="291"/>
      <c r="E132" s="285">
        <f t="shared" si="24"/>
        <v>1</v>
      </c>
      <c r="F132" s="291"/>
      <c r="G132" s="285">
        <f t="shared" si="25"/>
        <v>1</v>
      </c>
      <c r="H132" s="291"/>
      <c r="I132" s="285">
        <f t="shared" si="26"/>
        <v>1</v>
      </c>
      <c r="J132" s="291"/>
      <c r="K132" s="285">
        <f t="shared" si="27"/>
        <v>1</v>
      </c>
      <c r="L132" s="291"/>
      <c r="M132" s="285">
        <f t="shared" si="28"/>
        <v>1</v>
      </c>
      <c r="N132" s="291"/>
      <c r="O132" s="285">
        <f t="shared" si="29"/>
        <v>1</v>
      </c>
      <c r="P132" s="291"/>
      <c r="Q132" s="285">
        <f t="shared" si="30"/>
        <v>0</v>
      </c>
      <c r="R132" s="341">
        <f t="shared" si="31"/>
        <v>0</v>
      </c>
      <c r="S132" s="284">
        <f t="shared" si="32"/>
        <v>0</v>
      </c>
    </row>
    <row r="133" spans="1:19">
      <c r="A133" s="292"/>
      <c r="B133" s="293"/>
      <c r="C133" s="285">
        <f t="shared" si="23"/>
        <v>1</v>
      </c>
      <c r="D133" s="291"/>
      <c r="E133" s="285">
        <f t="shared" si="24"/>
        <v>1</v>
      </c>
      <c r="F133" s="291"/>
      <c r="G133" s="285">
        <f t="shared" si="25"/>
        <v>1</v>
      </c>
      <c r="H133" s="291"/>
      <c r="I133" s="285">
        <f t="shared" si="26"/>
        <v>1</v>
      </c>
      <c r="J133" s="291"/>
      <c r="K133" s="285">
        <f t="shared" si="27"/>
        <v>1</v>
      </c>
      <c r="L133" s="291"/>
      <c r="M133" s="285">
        <f t="shared" si="28"/>
        <v>1</v>
      </c>
      <c r="N133" s="291"/>
      <c r="O133" s="285">
        <f t="shared" si="29"/>
        <v>1</v>
      </c>
      <c r="P133" s="291"/>
      <c r="Q133" s="285">
        <f t="shared" si="30"/>
        <v>0</v>
      </c>
      <c r="R133" s="341">
        <f t="shared" si="31"/>
        <v>0</v>
      </c>
      <c r="S133" s="284">
        <f t="shared" si="32"/>
        <v>0</v>
      </c>
    </row>
    <row r="134" spans="1:19">
      <c r="A134" s="292"/>
      <c r="B134" s="293"/>
      <c r="C134" s="285">
        <f t="shared" si="23"/>
        <v>1</v>
      </c>
      <c r="D134" s="291"/>
      <c r="E134" s="285">
        <f t="shared" si="24"/>
        <v>1</v>
      </c>
      <c r="F134" s="291"/>
      <c r="G134" s="285">
        <f t="shared" si="25"/>
        <v>1</v>
      </c>
      <c r="H134" s="291"/>
      <c r="I134" s="285">
        <f t="shared" si="26"/>
        <v>1</v>
      </c>
      <c r="J134" s="291"/>
      <c r="K134" s="285">
        <f t="shared" si="27"/>
        <v>1</v>
      </c>
      <c r="L134" s="291"/>
      <c r="M134" s="285">
        <f t="shared" si="28"/>
        <v>1</v>
      </c>
      <c r="N134" s="291"/>
      <c r="O134" s="285">
        <f t="shared" si="29"/>
        <v>1</v>
      </c>
      <c r="P134" s="291"/>
      <c r="Q134" s="285">
        <f t="shared" si="30"/>
        <v>0</v>
      </c>
      <c r="R134" s="341">
        <f t="shared" si="31"/>
        <v>0</v>
      </c>
      <c r="S134" s="284">
        <f t="shared" si="32"/>
        <v>0</v>
      </c>
    </row>
    <row r="135" spans="1:19">
      <c r="A135" s="292"/>
      <c r="B135" s="293"/>
      <c r="C135" s="285">
        <f t="shared" si="23"/>
        <v>1</v>
      </c>
      <c r="D135" s="291"/>
      <c r="E135" s="285">
        <f t="shared" si="24"/>
        <v>1</v>
      </c>
      <c r="F135" s="291"/>
      <c r="G135" s="285">
        <f t="shared" si="25"/>
        <v>1</v>
      </c>
      <c r="H135" s="291"/>
      <c r="I135" s="285">
        <f t="shared" si="26"/>
        <v>1</v>
      </c>
      <c r="J135" s="291"/>
      <c r="K135" s="285">
        <f t="shared" si="27"/>
        <v>1</v>
      </c>
      <c r="L135" s="291"/>
      <c r="M135" s="285">
        <f t="shared" si="28"/>
        <v>1</v>
      </c>
      <c r="N135" s="291"/>
      <c r="O135" s="285">
        <f t="shared" si="29"/>
        <v>1</v>
      </c>
      <c r="P135" s="291"/>
      <c r="Q135" s="285">
        <f t="shared" si="30"/>
        <v>0</v>
      </c>
      <c r="R135" s="341">
        <f t="shared" si="31"/>
        <v>0</v>
      </c>
      <c r="S135" s="284">
        <f t="shared" si="32"/>
        <v>0</v>
      </c>
    </row>
    <row r="136" spans="1:19">
      <c r="A136" s="292"/>
      <c r="B136" s="293"/>
      <c r="C136" s="285">
        <f t="shared" si="23"/>
        <v>1</v>
      </c>
      <c r="D136" s="291"/>
      <c r="E136" s="285">
        <f t="shared" si="24"/>
        <v>1</v>
      </c>
      <c r="F136" s="291"/>
      <c r="G136" s="285">
        <f t="shared" si="25"/>
        <v>1</v>
      </c>
      <c r="H136" s="291"/>
      <c r="I136" s="285">
        <f t="shared" si="26"/>
        <v>1</v>
      </c>
      <c r="J136" s="291"/>
      <c r="K136" s="285">
        <f t="shared" si="27"/>
        <v>1</v>
      </c>
      <c r="L136" s="291"/>
      <c r="M136" s="285">
        <f t="shared" si="28"/>
        <v>1</v>
      </c>
      <c r="N136" s="291"/>
      <c r="O136" s="285">
        <f t="shared" si="29"/>
        <v>1</v>
      </c>
      <c r="P136" s="291"/>
      <c r="Q136" s="285">
        <f t="shared" si="30"/>
        <v>0</v>
      </c>
      <c r="R136" s="341">
        <f t="shared" si="31"/>
        <v>0</v>
      </c>
      <c r="S136" s="284">
        <f t="shared" si="32"/>
        <v>0</v>
      </c>
    </row>
    <row r="137" spans="1:19">
      <c r="A137" s="292"/>
      <c r="B137" s="293"/>
      <c r="C137" s="285">
        <f t="shared" si="23"/>
        <v>1</v>
      </c>
      <c r="D137" s="291"/>
      <c r="E137" s="285">
        <f t="shared" si="24"/>
        <v>1</v>
      </c>
      <c r="F137" s="291"/>
      <c r="G137" s="285">
        <f t="shared" si="25"/>
        <v>1</v>
      </c>
      <c r="H137" s="291"/>
      <c r="I137" s="285">
        <f t="shared" si="26"/>
        <v>1</v>
      </c>
      <c r="J137" s="291"/>
      <c r="K137" s="285">
        <f t="shared" si="27"/>
        <v>1</v>
      </c>
      <c r="L137" s="291"/>
      <c r="M137" s="285">
        <f t="shared" si="28"/>
        <v>1</v>
      </c>
      <c r="N137" s="291"/>
      <c r="O137" s="285">
        <f t="shared" si="29"/>
        <v>1</v>
      </c>
      <c r="P137" s="291"/>
      <c r="Q137" s="285">
        <f t="shared" si="30"/>
        <v>0</v>
      </c>
      <c r="R137" s="341">
        <f t="shared" si="31"/>
        <v>0</v>
      </c>
      <c r="S137" s="284">
        <f t="shared" si="32"/>
        <v>0</v>
      </c>
    </row>
    <row r="138" spans="1:19">
      <c r="A138" s="292"/>
      <c r="B138" s="293"/>
      <c r="C138" s="285">
        <f t="shared" si="23"/>
        <v>1</v>
      </c>
      <c r="D138" s="291"/>
      <c r="E138" s="285">
        <f t="shared" si="24"/>
        <v>1</v>
      </c>
      <c r="F138" s="291"/>
      <c r="G138" s="285">
        <f t="shared" si="25"/>
        <v>1</v>
      </c>
      <c r="H138" s="291"/>
      <c r="I138" s="285">
        <f t="shared" si="26"/>
        <v>1</v>
      </c>
      <c r="J138" s="291"/>
      <c r="K138" s="285">
        <f t="shared" si="27"/>
        <v>1</v>
      </c>
      <c r="L138" s="291"/>
      <c r="M138" s="285">
        <f t="shared" si="28"/>
        <v>1</v>
      </c>
      <c r="N138" s="291"/>
      <c r="O138" s="285">
        <f t="shared" si="29"/>
        <v>1</v>
      </c>
      <c r="P138" s="291"/>
      <c r="Q138" s="285">
        <f t="shared" si="30"/>
        <v>0</v>
      </c>
      <c r="R138" s="341">
        <f t="shared" si="31"/>
        <v>0</v>
      </c>
      <c r="S138" s="284">
        <f t="shared" si="32"/>
        <v>0</v>
      </c>
    </row>
    <row r="139" spans="1:19">
      <c r="A139" s="292"/>
      <c r="B139" s="293"/>
      <c r="C139" s="285">
        <f t="shared" si="23"/>
        <v>1</v>
      </c>
      <c r="D139" s="291"/>
      <c r="E139" s="285">
        <f t="shared" si="24"/>
        <v>1</v>
      </c>
      <c r="F139" s="291"/>
      <c r="G139" s="285">
        <f t="shared" si="25"/>
        <v>1</v>
      </c>
      <c r="H139" s="291"/>
      <c r="I139" s="285">
        <f t="shared" si="26"/>
        <v>1</v>
      </c>
      <c r="J139" s="291"/>
      <c r="K139" s="285">
        <f t="shared" si="27"/>
        <v>1</v>
      </c>
      <c r="L139" s="291"/>
      <c r="M139" s="285">
        <f t="shared" si="28"/>
        <v>1</v>
      </c>
      <c r="N139" s="291"/>
      <c r="O139" s="285">
        <f t="shared" si="29"/>
        <v>1</v>
      </c>
      <c r="P139" s="291"/>
      <c r="Q139" s="285">
        <f t="shared" si="30"/>
        <v>0</v>
      </c>
      <c r="R139" s="341">
        <f t="shared" si="31"/>
        <v>0</v>
      </c>
      <c r="S139" s="284">
        <f t="shared" si="32"/>
        <v>0</v>
      </c>
    </row>
    <row r="140" spans="1:19">
      <c r="A140" s="292"/>
      <c r="B140" s="293"/>
      <c r="C140" s="285">
        <f t="shared" si="23"/>
        <v>1</v>
      </c>
      <c r="D140" s="291"/>
      <c r="E140" s="285">
        <f t="shared" si="24"/>
        <v>1</v>
      </c>
      <c r="F140" s="291"/>
      <c r="G140" s="285">
        <f t="shared" si="25"/>
        <v>1</v>
      </c>
      <c r="H140" s="291"/>
      <c r="I140" s="285">
        <f t="shared" si="26"/>
        <v>1</v>
      </c>
      <c r="J140" s="291"/>
      <c r="K140" s="285">
        <f t="shared" si="27"/>
        <v>1</v>
      </c>
      <c r="L140" s="291"/>
      <c r="M140" s="285">
        <f t="shared" si="28"/>
        <v>1</v>
      </c>
      <c r="N140" s="291"/>
      <c r="O140" s="285">
        <f t="shared" si="29"/>
        <v>1</v>
      </c>
      <c r="P140" s="291"/>
      <c r="Q140" s="285">
        <f t="shared" si="30"/>
        <v>0</v>
      </c>
      <c r="R140" s="341">
        <f t="shared" si="31"/>
        <v>0</v>
      </c>
      <c r="S140" s="284">
        <f t="shared" si="32"/>
        <v>0</v>
      </c>
    </row>
    <row r="141" spans="1:19">
      <c r="A141" s="292"/>
      <c r="B141" s="293"/>
      <c r="C141" s="285">
        <f t="shared" si="23"/>
        <v>1</v>
      </c>
      <c r="D141" s="291"/>
      <c r="E141" s="285">
        <f t="shared" si="24"/>
        <v>1</v>
      </c>
      <c r="F141" s="291"/>
      <c r="G141" s="285">
        <f t="shared" si="25"/>
        <v>1</v>
      </c>
      <c r="H141" s="291"/>
      <c r="I141" s="285">
        <f t="shared" si="26"/>
        <v>1</v>
      </c>
      <c r="J141" s="291"/>
      <c r="K141" s="285">
        <f t="shared" si="27"/>
        <v>1</v>
      </c>
      <c r="L141" s="291"/>
      <c r="M141" s="285">
        <f t="shared" si="28"/>
        <v>1</v>
      </c>
      <c r="N141" s="291"/>
      <c r="O141" s="285">
        <f t="shared" si="29"/>
        <v>1</v>
      </c>
      <c r="P141" s="291"/>
      <c r="Q141" s="285">
        <f t="shared" si="30"/>
        <v>0</v>
      </c>
      <c r="R141" s="341">
        <f t="shared" si="31"/>
        <v>0</v>
      </c>
      <c r="S141" s="284">
        <f t="shared" si="32"/>
        <v>0</v>
      </c>
    </row>
    <row r="142" spans="1:19">
      <c r="A142" s="292"/>
      <c r="B142" s="293"/>
      <c r="C142" s="285">
        <f t="shared" si="23"/>
        <v>1</v>
      </c>
      <c r="D142" s="291"/>
      <c r="E142" s="285">
        <f t="shared" si="24"/>
        <v>1</v>
      </c>
      <c r="F142" s="291"/>
      <c r="G142" s="285">
        <f t="shared" si="25"/>
        <v>1</v>
      </c>
      <c r="H142" s="291"/>
      <c r="I142" s="285">
        <f t="shared" si="26"/>
        <v>1</v>
      </c>
      <c r="J142" s="291"/>
      <c r="K142" s="285">
        <f t="shared" si="27"/>
        <v>1</v>
      </c>
      <c r="L142" s="291"/>
      <c r="M142" s="285">
        <f t="shared" si="28"/>
        <v>1</v>
      </c>
      <c r="N142" s="291"/>
      <c r="O142" s="285">
        <f t="shared" si="29"/>
        <v>1</v>
      </c>
      <c r="P142" s="291"/>
      <c r="Q142" s="285">
        <f t="shared" si="30"/>
        <v>0</v>
      </c>
      <c r="R142" s="341">
        <f t="shared" si="31"/>
        <v>0</v>
      </c>
      <c r="S142" s="284">
        <f t="shared" si="32"/>
        <v>0</v>
      </c>
    </row>
    <row r="143" spans="1:19">
      <c r="A143" s="292"/>
      <c r="B143" s="293"/>
      <c r="C143" s="285">
        <f t="shared" si="23"/>
        <v>1</v>
      </c>
      <c r="D143" s="291"/>
      <c r="E143" s="285">
        <f t="shared" si="24"/>
        <v>1</v>
      </c>
      <c r="F143" s="291"/>
      <c r="G143" s="285">
        <f t="shared" si="25"/>
        <v>1</v>
      </c>
      <c r="H143" s="291"/>
      <c r="I143" s="285">
        <f t="shared" si="26"/>
        <v>1</v>
      </c>
      <c r="J143" s="291"/>
      <c r="K143" s="285">
        <f t="shared" si="27"/>
        <v>1</v>
      </c>
      <c r="L143" s="291"/>
      <c r="M143" s="285">
        <f t="shared" si="28"/>
        <v>1</v>
      </c>
      <c r="N143" s="291"/>
      <c r="O143" s="285">
        <f t="shared" si="29"/>
        <v>1</v>
      </c>
      <c r="P143" s="291"/>
      <c r="Q143" s="285">
        <f t="shared" si="30"/>
        <v>0</v>
      </c>
      <c r="R143" s="341">
        <f t="shared" si="31"/>
        <v>0</v>
      </c>
      <c r="S143" s="284">
        <f t="shared" si="32"/>
        <v>0</v>
      </c>
    </row>
    <row r="144" spans="1:19">
      <c r="A144" s="292"/>
      <c r="B144" s="293"/>
      <c r="C144" s="285">
        <f t="shared" si="23"/>
        <v>1</v>
      </c>
      <c r="D144" s="291"/>
      <c r="E144" s="285">
        <f t="shared" si="24"/>
        <v>1</v>
      </c>
      <c r="F144" s="291"/>
      <c r="G144" s="285">
        <f t="shared" si="25"/>
        <v>1</v>
      </c>
      <c r="H144" s="291"/>
      <c r="I144" s="285">
        <f t="shared" si="26"/>
        <v>1</v>
      </c>
      <c r="J144" s="291"/>
      <c r="K144" s="285">
        <f t="shared" si="27"/>
        <v>1</v>
      </c>
      <c r="L144" s="291"/>
      <c r="M144" s="285">
        <f t="shared" si="28"/>
        <v>1</v>
      </c>
      <c r="N144" s="291"/>
      <c r="O144" s="285">
        <f t="shared" si="29"/>
        <v>1</v>
      </c>
      <c r="P144" s="291"/>
      <c r="Q144" s="285">
        <f t="shared" si="30"/>
        <v>0</v>
      </c>
      <c r="R144" s="341">
        <f t="shared" si="31"/>
        <v>0</v>
      </c>
      <c r="S144" s="284">
        <f t="shared" si="32"/>
        <v>0</v>
      </c>
    </row>
    <row r="145" spans="1:19">
      <c r="A145" s="292"/>
      <c r="B145" s="293"/>
      <c r="C145" s="285">
        <f t="shared" si="23"/>
        <v>1</v>
      </c>
      <c r="D145" s="291"/>
      <c r="E145" s="285">
        <f t="shared" si="24"/>
        <v>1</v>
      </c>
      <c r="F145" s="291"/>
      <c r="G145" s="285">
        <f t="shared" si="25"/>
        <v>1</v>
      </c>
      <c r="H145" s="291"/>
      <c r="I145" s="285">
        <f t="shared" si="26"/>
        <v>1</v>
      </c>
      <c r="J145" s="291"/>
      <c r="K145" s="285">
        <f t="shared" si="27"/>
        <v>1</v>
      </c>
      <c r="L145" s="291"/>
      <c r="M145" s="285">
        <f t="shared" si="28"/>
        <v>1</v>
      </c>
      <c r="N145" s="291"/>
      <c r="O145" s="285">
        <f t="shared" si="29"/>
        <v>1</v>
      </c>
      <c r="P145" s="291"/>
      <c r="Q145" s="285">
        <f t="shared" si="30"/>
        <v>0</v>
      </c>
      <c r="R145" s="341">
        <f t="shared" si="31"/>
        <v>0</v>
      </c>
      <c r="S145" s="284">
        <f t="shared" si="32"/>
        <v>0</v>
      </c>
    </row>
    <row r="146" spans="1:19">
      <c r="A146" s="292"/>
      <c r="B146" s="293"/>
      <c r="C146" s="285">
        <f t="shared" si="23"/>
        <v>1</v>
      </c>
      <c r="D146" s="291"/>
      <c r="E146" s="285">
        <f t="shared" si="24"/>
        <v>1</v>
      </c>
      <c r="F146" s="291"/>
      <c r="G146" s="285">
        <f t="shared" si="25"/>
        <v>1</v>
      </c>
      <c r="H146" s="291"/>
      <c r="I146" s="285">
        <f t="shared" si="26"/>
        <v>1</v>
      </c>
      <c r="J146" s="291"/>
      <c r="K146" s="285">
        <f t="shared" si="27"/>
        <v>1</v>
      </c>
      <c r="L146" s="291"/>
      <c r="M146" s="285">
        <f t="shared" si="28"/>
        <v>1</v>
      </c>
      <c r="N146" s="291"/>
      <c r="O146" s="285">
        <f t="shared" si="29"/>
        <v>1</v>
      </c>
      <c r="P146" s="291"/>
      <c r="Q146" s="285">
        <f t="shared" si="30"/>
        <v>0</v>
      </c>
      <c r="R146" s="341">
        <f t="shared" si="31"/>
        <v>0</v>
      </c>
      <c r="S146" s="284">
        <f t="shared" si="32"/>
        <v>0</v>
      </c>
    </row>
    <row r="147" spans="1:19">
      <c r="A147" s="292"/>
      <c r="B147" s="293"/>
      <c r="C147" s="285">
        <f t="shared" si="23"/>
        <v>1</v>
      </c>
      <c r="D147" s="291"/>
      <c r="E147" s="285">
        <f t="shared" si="24"/>
        <v>1</v>
      </c>
      <c r="F147" s="291"/>
      <c r="G147" s="285">
        <f t="shared" si="25"/>
        <v>1</v>
      </c>
      <c r="H147" s="291"/>
      <c r="I147" s="285">
        <f t="shared" si="26"/>
        <v>1</v>
      </c>
      <c r="J147" s="291"/>
      <c r="K147" s="285">
        <f t="shared" si="27"/>
        <v>1</v>
      </c>
      <c r="L147" s="291"/>
      <c r="M147" s="285">
        <f t="shared" si="28"/>
        <v>1</v>
      </c>
      <c r="N147" s="291"/>
      <c r="O147" s="285">
        <f t="shared" si="29"/>
        <v>1</v>
      </c>
      <c r="P147" s="291"/>
      <c r="Q147" s="285">
        <f t="shared" si="30"/>
        <v>0</v>
      </c>
      <c r="R147" s="341">
        <f t="shared" si="31"/>
        <v>0</v>
      </c>
      <c r="S147" s="284">
        <f t="shared" si="32"/>
        <v>0</v>
      </c>
    </row>
    <row r="148" spans="1:19">
      <c r="A148" s="292"/>
      <c r="B148" s="293"/>
      <c r="C148" s="285">
        <f t="shared" si="23"/>
        <v>1</v>
      </c>
      <c r="D148" s="291"/>
      <c r="E148" s="285">
        <f t="shared" si="24"/>
        <v>1</v>
      </c>
      <c r="F148" s="291"/>
      <c r="G148" s="285">
        <f t="shared" si="25"/>
        <v>1</v>
      </c>
      <c r="H148" s="291"/>
      <c r="I148" s="285">
        <f t="shared" si="26"/>
        <v>1</v>
      </c>
      <c r="J148" s="291"/>
      <c r="K148" s="285">
        <f t="shared" si="27"/>
        <v>1</v>
      </c>
      <c r="L148" s="291"/>
      <c r="M148" s="285">
        <f t="shared" si="28"/>
        <v>1</v>
      </c>
      <c r="N148" s="291"/>
      <c r="O148" s="285">
        <f t="shared" si="29"/>
        <v>1</v>
      </c>
      <c r="P148" s="291"/>
      <c r="Q148" s="285">
        <f t="shared" si="30"/>
        <v>0</v>
      </c>
      <c r="R148" s="341">
        <f t="shared" si="31"/>
        <v>0</v>
      </c>
      <c r="S148" s="284">
        <f t="shared" si="32"/>
        <v>0</v>
      </c>
    </row>
    <row r="149" spans="1:19">
      <c r="A149" s="292"/>
      <c r="B149" s="293"/>
      <c r="C149" s="285">
        <f t="shared" si="23"/>
        <v>1</v>
      </c>
      <c r="D149" s="291"/>
      <c r="E149" s="285">
        <f t="shared" si="24"/>
        <v>1</v>
      </c>
      <c r="F149" s="291"/>
      <c r="G149" s="285">
        <f t="shared" si="25"/>
        <v>1</v>
      </c>
      <c r="H149" s="291"/>
      <c r="I149" s="285">
        <f t="shared" si="26"/>
        <v>1</v>
      </c>
      <c r="J149" s="291"/>
      <c r="K149" s="285">
        <f t="shared" si="27"/>
        <v>1</v>
      </c>
      <c r="L149" s="291"/>
      <c r="M149" s="285">
        <f t="shared" si="28"/>
        <v>1</v>
      </c>
      <c r="N149" s="291"/>
      <c r="O149" s="285">
        <f t="shared" si="29"/>
        <v>1</v>
      </c>
      <c r="P149" s="291"/>
      <c r="Q149" s="285">
        <f t="shared" si="30"/>
        <v>0</v>
      </c>
      <c r="R149" s="341">
        <f t="shared" si="31"/>
        <v>0</v>
      </c>
      <c r="S149" s="284">
        <f t="shared" si="32"/>
        <v>0</v>
      </c>
    </row>
    <row r="150" spans="1:19">
      <c r="A150" s="292"/>
      <c r="B150" s="293"/>
      <c r="C150" s="285">
        <f t="shared" si="23"/>
        <v>1</v>
      </c>
      <c r="D150" s="291"/>
      <c r="E150" s="285">
        <f t="shared" si="24"/>
        <v>1</v>
      </c>
      <c r="F150" s="291"/>
      <c r="G150" s="285">
        <f t="shared" si="25"/>
        <v>1</v>
      </c>
      <c r="H150" s="291"/>
      <c r="I150" s="285">
        <f t="shared" si="26"/>
        <v>1</v>
      </c>
      <c r="J150" s="291"/>
      <c r="K150" s="285">
        <f t="shared" si="27"/>
        <v>1</v>
      </c>
      <c r="L150" s="291"/>
      <c r="M150" s="285">
        <f t="shared" si="28"/>
        <v>1</v>
      </c>
      <c r="N150" s="291"/>
      <c r="O150" s="285">
        <f t="shared" si="29"/>
        <v>1</v>
      </c>
      <c r="P150" s="291"/>
      <c r="Q150" s="285">
        <f t="shared" si="30"/>
        <v>0</v>
      </c>
      <c r="R150" s="341">
        <f t="shared" si="31"/>
        <v>0</v>
      </c>
      <c r="S150" s="284">
        <f t="shared" si="32"/>
        <v>0</v>
      </c>
    </row>
    <row r="151" spans="1:19">
      <c r="A151" s="292"/>
      <c r="B151" s="293"/>
      <c r="C151" s="285">
        <f t="shared" si="23"/>
        <v>1</v>
      </c>
      <c r="D151" s="291"/>
      <c r="E151" s="285">
        <f t="shared" si="24"/>
        <v>1</v>
      </c>
      <c r="F151" s="291"/>
      <c r="G151" s="285">
        <f t="shared" si="25"/>
        <v>1</v>
      </c>
      <c r="H151" s="291"/>
      <c r="I151" s="285">
        <f t="shared" si="26"/>
        <v>1</v>
      </c>
      <c r="J151" s="291"/>
      <c r="K151" s="285">
        <f t="shared" si="27"/>
        <v>1</v>
      </c>
      <c r="L151" s="291"/>
      <c r="M151" s="285">
        <f t="shared" si="28"/>
        <v>1</v>
      </c>
      <c r="N151" s="291"/>
      <c r="O151" s="285">
        <f t="shared" si="29"/>
        <v>1</v>
      </c>
      <c r="P151" s="291"/>
      <c r="Q151" s="285">
        <f t="shared" si="30"/>
        <v>0</v>
      </c>
      <c r="R151" s="341">
        <f t="shared" si="31"/>
        <v>0</v>
      </c>
      <c r="S151" s="284">
        <f t="shared" si="32"/>
        <v>0</v>
      </c>
    </row>
    <row r="152" spans="1:19">
      <c r="A152" s="292"/>
      <c r="B152" s="293"/>
      <c r="C152" s="285">
        <f t="shared" si="23"/>
        <v>1</v>
      </c>
      <c r="D152" s="291"/>
      <c r="E152" s="285">
        <f t="shared" si="24"/>
        <v>1</v>
      </c>
      <c r="F152" s="291"/>
      <c r="G152" s="285">
        <f t="shared" si="25"/>
        <v>1</v>
      </c>
      <c r="H152" s="291"/>
      <c r="I152" s="285">
        <f t="shared" si="26"/>
        <v>1</v>
      </c>
      <c r="J152" s="291"/>
      <c r="K152" s="285">
        <f t="shared" si="27"/>
        <v>1</v>
      </c>
      <c r="L152" s="291"/>
      <c r="M152" s="285">
        <f t="shared" si="28"/>
        <v>1</v>
      </c>
      <c r="N152" s="291"/>
      <c r="O152" s="285">
        <f t="shared" si="29"/>
        <v>1</v>
      </c>
      <c r="P152" s="291"/>
      <c r="Q152" s="285">
        <f t="shared" si="30"/>
        <v>0</v>
      </c>
      <c r="R152" s="341">
        <f t="shared" si="31"/>
        <v>0</v>
      </c>
      <c r="S152" s="284">
        <f t="shared" si="32"/>
        <v>0</v>
      </c>
    </row>
    <row r="153" spans="1:19">
      <c r="A153" s="292"/>
      <c r="B153" s="293"/>
      <c r="C153" s="285">
        <f t="shared" si="23"/>
        <v>1</v>
      </c>
      <c r="D153" s="291"/>
      <c r="E153" s="285">
        <f t="shared" si="24"/>
        <v>1</v>
      </c>
      <c r="F153" s="291"/>
      <c r="G153" s="285">
        <f t="shared" si="25"/>
        <v>1</v>
      </c>
      <c r="H153" s="291"/>
      <c r="I153" s="285">
        <f t="shared" si="26"/>
        <v>1</v>
      </c>
      <c r="J153" s="291"/>
      <c r="K153" s="285">
        <f t="shared" si="27"/>
        <v>1</v>
      </c>
      <c r="L153" s="291"/>
      <c r="M153" s="285">
        <f t="shared" si="28"/>
        <v>1</v>
      </c>
      <c r="N153" s="291"/>
      <c r="O153" s="285">
        <f t="shared" si="29"/>
        <v>1</v>
      </c>
      <c r="P153" s="291"/>
      <c r="Q153" s="285">
        <f t="shared" si="30"/>
        <v>0</v>
      </c>
      <c r="R153" s="341">
        <f t="shared" si="31"/>
        <v>0</v>
      </c>
      <c r="S153" s="284">
        <f t="shared" si="32"/>
        <v>0</v>
      </c>
    </row>
    <row r="154" spans="1:19">
      <c r="A154" s="292"/>
      <c r="B154" s="293"/>
      <c r="C154" s="285">
        <f t="shared" ref="C154:C217" si="33">IF(B154="",1,(LOOKUP(B154,$3:$3,$4:$4)-LOOKUP($B$24,$3:$3,$4:$4)+100)/100)</f>
        <v>1</v>
      </c>
      <c r="D154" s="291"/>
      <c r="E154" s="285">
        <f t="shared" ref="E154:E217" si="34">(SUMIF($5:$5,D154,$6:$6)-SUMIF($5:$5,$D$24,$6:$6)+100)/100</f>
        <v>1</v>
      </c>
      <c r="F154" s="291"/>
      <c r="G154" s="285">
        <f t="shared" ref="G154:G217" si="35">(SUMIF($7:$7,F154,$8:$8)-SUMIF($7:$7,$F$24,$8:$8)+100)/100</f>
        <v>1</v>
      </c>
      <c r="H154" s="291"/>
      <c r="I154" s="285">
        <f t="shared" ref="I154:I217" si="36">(SUMIF($9:$9,H154,$10:$10)-SUMIF($9:$9,$H$24,$10:$10)+100)/100</f>
        <v>1</v>
      </c>
      <c r="J154" s="291"/>
      <c r="K154" s="285">
        <f t="shared" ref="K154:K217" si="37">(SUMIF($11:$11,J154,$12:$12)-SUMIF($11:$11,$J$24,$12:$12)+100)/100</f>
        <v>1</v>
      </c>
      <c r="L154" s="291"/>
      <c r="M154" s="285">
        <f t="shared" ref="M154:M217" si="38">(SUMIF($13:$13,L154,$14:$14)-SUMIF($13:$13,$L$24,$14:$14)+100)/100</f>
        <v>1</v>
      </c>
      <c r="N154" s="291"/>
      <c r="O154" s="285">
        <f t="shared" ref="O154:O217" si="39">(SUMIF($15:$15,N154,$16:$16)-SUMIF($15:$15,$N$24,$16:$16)+100)/100</f>
        <v>1</v>
      </c>
      <c r="P154" s="291"/>
      <c r="Q154" s="285">
        <f t="shared" ref="Q154:Q217" si="40">(SUMIF($17:$17,P154,$18:$18)-SUMIF($17:$17,$P$24,$18:$18)+100)/100</f>
        <v>0</v>
      </c>
      <c r="R154" s="341">
        <f t="shared" ref="R154:R217" si="41">IF(B154="",0,ROUND($R$24*C154*E154*G154*I154*K154*M154*O154*Q154,0))</f>
        <v>0</v>
      </c>
      <c r="S154" s="284">
        <f t="shared" si="32"/>
        <v>0</v>
      </c>
    </row>
    <row r="155" spans="1:19">
      <c r="A155" s="292"/>
      <c r="B155" s="293"/>
      <c r="C155" s="285">
        <f t="shared" si="33"/>
        <v>1</v>
      </c>
      <c r="D155" s="291"/>
      <c r="E155" s="285">
        <f t="shared" si="34"/>
        <v>1</v>
      </c>
      <c r="F155" s="291"/>
      <c r="G155" s="285">
        <f t="shared" si="35"/>
        <v>1</v>
      </c>
      <c r="H155" s="291"/>
      <c r="I155" s="285">
        <f t="shared" si="36"/>
        <v>1</v>
      </c>
      <c r="J155" s="291"/>
      <c r="K155" s="285">
        <f t="shared" si="37"/>
        <v>1</v>
      </c>
      <c r="L155" s="291"/>
      <c r="M155" s="285">
        <f t="shared" si="38"/>
        <v>1</v>
      </c>
      <c r="N155" s="291"/>
      <c r="O155" s="285">
        <f t="shared" si="39"/>
        <v>1</v>
      </c>
      <c r="P155" s="291"/>
      <c r="Q155" s="285">
        <f t="shared" si="40"/>
        <v>0</v>
      </c>
      <c r="R155" s="341">
        <f t="shared" si="41"/>
        <v>0</v>
      </c>
      <c r="S155" s="284">
        <f t="shared" si="32"/>
        <v>0</v>
      </c>
    </row>
    <row r="156" spans="1:19">
      <c r="A156" s="292"/>
      <c r="B156" s="293"/>
      <c r="C156" s="285">
        <f t="shared" si="33"/>
        <v>1</v>
      </c>
      <c r="D156" s="291"/>
      <c r="E156" s="285">
        <f t="shared" si="34"/>
        <v>1</v>
      </c>
      <c r="F156" s="291"/>
      <c r="G156" s="285">
        <f t="shared" si="35"/>
        <v>1</v>
      </c>
      <c r="H156" s="291"/>
      <c r="I156" s="285">
        <f t="shared" si="36"/>
        <v>1</v>
      </c>
      <c r="J156" s="291"/>
      <c r="K156" s="285">
        <f t="shared" si="37"/>
        <v>1</v>
      </c>
      <c r="L156" s="291"/>
      <c r="M156" s="285">
        <f t="shared" si="38"/>
        <v>1</v>
      </c>
      <c r="N156" s="291"/>
      <c r="O156" s="285">
        <f t="shared" si="39"/>
        <v>1</v>
      </c>
      <c r="P156" s="291"/>
      <c r="Q156" s="285">
        <f t="shared" si="40"/>
        <v>0</v>
      </c>
      <c r="R156" s="341">
        <f t="shared" si="41"/>
        <v>0</v>
      </c>
      <c r="S156" s="284">
        <f t="shared" si="32"/>
        <v>0</v>
      </c>
    </row>
    <row r="157" spans="1:19">
      <c r="A157" s="292"/>
      <c r="B157" s="293"/>
      <c r="C157" s="285">
        <f t="shared" si="33"/>
        <v>1</v>
      </c>
      <c r="D157" s="291"/>
      <c r="E157" s="285">
        <f t="shared" si="34"/>
        <v>1</v>
      </c>
      <c r="F157" s="291"/>
      <c r="G157" s="285">
        <f t="shared" si="35"/>
        <v>1</v>
      </c>
      <c r="H157" s="291"/>
      <c r="I157" s="285">
        <f t="shared" si="36"/>
        <v>1</v>
      </c>
      <c r="J157" s="291"/>
      <c r="K157" s="285">
        <f t="shared" si="37"/>
        <v>1</v>
      </c>
      <c r="L157" s="291"/>
      <c r="M157" s="285">
        <f t="shared" si="38"/>
        <v>1</v>
      </c>
      <c r="N157" s="291"/>
      <c r="O157" s="285">
        <f t="shared" si="39"/>
        <v>1</v>
      </c>
      <c r="P157" s="291"/>
      <c r="Q157" s="285">
        <f t="shared" si="40"/>
        <v>0</v>
      </c>
      <c r="R157" s="341">
        <f t="shared" si="41"/>
        <v>0</v>
      </c>
      <c r="S157" s="284">
        <f t="shared" si="32"/>
        <v>0</v>
      </c>
    </row>
    <row r="158" spans="1:19">
      <c r="A158" s="292"/>
      <c r="B158" s="293"/>
      <c r="C158" s="285">
        <f t="shared" si="33"/>
        <v>1</v>
      </c>
      <c r="D158" s="291"/>
      <c r="E158" s="285">
        <f t="shared" si="34"/>
        <v>1</v>
      </c>
      <c r="F158" s="291"/>
      <c r="G158" s="285">
        <f t="shared" si="35"/>
        <v>1</v>
      </c>
      <c r="H158" s="291"/>
      <c r="I158" s="285">
        <f t="shared" si="36"/>
        <v>1</v>
      </c>
      <c r="J158" s="291"/>
      <c r="K158" s="285">
        <f t="shared" si="37"/>
        <v>1</v>
      </c>
      <c r="L158" s="291"/>
      <c r="M158" s="285">
        <f t="shared" si="38"/>
        <v>1</v>
      </c>
      <c r="N158" s="291"/>
      <c r="O158" s="285">
        <f t="shared" si="39"/>
        <v>1</v>
      </c>
      <c r="P158" s="291"/>
      <c r="Q158" s="285">
        <f t="shared" si="40"/>
        <v>0</v>
      </c>
      <c r="R158" s="341">
        <f t="shared" si="41"/>
        <v>0</v>
      </c>
      <c r="S158" s="284">
        <f t="shared" si="32"/>
        <v>0</v>
      </c>
    </row>
    <row r="159" spans="1:19">
      <c r="A159" s="292"/>
      <c r="B159" s="293"/>
      <c r="C159" s="285">
        <f t="shared" si="33"/>
        <v>1</v>
      </c>
      <c r="D159" s="291"/>
      <c r="E159" s="285">
        <f t="shared" si="34"/>
        <v>1</v>
      </c>
      <c r="F159" s="291"/>
      <c r="G159" s="285">
        <f t="shared" si="35"/>
        <v>1</v>
      </c>
      <c r="H159" s="291"/>
      <c r="I159" s="285">
        <f t="shared" si="36"/>
        <v>1</v>
      </c>
      <c r="J159" s="291"/>
      <c r="K159" s="285">
        <f t="shared" si="37"/>
        <v>1</v>
      </c>
      <c r="L159" s="291"/>
      <c r="M159" s="285">
        <f t="shared" si="38"/>
        <v>1</v>
      </c>
      <c r="N159" s="291"/>
      <c r="O159" s="285">
        <f t="shared" si="39"/>
        <v>1</v>
      </c>
      <c r="P159" s="291"/>
      <c r="Q159" s="285">
        <f t="shared" si="40"/>
        <v>0</v>
      </c>
      <c r="R159" s="341">
        <f t="shared" si="41"/>
        <v>0</v>
      </c>
      <c r="S159" s="284">
        <f t="shared" si="32"/>
        <v>0</v>
      </c>
    </row>
    <row r="160" spans="1:19">
      <c r="A160" s="292"/>
      <c r="B160" s="293"/>
      <c r="C160" s="285">
        <f t="shared" si="33"/>
        <v>1</v>
      </c>
      <c r="D160" s="291"/>
      <c r="E160" s="285">
        <f t="shared" si="34"/>
        <v>1</v>
      </c>
      <c r="F160" s="291"/>
      <c r="G160" s="285">
        <f t="shared" si="35"/>
        <v>1</v>
      </c>
      <c r="H160" s="291"/>
      <c r="I160" s="285">
        <f t="shared" si="36"/>
        <v>1</v>
      </c>
      <c r="J160" s="291"/>
      <c r="K160" s="285">
        <f t="shared" si="37"/>
        <v>1</v>
      </c>
      <c r="L160" s="291"/>
      <c r="M160" s="285">
        <f t="shared" si="38"/>
        <v>1</v>
      </c>
      <c r="N160" s="291"/>
      <c r="O160" s="285">
        <f t="shared" si="39"/>
        <v>1</v>
      </c>
      <c r="P160" s="291"/>
      <c r="Q160" s="285">
        <f t="shared" si="40"/>
        <v>0</v>
      </c>
      <c r="R160" s="341">
        <f t="shared" si="41"/>
        <v>0</v>
      </c>
      <c r="S160" s="284">
        <f t="shared" si="32"/>
        <v>0</v>
      </c>
    </row>
    <row r="161" spans="1:19">
      <c r="A161" s="292"/>
      <c r="B161" s="293"/>
      <c r="C161" s="285">
        <f t="shared" si="33"/>
        <v>1</v>
      </c>
      <c r="D161" s="291"/>
      <c r="E161" s="285">
        <f t="shared" si="34"/>
        <v>1</v>
      </c>
      <c r="F161" s="291"/>
      <c r="G161" s="285">
        <f t="shared" si="35"/>
        <v>1</v>
      </c>
      <c r="H161" s="291"/>
      <c r="I161" s="285">
        <f t="shared" si="36"/>
        <v>1</v>
      </c>
      <c r="J161" s="291"/>
      <c r="K161" s="285">
        <f t="shared" si="37"/>
        <v>1</v>
      </c>
      <c r="L161" s="291"/>
      <c r="M161" s="285">
        <f t="shared" si="38"/>
        <v>1</v>
      </c>
      <c r="N161" s="291"/>
      <c r="O161" s="285">
        <f t="shared" si="39"/>
        <v>1</v>
      </c>
      <c r="P161" s="291"/>
      <c r="Q161" s="285">
        <f t="shared" si="40"/>
        <v>0</v>
      </c>
      <c r="R161" s="341">
        <f t="shared" si="41"/>
        <v>0</v>
      </c>
      <c r="S161" s="284">
        <f t="shared" si="32"/>
        <v>0</v>
      </c>
    </row>
    <row r="162" spans="1:19">
      <c r="A162" s="292"/>
      <c r="B162" s="293"/>
      <c r="C162" s="285">
        <f t="shared" si="33"/>
        <v>1</v>
      </c>
      <c r="D162" s="291"/>
      <c r="E162" s="285">
        <f t="shared" si="34"/>
        <v>1</v>
      </c>
      <c r="F162" s="291"/>
      <c r="G162" s="285">
        <f t="shared" si="35"/>
        <v>1</v>
      </c>
      <c r="H162" s="291"/>
      <c r="I162" s="285">
        <f t="shared" si="36"/>
        <v>1</v>
      </c>
      <c r="J162" s="291"/>
      <c r="K162" s="285">
        <f t="shared" si="37"/>
        <v>1</v>
      </c>
      <c r="L162" s="291"/>
      <c r="M162" s="285">
        <f t="shared" si="38"/>
        <v>1</v>
      </c>
      <c r="N162" s="291"/>
      <c r="O162" s="285">
        <f t="shared" si="39"/>
        <v>1</v>
      </c>
      <c r="P162" s="291"/>
      <c r="Q162" s="285">
        <f t="shared" si="40"/>
        <v>0</v>
      </c>
      <c r="R162" s="341">
        <f t="shared" si="41"/>
        <v>0</v>
      </c>
      <c r="S162" s="284">
        <f t="shared" si="32"/>
        <v>0</v>
      </c>
    </row>
    <row r="163" spans="1:19">
      <c r="A163" s="292"/>
      <c r="B163" s="293"/>
      <c r="C163" s="285">
        <f t="shared" si="33"/>
        <v>1</v>
      </c>
      <c r="D163" s="291"/>
      <c r="E163" s="285">
        <f t="shared" si="34"/>
        <v>1</v>
      </c>
      <c r="F163" s="291"/>
      <c r="G163" s="285">
        <f t="shared" si="35"/>
        <v>1</v>
      </c>
      <c r="H163" s="291"/>
      <c r="I163" s="285">
        <f t="shared" si="36"/>
        <v>1</v>
      </c>
      <c r="J163" s="291"/>
      <c r="K163" s="285">
        <f t="shared" si="37"/>
        <v>1</v>
      </c>
      <c r="L163" s="291"/>
      <c r="M163" s="285">
        <f t="shared" si="38"/>
        <v>1</v>
      </c>
      <c r="N163" s="291"/>
      <c r="O163" s="285">
        <f t="shared" si="39"/>
        <v>1</v>
      </c>
      <c r="P163" s="291"/>
      <c r="Q163" s="285">
        <f t="shared" si="40"/>
        <v>0</v>
      </c>
      <c r="R163" s="341">
        <f t="shared" si="41"/>
        <v>0</v>
      </c>
      <c r="S163" s="284">
        <f t="shared" si="32"/>
        <v>0</v>
      </c>
    </row>
    <row r="164" spans="1:19">
      <c r="A164" s="292"/>
      <c r="B164" s="293"/>
      <c r="C164" s="285">
        <f t="shared" si="33"/>
        <v>1</v>
      </c>
      <c r="D164" s="291"/>
      <c r="E164" s="285">
        <f t="shared" si="34"/>
        <v>1</v>
      </c>
      <c r="F164" s="291"/>
      <c r="G164" s="285">
        <f t="shared" si="35"/>
        <v>1</v>
      </c>
      <c r="H164" s="291"/>
      <c r="I164" s="285">
        <f t="shared" si="36"/>
        <v>1</v>
      </c>
      <c r="J164" s="291"/>
      <c r="K164" s="285">
        <f t="shared" si="37"/>
        <v>1</v>
      </c>
      <c r="L164" s="291"/>
      <c r="M164" s="285">
        <f t="shared" si="38"/>
        <v>1</v>
      </c>
      <c r="N164" s="291"/>
      <c r="O164" s="285">
        <f t="shared" si="39"/>
        <v>1</v>
      </c>
      <c r="P164" s="291"/>
      <c r="Q164" s="285">
        <f t="shared" si="40"/>
        <v>0</v>
      </c>
      <c r="R164" s="341">
        <f t="shared" si="41"/>
        <v>0</v>
      </c>
      <c r="S164" s="284">
        <f t="shared" si="32"/>
        <v>0</v>
      </c>
    </row>
    <row r="165" spans="1:19">
      <c r="A165" s="292"/>
      <c r="B165" s="293"/>
      <c r="C165" s="285">
        <f t="shared" si="33"/>
        <v>1</v>
      </c>
      <c r="D165" s="291"/>
      <c r="E165" s="285">
        <f t="shared" si="34"/>
        <v>1</v>
      </c>
      <c r="F165" s="291"/>
      <c r="G165" s="285">
        <f t="shared" si="35"/>
        <v>1</v>
      </c>
      <c r="H165" s="291"/>
      <c r="I165" s="285">
        <f t="shared" si="36"/>
        <v>1</v>
      </c>
      <c r="J165" s="291"/>
      <c r="K165" s="285">
        <f t="shared" si="37"/>
        <v>1</v>
      </c>
      <c r="L165" s="291"/>
      <c r="M165" s="285">
        <f t="shared" si="38"/>
        <v>1</v>
      </c>
      <c r="N165" s="291"/>
      <c r="O165" s="285">
        <f t="shared" si="39"/>
        <v>1</v>
      </c>
      <c r="P165" s="291"/>
      <c r="Q165" s="285">
        <f t="shared" si="40"/>
        <v>0</v>
      </c>
      <c r="R165" s="341">
        <f t="shared" si="41"/>
        <v>0</v>
      </c>
      <c r="S165" s="284">
        <f t="shared" si="32"/>
        <v>0</v>
      </c>
    </row>
    <row r="166" spans="1:19">
      <c r="A166" s="292"/>
      <c r="B166" s="293"/>
      <c r="C166" s="285">
        <f t="shared" si="33"/>
        <v>1</v>
      </c>
      <c r="D166" s="291"/>
      <c r="E166" s="285">
        <f t="shared" si="34"/>
        <v>1</v>
      </c>
      <c r="F166" s="291"/>
      <c r="G166" s="285">
        <f t="shared" si="35"/>
        <v>1</v>
      </c>
      <c r="H166" s="291"/>
      <c r="I166" s="285">
        <f t="shared" si="36"/>
        <v>1</v>
      </c>
      <c r="J166" s="291"/>
      <c r="K166" s="285">
        <f t="shared" si="37"/>
        <v>1</v>
      </c>
      <c r="L166" s="291"/>
      <c r="M166" s="285">
        <f t="shared" si="38"/>
        <v>1</v>
      </c>
      <c r="N166" s="291"/>
      <c r="O166" s="285">
        <f t="shared" si="39"/>
        <v>1</v>
      </c>
      <c r="P166" s="291"/>
      <c r="Q166" s="285">
        <f t="shared" si="40"/>
        <v>0</v>
      </c>
      <c r="R166" s="341">
        <f t="shared" si="41"/>
        <v>0</v>
      </c>
      <c r="S166" s="284">
        <f t="shared" si="32"/>
        <v>0</v>
      </c>
    </row>
    <row r="167" spans="1:19">
      <c r="A167" s="292"/>
      <c r="B167" s="293"/>
      <c r="C167" s="285">
        <f t="shared" si="33"/>
        <v>1</v>
      </c>
      <c r="D167" s="291"/>
      <c r="E167" s="285">
        <f t="shared" si="34"/>
        <v>1</v>
      </c>
      <c r="F167" s="291"/>
      <c r="G167" s="285">
        <f t="shared" si="35"/>
        <v>1</v>
      </c>
      <c r="H167" s="291"/>
      <c r="I167" s="285">
        <f t="shared" si="36"/>
        <v>1</v>
      </c>
      <c r="J167" s="291"/>
      <c r="K167" s="285">
        <f t="shared" si="37"/>
        <v>1</v>
      </c>
      <c r="L167" s="291"/>
      <c r="M167" s="285">
        <f t="shared" si="38"/>
        <v>1</v>
      </c>
      <c r="N167" s="291"/>
      <c r="O167" s="285">
        <f t="shared" si="39"/>
        <v>1</v>
      </c>
      <c r="P167" s="291"/>
      <c r="Q167" s="285">
        <f t="shared" si="40"/>
        <v>0</v>
      </c>
      <c r="R167" s="341">
        <f t="shared" si="41"/>
        <v>0</v>
      </c>
      <c r="S167" s="284">
        <f t="shared" si="32"/>
        <v>0</v>
      </c>
    </row>
    <row r="168" spans="1:19">
      <c r="A168" s="292"/>
      <c r="B168" s="293"/>
      <c r="C168" s="285">
        <f t="shared" si="33"/>
        <v>1</v>
      </c>
      <c r="D168" s="291"/>
      <c r="E168" s="285">
        <f t="shared" si="34"/>
        <v>1</v>
      </c>
      <c r="F168" s="291"/>
      <c r="G168" s="285">
        <f t="shared" si="35"/>
        <v>1</v>
      </c>
      <c r="H168" s="291"/>
      <c r="I168" s="285">
        <f t="shared" si="36"/>
        <v>1</v>
      </c>
      <c r="J168" s="291"/>
      <c r="K168" s="285">
        <f t="shared" si="37"/>
        <v>1</v>
      </c>
      <c r="L168" s="291"/>
      <c r="M168" s="285">
        <f t="shared" si="38"/>
        <v>1</v>
      </c>
      <c r="N168" s="291"/>
      <c r="O168" s="285">
        <f t="shared" si="39"/>
        <v>1</v>
      </c>
      <c r="P168" s="291"/>
      <c r="Q168" s="285">
        <f t="shared" si="40"/>
        <v>0</v>
      </c>
      <c r="R168" s="341">
        <f t="shared" si="41"/>
        <v>0</v>
      </c>
      <c r="S168" s="284">
        <f t="shared" si="32"/>
        <v>0</v>
      </c>
    </row>
    <row r="169" spans="1:19">
      <c r="A169" s="292"/>
      <c r="B169" s="293"/>
      <c r="C169" s="285">
        <f t="shared" si="33"/>
        <v>1</v>
      </c>
      <c r="D169" s="291"/>
      <c r="E169" s="285">
        <f t="shared" si="34"/>
        <v>1</v>
      </c>
      <c r="F169" s="291"/>
      <c r="G169" s="285">
        <f t="shared" si="35"/>
        <v>1</v>
      </c>
      <c r="H169" s="291"/>
      <c r="I169" s="285">
        <f t="shared" si="36"/>
        <v>1</v>
      </c>
      <c r="J169" s="291"/>
      <c r="K169" s="285">
        <f t="shared" si="37"/>
        <v>1</v>
      </c>
      <c r="L169" s="291"/>
      <c r="M169" s="285">
        <f t="shared" si="38"/>
        <v>1</v>
      </c>
      <c r="N169" s="291"/>
      <c r="O169" s="285">
        <f t="shared" si="39"/>
        <v>1</v>
      </c>
      <c r="P169" s="291"/>
      <c r="Q169" s="285">
        <f t="shared" si="40"/>
        <v>0</v>
      </c>
      <c r="R169" s="341">
        <f t="shared" si="41"/>
        <v>0</v>
      </c>
      <c r="S169" s="284">
        <f t="shared" si="32"/>
        <v>0</v>
      </c>
    </row>
    <row r="170" spans="1:19">
      <c r="A170" s="292"/>
      <c r="B170" s="293"/>
      <c r="C170" s="285">
        <f t="shared" si="33"/>
        <v>1</v>
      </c>
      <c r="D170" s="291"/>
      <c r="E170" s="285">
        <f t="shared" si="34"/>
        <v>1</v>
      </c>
      <c r="F170" s="291"/>
      <c r="G170" s="285">
        <f t="shared" si="35"/>
        <v>1</v>
      </c>
      <c r="H170" s="291"/>
      <c r="I170" s="285">
        <f t="shared" si="36"/>
        <v>1</v>
      </c>
      <c r="J170" s="291"/>
      <c r="K170" s="285">
        <f t="shared" si="37"/>
        <v>1</v>
      </c>
      <c r="L170" s="291"/>
      <c r="M170" s="285">
        <f t="shared" si="38"/>
        <v>1</v>
      </c>
      <c r="N170" s="291"/>
      <c r="O170" s="285">
        <f t="shared" si="39"/>
        <v>1</v>
      </c>
      <c r="P170" s="291"/>
      <c r="Q170" s="285">
        <f t="shared" si="40"/>
        <v>0</v>
      </c>
      <c r="R170" s="341">
        <f t="shared" si="41"/>
        <v>0</v>
      </c>
      <c r="S170" s="284">
        <f t="shared" si="32"/>
        <v>0</v>
      </c>
    </row>
    <row r="171" spans="1:19">
      <c r="A171" s="292"/>
      <c r="B171" s="293"/>
      <c r="C171" s="285">
        <f t="shared" si="33"/>
        <v>1</v>
      </c>
      <c r="D171" s="291"/>
      <c r="E171" s="285">
        <f t="shared" si="34"/>
        <v>1</v>
      </c>
      <c r="F171" s="291"/>
      <c r="G171" s="285">
        <f t="shared" si="35"/>
        <v>1</v>
      </c>
      <c r="H171" s="291"/>
      <c r="I171" s="285">
        <f t="shared" si="36"/>
        <v>1</v>
      </c>
      <c r="J171" s="291"/>
      <c r="K171" s="285">
        <f t="shared" si="37"/>
        <v>1</v>
      </c>
      <c r="L171" s="291"/>
      <c r="M171" s="285">
        <f t="shared" si="38"/>
        <v>1</v>
      </c>
      <c r="N171" s="291"/>
      <c r="O171" s="285">
        <f t="shared" si="39"/>
        <v>1</v>
      </c>
      <c r="P171" s="291"/>
      <c r="Q171" s="285">
        <f t="shared" si="40"/>
        <v>0</v>
      </c>
      <c r="R171" s="341">
        <f t="shared" si="41"/>
        <v>0</v>
      </c>
      <c r="S171" s="284">
        <f t="shared" si="32"/>
        <v>0</v>
      </c>
    </row>
    <row r="172" spans="1:19">
      <c r="A172" s="292"/>
      <c r="B172" s="293"/>
      <c r="C172" s="285">
        <f t="shared" si="33"/>
        <v>1</v>
      </c>
      <c r="D172" s="291"/>
      <c r="E172" s="285">
        <f t="shared" si="34"/>
        <v>1</v>
      </c>
      <c r="F172" s="291"/>
      <c r="G172" s="285">
        <f t="shared" si="35"/>
        <v>1</v>
      </c>
      <c r="H172" s="291"/>
      <c r="I172" s="285">
        <f t="shared" si="36"/>
        <v>1</v>
      </c>
      <c r="J172" s="291"/>
      <c r="K172" s="285">
        <f t="shared" si="37"/>
        <v>1</v>
      </c>
      <c r="L172" s="291"/>
      <c r="M172" s="285">
        <f t="shared" si="38"/>
        <v>1</v>
      </c>
      <c r="N172" s="291"/>
      <c r="O172" s="285">
        <f t="shared" si="39"/>
        <v>1</v>
      </c>
      <c r="P172" s="291"/>
      <c r="Q172" s="285">
        <f t="shared" si="40"/>
        <v>0</v>
      </c>
      <c r="R172" s="341">
        <f t="shared" si="41"/>
        <v>0</v>
      </c>
      <c r="S172" s="284">
        <f t="shared" si="32"/>
        <v>0</v>
      </c>
    </row>
    <row r="173" spans="1:19">
      <c r="A173" s="292"/>
      <c r="B173" s="293"/>
      <c r="C173" s="285">
        <f t="shared" si="33"/>
        <v>1</v>
      </c>
      <c r="D173" s="291"/>
      <c r="E173" s="285">
        <f t="shared" si="34"/>
        <v>1</v>
      </c>
      <c r="F173" s="291"/>
      <c r="G173" s="285">
        <f t="shared" si="35"/>
        <v>1</v>
      </c>
      <c r="H173" s="291"/>
      <c r="I173" s="285">
        <f t="shared" si="36"/>
        <v>1</v>
      </c>
      <c r="J173" s="291"/>
      <c r="K173" s="285">
        <f t="shared" si="37"/>
        <v>1</v>
      </c>
      <c r="L173" s="291"/>
      <c r="M173" s="285">
        <f t="shared" si="38"/>
        <v>1</v>
      </c>
      <c r="N173" s="291"/>
      <c r="O173" s="285">
        <f t="shared" si="39"/>
        <v>1</v>
      </c>
      <c r="P173" s="291"/>
      <c r="Q173" s="285">
        <f t="shared" si="40"/>
        <v>0</v>
      </c>
      <c r="R173" s="341">
        <f t="shared" si="41"/>
        <v>0</v>
      </c>
      <c r="S173" s="284">
        <f t="shared" si="32"/>
        <v>0</v>
      </c>
    </row>
    <row r="174" spans="1:19">
      <c r="A174" s="292"/>
      <c r="B174" s="293"/>
      <c r="C174" s="285">
        <f t="shared" si="33"/>
        <v>1</v>
      </c>
      <c r="D174" s="291"/>
      <c r="E174" s="285">
        <f t="shared" si="34"/>
        <v>1</v>
      </c>
      <c r="F174" s="291"/>
      <c r="G174" s="285">
        <f t="shared" si="35"/>
        <v>1</v>
      </c>
      <c r="H174" s="291"/>
      <c r="I174" s="285">
        <f t="shared" si="36"/>
        <v>1</v>
      </c>
      <c r="J174" s="291"/>
      <c r="K174" s="285">
        <f t="shared" si="37"/>
        <v>1</v>
      </c>
      <c r="L174" s="291"/>
      <c r="M174" s="285">
        <f t="shared" si="38"/>
        <v>1</v>
      </c>
      <c r="N174" s="291"/>
      <c r="O174" s="285">
        <f t="shared" si="39"/>
        <v>1</v>
      </c>
      <c r="P174" s="291"/>
      <c r="Q174" s="285">
        <f t="shared" si="40"/>
        <v>0</v>
      </c>
      <c r="R174" s="341">
        <f t="shared" si="41"/>
        <v>0</v>
      </c>
      <c r="S174" s="284">
        <f t="shared" si="32"/>
        <v>0</v>
      </c>
    </row>
    <row r="175" spans="1:19">
      <c r="A175" s="292"/>
      <c r="B175" s="293"/>
      <c r="C175" s="285">
        <f t="shared" si="33"/>
        <v>1</v>
      </c>
      <c r="D175" s="291"/>
      <c r="E175" s="285">
        <f t="shared" si="34"/>
        <v>1</v>
      </c>
      <c r="F175" s="291"/>
      <c r="G175" s="285">
        <f t="shared" si="35"/>
        <v>1</v>
      </c>
      <c r="H175" s="291"/>
      <c r="I175" s="285">
        <f t="shared" si="36"/>
        <v>1</v>
      </c>
      <c r="J175" s="291"/>
      <c r="K175" s="285">
        <f t="shared" si="37"/>
        <v>1</v>
      </c>
      <c r="L175" s="291"/>
      <c r="M175" s="285">
        <f t="shared" si="38"/>
        <v>1</v>
      </c>
      <c r="N175" s="291"/>
      <c r="O175" s="285">
        <f t="shared" si="39"/>
        <v>1</v>
      </c>
      <c r="P175" s="291"/>
      <c r="Q175" s="285">
        <f t="shared" si="40"/>
        <v>0</v>
      </c>
      <c r="R175" s="341">
        <f t="shared" si="41"/>
        <v>0</v>
      </c>
      <c r="S175" s="284">
        <f t="shared" si="32"/>
        <v>0</v>
      </c>
    </row>
    <row r="176" spans="1:19">
      <c r="A176" s="292"/>
      <c r="B176" s="293"/>
      <c r="C176" s="285">
        <f t="shared" si="33"/>
        <v>1</v>
      </c>
      <c r="D176" s="291"/>
      <c r="E176" s="285">
        <f t="shared" si="34"/>
        <v>1</v>
      </c>
      <c r="F176" s="291"/>
      <c r="G176" s="285">
        <f t="shared" si="35"/>
        <v>1</v>
      </c>
      <c r="H176" s="291"/>
      <c r="I176" s="285">
        <f t="shared" si="36"/>
        <v>1</v>
      </c>
      <c r="J176" s="291"/>
      <c r="K176" s="285">
        <f t="shared" si="37"/>
        <v>1</v>
      </c>
      <c r="L176" s="291"/>
      <c r="M176" s="285">
        <f t="shared" si="38"/>
        <v>1</v>
      </c>
      <c r="N176" s="291"/>
      <c r="O176" s="285">
        <f t="shared" si="39"/>
        <v>1</v>
      </c>
      <c r="P176" s="291"/>
      <c r="Q176" s="285">
        <f t="shared" si="40"/>
        <v>0</v>
      </c>
      <c r="R176" s="341">
        <f t="shared" si="41"/>
        <v>0</v>
      </c>
      <c r="S176" s="284">
        <f t="shared" si="32"/>
        <v>0</v>
      </c>
    </row>
    <row r="177" spans="1:19">
      <c r="A177" s="292"/>
      <c r="B177" s="293"/>
      <c r="C177" s="285">
        <f t="shared" si="33"/>
        <v>1</v>
      </c>
      <c r="D177" s="291"/>
      <c r="E177" s="285">
        <f t="shared" si="34"/>
        <v>1</v>
      </c>
      <c r="F177" s="291"/>
      <c r="G177" s="285">
        <f t="shared" si="35"/>
        <v>1</v>
      </c>
      <c r="H177" s="291"/>
      <c r="I177" s="285">
        <f t="shared" si="36"/>
        <v>1</v>
      </c>
      <c r="J177" s="291"/>
      <c r="K177" s="285">
        <f t="shared" si="37"/>
        <v>1</v>
      </c>
      <c r="L177" s="291"/>
      <c r="M177" s="285">
        <f t="shared" si="38"/>
        <v>1</v>
      </c>
      <c r="N177" s="291"/>
      <c r="O177" s="285">
        <f t="shared" si="39"/>
        <v>1</v>
      </c>
      <c r="P177" s="291"/>
      <c r="Q177" s="285">
        <f t="shared" si="40"/>
        <v>0</v>
      </c>
      <c r="R177" s="341">
        <f t="shared" si="41"/>
        <v>0</v>
      </c>
      <c r="S177" s="284">
        <f t="shared" si="32"/>
        <v>0</v>
      </c>
    </row>
    <row r="178" spans="1:19">
      <c r="A178" s="292"/>
      <c r="B178" s="293"/>
      <c r="C178" s="285">
        <f t="shared" si="33"/>
        <v>1</v>
      </c>
      <c r="D178" s="291"/>
      <c r="E178" s="285">
        <f t="shared" si="34"/>
        <v>1</v>
      </c>
      <c r="F178" s="291"/>
      <c r="G178" s="285">
        <f t="shared" si="35"/>
        <v>1</v>
      </c>
      <c r="H178" s="291"/>
      <c r="I178" s="285">
        <f t="shared" si="36"/>
        <v>1</v>
      </c>
      <c r="J178" s="291"/>
      <c r="K178" s="285">
        <f t="shared" si="37"/>
        <v>1</v>
      </c>
      <c r="L178" s="291"/>
      <c r="M178" s="285">
        <f t="shared" si="38"/>
        <v>1</v>
      </c>
      <c r="N178" s="291"/>
      <c r="O178" s="285">
        <f t="shared" si="39"/>
        <v>1</v>
      </c>
      <c r="P178" s="291"/>
      <c r="Q178" s="285">
        <f t="shared" si="40"/>
        <v>0</v>
      </c>
      <c r="R178" s="341">
        <f t="shared" si="41"/>
        <v>0</v>
      </c>
      <c r="S178" s="284">
        <f t="shared" si="32"/>
        <v>0</v>
      </c>
    </row>
    <row r="179" spans="1:19">
      <c r="A179" s="292"/>
      <c r="B179" s="293"/>
      <c r="C179" s="285">
        <f t="shared" si="33"/>
        <v>1</v>
      </c>
      <c r="D179" s="291"/>
      <c r="E179" s="285">
        <f t="shared" si="34"/>
        <v>1</v>
      </c>
      <c r="F179" s="291"/>
      <c r="G179" s="285">
        <f t="shared" si="35"/>
        <v>1</v>
      </c>
      <c r="H179" s="291"/>
      <c r="I179" s="285">
        <f t="shared" si="36"/>
        <v>1</v>
      </c>
      <c r="J179" s="291"/>
      <c r="K179" s="285">
        <f t="shared" si="37"/>
        <v>1</v>
      </c>
      <c r="L179" s="291"/>
      <c r="M179" s="285">
        <f t="shared" si="38"/>
        <v>1</v>
      </c>
      <c r="N179" s="291"/>
      <c r="O179" s="285">
        <f t="shared" si="39"/>
        <v>1</v>
      </c>
      <c r="P179" s="291"/>
      <c r="Q179" s="285">
        <f t="shared" si="40"/>
        <v>0</v>
      </c>
      <c r="R179" s="341">
        <f t="shared" si="41"/>
        <v>0</v>
      </c>
      <c r="S179" s="284">
        <f t="shared" si="32"/>
        <v>0</v>
      </c>
    </row>
    <row r="180" spans="1:19">
      <c r="A180" s="292"/>
      <c r="B180" s="293"/>
      <c r="C180" s="285">
        <f t="shared" si="33"/>
        <v>1</v>
      </c>
      <c r="D180" s="291"/>
      <c r="E180" s="285">
        <f t="shared" si="34"/>
        <v>1</v>
      </c>
      <c r="F180" s="291"/>
      <c r="G180" s="285">
        <f t="shared" si="35"/>
        <v>1</v>
      </c>
      <c r="H180" s="291"/>
      <c r="I180" s="285">
        <f t="shared" si="36"/>
        <v>1</v>
      </c>
      <c r="J180" s="291"/>
      <c r="K180" s="285">
        <f t="shared" si="37"/>
        <v>1</v>
      </c>
      <c r="L180" s="291"/>
      <c r="M180" s="285">
        <f t="shared" si="38"/>
        <v>1</v>
      </c>
      <c r="N180" s="291"/>
      <c r="O180" s="285">
        <f t="shared" si="39"/>
        <v>1</v>
      </c>
      <c r="P180" s="291"/>
      <c r="Q180" s="285">
        <f t="shared" si="40"/>
        <v>0</v>
      </c>
      <c r="R180" s="341">
        <f t="shared" si="41"/>
        <v>0</v>
      </c>
      <c r="S180" s="284">
        <f t="shared" si="32"/>
        <v>0</v>
      </c>
    </row>
    <row r="181" spans="1:19">
      <c r="A181" s="292"/>
      <c r="B181" s="293"/>
      <c r="C181" s="285">
        <f t="shared" si="33"/>
        <v>1</v>
      </c>
      <c r="D181" s="291"/>
      <c r="E181" s="285">
        <f t="shared" si="34"/>
        <v>1</v>
      </c>
      <c r="F181" s="291"/>
      <c r="G181" s="285">
        <f t="shared" si="35"/>
        <v>1</v>
      </c>
      <c r="H181" s="291"/>
      <c r="I181" s="285">
        <f t="shared" si="36"/>
        <v>1</v>
      </c>
      <c r="J181" s="291"/>
      <c r="K181" s="285">
        <f t="shared" si="37"/>
        <v>1</v>
      </c>
      <c r="L181" s="291"/>
      <c r="M181" s="285">
        <f t="shared" si="38"/>
        <v>1</v>
      </c>
      <c r="N181" s="291"/>
      <c r="O181" s="285">
        <f t="shared" si="39"/>
        <v>1</v>
      </c>
      <c r="P181" s="291"/>
      <c r="Q181" s="285">
        <f t="shared" si="40"/>
        <v>0</v>
      </c>
      <c r="R181" s="341">
        <f t="shared" si="41"/>
        <v>0</v>
      </c>
      <c r="S181" s="284">
        <f t="shared" si="32"/>
        <v>0</v>
      </c>
    </row>
    <row r="182" spans="1:19">
      <c r="A182" s="292"/>
      <c r="B182" s="293"/>
      <c r="C182" s="285">
        <f t="shared" si="33"/>
        <v>1</v>
      </c>
      <c r="D182" s="291"/>
      <c r="E182" s="285">
        <f t="shared" si="34"/>
        <v>1</v>
      </c>
      <c r="F182" s="291"/>
      <c r="G182" s="285">
        <f t="shared" si="35"/>
        <v>1</v>
      </c>
      <c r="H182" s="291"/>
      <c r="I182" s="285">
        <f t="shared" si="36"/>
        <v>1</v>
      </c>
      <c r="J182" s="291"/>
      <c r="K182" s="285">
        <f t="shared" si="37"/>
        <v>1</v>
      </c>
      <c r="L182" s="291"/>
      <c r="M182" s="285">
        <f t="shared" si="38"/>
        <v>1</v>
      </c>
      <c r="N182" s="291"/>
      <c r="O182" s="285">
        <f t="shared" si="39"/>
        <v>1</v>
      </c>
      <c r="P182" s="291"/>
      <c r="Q182" s="285">
        <f t="shared" si="40"/>
        <v>0</v>
      </c>
      <c r="R182" s="341">
        <f t="shared" si="41"/>
        <v>0</v>
      </c>
      <c r="S182" s="284">
        <f t="shared" si="32"/>
        <v>0</v>
      </c>
    </row>
    <row r="183" spans="1:19">
      <c r="A183" s="292"/>
      <c r="B183" s="293"/>
      <c r="C183" s="285">
        <f t="shared" si="33"/>
        <v>1</v>
      </c>
      <c r="D183" s="291"/>
      <c r="E183" s="285">
        <f t="shared" si="34"/>
        <v>1</v>
      </c>
      <c r="F183" s="291"/>
      <c r="G183" s="285">
        <f t="shared" si="35"/>
        <v>1</v>
      </c>
      <c r="H183" s="291"/>
      <c r="I183" s="285">
        <f t="shared" si="36"/>
        <v>1</v>
      </c>
      <c r="J183" s="291"/>
      <c r="K183" s="285">
        <f t="shared" si="37"/>
        <v>1</v>
      </c>
      <c r="L183" s="291"/>
      <c r="M183" s="285">
        <f t="shared" si="38"/>
        <v>1</v>
      </c>
      <c r="N183" s="291"/>
      <c r="O183" s="285">
        <f t="shared" si="39"/>
        <v>1</v>
      </c>
      <c r="P183" s="291"/>
      <c r="Q183" s="285">
        <f t="shared" si="40"/>
        <v>0</v>
      </c>
      <c r="R183" s="341">
        <f t="shared" si="41"/>
        <v>0</v>
      </c>
      <c r="S183" s="284">
        <f t="shared" si="32"/>
        <v>0</v>
      </c>
    </row>
    <row r="184" spans="1:19">
      <c r="A184" s="292"/>
      <c r="B184" s="293"/>
      <c r="C184" s="285">
        <f t="shared" si="33"/>
        <v>1</v>
      </c>
      <c r="D184" s="291"/>
      <c r="E184" s="285">
        <f t="shared" si="34"/>
        <v>1</v>
      </c>
      <c r="F184" s="291"/>
      <c r="G184" s="285">
        <f t="shared" si="35"/>
        <v>1</v>
      </c>
      <c r="H184" s="291"/>
      <c r="I184" s="285">
        <f t="shared" si="36"/>
        <v>1</v>
      </c>
      <c r="J184" s="291"/>
      <c r="K184" s="285">
        <f t="shared" si="37"/>
        <v>1</v>
      </c>
      <c r="L184" s="291"/>
      <c r="M184" s="285">
        <f t="shared" si="38"/>
        <v>1</v>
      </c>
      <c r="N184" s="291"/>
      <c r="O184" s="285">
        <f t="shared" si="39"/>
        <v>1</v>
      </c>
      <c r="P184" s="291"/>
      <c r="Q184" s="285">
        <f t="shared" si="40"/>
        <v>0</v>
      </c>
      <c r="R184" s="341">
        <f t="shared" si="41"/>
        <v>0</v>
      </c>
      <c r="S184" s="284">
        <f t="shared" si="32"/>
        <v>0</v>
      </c>
    </row>
    <row r="185" spans="1:19">
      <c r="A185" s="292"/>
      <c r="B185" s="293"/>
      <c r="C185" s="285">
        <f t="shared" si="33"/>
        <v>1</v>
      </c>
      <c r="D185" s="291"/>
      <c r="E185" s="285">
        <f t="shared" si="34"/>
        <v>1</v>
      </c>
      <c r="F185" s="291"/>
      <c r="G185" s="285">
        <f t="shared" si="35"/>
        <v>1</v>
      </c>
      <c r="H185" s="291"/>
      <c r="I185" s="285">
        <f t="shared" si="36"/>
        <v>1</v>
      </c>
      <c r="J185" s="291"/>
      <c r="K185" s="285">
        <f t="shared" si="37"/>
        <v>1</v>
      </c>
      <c r="L185" s="291"/>
      <c r="M185" s="285">
        <f t="shared" si="38"/>
        <v>1</v>
      </c>
      <c r="N185" s="291"/>
      <c r="O185" s="285">
        <f t="shared" si="39"/>
        <v>1</v>
      </c>
      <c r="P185" s="291"/>
      <c r="Q185" s="285">
        <f t="shared" si="40"/>
        <v>0</v>
      </c>
      <c r="R185" s="341">
        <f t="shared" si="41"/>
        <v>0</v>
      </c>
      <c r="S185" s="284">
        <f t="shared" si="32"/>
        <v>0</v>
      </c>
    </row>
    <row r="186" spans="1:19">
      <c r="A186" s="292"/>
      <c r="B186" s="293"/>
      <c r="C186" s="285">
        <f t="shared" si="33"/>
        <v>1</v>
      </c>
      <c r="D186" s="291"/>
      <c r="E186" s="285">
        <f t="shared" si="34"/>
        <v>1</v>
      </c>
      <c r="F186" s="291"/>
      <c r="G186" s="285">
        <f t="shared" si="35"/>
        <v>1</v>
      </c>
      <c r="H186" s="291"/>
      <c r="I186" s="285">
        <f t="shared" si="36"/>
        <v>1</v>
      </c>
      <c r="J186" s="291"/>
      <c r="K186" s="285">
        <f t="shared" si="37"/>
        <v>1</v>
      </c>
      <c r="L186" s="291"/>
      <c r="M186" s="285">
        <f t="shared" si="38"/>
        <v>1</v>
      </c>
      <c r="N186" s="291"/>
      <c r="O186" s="285">
        <f t="shared" si="39"/>
        <v>1</v>
      </c>
      <c r="P186" s="291"/>
      <c r="Q186" s="285">
        <f t="shared" si="40"/>
        <v>0</v>
      </c>
      <c r="R186" s="341">
        <f t="shared" si="41"/>
        <v>0</v>
      </c>
      <c r="S186" s="284">
        <f t="shared" si="32"/>
        <v>0</v>
      </c>
    </row>
    <row r="187" spans="1:19">
      <c r="A187" s="292"/>
      <c r="B187" s="293"/>
      <c r="C187" s="285">
        <f t="shared" si="33"/>
        <v>1</v>
      </c>
      <c r="D187" s="291"/>
      <c r="E187" s="285">
        <f t="shared" si="34"/>
        <v>1</v>
      </c>
      <c r="F187" s="291"/>
      <c r="G187" s="285">
        <f t="shared" si="35"/>
        <v>1</v>
      </c>
      <c r="H187" s="291"/>
      <c r="I187" s="285">
        <f t="shared" si="36"/>
        <v>1</v>
      </c>
      <c r="J187" s="291"/>
      <c r="K187" s="285">
        <f t="shared" si="37"/>
        <v>1</v>
      </c>
      <c r="L187" s="291"/>
      <c r="M187" s="285">
        <f t="shared" si="38"/>
        <v>1</v>
      </c>
      <c r="N187" s="291"/>
      <c r="O187" s="285">
        <f t="shared" si="39"/>
        <v>1</v>
      </c>
      <c r="P187" s="291"/>
      <c r="Q187" s="285">
        <f t="shared" si="40"/>
        <v>0</v>
      </c>
      <c r="R187" s="341">
        <f t="shared" si="41"/>
        <v>0</v>
      </c>
      <c r="S187" s="284">
        <f t="shared" ref="S187:S222" si="42">ROUND(R187*B187/10000,0)</f>
        <v>0</v>
      </c>
    </row>
    <row r="188" spans="1:19">
      <c r="A188" s="292"/>
      <c r="B188" s="293"/>
      <c r="C188" s="285">
        <f t="shared" si="33"/>
        <v>1</v>
      </c>
      <c r="D188" s="291"/>
      <c r="E188" s="285">
        <f t="shared" si="34"/>
        <v>1</v>
      </c>
      <c r="F188" s="291"/>
      <c r="G188" s="285">
        <f t="shared" si="35"/>
        <v>1</v>
      </c>
      <c r="H188" s="291"/>
      <c r="I188" s="285">
        <f t="shared" si="36"/>
        <v>1</v>
      </c>
      <c r="J188" s="291"/>
      <c r="K188" s="285">
        <f t="shared" si="37"/>
        <v>1</v>
      </c>
      <c r="L188" s="291"/>
      <c r="M188" s="285">
        <f t="shared" si="38"/>
        <v>1</v>
      </c>
      <c r="N188" s="291"/>
      <c r="O188" s="285">
        <f t="shared" si="39"/>
        <v>1</v>
      </c>
      <c r="P188" s="291"/>
      <c r="Q188" s="285">
        <f t="shared" si="40"/>
        <v>0</v>
      </c>
      <c r="R188" s="341">
        <f t="shared" si="41"/>
        <v>0</v>
      </c>
      <c r="S188" s="284">
        <f t="shared" si="42"/>
        <v>0</v>
      </c>
    </row>
    <row r="189" spans="1:19">
      <c r="A189" s="292"/>
      <c r="B189" s="293"/>
      <c r="C189" s="285">
        <f t="shared" si="33"/>
        <v>1</v>
      </c>
      <c r="D189" s="291"/>
      <c r="E189" s="285">
        <f t="shared" si="34"/>
        <v>1</v>
      </c>
      <c r="F189" s="291"/>
      <c r="G189" s="285">
        <f t="shared" si="35"/>
        <v>1</v>
      </c>
      <c r="H189" s="291"/>
      <c r="I189" s="285">
        <f t="shared" si="36"/>
        <v>1</v>
      </c>
      <c r="J189" s="291"/>
      <c r="K189" s="285">
        <f t="shared" si="37"/>
        <v>1</v>
      </c>
      <c r="L189" s="291"/>
      <c r="M189" s="285">
        <f t="shared" si="38"/>
        <v>1</v>
      </c>
      <c r="N189" s="291"/>
      <c r="O189" s="285">
        <f t="shared" si="39"/>
        <v>1</v>
      </c>
      <c r="P189" s="291"/>
      <c r="Q189" s="285">
        <f t="shared" si="40"/>
        <v>0</v>
      </c>
      <c r="R189" s="341">
        <f t="shared" si="41"/>
        <v>0</v>
      </c>
      <c r="S189" s="284">
        <f t="shared" si="42"/>
        <v>0</v>
      </c>
    </row>
    <row r="190" spans="1:19">
      <c r="A190" s="292"/>
      <c r="B190" s="293"/>
      <c r="C190" s="285">
        <f t="shared" si="33"/>
        <v>1</v>
      </c>
      <c r="D190" s="291"/>
      <c r="E190" s="285">
        <f t="shared" si="34"/>
        <v>1</v>
      </c>
      <c r="F190" s="291"/>
      <c r="G190" s="285">
        <f t="shared" si="35"/>
        <v>1</v>
      </c>
      <c r="H190" s="291"/>
      <c r="I190" s="285">
        <f t="shared" si="36"/>
        <v>1</v>
      </c>
      <c r="J190" s="291"/>
      <c r="K190" s="285">
        <f t="shared" si="37"/>
        <v>1</v>
      </c>
      <c r="L190" s="291"/>
      <c r="M190" s="285">
        <f t="shared" si="38"/>
        <v>1</v>
      </c>
      <c r="N190" s="291"/>
      <c r="O190" s="285">
        <f t="shared" si="39"/>
        <v>1</v>
      </c>
      <c r="P190" s="291"/>
      <c r="Q190" s="285">
        <f t="shared" si="40"/>
        <v>0</v>
      </c>
      <c r="R190" s="341">
        <f t="shared" si="41"/>
        <v>0</v>
      </c>
      <c r="S190" s="284">
        <f t="shared" si="42"/>
        <v>0</v>
      </c>
    </row>
    <row r="191" spans="1:19">
      <c r="A191" s="292"/>
      <c r="B191" s="293"/>
      <c r="C191" s="285">
        <f t="shared" si="33"/>
        <v>1</v>
      </c>
      <c r="D191" s="291"/>
      <c r="E191" s="285">
        <f t="shared" si="34"/>
        <v>1</v>
      </c>
      <c r="F191" s="291"/>
      <c r="G191" s="285">
        <f t="shared" si="35"/>
        <v>1</v>
      </c>
      <c r="H191" s="291"/>
      <c r="I191" s="285">
        <f t="shared" si="36"/>
        <v>1</v>
      </c>
      <c r="J191" s="291"/>
      <c r="K191" s="285">
        <f t="shared" si="37"/>
        <v>1</v>
      </c>
      <c r="L191" s="291"/>
      <c r="M191" s="285">
        <f t="shared" si="38"/>
        <v>1</v>
      </c>
      <c r="N191" s="291"/>
      <c r="O191" s="285">
        <f t="shared" si="39"/>
        <v>1</v>
      </c>
      <c r="P191" s="291"/>
      <c r="Q191" s="285">
        <f t="shared" si="40"/>
        <v>0</v>
      </c>
      <c r="R191" s="341">
        <f t="shared" si="41"/>
        <v>0</v>
      </c>
      <c r="S191" s="284">
        <f t="shared" si="42"/>
        <v>0</v>
      </c>
    </row>
    <row r="192" spans="1:19">
      <c r="A192" s="292"/>
      <c r="B192" s="293"/>
      <c r="C192" s="285">
        <f t="shared" si="33"/>
        <v>1</v>
      </c>
      <c r="D192" s="291"/>
      <c r="E192" s="285">
        <f t="shared" si="34"/>
        <v>1</v>
      </c>
      <c r="F192" s="291"/>
      <c r="G192" s="285">
        <f t="shared" si="35"/>
        <v>1</v>
      </c>
      <c r="H192" s="291"/>
      <c r="I192" s="285">
        <f t="shared" si="36"/>
        <v>1</v>
      </c>
      <c r="J192" s="291"/>
      <c r="K192" s="285">
        <f t="shared" si="37"/>
        <v>1</v>
      </c>
      <c r="L192" s="291"/>
      <c r="M192" s="285">
        <f t="shared" si="38"/>
        <v>1</v>
      </c>
      <c r="N192" s="291"/>
      <c r="O192" s="285">
        <f t="shared" si="39"/>
        <v>1</v>
      </c>
      <c r="P192" s="291"/>
      <c r="Q192" s="285">
        <f t="shared" si="40"/>
        <v>0</v>
      </c>
      <c r="R192" s="341">
        <f t="shared" si="41"/>
        <v>0</v>
      </c>
      <c r="S192" s="284">
        <f t="shared" si="42"/>
        <v>0</v>
      </c>
    </row>
    <row r="193" spans="1:19">
      <c r="A193" s="292"/>
      <c r="B193" s="293"/>
      <c r="C193" s="285">
        <f t="shared" si="33"/>
        <v>1</v>
      </c>
      <c r="D193" s="291"/>
      <c r="E193" s="285">
        <f t="shared" si="34"/>
        <v>1</v>
      </c>
      <c r="F193" s="291"/>
      <c r="G193" s="285">
        <f t="shared" si="35"/>
        <v>1</v>
      </c>
      <c r="H193" s="291"/>
      <c r="I193" s="285">
        <f t="shared" si="36"/>
        <v>1</v>
      </c>
      <c r="J193" s="291"/>
      <c r="K193" s="285">
        <f t="shared" si="37"/>
        <v>1</v>
      </c>
      <c r="L193" s="291"/>
      <c r="M193" s="285">
        <f t="shared" si="38"/>
        <v>1</v>
      </c>
      <c r="N193" s="291"/>
      <c r="O193" s="285">
        <f t="shared" si="39"/>
        <v>1</v>
      </c>
      <c r="P193" s="291"/>
      <c r="Q193" s="285">
        <f t="shared" si="40"/>
        <v>0</v>
      </c>
      <c r="R193" s="341">
        <f t="shared" si="41"/>
        <v>0</v>
      </c>
      <c r="S193" s="284">
        <f t="shared" si="42"/>
        <v>0</v>
      </c>
    </row>
    <row r="194" spans="1:19">
      <c r="A194" s="292"/>
      <c r="B194" s="293"/>
      <c r="C194" s="285">
        <f t="shared" si="33"/>
        <v>1</v>
      </c>
      <c r="D194" s="291"/>
      <c r="E194" s="285">
        <f t="shared" si="34"/>
        <v>1</v>
      </c>
      <c r="F194" s="291"/>
      <c r="G194" s="285">
        <f t="shared" si="35"/>
        <v>1</v>
      </c>
      <c r="H194" s="291"/>
      <c r="I194" s="285">
        <f t="shared" si="36"/>
        <v>1</v>
      </c>
      <c r="J194" s="291"/>
      <c r="K194" s="285">
        <f t="shared" si="37"/>
        <v>1</v>
      </c>
      <c r="L194" s="291"/>
      <c r="M194" s="285">
        <f t="shared" si="38"/>
        <v>1</v>
      </c>
      <c r="N194" s="291"/>
      <c r="O194" s="285">
        <f t="shared" si="39"/>
        <v>1</v>
      </c>
      <c r="P194" s="291"/>
      <c r="Q194" s="285">
        <f t="shared" si="40"/>
        <v>0</v>
      </c>
      <c r="R194" s="341">
        <f t="shared" si="41"/>
        <v>0</v>
      </c>
      <c r="S194" s="284">
        <f t="shared" si="42"/>
        <v>0</v>
      </c>
    </row>
    <row r="195" spans="1:19">
      <c r="A195" s="292"/>
      <c r="B195" s="293"/>
      <c r="C195" s="285">
        <f t="shared" si="33"/>
        <v>1</v>
      </c>
      <c r="D195" s="291"/>
      <c r="E195" s="285">
        <f t="shared" si="34"/>
        <v>1</v>
      </c>
      <c r="F195" s="291"/>
      <c r="G195" s="285">
        <f t="shared" si="35"/>
        <v>1</v>
      </c>
      <c r="H195" s="291"/>
      <c r="I195" s="285">
        <f t="shared" si="36"/>
        <v>1</v>
      </c>
      <c r="J195" s="291"/>
      <c r="K195" s="285">
        <f t="shared" si="37"/>
        <v>1</v>
      </c>
      <c r="L195" s="291"/>
      <c r="M195" s="285">
        <f t="shared" si="38"/>
        <v>1</v>
      </c>
      <c r="N195" s="291"/>
      <c r="O195" s="285">
        <f t="shared" si="39"/>
        <v>1</v>
      </c>
      <c r="P195" s="291"/>
      <c r="Q195" s="285">
        <f t="shared" si="40"/>
        <v>0</v>
      </c>
      <c r="R195" s="341">
        <f t="shared" si="41"/>
        <v>0</v>
      </c>
      <c r="S195" s="284">
        <f t="shared" si="42"/>
        <v>0</v>
      </c>
    </row>
    <row r="196" spans="1:19">
      <c r="A196" s="292"/>
      <c r="B196" s="293"/>
      <c r="C196" s="285">
        <f t="shared" si="33"/>
        <v>1</v>
      </c>
      <c r="D196" s="291"/>
      <c r="E196" s="285">
        <f t="shared" si="34"/>
        <v>1</v>
      </c>
      <c r="F196" s="291"/>
      <c r="G196" s="285">
        <f t="shared" si="35"/>
        <v>1</v>
      </c>
      <c r="H196" s="291"/>
      <c r="I196" s="285">
        <f t="shared" si="36"/>
        <v>1</v>
      </c>
      <c r="J196" s="291"/>
      <c r="K196" s="285">
        <f t="shared" si="37"/>
        <v>1</v>
      </c>
      <c r="L196" s="291"/>
      <c r="M196" s="285">
        <f t="shared" si="38"/>
        <v>1</v>
      </c>
      <c r="N196" s="291"/>
      <c r="O196" s="285">
        <f t="shared" si="39"/>
        <v>1</v>
      </c>
      <c r="P196" s="291"/>
      <c r="Q196" s="285">
        <f t="shared" si="40"/>
        <v>0</v>
      </c>
      <c r="R196" s="341">
        <f t="shared" si="41"/>
        <v>0</v>
      </c>
      <c r="S196" s="284">
        <f t="shared" si="42"/>
        <v>0</v>
      </c>
    </row>
    <row r="197" spans="1:19">
      <c r="A197" s="292"/>
      <c r="B197" s="293"/>
      <c r="C197" s="285">
        <f t="shared" si="33"/>
        <v>1</v>
      </c>
      <c r="D197" s="291"/>
      <c r="E197" s="285">
        <f t="shared" si="34"/>
        <v>1</v>
      </c>
      <c r="F197" s="291"/>
      <c r="G197" s="285">
        <f t="shared" si="35"/>
        <v>1</v>
      </c>
      <c r="H197" s="291"/>
      <c r="I197" s="285">
        <f t="shared" si="36"/>
        <v>1</v>
      </c>
      <c r="J197" s="291"/>
      <c r="K197" s="285">
        <f t="shared" si="37"/>
        <v>1</v>
      </c>
      <c r="L197" s="291"/>
      <c r="M197" s="285">
        <f t="shared" si="38"/>
        <v>1</v>
      </c>
      <c r="N197" s="291"/>
      <c r="O197" s="285">
        <f t="shared" si="39"/>
        <v>1</v>
      </c>
      <c r="P197" s="291"/>
      <c r="Q197" s="285">
        <f t="shared" si="40"/>
        <v>0</v>
      </c>
      <c r="R197" s="341">
        <f t="shared" si="41"/>
        <v>0</v>
      </c>
      <c r="S197" s="284">
        <f t="shared" si="42"/>
        <v>0</v>
      </c>
    </row>
    <row r="198" spans="1:19">
      <c r="A198" s="292"/>
      <c r="B198" s="293"/>
      <c r="C198" s="285">
        <f t="shared" si="33"/>
        <v>1</v>
      </c>
      <c r="D198" s="291"/>
      <c r="E198" s="285">
        <f t="shared" si="34"/>
        <v>1</v>
      </c>
      <c r="F198" s="291"/>
      <c r="G198" s="285">
        <f t="shared" si="35"/>
        <v>1</v>
      </c>
      <c r="H198" s="291"/>
      <c r="I198" s="285">
        <f t="shared" si="36"/>
        <v>1</v>
      </c>
      <c r="J198" s="291"/>
      <c r="K198" s="285">
        <f t="shared" si="37"/>
        <v>1</v>
      </c>
      <c r="L198" s="291"/>
      <c r="M198" s="285">
        <f t="shared" si="38"/>
        <v>1</v>
      </c>
      <c r="N198" s="291"/>
      <c r="O198" s="285">
        <f t="shared" si="39"/>
        <v>1</v>
      </c>
      <c r="P198" s="291"/>
      <c r="Q198" s="285">
        <f t="shared" si="40"/>
        <v>0</v>
      </c>
      <c r="R198" s="341">
        <f t="shared" si="41"/>
        <v>0</v>
      </c>
      <c r="S198" s="284">
        <f t="shared" si="42"/>
        <v>0</v>
      </c>
    </row>
    <row r="199" spans="1:19">
      <c r="A199" s="292"/>
      <c r="B199" s="293"/>
      <c r="C199" s="285">
        <f t="shared" si="33"/>
        <v>1</v>
      </c>
      <c r="D199" s="291"/>
      <c r="E199" s="285">
        <f t="shared" si="34"/>
        <v>1</v>
      </c>
      <c r="F199" s="291"/>
      <c r="G199" s="285">
        <f t="shared" si="35"/>
        <v>1</v>
      </c>
      <c r="H199" s="291"/>
      <c r="I199" s="285">
        <f t="shared" si="36"/>
        <v>1</v>
      </c>
      <c r="J199" s="291"/>
      <c r="K199" s="285">
        <f t="shared" si="37"/>
        <v>1</v>
      </c>
      <c r="L199" s="291"/>
      <c r="M199" s="285">
        <f t="shared" si="38"/>
        <v>1</v>
      </c>
      <c r="N199" s="291"/>
      <c r="O199" s="285">
        <f t="shared" si="39"/>
        <v>1</v>
      </c>
      <c r="P199" s="291"/>
      <c r="Q199" s="285">
        <f t="shared" si="40"/>
        <v>0</v>
      </c>
      <c r="R199" s="341">
        <f t="shared" si="41"/>
        <v>0</v>
      </c>
      <c r="S199" s="284">
        <f t="shared" si="42"/>
        <v>0</v>
      </c>
    </row>
    <row r="200" spans="1:19">
      <c r="A200" s="292"/>
      <c r="B200" s="293"/>
      <c r="C200" s="285">
        <f t="shared" si="33"/>
        <v>1</v>
      </c>
      <c r="D200" s="291"/>
      <c r="E200" s="285">
        <f t="shared" si="34"/>
        <v>1</v>
      </c>
      <c r="F200" s="291"/>
      <c r="G200" s="285">
        <f t="shared" si="35"/>
        <v>1</v>
      </c>
      <c r="H200" s="291"/>
      <c r="I200" s="285">
        <f t="shared" si="36"/>
        <v>1</v>
      </c>
      <c r="J200" s="291"/>
      <c r="K200" s="285">
        <f t="shared" si="37"/>
        <v>1</v>
      </c>
      <c r="L200" s="291"/>
      <c r="M200" s="285">
        <f t="shared" si="38"/>
        <v>1</v>
      </c>
      <c r="N200" s="291"/>
      <c r="O200" s="285">
        <f t="shared" si="39"/>
        <v>1</v>
      </c>
      <c r="P200" s="291"/>
      <c r="Q200" s="285">
        <f t="shared" si="40"/>
        <v>0</v>
      </c>
      <c r="R200" s="341">
        <f t="shared" si="41"/>
        <v>0</v>
      </c>
      <c r="S200" s="284">
        <f t="shared" si="42"/>
        <v>0</v>
      </c>
    </row>
    <row r="201" spans="1:19">
      <c r="A201" s="292"/>
      <c r="B201" s="293"/>
      <c r="C201" s="285">
        <f t="shared" si="33"/>
        <v>1</v>
      </c>
      <c r="D201" s="291"/>
      <c r="E201" s="285">
        <f t="shared" si="34"/>
        <v>1</v>
      </c>
      <c r="F201" s="291"/>
      <c r="G201" s="285">
        <f t="shared" si="35"/>
        <v>1</v>
      </c>
      <c r="H201" s="291"/>
      <c r="I201" s="285">
        <f t="shared" si="36"/>
        <v>1</v>
      </c>
      <c r="J201" s="291"/>
      <c r="K201" s="285">
        <f t="shared" si="37"/>
        <v>1</v>
      </c>
      <c r="L201" s="291"/>
      <c r="M201" s="285">
        <f t="shared" si="38"/>
        <v>1</v>
      </c>
      <c r="N201" s="291"/>
      <c r="O201" s="285">
        <f t="shared" si="39"/>
        <v>1</v>
      </c>
      <c r="P201" s="291"/>
      <c r="Q201" s="285">
        <f t="shared" si="40"/>
        <v>0</v>
      </c>
      <c r="R201" s="341">
        <f t="shared" si="41"/>
        <v>0</v>
      </c>
      <c r="S201" s="284">
        <f t="shared" si="42"/>
        <v>0</v>
      </c>
    </row>
    <row r="202" spans="1:19">
      <c r="A202" s="292"/>
      <c r="B202" s="293"/>
      <c r="C202" s="285">
        <f t="shared" si="33"/>
        <v>1</v>
      </c>
      <c r="D202" s="291"/>
      <c r="E202" s="285">
        <f t="shared" si="34"/>
        <v>1</v>
      </c>
      <c r="F202" s="291"/>
      <c r="G202" s="285">
        <f t="shared" si="35"/>
        <v>1</v>
      </c>
      <c r="H202" s="291"/>
      <c r="I202" s="285">
        <f t="shared" si="36"/>
        <v>1</v>
      </c>
      <c r="J202" s="291"/>
      <c r="K202" s="285">
        <f t="shared" si="37"/>
        <v>1</v>
      </c>
      <c r="L202" s="291"/>
      <c r="M202" s="285">
        <f t="shared" si="38"/>
        <v>1</v>
      </c>
      <c r="N202" s="291"/>
      <c r="O202" s="285">
        <f t="shared" si="39"/>
        <v>1</v>
      </c>
      <c r="P202" s="291"/>
      <c r="Q202" s="285">
        <f t="shared" si="40"/>
        <v>0</v>
      </c>
      <c r="R202" s="341">
        <f t="shared" si="41"/>
        <v>0</v>
      </c>
      <c r="S202" s="284">
        <f t="shared" si="42"/>
        <v>0</v>
      </c>
    </row>
    <row r="203" spans="1:19">
      <c r="A203" s="292"/>
      <c r="B203" s="293"/>
      <c r="C203" s="285">
        <f t="shared" si="33"/>
        <v>1</v>
      </c>
      <c r="D203" s="291"/>
      <c r="E203" s="285">
        <f t="shared" si="34"/>
        <v>1</v>
      </c>
      <c r="F203" s="291"/>
      <c r="G203" s="285">
        <f t="shared" si="35"/>
        <v>1</v>
      </c>
      <c r="H203" s="291"/>
      <c r="I203" s="285">
        <f t="shared" si="36"/>
        <v>1</v>
      </c>
      <c r="J203" s="291"/>
      <c r="K203" s="285">
        <f t="shared" si="37"/>
        <v>1</v>
      </c>
      <c r="L203" s="291"/>
      <c r="M203" s="285">
        <f t="shared" si="38"/>
        <v>1</v>
      </c>
      <c r="N203" s="291"/>
      <c r="O203" s="285">
        <f t="shared" si="39"/>
        <v>1</v>
      </c>
      <c r="P203" s="291"/>
      <c r="Q203" s="285">
        <f t="shared" si="40"/>
        <v>0</v>
      </c>
      <c r="R203" s="341">
        <f t="shared" si="41"/>
        <v>0</v>
      </c>
      <c r="S203" s="284">
        <f t="shared" si="42"/>
        <v>0</v>
      </c>
    </row>
    <row r="204" spans="1:19">
      <c r="A204" s="292"/>
      <c r="B204" s="293"/>
      <c r="C204" s="285">
        <f t="shared" si="33"/>
        <v>1</v>
      </c>
      <c r="D204" s="291"/>
      <c r="E204" s="285">
        <f t="shared" si="34"/>
        <v>1</v>
      </c>
      <c r="F204" s="291"/>
      <c r="G204" s="285">
        <f t="shared" si="35"/>
        <v>1</v>
      </c>
      <c r="H204" s="291"/>
      <c r="I204" s="285">
        <f t="shared" si="36"/>
        <v>1</v>
      </c>
      <c r="J204" s="291"/>
      <c r="K204" s="285">
        <f t="shared" si="37"/>
        <v>1</v>
      </c>
      <c r="L204" s="291"/>
      <c r="M204" s="285">
        <f t="shared" si="38"/>
        <v>1</v>
      </c>
      <c r="N204" s="291"/>
      <c r="O204" s="285">
        <f t="shared" si="39"/>
        <v>1</v>
      </c>
      <c r="P204" s="291"/>
      <c r="Q204" s="285">
        <f t="shared" si="40"/>
        <v>0</v>
      </c>
      <c r="R204" s="341">
        <f t="shared" si="41"/>
        <v>0</v>
      </c>
      <c r="S204" s="284">
        <f t="shared" si="42"/>
        <v>0</v>
      </c>
    </row>
    <row r="205" spans="1:19">
      <c r="A205" s="292"/>
      <c r="B205" s="293"/>
      <c r="C205" s="285">
        <f t="shared" si="33"/>
        <v>1</v>
      </c>
      <c r="D205" s="291"/>
      <c r="E205" s="285">
        <f t="shared" si="34"/>
        <v>1</v>
      </c>
      <c r="F205" s="291"/>
      <c r="G205" s="285">
        <f t="shared" si="35"/>
        <v>1</v>
      </c>
      <c r="H205" s="291"/>
      <c r="I205" s="285">
        <f t="shared" si="36"/>
        <v>1</v>
      </c>
      <c r="J205" s="291"/>
      <c r="K205" s="285">
        <f t="shared" si="37"/>
        <v>1</v>
      </c>
      <c r="L205" s="291"/>
      <c r="M205" s="285">
        <f t="shared" si="38"/>
        <v>1</v>
      </c>
      <c r="N205" s="291"/>
      <c r="O205" s="285">
        <f t="shared" si="39"/>
        <v>1</v>
      </c>
      <c r="P205" s="291"/>
      <c r="Q205" s="285">
        <f t="shared" si="40"/>
        <v>0</v>
      </c>
      <c r="R205" s="341">
        <f t="shared" si="41"/>
        <v>0</v>
      </c>
      <c r="S205" s="284">
        <f t="shared" si="42"/>
        <v>0</v>
      </c>
    </row>
    <row r="206" spans="1:19">
      <c r="A206" s="292"/>
      <c r="B206" s="293"/>
      <c r="C206" s="285">
        <f t="shared" si="33"/>
        <v>1</v>
      </c>
      <c r="D206" s="291"/>
      <c r="E206" s="285">
        <f t="shared" si="34"/>
        <v>1</v>
      </c>
      <c r="F206" s="291"/>
      <c r="G206" s="285">
        <f t="shared" si="35"/>
        <v>1</v>
      </c>
      <c r="H206" s="291"/>
      <c r="I206" s="285">
        <f t="shared" si="36"/>
        <v>1</v>
      </c>
      <c r="J206" s="291"/>
      <c r="K206" s="285">
        <f t="shared" si="37"/>
        <v>1</v>
      </c>
      <c r="L206" s="291"/>
      <c r="M206" s="285">
        <f t="shared" si="38"/>
        <v>1</v>
      </c>
      <c r="N206" s="291"/>
      <c r="O206" s="285">
        <f t="shared" si="39"/>
        <v>1</v>
      </c>
      <c r="P206" s="291"/>
      <c r="Q206" s="285">
        <f t="shared" si="40"/>
        <v>0</v>
      </c>
      <c r="R206" s="341">
        <f t="shared" si="41"/>
        <v>0</v>
      </c>
      <c r="S206" s="284">
        <f t="shared" si="42"/>
        <v>0</v>
      </c>
    </row>
    <row r="207" spans="1:19">
      <c r="A207" s="292"/>
      <c r="B207" s="293"/>
      <c r="C207" s="285">
        <f t="shared" si="33"/>
        <v>1</v>
      </c>
      <c r="D207" s="291"/>
      <c r="E207" s="285">
        <f t="shared" si="34"/>
        <v>1</v>
      </c>
      <c r="F207" s="291"/>
      <c r="G207" s="285">
        <f t="shared" si="35"/>
        <v>1</v>
      </c>
      <c r="H207" s="291"/>
      <c r="I207" s="285">
        <f t="shared" si="36"/>
        <v>1</v>
      </c>
      <c r="J207" s="291"/>
      <c r="K207" s="285">
        <f t="shared" si="37"/>
        <v>1</v>
      </c>
      <c r="L207" s="291"/>
      <c r="M207" s="285">
        <f t="shared" si="38"/>
        <v>1</v>
      </c>
      <c r="N207" s="291"/>
      <c r="O207" s="285">
        <f t="shared" si="39"/>
        <v>1</v>
      </c>
      <c r="P207" s="291"/>
      <c r="Q207" s="285">
        <f t="shared" si="40"/>
        <v>0</v>
      </c>
      <c r="R207" s="341">
        <f t="shared" si="41"/>
        <v>0</v>
      </c>
      <c r="S207" s="284">
        <f t="shared" si="42"/>
        <v>0</v>
      </c>
    </row>
    <row r="208" spans="1:19">
      <c r="A208" s="292"/>
      <c r="B208" s="293"/>
      <c r="C208" s="285">
        <f t="shared" si="33"/>
        <v>1</v>
      </c>
      <c r="D208" s="291"/>
      <c r="E208" s="285">
        <f t="shared" si="34"/>
        <v>1</v>
      </c>
      <c r="F208" s="291"/>
      <c r="G208" s="285">
        <f t="shared" si="35"/>
        <v>1</v>
      </c>
      <c r="H208" s="291"/>
      <c r="I208" s="285">
        <f t="shared" si="36"/>
        <v>1</v>
      </c>
      <c r="J208" s="291"/>
      <c r="K208" s="285">
        <f t="shared" si="37"/>
        <v>1</v>
      </c>
      <c r="L208" s="291"/>
      <c r="M208" s="285">
        <f t="shared" si="38"/>
        <v>1</v>
      </c>
      <c r="N208" s="291"/>
      <c r="O208" s="285">
        <f t="shared" si="39"/>
        <v>1</v>
      </c>
      <c r="P208" s="291"/>
      <c r="Q208" s="285">
        <f t="shared" si="40"/>
        <v>0</v>
      </c>
      <c r="R208" s="341">
        <f t="shared" si="41"/>
        <v>0</v>
      </c>
      <c r="S208" s="284">
        <f t="shared" si="42"/>
        <v>0</v>
      </c>
    </row>
    <row r="209" spans="1:19">
      <c r="A209" s="292"/>
      <c r="B209" s="293"/>
      <c r="C209" s="285">
        <f t="shared" si="33"/>
        <v>1</v>
      </c>
      <c r="D209" s="291"/>
      <c r="E209" s="285">
        <f t="shared" si="34"/>
        <v>1</v>
      </c>
      <c r="F209" s="291"/>
      <c r="G209" s="285">
        <f t="shared" si="35"/>
        <v>1</v>
      </c>
      <c r="H209" s="291"/>
      <c r="I209" s="285">
        <f t="shared" si="36"/>
        <v>1</v>
      </c>
      <c r="J209" s="291"/>
      <c r="K209" s="285">
        <f t="shared" si="37"/>
        <v>1</v>
      </c>
      <c r="L209" s="291"/>
      <c r="M209" s="285">
        <f t="shared" si="38"/>
        <v>1</v>
      </c>
      <c r="N209" s="291"/>
      <c r="O209" s="285">
        <f t="shared" si="39"/>
        <v>1</v>
      </c>
      <c r="P209" s="291"/>
      <c r="Q209" s="285">
        <f t="shared" si="40"/>
        <v>0</v>
      </c>
      <c r="R209" s="341">
        <f t="shared" si="41"/>
        <v>0</v>
      </c>
      <c r="S209" s="284">
        <f t="shared" si="42"/>
        <v>0</v>
      </c>
    </row>
    <row r="210" spans="1:19">
      <c r="A210" s="292"/>
      <c r="B210" s="293"/>
      <c r="C210" s="285">
        <f t="shared" si="33"/>
        <v>1</v>
      </c>
      <c r="D210" s="291"/>
      <c r="E210" s="285">
        <f t="shared" si="34"/>
        <v>1</v>
      </c>
      <c r="F210" s="291"/>
      <c r="G210" s="285">
        <f t="shared" si="35"/>
        <v>1</v>
      </c>
      <c r="H210" s="291"/>
      <c r="I210" s="285">
        <f t="shared" si="36"/>
        <v>1</v>
      </c>
      <c r="J210" s="291"/>
      <c r="K210" s="285">
        <f t="shared" si="37"/>
        <v>1</v>
      </c>
      <c r="L210" s="291"/>
      <c r="M210" s="285">
        <f t="shared" si="38"/>
        <v>1</v>
      </c>
      <c r="N210" s="291"/>
      <c r="O210" s="285">
        <f t="shared" si="39"/>
        <v>1</v>
      </c>
      <c r="P210" s="291"/>
      <c r="Q210" s="285">
        <f t="shared" si="40"/>
        <v>0</v>
      </c>
      <c r="R210" s="341">
        <f t="shared" si="41"/>
        <v>0</v>
      </c>
      <c r="S210" s="284">
        <f t="shared" si="42"/>
        <v>0</v>
      </c>
    </row>
    <row r="211" spans="1:19">
      <c r="A211" s="292"/>
      <c r="B211" s="293"/>
      <c r="C211" s="285">
        <f t="shared" si="33"/>
        <v>1</v>
      </c>
      <c r="D211" s="291"/>
      <c r="E211" s="285">
        <f t="shared" si="34"/>
        <v>1</v>
      </c>
      <c r="F211" s="291"/>
      <c r="G211" s="285">
        <f t="shared" si="35"/>
        <v>1</v>
      </c>
      <c r="H211" s="291"/>
      <c r="I211" s="285">
        <f t="shared" si="36"/>
        <v>1</v>
      </c>
      <c r="J211" s="291"/>
      <c r="K211" s="285">
        <f t="shared" si="37"/>
        <v>1</v>
      </c>
      <c r="L211" s="291"/>
      <c r="M211" s="285">
        <f t="shared" si="38"/>
        <v>1</v>
      </c>
      <c r="N211" s="291"/>
      <c r="O211" s="285">
        <f t="shared" si="39"/>
        <v>1</v>
      </c>
      <c r="P211" s="291"/>
      <c r="Q211" s="285">
        <f t="shared" si="40"/>
        <v>0</v>
      </c>
      <c r="R211" s="341">
        <f t="shared" si="41"/>
        <v>0</v>
      </c>
      <c r="S211" s="284">
        <f t="shared" si="42"/>
        <v>0</v>
      </c>
    </row>
    <row r="212" spans="1:19">
      <c r="A212" s="292"/>
      <c r="B212" s="293"/>
      <c r="C212" s="285">
        <f t="shared" si="33"/>
        <v>1</v>
      </c>
      <c r="D212" s="291"/>
      <c r="E212" s="285">
        <f t="shared" si="34"/>
        <v>1</v>
      </c>
      <c r="F212" s="291"/>
      <c r="G212" s="285">
        <f t="shared" si="35"/>
        <v>1</v>
      </c>
      <c r="H212" s="291"/>
      <c r="I212" s="285">
        <f t="shared" si="36"/>
        <v>1</v>
      </c>
      <c r="J212" s="291"/>
      <c r="K212" s="285">
        <f t="shared" si="37"/>
        <v>1</v>
      </c>
      <c r="L212" s="291"/>
      <c r="M212" s="285">
        <f t="shared" si="38"/>
        <v>1</v>
      </c>
      <c r="N212" s="291"/>
      <c r="O212" s="285">
        <f t="shared" si="39"/>
        <v>1</v>
      </c>
      <c r="P212" s="291"/>
      <c r="Q212" s="285">
        <f t="shared" si="40"/>
        <v>0</v>
      </c>
      <c r="R212" s="341">
        <f t="shared" si="41"/>
        <v>0</v>
      </c>
      <c r="S212" s="284">
        <f t="shared" si="42"/>
        <v>0</v>
      </c>
    </row>
    <row r="213" spans="1:19">
      <c r="A213" s="292"/>
      <c r="B213" s="293"/>
      <c r="C213" s="285">
        <f t="shared" si="33"/>
        <v>1</v>
      </c>
      <c r="D213" s="291"/>
      <c r="E213" s="285">
        <f t="shared" si="34"/>
        <v>1</v>
      </c>
      <c r="F213" s="291"/>
      <c r="G213" s="285">
        <f t="shared" si="35"/>
        <v>1</v>
      </c>
      <c r="H213" s="291"/>
      <c r="I213" s="285">
        <f t="shared" si="36"/>
        <v>1</v>
      </c>
      <c r="J213" s="291"/>
      <c r="K213" s="285">
        <f t="shared" si="37"/>
        <v>1</v>
      </c>
      <c r="L213" s="291"/>
      <c r="M213" s="285">
        <f t="shared" si="38"/>
        <v>1</v>
      </c>
      <c r="N213" s="291"/>
      <c r="O213" s="285">
        <f t="shared" si="39"/>
        <v>1</v>
      </c>
      <c r="P213" s="291"/>
      <c r="Q213" s="285">
        <f t="shared" si="40"/>
        <v>0</v>
      </c>
      <c r="R213" s="341">
        <f t="shared" si="41"/>
        <v>0</v>
      </c>
      <c r="S213" s="284">
        <f t="shared" si="42"/>
        <v>0</v>
      </c>
    </row>
    <row r="214" spans="1:19">
      <c r="A214" s="292"/>
      <c r="B214" s="293"/>
      <c r="C214" s="285">
        <f t="shared" si="33"/>
        <v>1</v>
      </c>
      <c r="D214" s="291"/>
      <c r="E214" s="285">
        <f t="shared" si="34"/>
        <v>1</v>
      </c>
      <c r="F214" s="291"/>
      <c r="G214" s="285">
        <f t="shared" si="35"/>
        <v>1</v>
      </c>
      <c r="H214" s="291"/>
      <c r="I214" s="285">
        <f t="shared" si="36"/>
        <v>1</v>
      </c>
      <c r="J214" s="291"/>
      <c r="K214" s="285">
        <f t="shared" si="37"/>
        <v>1</v>
      </c>
      <c r="L214" s="291"/>
      <c r="M214" s="285">
        <f t="shared" si="38"/>
        <v>1</v>
      </c>
      <c r="N214" s="291"/>
      <c r="O214" s="285">
        <f t="shared" si="39"/>
        <v>1</v>
      </c>
      <c r="P214" s="291"/>
      <c r="Q214" s="285">
        <f t="shared" si="40"/>
        <v>0</v>
      </c>
      <c r="R214" s="341">
        <f t="shared" si="41"/>
        <v>0</v>
      </c>
      <c r="S214" s="284">
        <f t="shared" si="42"/>
        <v>0</v>
      </c>
    </row>
    <row r="215" spans="1:19">
      <c r="A215" s="292"/>
      <c r="B215" s="293"/>
      <c r="C215" s="285">
        <f t="shared" si="33"/>
        <v>1</v>
      </c>
      <c r="D215" s="291"/>
      <c r="E215" s="285">
        <f t="shared" si="34"/>
        <v>1</v>
      </c>
      <c r="F215" s="291"/>
      <c r="G215" s="285">
        <f t="shared" si="35"/>
        <v>1</v>
      </c>
      <c r="H215" s="291"/>
      <c r="I215" s="285">
        <f t="shared" si="36"/>
        <v>1</v>
      </c>
      <c r="J215" s="291"/>
      <c r="K215" s="285">
        <f t="shared" si="37"/>
        <v>1</v>
      </c>
      <c r="L215" s="291"/>
      <c r="M215" s="285">
        <f t="shared" si="38"/>
        <v>1</v>
      </c>
      <c r="N215" s="291"/>
      <c r="O215" s="285">
        <f t="shared" si="39"/>
        <v>1</v>
      </c>
      <c r="P215" s="291"/>
      <c r="Q215" s="285">
        <f t="shared" si="40"/>
        <v>0</v>
      </c>
      <c r="R215" s="341">
        <f t="shared" si="41"/>
        <v>0</v>
      </c>
      <c r="S215" s="284">
        <f t="shared" si="42"/>
        <v>0</v>
      </c>
    </row>
    <row r="216" spans="1:19">
      <c r="A216" s="292"/>
      <c r="B216" s="293"/>
      <c r="C216" s="285">
        <f t="shared" si="33"/>
        <v>1</v>
      </c>
      <c r="D216" s="291"/>
      <c r="E216" s="285">
        <f t="shared" si="34"/>
        <v>1</v>
      </c>
      <c r="F216" s="291"/>
      <c r="G216" s="285">
        <f t="shared" si="35"/>
        <v>1</v>
      </c>
      <c r="H216" s="291"/>
      <c r="I216" s="285">
        <f t="shared" si="36"/>
        <v>1</v>
      </c>
      <c r="J216" s="291"/>
      <c r="K216" s="285">
        <f t="shared" si="37"/>
        <v>1</v>
      </c>
      <c r="L216" s="291"/>
      <c r="M216" s="285">
        <f t="shared" si="38"/>
        <v>1</v>
      </c>
      <c r="N216" s="291"/>
      <c r="O216" s="285">
        <f t="shared" si="39"/>
        <v>1</v>
      </c>
      <c r="P216" s="291"/>
      <c r="Q216" s="285">
        <f t="shared" si="40"/>
        <v>0</v>
      </c>
      <c r="R216" s="341">
        <f t="shared" si="41"/>
        <v>0</v>
      </c>
      <c r="S216" s="284">
        <f t="shared" si="42"/>
        <v>0</v>
      </c>
    </row>
    <row r="217" spans="1:19">
      <c r="A217" s="292"/>
      <c r="B217" s="293"/>
      <c r="C217" s="285">
        <f t="shared" si="33"/>
        <v>1</v>
      </c>
      <c r="D217" s="291"/>
      <c r="E217" s="285">
        <f t="shared" si="34"/>
        <v>1</v>
      </c>
      <c r="F217" s="291"/>
      <c r="G217" s="285">
        <f t="shared" si="35"/>
        <v>1</v>
      </c>
      <c r="H217" s="291"/>
      <c r="I217" s="285">
        <f t="shared" si="36"/>
        <v>1</v>
      </c>
      <c r="J217" s="291"/>
      <c r="K217" s="285">
        <f t="shared" si="37"/>
        <v>1</v>
      </c>
      <c r="L217" s="291"/>
      <c r="M217" s="285">
        <f t="shared" si="38"/>
        <v>1</v>
      </c>
      <c r="N217" s="291"/>
      <c r="O217" s="285">
        <f t="shared" si="39"/>
        <v>1</v>
      </c>
      <c r="P217" s="291"/>
      <c r="Q217" s="285">
        <f t="shared" si="40"/>
        <v>0</v>
      </c>
      <c r="R217" s="341">
        <f t="shared" si="41"/>
        <v>0</v>
      </c>
      <c r="S217" s="284">
        <f t="shared" si="42"/>
        <v>0</v>
      </c>
    </row>
    <row r="218" spans="1:19">
      <c r="A218" s="292"/>
      <c r="B218" s="293"/>
      <c r="C218" s="285">
        <f t="shared" ref="C218:C281" si="43">IF(B218="",1,(LOOKUP(B218,$3:$3,$4:$4)-LOOKUP($B$24,$3:$3,$4:$4)+100)/100)</f>
        <v>1</v>
      </c>
      <c r="D218" s="291"/>
      <c r="E218" s="285">
        <f t="shared" ref="E218:E281" si="44">(SUMIF($5:$5,D218,$6:$6)-SUMIF($5:$5,$D$24,$6:$6)+100)/100</f>
        <v>1</v>
      </c>
      <c r="F218" s="291"/>
      <c r="G218" s="285">
        <f t="shared" ref="G218:G281" si="45">(SUMIF($7:$7,F218,$8:$8)-SUMIF($7:$7,$F$24,$8:$8)+100)/100</f>
        <v>1</v>
      </c>
      <c r="H218" s="291"/>
      <c r="I218" s="285">
        <f t="shared" ref="I218:I281" si="46">(SUMIF($9:$9,H218,$10:$10)-SUMIF($9:$9,$H$24,$10:$10)+100)/100</f>
        <v>1</v>
      </c>
      <c r="J218" s="291"/>
      <c r="K218" s="285">
        <f t="shared" ref="K218:K281" si="47">(SUMIF($11:$11,J218,$12:$12)-SUMIF($11:$11,$J$24,$12:$12)+100)/100</f>
        <v>1</v>
      </c>
      <c r="L218" s="291"/>
      <c r="M218" s="285">
        <f t="shared" ref="M218:M281" si="48">(SUMIF($13:$13,L218,$14:$14)-SUMIF($13:$13,$L$24,$14:$14)+100)/100</f>
        <v>1</v>
      </c>
      <c r="N218" s="291"/>
      <c r="O218" s="285">
        <f t="shared" ref="O218:O281" si="49">(SUMIF($15:$15,N218,$16:$16)-SUMIF($15:$15,$N$24,$16:$16)+100)/100</f>
        <v>1</v>
      </c>
      <c r="P218" s="291"/>
      <c r="Q218" s="285">
        <f t="shared" ref="Q218:Q281" si="50">(SUMIF($17:$17,P218,$18:$18)-SUMIF($17:$17,$P$24,$18:$18)+100)/100</f>
        <v>0</v>
      </c>
      <c r="R218" s="341">
        <f t="shared" ref="R218:R281" si="51">IF(B218="",0,ROUND($R$24*C218*E218*G218*I218*K218*M218*O218*Q218,0))</f>
        <v>0</v>
      </c>
      <c r="S218" s="284">
        <f t="shared" si="42"/>
        <v>0</v>
      </c>
    </row>
    <row r="219" spans="1:19">
      <c r="A219" s="292"/>
      <c r="B219" s="293"/>
      <c r="C219" s="285">
        <f t="shared" si="43"/>
        <v>1</v>
      </c>
      <c r="D219" s="291"/>
      <c r="E219" s="285">
        <f t="shared" si="44"/>
        <v>1</v>
      </c>
      <c r="F219" s="291"/>
      <c r="G219" s="285">
        <f t="shared" si="45"/>
        <v>1</v>
      </c>
      <c r="H219" s="291"/>
      <c r="I219" s="285">
        <f t="shared" si="46"/>
        <v>1</v>
      </c>
      <c r="J219" s="291"/>
      <c r="K219" s="285">
        <f t="shared" si="47"/>
        <v>1</v>
      </c>
      <c r="L219" s="291"/>
      <c r="M219" s="285">
        <f t="shared" si="48"/>
        <v>1</v>
      </c>
      <c r="N219" s="291"/>
      <c r="O219" s="285">
        <f t="shared" si="49"/>
        <v>1</v>
      </c>
      <c r="P219" s="291"/>
      <c r="Q219" s="285">
        <f t="shared" si="50"/>
        <v>0</v>
      </c>
      <c r="R219" s="341">
        <f t="shared" si="51"/>
        <v>0</v>
      </c>
      <c r="S219" s="284">
        <f t="shared" si="42"/>
        <v>0</v>
      </c>
    </row>
    <row r="220" spans="1:19">
      <c r="A220" s="292"/>
      <c r="B220" s="293"/>
      <c r="C220" s="285">
        <f t="shared" si="43"/>
        <v>1</v>
      </c>
      <c r="D220" s="291"/>
      <c r="E220" s="285">
        <f t="shared" si="44"/>
        <v>1</v>
      </c>
      <c r="F220" s="291"/>
      <c r="G220" s="285">
        <f t="shared" si="45"/>
        <v>1</v>
      </c>
      <c r="H220" s="291"/>
      <c r="I220" s="285">
        <f t="shared" si="46"/>
        <v>1</v>
      </c>
      <c r="J220" s="291"/>
      <c r="K220" s="285">
        <f t="shared" si="47"/>
        <v>1</v>
      </c>
      <c r="L220" s="291"/>
      <c r="M220" s="285">
        <f t="shared" si="48"/>
        <v>1</v>
      </c>
      <c r="N220" s="291"/>
      <c r="O220" s="285">
        <f t="shared" si="49"/>
        <v>1</v>
      </c>
      <c r="P220" s="291"/>
      <c r="Q220" s="285">
        <f t="shared" si="50"/>
        <v>0</v>
      </c>
      <c r="R220" s="341">
        <f t="shared" si="51"/>
        <v>0</v>
      </c>
      <c r="S220" s="284">
        <f t="shared" si="42"/>
        <v>0</v>
      </c>
    </row>
    <row r="221" spans="1:19">
      <c r="A221" s="292"/>
      <c r="B221" s="293"/>
      <c r="C221" s="285">
        <f t="shared" si="43"/>
        <v>1</v>
      </c>
      <c r="D221" s="291"/>
      <c r="E221" s="285">
        <f t="shared" si="44"/>
        <v>1</v>
      </c>
      <c r="F221" s="291"/>
      <c r="G221" s="285">
        <f t="shared" si="45"/>
        <v>1</v>
      </c>
      <c r="H221" s="291"/>
      <c r="I221" s="285">
        <f t="shared" si="46"/>
        <v>1</v>
      </c>
      <c r="J221" s="291"/>
      <c r="K221" s="285">
        <f t="shared" si="47"/>
        <v>1</v>
      </c>
      <c r="L221" s="291"/>
      <c r="M221" s="285">
        <f t="shared" si="48"/>
        <v>1</v>
      </c>
      <c r="N221" s="291"/>
      <c r="O221" s="285">
        <f t="shared" si="49"/>
        <v>1</v>
      </c>
      <c r="P221" s="291"/>
      <c r="Q221" s="285">
        <f t="shared" si="50"/>
        <v>0</v>
      </c>
      <c r="R221" s="341">
        <f t="shared" si="51"/>
        <v>0</v>
      </c>
      <c r="S221" s="284">
        <f t="shared" si="42"/>
        <v>0</v>
      </c>
    </row>
    <row r="222" spans="1:19">
      <c r="A222" s="292"/>
      <c r="B222" s="293"/>
      <c r="C222" s="285">
        <f t="shared" si="43"/>
        <v>1</v>
      </c>
      <c r="D222" s="291"/>
      <c r="E222" s="285">
        <f t="shared" si="44"/>
        <v>1</v>
      </c>
      <c r="F222" s="291"/>
      <c r="G222" s="285">
        <f t="shared" si="45"/>
        <v>1</v>
      </c>
      <c r="H222" s="291"/>
      <c r="I222" s="285">
        <f t="shared" si="46"/>
        <v>1</v>
      </c>
      <c r="J222" s="291"/>
      <c r="K222" s="285">
        <f t="shared" si="47"/>
        <v>1</v>
      </c>
      <c r="L222" s="291"/>
      <c r="M222" s="285">
        <f t="shared" si="48"/>
        <v>1</v>
      </c>
      <c r="N222" s="291"/>
      <c r="O222" s="285">
        <f t="shared" si="49"/>
        <v>1</v>
      </c>
      <c r="P222" s="291"/>
      <c r="Q222" s="285">
        <f t="shared" si="50"/>
        <v>0</v>
      </c>
      <c r="R222" s="341">
        <f t="shared" si="51"/>
        <v>0</v>
      </c>
      <c r="S222" s="284">
        <f t="shared" si="42"/>
        <v>0</v>
      </c>
    </row>
    <row r="223" spans="1:19">
      <c r="A223" s="292"/>
      <c r="B223" s="293"/>
      <c r="C223" s="285">
        <f t="shared" si="43"/>
        <v>1</v>
      </c>
      <c r="D223" s="291"/>
      <c r="E223" s="285">
        <f t="shared" si="44"/>
        <v>1</v>
      </c>
      <c r="F223" s="291"/>
      <c r="G223" s="285">
        <f t="shared" si="45"/>
        <v>1</v>
      </c>
      <c r="H223" s="291"/>
      <c r="I223" s="285">
        <f t="shared" si="46"/>
        <v>1</v>
      </c>
      <c r="J223" s="291"/>
      <c r="K223" s="285">
        <f t="shared" si="47"/>
        <v>1</v>
      </c>
      <c r="L223" s="291"/>
      <c r="M223" s="285">
        <f t="shared" si="48"/>
        <v>1</v>
      </c>
      <c r="N223" s="291"/>
      <c r="O223" s="285">
        <f t="shared" si="49"/>
        <v>1</v>
      </c>
      <c r="P223" s="291"/>
      <c r="Q223" s="285">
        <f t="shared" si="50"/>
        <v>0</v>
      </c>
      <c r="R223" s="341">
        <f t="shared" si="51"/>
        <v>0</v>
      </c>
      <c r="S223" s="284">
        <f t="shared" ref="S223:S286" si="52">ROUND(R223*B223/10000,0)</f>
        <v>0</v>
      </c>
    </row>
    <row r="224" spans="1:19">
      <c r="A224" s="292"/>
      <c r="B224" s="293"/>
      <c r="C224" s="285">
        <f t="shared" si="43"/>
        <v>1</v>
      </c>
      <c r="D224" s="291"/>
      <c r="E224" s="285">
        <f t="shared" si="44"/>
        <v>1</v>
      </c>
      <c r="F224" s="291"/>
      <c r="G224" s="285">
        <f t="shared" si="45"/>
        <v>1</v>
      </c>
      <c r="H224" s="291"/>
      <c r="I224" s="285">
        <f t="shared" si="46"/>
        <v>1</v>
      </c>
      <c r="J224" s="291"/>
      <c r="K224" s="285">
        <f t="shared" si="47"/>
        <v>1</v>
      </c>
      <c r="L224" s="291"/>
      <c r="M224" s="285">
        <f t="shared" si="48"/>
        <v>1</v>
      </c>
      <c r="N224" s="291"/>
      <c r="O224" s="285">
        <f t="shared" si="49"/>
        <v>1</v>
      </c>
      <c r="P224" s="291"/>
      <c r="Q224" s="285">
        <f t="shared" si="50"/>
        <v>0</v>
      </c>
      <c r="R224" s="341">
        <f t="shared" si="51"/>
        <v>0</v>
      </c>
      <c r="S224" s="284">
        <f t="shared" si="52"/>
        <v>0</v>
      </c>
    </row>
    <row r="225" spans="1:19">
      <c r="A225" s="292"/>
      <c r="B225" s="293"/>
      <c r="C225" s="285">
        <f t="shared" si="43"/>
        <v>1</v>
      </c>
      <c r="D225" s="291"/>
      <c r="E225" s="285">
        <f t="shared" si="44"/>
        <v>1</v>
      </c>
      <c r="F225" s="291"/>
      <c r="G225" s="285">
        <f t="shared" si="45"/>
        <v>1</v>
      </c>
      <c r="H225" s="291"/>
      <c r="I225" s="285">
        <f t="shared" si="46"/>
        <v>1</v>
      </c>
      <c r="J225" s="291"/>
      <c r="K225" s="285">
        <f t="shared" si="47"/>
        <v>1</v>
      </c>
      <c r="L225" s="291"/>
      <c r="M225" s="285">
        <f t="shared" si="48"/>
        <v>1</v>
      </c>
      <c r="N225" s="291"/>
      <c r="O225" s="285">
        <f t="shared" si="49"/>
        <v>1</v>
      </c>
      <c r="P225" s="291"/>
      <c r="Q225" s="285">
        <f t="shared" si="50"/>
        <v>0</v>
      </c>
      <c r="R225" s="341">
        <f t="shared" si="51"/>
        <v>0</v>
      </c>
      <c r="S225" s="284">
        <f t="shared" si="52"/>
        <v>0</v>
      </c>
    </row>
    <row r="226" spans="1:19">
      <c r="A226" s="292"/>
      <c r="B226" s="293"/>
      <c r="C226" s="285">
        <f t="shared" si="43"/>
        <v>1</v>
      </c>
      <c r="D226" s="291"/>
      <c r="E226" s="285">
        <f t="shared" si="44"/>
        <v>1</v>
      </c>
      <c r="F226" s="291"/>
      <c r="G226" s="285">
        <f t="shared" si="45"/>
        <v>1</v>
      </c>
      <c r="H226" s="291"/>
      <c r="I226" s="285">
        <f t="shared" si="46"/>
        <v>1</v>
      </c>
      <c r="J226" s="291"/>
      <c r="K226" s="285">
        <f t="shared" si="47"/>
        <v>1</v>
      </c>
      <c r="L226" s="291"/>
      <c r="M226" s="285">
        <f t="shared" si="48"/>
        <v>1</v>
      </c>
      <c r="N226" s="291"/>
      <c r="O226" s="285">
        <f t="shared" si="49"/>
        <v>1</v>
      </c>
      <c r="P226" s="291"/>
      <c r="Q226" s="285">
        <f t="shared" si="50"/>
        <v>0</v>
      </c>
      <c r="R226" s="341">
        <f t="shared" si="51"/>
        <v>0</v>
      </c>
      <c r="S226" s="284">
        <f t="shared" si="52"/>
        <v>0</v>
      </c>
    </row>
    <row r="227" spans="1:19">
      <c r="A227" s="292"/>
      <c r="B227" s="293"/>
      <c r="C227" s="285">
        <f t="shared" si="43"/>
        <v>1</v>
      </c>
      <c r="D227" s="291"/>
      <c r="E227" s="285">
        <f t="shared" si="44"/>
        <v>1</v>
      </c>
      <c r="F227" s="291"/>
      <c r="G227" s="285">
        <f t="shared" si="45"/>
        <v>1</v>
      </c>
      <c r="H227" s="291"/>
      <c r="I227" s="285">
        <f t="shared" si="46"/>
        <v>1</v>
      </c>
      <c r="J227" s="291"/>
      <c r="K227" s="285">
        <f t="shared" si="47"/>
        <v>1</v>
      </c>
      <c r="L227" s="291"/>
      <c r="M227" s="285">
        <f t="shared" si="48"/>
        <v>1</v>
      </c>
      <c r="N227" s="291"/>
      <c r="O227" s="285">
        <f t="shared" si="49"/>
        <v>1</v>
      </c>
      <c r="P227" s="291"/>
      <c r="Q227" s="285">
        <f t="shared" si="50"/>
        <v>0</v>
      </c>
      <c r="R227" s="341">
        <f t="shared" si="51"/>
        <v>0</v>
      </c>
      <c r="S227" s="284">
        <f t="shared" si="52"/>
        <v>0</v>
      </c>
    </row>
    <row r="228" spans="1:19">
      <c r="A228" s="292"/>
      <c r="B228" s="293"/>
      <c r="C228" s="285">
        <f t="shared" si="43"/>
        <v>1</v>
      </c>
      <c r="D228" s="291"/>
      <c r="E228" s="285">
        <f t="shared" si="44"/>
        <v>1</v>
      </c>
      <c r="F228" s="291"/>
      <c r="G228" s="285">
        <f t="shared" si="45"/>
        <v>1</v>
      </c>
      <c r="H228" s="291"/>
      <c r="I228" s="285">
        <f t="shared" si="46"/>
        <v>1</v>
      </c>
      <c r="J228" s="291"/>
      <c r="K228" s="285">
        <f t="shared" si="47"/>
        <v>1</v>
      </c>
      <c r="L228" s="291"/>
      <c r="M228" s="285">
        <f t="shared" si="48"/>
        <v>1</v>
      </c>
      <c r="N228" s="291"/>
      <c r="O228" s="285">
        <f t="shared" si="49"/>
        <v>1</v>
      </c>
      <c r="P228" s="291"/>
      <c r="Q228" s="285">
        <f t="shared" si="50"/>
        <v>0</v>
      </c>
      <c r="R228" s="341">
        <f t="shared" si="51"/>
        <v>0</v>
      </c>
      <c r="S228" s="284">
        <f t="shared" si="52"/>
        <v>0</v>
      </c>
    </row>
    <row r="229" spans="1:19">
      <c r="A229" s="292"/>
      <c r="B229" s="293"/>
      <c r="C229" s="285">
        <f t="shared" si="43"/>
        <v>1</v>
      </c>
      <c r="D229" s="291"/>
      <c r="E229" s="285">
        <f t="shared" si="44"/>
        <v>1</v>
      </c>
      <c r="F229" s="291"/>
      <c r="G229" s="285">
        <f t="shared" si="45"/>
        <v>1</v>
      </c>
      <c r="H229" s="291"/>
      <c r="I229" s="285">
        <f t="shared" si="46"/>
        <v>1</v>
      </c>
      <c r="J229" s="291"/>
      <c r="K229" s="285">
        <f t="shared" si="47"/>
        <v>1</v>
      </c>
      <c r="L229" s="291"/>
      <c r="M229" s="285">
        <f t="shared" si="48"/>
        <v>1</v>
      </c>
      <c r="N229" s="291"/>
      <c r="O229" s="285">
        <f t="shared" si="49"/>
        <v>1</v>
      </c>
      <c r="P229" s="291"/>
      <c r="Q229" s="285">
        <f t="shared" si="50"/>
        <v>0</v>
      </c>
      <c r="R229" s="341">
        <f t="shared" si="51"/>
        <v>0</v>
      </c>
      <c r="S229" s="284">
        <f t="shared" si="52"/>
        <v>0</v>
      </c>
    </row>
    <row r="230" spans="1:19">
      <c r="A230" s="292"/>
      <c r="B230" s="293"/>
      <c r="C230" s="285">
        <f t="shared" si="43"/>
        <v>1</v>
      </c>
      <c r="D230" s="291"/>
      <c r="E230" s="285">
        <f t="shared" si="44"/>
        <v>1</v>
      </c>
      <c r="F230" s="291"/>
      <c r="G230" s="285">
        <f t="shared" si="45"/>
        <v>1</v>
      </c>
      <c r="H230" s="291"/>
      <c r="I230" s="285">
        <f t="shared" si="46"/>
        <v>1</v>
      </c>
      <c r="J230" s="291"/>
      <c r="K230" s="285">
        <f t="shared" si="47"/>
        <v>1</v>
      </c>
      <c r="L230" s="291"/>
      <c r="M230" s="285">
        <f t="shared" si="48"/>
        <v>1</v>
      </c>
      <c r="N230" s="291"/>
      <c r="O230" s="285">
        <f t="shared" si="49"/>
        <v>1</v>
      </c>
      <c r="P230" s="291"/>
      <c r="Q230" s="285">
        <f t="shared" si="50"/>
        <v>0</v>
      </c>
      <c r="R230" s="341">
        <f t="shared" si="51"/>
        <v>0</v>
      </c>
      <c r="S230" s="284">
        <f t="shared" si="52"/>
        <v>0</v>
      </c>
    </row>
    <row r="231" spans="1:19">
      <c r="A231" s="292"/>
      <c r="B231" s="293"/>
      <c r="C231" s="285">
        <f t="shared" si="43"/>
        <v>1</v>
      </c>
      <c r="D231" s="291"/>
      <c r="E231" s="285">
        <f t="shared" si="44"/>
        <v>1</v>
      </c>
      <c r="F231" s="291"/>
      <c r="G231" s="285">
        <f t="shared" si="45"/>
        <v>1</v>
      </c>
      <c r="H231" s="291"/>
      <c r="I231" s="285">
        <f t="shared" si="46"/>
        <v>1</v>
      </c>
      <c r="J231" s="291"/>
      <c r="K231" s="285">
        <f t="shared" si="47"/>
        <v>1</v>
      </c>
      <c r="L231" s="291"/>
      <c r="M231" s="285">
        <f t="shared" si="48"/>
        <v>1</v>
      </c>
      <c r="N231" s="291"/>
      <c r="O231" s="285">
        <f t="shared" si="49"/>
        <v>1</v>
      </c>
      <c r="P231" s="291"/>
      <c r="Q231" s="285">
        <f t="shared" si="50"/>
        <v>0</v>
      </c>
      <c r="R231" s="341">
        <f t="shared" si="51"/>
        <v>0</v>
      </c>
      <c r="S231" s="284">
        <f t="shared" si="52"/>
        <v>0</v>
      </c>
    </row>
    <row r="232" spans="1:19">
      <c r="A232" s="292"/>
      <c r="B232" s="293"/>
      <c r="C232" s="285">
        <f t="shared" si="43"/>
        <v>1</v>
      </c>
      <c r="D232" s="291"/>
      <c r="E232" s="285">
        <f t="shared" si="44"/>
        <v>1</v>
      </c>
      <c r="F232" s="291"/>
      <c r="G232" s="285">
        <f t="shared" si="45"/>
        <v>1</v>
      </c>
      <c r="H232" s="291"/>
      <c r="I232" s="285">
        <f t="shared" si="46"/>
        <v>1</v>
      </c>
      <c r="J232" s="291"/>
      <c r="K232" s="285">
        <f t="shared" si="47"/>
        <v>1</v>
      </c>
      <c r="L232" s="291"/>
      <c r="M232" s="285">
        <f t="shared" si="48"/>
        <v>1</v>
      </c>
      <c r="N232" s="291"/>
      <c r="O232" s="285">
        <f t="shared" si="49"/>
        <v>1</v>
      </c>
      <c r="P232" s="291"/>
      <c r="Q232" s="285">
        <f t="shared" si="50"/>
        <v>0</v>
      </c>
      <c r="R232" s="341">
        <f t="shared" si="51"/>
        <v>0</v>
      </c>
      <c r="S232" s="284">
        <f t="shared" si="52"/>
        <v>0</v>
      </c>
    </row>
    <row r="233" spans="1:19">
      <c r="A233" s="292"/>
      <c r="B233" s="293"/>
      <c r="C233" s="285">
        <f t="shared" si="43"/>
        <v>1</v>
      </c>
      <c r="D233" s="291"/>
      <c r="E233" s="285">
        <f t="shared" si="44"/>
        <v>1</v>
      </c>
      <c r="F233" s="291"/>
      <c r="G233" s="285">
        <f t="shared" si="45"/>
        <v>1</v>
      </c>
      <c r="H233" s="291"/>
      <c r="I233" s="285">
        <f t="shared" si="46"/>
        <v>1</v>
      </c>
      <c r="J233" s="291"/>
      <c r="K233" s="285">
        <f t="shared" si="47"/>
        <v>1</v>
      </c>
      <c r="L233" s="291"/>
      <c r="M233" s="285">
        <f t="shared" si="48"/>
        <v>1</v>
      </c>
      <c r="N233" s="291"/>
      <c r="O233" s="285">
        <f t="shared" si="49"/>
        <v>1</v>
      </c>
      <c r="P233" s="291"/>
      <c r="Q233" s="285">
        <f t="shared" si="50"/>
        <v>0</v>
      </c>
      <c r="R233" s="341">
        <f t="shared" si="51"/>
        <v>0</v>
      </c>
      <c r="S233" s="284">
        <f t="shared" si="52"/>
        <v>0</v>
      </c>
    </row>
    <row r="234" spans="1:19">
      <c r="A234" s="292"/>
      <c r="B234" s="293"/>
      <c r="C234" s="285">
        <f t="shared" si="43"/>
        <v>1</v>
      </c>
      <c r="D234" s="291"/>
      <c r="E234" s="285">
        <f t="shared" si="44"/>
        <v>1</v>
      </c>
      <c r="F234" s="291"/>
      <c r="G234" s="285">
        <f t="shared" si="45"/>
        <v>1</v>
      </c>
      <c r="H234" s="291"/>
      <c r="I234" s="285">
        <f t="shared" si="46"/>
        <v>1</v>
      </c>
      <c r="J234" s="291"/>
      <c r="K234" s="285">
        <f t="shared" si="47"/>
        <v>1</v>
      </c>
      <c r="L234" s="291"/>
      <c r="M234" s="285">
        <f t="shared" si="48"/>
        <v>1</v>
      </c>
      <c r="N234" s="291"/>
      <c r="O234" s="285">
        <f t="shared" si="49"/>
        <v>1</v>
      </c>
      <c r="P234" s="291"/>
      <c r="Q234" s="285">
        <f t="shared" si="50"/>
        <v>0</v>
      </c>
      <c r="R234" s="341">
        <f t="shared" si="51"/>
        <v>0</v>
      </c>
      <c r="S234" s="284">
        <f t="shared" si="52"/>
        <v>0</v>
      </c>
    </row>
    <row r="235" spans="1:19">
      <c r="A235" s="292"/>
      <c r="B235" s="293"/>
      <c r="C235" s="285">
        <f t="shared" si="43"/>
        <v>1</v>
      </c>
      <c r="D235" s="291"/>
      <c r="E235" s="285">
        <f t="shared" si="44"/>
        <v>1</v>
      </c>
      <c r="F235" s="291"/>
      <c r="G235" s="285">
        <f t="shared" si="45"/>
        <v>1</v>
      </c>
      <c r="H235" s="291"/>
      <c r="I235" s="285">
        <f t="shared" si="46"/>
        <v>1</v>
      </c>
      <c r="J235" s="291"/>
      <c r="K235" s="285">
        <f t="shared" si="47"/>
        <v>1</v>
      </c>
      <c r="L235" s="291"/>
      <c r="M235" s="285">
        <f t="shared" si="48"/>
        <v>1</v>
      </c>
      <c r="N235" s="291"/>
      <c r="O235" s="285">
        <f t="shared" si="49"/>
        <v>1</v>
      </c>
      <c r="P235" s="291"/>
      <c r="Q235" s="285">
        <f t="shared" si="50"/>
        <v>0</v>
      </c>
      <c r="R235" s="341">
        <f t="shared" si="51"/>
        <v>0</v>
      </c>
      <c r="S235" s="284">
        <f t="shared" si="52"/>
        <v>0</v>
      </c>
    </row>
    <row r="236" spans="1:19">
      <c r="A236" s="292"/>
      <c r="B236" s="293"/>
      <c r="C236" s="285">
        <f t="shared" si="43"/>
        <v>1</v>
      </c>
      <c r="D236" s="291"/>
      <c r="E236" s="285">
        <f t="shared" si="44"/>
        <v>1</v>
      </c>
      <c r="F236" s="291"/>
      <c r="G236" s="285">
        <f t="shared" si="45"/>
        <v>1</v>
      </c>
      <c r="H236" s="291"/>
      <c r="I236" s="285">
        <f t="shared" si="46"/>
        <v>1</v>
      </c>
      <c r="J236" s="291"/>
      <c r="K236" s="285">
        <f t="shared" si="47"/>
        <v>1</v>
      </c>
      <c r="L236" s="291"/>
      <c r="M236" s="285">
        <f t="shared" si="48"/>
        <v>1</v>
      </c>
      <c r="N236" s="291"/>
      <c r="O236" s="285">
        <f t="shared" si="49"/>
        <v>1</v>
      </c>
      <c r="P236" s="291"/>
      <c r="Q236" s="285">
        <f t="shared" si="50"/>
        <v>0</v>
      </c>
      <c r="R236" s="341">
        <f t="shared" si="51"/>
        <v>0</v>
      </c>
      <c r="S236" s="284">
        <f t="shared" si="52"/>
        <v>0</v>
      </c>
    </row>
    <row r="237" spans="1:19">
      <c r="A237" s="292"/>
      <c r="B237" s="293"/>
      <c r="C237" s="285">
        <f t="shared" si="43"/>
        <v>1</v>
      </c>
      <c r="D237" s="291"/>
      <c r="E237" s="285">
        <f t="shared" si="44"/>
        <v>1</v>
      </c>
      <c r="F237" s="291"/>
      <c r="G237" s="285">
        <f t="shared" si="45"/>
        <v>1</v>
      </c>
      <c r="H237" s="291"/>
      <c r="I237" s="285">
        <f t="shared" si="46"/>
        <v>1</v>
      </c>
      <c r="J237" s="291"/>
      <c r="K237" s="285">
        <f t="shared" si="47"/>
        <v>1</v>
      </c>
      <c r="L237" s="291"/>
      <c r="M237" s="285">
        <f t="shared" si="48"/>
        <v>1</v>
      </c>
      <c r="N237" s="291"/>
      <c r="O237" s="285">
        <f t="shared" si="49"/>
        <v>1</v>
      </c>
      <c r="P237" s="291"/>
      <c r="Q237" s="285">
        <f t="shared" si="50"/>
        <v>0</v>
      </c>
      <c r="R237" s="341">
        <f t="shared" si="51"/>
        <v>0</v>
      </c>
      <c r="S237" s="284">
        <f t="shared" si="52"/>
        <v>0</v>
      </c>
    </row>
    <row r="238" spans="1:19">
      <c r="A238" s="292"/>
      <c r="B238" s="293"/>
      <c r="C238" s="285">
        <f t="shared" si="43"/>
        <v>1</v>
      </c>
      <c r="D238" s="291"/>
      <c r="E238" s="285">
        <f t="shared" si="44"/>
        <v>1</v>
      </c>
      <c r="F238" s="291"/>
      <c r="G238" s="285">
        <f t="shared" si="45"/>
        <v>1</v>
      </c>
      <c r="H238" s="291"/>
      <c r="I238" s="285">
        <f t="shared" si="46"/>
        <v>1</v>
      </c>
      <c r="J238" s="291"/>
      <c r="K238" s="285">
        <f t="shared" si="47"/>
        <v>1</v>
      </c>
      <c r="L238" s="291"/>
      <c r="M238" s="285">
        <f t="shared" si="48"/>
        <v>1</v>
      </c>
      <c r="N238" s="291"/>
      <c r="O238" s="285">
        <f t="shared" si="49"/>
        <v>1</v>
      </c>
      <c r="P238" s="291"/>
      <c r="Q238" s="285">
        <f t="shared" si="50"/>
        <v>0</v>
      </c>
      <c r="R238" s="341">
        <f t="shared" si="51"/>
        <v>0</v>
      </c>
      <c r="S238" s="284">
        <f t="shared" si="52"/>
        <v>0</v>
      </c>
    </row>
    <row r="239" spans="1:19">
      <c r="A239" s="292"/>
      <c r="B239" s="293"/>
      <c r="C239" s="285">
        <f t="shared" si="43"/>
        <v>1</v>
      </c>
      <c r="D239" s="291"/>
      <c r="E239" s="285">
        <f t="shared" si="44"/>
        <v>1</v>
      </c>
      <c r="F239" s="291"/>
      <c r="G239" s="285">
        <f t="shared" si="45"/>
        <v>1</v>
      </c>
      <c r="H239" s="291"/>
      <c r="I239" s="285">
        <f t="shared" si="46"/>
        <v>1</v>
      </c>
      <c r="J239" s="291"/>
      <c r="K239" s="285">
        <f t="shared" si="47"/>
        <v>1</v>
      </c>
      <c r="L239" s="291"/>
      <c r="M239" s="285">
        <f t="shared" si="48"/>
        <v>1</v>
      </c>
      <c r="N239" s="291"/>
      <c r="O239" s="285">
        <f t="shared" si="49"/>
        <v>1</v>
      </c>
      <c r="P239" s="291"/>
      <c r="Q239" s="285">
        <f t="shared" si="50"/>
        <v>0</v>
      </c>
      <c r="R239" s="341">
        <f t="shared" si="51"/>
        <v>0</v>
      </c>
      <c r="S239" s="284">
        <f t="shared" si="52"/>
        <v>0</v>
      </c>
    </row>
    <row r="240" spans="1:19">
      <c r="A240" s="292"/>
      <c r="B240" s="293"/>
      <c r="C240" s="285">
        <f t="shared" si="43"/>
        <v>1</v>
      </c>
      <c r="D240" s="291"/>
      <c r="E240" s="285">
        <f t="shared" si="44"/>
        <v>1</v>
      </c>
      <c r="F240" s="291"/>
      <c r="G240" s="285">
        <f t="shared" si="45"/>
        <v>1</v>
      </c>
      <c r="H240" s="291"/>
      <c r="I240" s="285">
        <f t="shared" si="46"/>
        <v>1</v>
      </c>
      <c r="J240" s="291"/>
      <c r="K240" s="285">
        <f t="shared" si="47"/>
        <v>1</v>
      </c>
      <c r="L240" s="291"/>
      <c r="M240" s="285">
        <f t="shared" si="48"/>
        <v>1</v>
      </c>
      <c r="N240" s="291"/>
      <c r="O240" s="285">
        <f t="shared" si="49"/>
        <v>1</v>
      </c>
      <c r="P240" s="291"/>
      <c r="Q240" s="285">
        <f t="shared" si="50"/>
        <v>0</v>
      </c>
      <c r="R240" s="341">
        <f t="shared" si="51"/>
        <v>0</v>
      </c>
      <c r="S240" s="284">
        <f t="shared" si="52"/>
        <v>0</v>
      </c>
    </row>
    <row r="241" spans="1:19">
      <c r="A241" s="292"/>
      <c r="B241" s="293"/>
      <c r="C241" s="285">
        <f t="shared" si="43"/>
        <v>1</v>
      </c>
      <c r="D241" s="291"/>
      <c r="E241" s="285">
        <f t="shared" si="44"/>
        <v>1</v>
      </c>
      <c r="F241" s="291"/>
      <c r="G241" s="285">
        <f t="shared" si="45"/>
        <v>1</v>
      </c>
      <c r="H241" s="291"/>
      <c r="I241" s="285">
        <f t="shared" si="46"/>
        <v>1</v>
      </c>
      <c r="J241" s="291"/>
      <c r="K241" s="285">
        <f t="shared" si="47"/>
        <v>1</v>
      </c>
      <c r="L241" s="291"/>
      <c r="M241" s="285">
        <f t="shared" si="48"/>
        <v>1</v>
      </c>
      <c r="N241" s="291"/>
      <c r="O241" s="285">
        <f t="shared" si="49"/>
        <v>1</v>
      </c>
      <c r="P241" s="291"/>
      <c r="Q241" s="285">
        <f t="shared" si="50"/>
        <v>0</v>
      </c>
      <c r="R241" s="341">
        <f t="shared" si="51"/>
        <v>0</v>
      </c>
      <c r="S241" s="284">
        <f t="shared" si="52"/>
        <v>0</v>
      </c>
    </row>
    <row r="242" spans="1:19">
      <c r="A242" s="292"/>
      <c r="B242" s="293"/>
      <c r="C242" s="285">
        <f t="shared" si="43"/>
        <v>1</v>
      </c>
      <c r="D242" s="291"/>
      <c r="E242" s="285">
        <f t="shared" si="44"/>
        <v>1</v>
      </c>
      <c r="F242" s="291"/>
      <c r="G242" s="285">
        <f t="shared" si="45"/>
        <v>1</v>
      </c>
      <c r="H242" s="291"/>
      <c r="I242" s="285">
        <f t="shared" si="46"/>
        <v>1</v>
      </c>
      <c r="J242" s="291"/>
      <c r="K242" s="285">
        <f t="shared" si="47"/>
        <v>1</v>
      </c>
      <c r="L242" s="291"/>
      <c r="M242" s="285">
        <f t="shared" si="48"/>
        <v>1</v>
      </c>
      <c r="N242" s="291"/>
      <c r="O242" s="285">
        <f t="shared" si="49"/>
        <v>1</v>
      </c>
      <c r="P242" s="291"/>
      <c r="Q242" s="285">
        <f t="shared" si="50"/>
        <v>0</v>
      </c>
      <c r="R242" s="341">
        <f t="shared" si="51"/>
        <v>0</v>
      </c>
      <c r="S242" s="284">
        <f t="shared" si="52"/>
        <v>0</v>
      </c>
    </row>
    <row r="243" spans="1:19">
      <c r="A243" s="292"/>
      <c r="B243" s="293"/>
      <c r="C243" s="285">
        <f t="shared" si="43"/>
        <v>1</v>
      </c>
      <c r="D243" s="291"/>
      <c r="E243" s="285">
        <f t="shared" si="44"/>
        <v>1</v>
      </c>
      <c r="F243" s="291"/>
      <c r="G243" s="285">
        <f t="shared" si="45"/>
        <v>1</v>
      </c>
      <c r="H243" s="291"/>
      <c r="I243" s="285">
        <f t="shared" si="46"/>
        <v>1</v>
      </c>
      <c r="J243" s="291"/>
      <c r="K243" s="285">
        <f t="shared" si="47"/>
        <v>1</v>
      </c>
      <c r="L243" s="291"/>
      <c r="M243" s="285">
        <f t="shared" si="48"/>
        <v>1</v>
      </c>
      <c r="N243" s="291"/>
      <c r="O243" s="285">
        <f t="shared" si="49"/>
        <v>1</v>
      </c>
      <c r="P243" s="291"/>
      <c r="Q243" s="285">
        <f t="shared" si="50"/>
        <v>0</v>
      </c>
      <c r="R243" s="341">
        <f t="shared" si="51"/>
        <v>0</v>
      </c>
      <c r="S243" s="284">
        <f t="shared" si="52"/>
        <v>0</v>
      </c>
    </row>
    <row r="244" spans="1:19">
      <c r="A244" s="292"/>
      <c r="B244" s="293"/>
      <c r="C244" s="285">
        <f t="shared" si="43"/>
        <v>1</v>
      </c>
      <c r="D244" s="291"/>
      <c r="E244" s="285">
        <f t="shared" si="44"/>
        <v>1</v>
      </c>
      <c r="F244" s="291"/>
      <c r="G244" s="285">
        <f t="shared" si="45"/>
        <v>1</v>
      </c>
      <c r="H244" s="291"/>
      <c r="I244" s="285">
        <f t="shared" si="46"/>
        <v>1</v>
      </c>
      <c r="J244" s="291"/>
      <c r="K244" s="285">
        <f t="shared" si="47"/>
        <v>1</v>
      </c>
      <c r="L244" s="291"/>
      <c r="M244" s="285">
        <f t="shared" si="48"/>
        <v>1</v>
      </c>
      <c r="N244" s="291"/>
      <c r="O244" s="285">
        <f t="shared" si="49"/>
        <v>1</v>
      </c>
      <c r="P244" s="291"/>
      <c r="Q244" s="285">
        <f t="shared" si="50"/>
        <v>0</v>
      </c>
      <c r="R244" s="341">
        <f t="shared" si="51"/>
        <v>0</v>
      </c>
      <c r="S244" s="284">
        <f t="shared" si="52"/>
        <v>0</v>
      </c>
    </row>
    <row r="245" spans="1:19">
      <c r="A245" s="292"/>
      <c r="B245" s="293"/>
      <c r="C245" s="285">
        <f t="shared" si="43"/>
        <v>1</v>
      </c>
      <c r="D245" s="291"/>
      <c r="E245" s="285">
        <f t="shared" si="44"/>
        <v>1</v>
      </c>
      <c r="F245" s="291"/>
      <c r="G245" s="285">
        <f t="shared" si="45"/>
        <v>1</v>
      </c>
      <c r="H245" s="291"/>
      <c r="I245" s="285">
        <f t="shared" si="46"/>
        <v>1</v>
      </c>
      <c r="J245" s="291"/>
      <c r="K245" s="285">
        <f t="shared" si="47"/>
        <v>1</v>
      </c>
      <c r="L245" s="291"/>
      <c r="M245" s="285">
        <f t="shared" si="48"/>
        <v>1</v>
      </c>
      <c r="N245" s="291"/>
      <c r="O245" s="285">
        <f t="shared" si="49"/>
        <v>1</v>
      </c>
      <c r="P245" s="291"/>
      <c r="Q245" s="285">
        <f t="shared" si="50"/>
        <v>0</v>
      </c>
      <c r="R245" s="341">
        <f t="shared" si="51"/>
        <v>0</v>
      </c>
      <c r="S245" s="284">
        <f t="shared" si="52"/>
        <v>0</v>
      </c>
    </row>
    <row r="246" spans="1:19">
      <c r="A246" s="292"/>
      <c r="B246" s="293"/>
      <c r="C246" s="285">
        <f t="shared" si="43"/>
        <v>1</v>
      </c>
      <c r="D246" s="291"/>
      <c r="E246" s="285">
        <f t="shared" si="44"/>
        <v>1</v>
      </c>
      <c r="F246" s="291"/>
      <c r="G246" s="285">
        <f t="shared" si="45"/>
        <v>1</v>
      </c>
      <c r="H246" s="291"/>
      <c r="I246" s="285">
        <f t="shared" si="46"/>
        <v>1</v>
      </c>
      <c r="J246" s="291"/>
      <c r="K246" s="285">
        <f t="shared" si="47"/>
        <v>1</v>
      </c>
      <c r="L246" s="291"/>
      <c r="M246" s="285">
        <f t="shared" si="48"/>
        <v>1</v>
      </c>
      <c r="N246" s="291"/>
      <c r="O246" s="285">
        <f t="shared" si="49"/>
        <v>1</v>
      </c>
      <c r="P246" s="291"/>
      <c r="Q246" s="285">
        <f t="shared" si="50"/>
        <v>0</v>
      </c>
      <c r="R246" s="341">
        <f t="shared" si="51"/>
        <v>0</v>
      </c>
      <c r="S246" s="284">
        <f t="shared" si="52"/>
        <v>0</v>
      </c>
    </row>
    <row r="247" spans="1:19">
      <c r="A247" s="292"/>
      <c r="B247" s="293"/>
      <c r="C247" s="285">
        <f t="shared" si="43"/>
        <v>1</v>
      </c>
      <c r="D247" s="291"/>
      <c r="E247" s="285">
        <f t="shared" si="44"/>
        <v>1</v>
      </c>
      <c r="F247" s="291"/>
      <c r="G247" s="285">
        <f t="shared" si="45"/>
        <v>1</v>
      </c>
      <c r="H247" s="291"/>
      <c r="I247" s="285">
        <f t="shared" si="46"/>
        <v>1</v>
      </c>
      <c r="J247" s="291"/>
      <c r="K247" s="285">
        <f t="shared" si="47"/>
        <v>1</v>
      </c>
      <c r="L247" s="291"/>
      <c r="M247" s="285">
        <f t="shared" si="48"/>
        <v>1</v>
      </c>
      <c r="N247" s="291"/>
      <c r="O247" s="285">
        <f t="shared" si="49"/>
        <v>1</v>
      </c>
      <c r="P247" s="291"/>
      <c r="Q247" s="285">
        <f t="shared" si="50"/>
        <v>0</v>
      </c>
      <c r="R247" s="341">
        <f t="shared" si="51"/>
        <v>0</v>
      </c>
      <c r="S247" s="284">
        <f t="shared" si="52"/>
        <v>0</v>
      </c>
    </row>
    <row r="248" spans="1:19">
      <c r="A248" s="292"/>
      <c r="B248" s="293"/>
      <c r="C248" s="285">
        <f t="shared" si="43"/>
        <v>1</v>
      </c>
      <c r="D248" s="291"/>
      <c r="E248" s="285">
        <f t="shared" si="44"/>
        <v>1</v>
      </c>
      <c r="F248" s="291"/>
      <c r="G248" s="285">
        <f t="shared" si="45"/>
        <v>1</v>
      </c>
      <c r="H248" s="291"/>
      <c r="I248" s="285">
        <f t="shared" si="46"/>
        <v>1</v>
      </c>
      <c r="J248" s="291"/>
      <c r="K248" s="285">
        <f t="shared" si="47"/>
        <v>1</v>
      </c>
      <c r="L248" s="291"/>
      <c r="M248" s="285">
        <f t="shared" si="48"/>
        <v>1</v>
      </c>
      <c r="N248" s="291"/>
      <c r="O248" s="285">
        <f t="shared" si="49"/>
        <v>1</v>
      </c>
      <c r="P248" s="291"/>
      <c r="Q248" s="285">
        <f t="shared" si="50"/>
        <v>0</v>
      </c>
      <c r="R248" s="341">
        <f t="shared" si="51"/>
        <v>0</v>
      </c>
      <c r="S248" s="284">
        <f t="shared" si="52"/>
        <v>0</v>
      </c>
    </row>
    <row r="249" spans="1:19">
      <c r="A249" s="292"/>
      <c r="B249" s="293"/>
      <c r="C249" s="285">
        <f t="shared" si="43"/>
        <v>1</v>
      </c>
      <c r="D249" s="291"/>
      <c r="E249" s="285">
        <f t="shared" si="44"/>
        <v>1</v>
      </c>
      <c r="F249" s="291"/>
      <c r="G249" s="285">
        <f t="shared" si="45"/>
        <v>1</v>
      </c>
      <c r="H249" s="291"/>
      <c r="I249" s="285">
        <f t="shared" si="46"/>
        <v>1</v>
      </c>
      <c r="J249" s="291"/>
      <c r="K249" s="285">
        <f t="shared" si="47"/>
        <v>1</v>
      </c>
      <c r="L249" s="291"/>
      <c r="M249" s="285">
        <f t="shared" si="48"/>
        <v>1</v>
      </c>
      <c r="N249" s="291"/>
      <c r="O249" s="285">
        <f t="shared" si="49"/>
        <v>1</v>
      </c>
      <c r="P249" s="291"/>
      <c r="Q249" s="285">
        <f t="shared" si="50"/>
        <v>0</v>
      </c>
      <c r="R249" s="341">
        <f t="shared" si="51"/>
        <v>0</v>
      </c>
      <c r="S249" s="284">
        <f t="shared" si="52"/>
        <v>0</v>
      </c>
    </row>
    <row r="250" spans="1:19">
      <c r="A250" s="292"/>
      <c r="B250" s="293"/>
      <c r="C250" s="285">
        <f t="shared" si="43"/>
        <v>1</v>
      </c>
      <c r="D250" s="291"/>
      <c r="E250" s="285">
        <f t="shared" si="44"/>
        <v>1</v>
      </c>
      <c r="F250" s="291"/>
      <c r="G250" s="285">
        <f t="shared" si="45"/>
        <v>1</v>
      </c>
      <c r="H250" s="291"/>
      <c r="I250" s="285">
        <f t="shared" si="46"/>
        <v>1</v>
      </c>
      <c r="J250" s="291"/>
      <c r="K250" s="285">
        <f t="shared" si="47"/>
        <v>1</v>
      </c>
      <c r="L250" s="291"/>
      <c r="M250" s="285">
        <f t="shared" si="48"/>
        <v>1</v>
      </c>
      <c r="N250" s="291"/>
      <c r="O250" s="285">
        <f t="shared" si="49"/>
        <v>1</v>
      </c>
      <c r="P250" s="291"/>
      <c r="Q250" s="285">
        <f t="shared" si="50"/>
        <v>0</v>
      </c>
      <c r="R250" s="341">
        <f t="shared" si="51"/>
        <v>0</v>
      </c>
      <c r="S250" s="284">
        <f t="shared" si="52"/>
        <v>0</v>
      </c>
    </row>
    <row r="251" spans="1:19">
      <c r="A251" s="292"/>
      <c r="B251" s="293"/>
      <c r="C251" s="285">
        <f t="shared" si="43"/>
        <v>1</v>
      </c>
      <c r="D251" s="291"/>
      <c r="E251" s="285">
        <f t="shared" si="44"/>
        <v>1</v>
      </c>
      <c r="F251" s="291"/>
      <c r="G251" s="285">
        <f t="shared" si="45"/>
        <v>1</v>
      </c>
      <c r="H251" s="291"/>
      <c r="I251" s="285">
        <f t="shared" si="46"/>
        <v>1</v>
      </c>
      <c r="J251" s="291"/>
      <c r="K251" s="285">
        <f t="shared" si="47"/>
        <v>1</v>
      </c>
      <c r="L251" s="291"/>
      <c r="M251" s="285">
        <f t="shared" si="48"/>
        <v>1</v>
      </c>
      <c r="N251" s="291"/>
      <c r="O251" s="285">
        <f t="shared" si="49"/>
        <v>1</v>
      </c>
      <c r="P251" s="291"/>
      <c r="Q251" s="285">
        <f t="shared" si="50"/>
        <v>0</v>
      </c>
      <c r="R251" s="341">
        <f t="shared" si="51"/>
        <v>0</v>
      </c>
      <c r="S251" s="284">
        <f t="shared" si="52"/>
        <v>0</v>
      </c>
    </row>
    <row r="252" spans="1:19">
      <c r="A252" s="292"/>
      <c r="B252" s="293"/>
      <c r="C252" s="285">
        <f t="shared" si="43"/>
        <v>1</v>
      </c>
      <c r="D252" s="291"/>
      <c r="E252" s="285">
        <f t="shared" si="44"/>
        <v>1</v>
      </c>
      <c r="F252" s="291"/>
      <c r="G252" s="285">
        <f t="shared" si="45"/>
        <v>1</v>
      </c>
      <c r="H252" s="291"/>
      <c r="I252" s="285">
        <f t="shared" si="46"/>
        <v>1</v>
      </c>
      <c r="J252" s="291"/>
      <c r="K252" s="285">
        <f t="shared" si="47"/>
        <v>1</v>
      </c>
      <c r="L252" s="291"/>
      <c r="M252" s="285">
        <f t="shared" si="48"/>
        <v>1</v>
      </c>
      <c r="N252" s="291"/>
      <c r="O252" s="285">
        <f t="shared" si="49"/>
        <v>1</v>
      </c>
      <c r="P252" s="291"/>
      <c r="Q252" s="285">
        <f t="shared" si="50"/>
        <v>0</v>
      </c>
      <c r="R252" s="341">
        <f t="shared" si="51"/>
        <v>0</v>
      </c>
      <c r="S252" s="284">
        <f t="shared" si="52"/>
        <v>0</v>
      </c>
    </row>
    <row r="253" spans="1:19">
      <c r="A253" s="292"/>
      <c r="B253" s="293"/>
      <c r="C253" s="285">
        <f t="shared" si="43"/>
        <v>1</v>
      </c>
      <c r="D253" s="291"/>
      <c r="E253" s="285">
        <f t="shared" si="44"/>
        <v>1</v>
      </c>
      <c r="F253" s="291"/>
      <c r="G253" s="285">
        <f t="shared" si="45"/>
        <v>1</v>
      </c>
      <c r="H253" s="291"/>
      <c r="I253" s="285">
        <f t="shared" si="46"/>
        <v>1</v>
      </c>
      <c r="J253" s="291"/>
      <c r="K253" s="285">
        <f t="shared" si="47"/>
        <v>1</v>
      </c>
      <c r="L253" s="291"/>
      <c r="M253" s="285">
        <f t="shared" si="48"/>
        <v>1</v>
      </c>
      <c r="N253" s="291"/>
      <c r="O253" s="285">
        <f t="shared" si="49"/>
        <v>1</v>
      </c>
      <c r="P253" s="291"/>
      <c r="Q253" s="285">
        <f t="shared" si="50"/>
        <v>0</v>
      </c>
      <c r="R253" s="341">
        <f t="shared" si="51"/>
        <v>0</v>
      </c>
      <c r="S253" s="284">
        <f t="shared" si="52"/>
        <v>0</v>
      </c>
    </row>
    <row r="254" spans="1:19">
      <c r="A254" s="292"/>
      <c r="B254" s="293"/>
      <c r="C254" s="285">
        <f t="shared" si="43"/>
        <v>1</v>
      </c>
      <c r="D254" s="291"/>
      <c r="E254" s="285">
        <f t="shared" si="44"/>
        <v>1</v>
      </c>
      <c r="F254" s="291"/>
      <c r="G254" s="285">
        <f t="shared" si="45"/>
        <v>1</v>
      </c>
      <c r="H254" s="291"/>
      <c r="I254" s="285">
        <f t="shared" si="46"/>
        <v>1</v>
      </c>
      <c r="J254" s="291"/>
      <c r="K254" s="285">
        <f t="shared" si="47"/>
        <v>1</v>
      </c>
      <c r="L254" s="291"/>
      <c r="M254" s="285">
        <f t="shared" si="48"/>
        <v>1</v>
      </c>
      <c r="N254" s="291"/>
      <c r="O254" s="285">
        <f t="shared" si="49"/>
        <v>1</v>
      </c>
      <c r="P254" s="291"/>
      <c r="Q254" s="285">
        <f t="shared" si="50"/>
        <v>0</v>
      </c>
      <c r="R254" s="341">
        <f t="shared" si="51"/>
        <v>0</v>
      </c>
      <c r="S254" s="284">
        <f t="shared" si="52"/>
        <v>0</v>
      </c>
    </row>
    <row r="255" spans="1:19">
      <c r="A255" s="292"/>
      <c r="B255" s="293"/>
      <c r="C255" s="285">
        <f t="shared" si="43"/>
        <v>1</v>
      </c>
      <c r="D255" s="291"/>
      <c r="E255" s="285">
        <f t="shared" si="44"/>
        <v>1</v>
      </c>
      <c r="F255" s="291"/>
      <c r="G255" s="285">
        <f t="shared" si="45"/>
        <v>1</v>
      </c>
      <c r="H255" s="291"/>
      <c r="I255" s="285">
        <f t="shared" si="46"/>
        <v>1</v>
      </c>
      <c r="J255" s="291"/>
      <c r="K255" s="285">
        <f t="shared" si="47"/>
        <v>1</v>
      </c>
      <c r="L255" s="291"/>
      <c r="M255" s="285">
        <f t="shared" si="48"/>
        <v>1</v>
      </c>
      <c r="N255" s="291"/>
      <c r="O255" s="285">
        <f t="shared" si="49"/>
        <v>1</v>
      </c>
      <c r="P255" s="291"/>
      <c r="Q255" s="285">
        <f t="shared" si="50"/>
        <v>0</v>
      </c>
      <c r="R255" s="341">
        <f t="shared" si="51"/>
        <v>0</v>
      </c>
      <c r="S255" s="284">
        <f t="shared" si="52"/>
        <v>0</v>
      </c>
    </row>
    <row r="256" spans="1:19">
      <c r="A256" s="292"/>
      <c r="B256" s="293"/>
      <c r="C256" s="285">
        <f t="shared" si="43"/>
        <v>1</v>
      </c>
      <c r="D256" s="291"/>
      <c r="E256" s="285">
        <f t="shared" si="44"/>
        <v>1</v>
      </c>
      <c r="F256" s="291"/>
      <c r="G256" s="285">
        <f t="shared" si="45"/>
        <v>1</v>
      </c>
      <c r="H256" s="291"/>
      <c r="I256" s="285">
        <f t="shared" si="46"/>
        <v>1</v>
      </c>
      <c r="J256" s="291"/>
      <c r="K256" s="285">
        <f t="shared" si="47"/>
        <v>1</v>
      </c>
      <c r="L256" s="291"/>
      <c r="M256" s="285">
        <f t="shared" si="48"/>
        <v>1</v>
      </c>
      <c r="N256" s="291"/>
      <c r="O256" s="285">
        <f t="shared" si="49"/>
        <v>1</v>
      </c>
      <c r="P256" s="291"/>
      <c r="Q256" s="285">
        <f t="shared" si="50"/>
        <v>0</v>
      </c>
      <c r="R256" s="341">
        <f t="shared" si="51"/>
        <v>0</v>
      </c>
      <c r="S256" s="284">
        <f t="shared" si="52"/>
        <v>0</v>
      </c>
    </row>
    <row r="257" spans="1:19">
      <c r="A257" s="292"/>
      <c r="B257" s="293"/>
      <c r="C257" s="285">
        <f t="shared" si="43"/>
        <v>1</v>
      </c>
      <c r="D257" s="291"/>
      <c r="E257" s="285">
        <f t="shared" si="44"/>
        <v>1</v>
      </c>
      <c r="F257" s="291"/>
      <c r="G257" s="285">
        <f t="shared" si="45"/>
        <v>1</v>
      </c>
      <c r="H257" s="291"/>
      <c r="I257" s="285">
        <f t="shared" si="46"/>
        <v>1</v>
      </c>
      <c r="J257" s="291"/>
      <c r="K257" s="285">
        <f t="shared" si="47"/>
        <v>1</v>
      </c>
      <c r="L257" s="291"/>
      <c r="M257" s="285">
        <f t="shared" si="48"/>
        <v>1</v>
      </c>
      <c r="N257" s="291"/>
      <c r="O257" s="285">
        <f t="shared" si="49"/>
        <v>1</v>
      </c>
      <c r="P257" s="291"/>
      <c r="Q257" s="285">
        <f t="shared" si="50"/>
        <v>0</v>
      </c>
      <c r="R257" s="341">
        <f t="shared" si="51"/>
        <v>0</v>
      </c>
      <c r="S257" s="284">
        <f t="shared" si="52"/>
        <v>0</v>
      </c>
    </row>
    <row r="258" spans="1:19">
      <c r="A258" s="292"/>
      <c r="B258" s="293"/>
      <c r="C258" s="285">
        <f t="shared" si="43"/>
        <v>1</v>
      </c>
      <c r="D258" s="291"/>
      <c r="E258" s="285">
        <f t="shared" si="44"/>
        <v>1</v>
      </c>
      <c r="F258" s="291"/>
      <c r="G258" s="285">
        <f t="shared" si="45"/>
        <v>1</v>
      </c>
      <c r="H258" s="291"/>
      <c r="I258" s="285">
        <f t="shared" si="46"/>
        <v>1</v>
      </c>
      <c r="J258" s="291"/>
      <c r="K258" s="285">
        <f t="shared" si="47"/>
        <v>1</v>
      </c>
      <c r="L258" s="291"/>
      <c r="M258" s="285">
        <f t="shared" si="48"/>
        <v>1</v>
      </c>
      <c r="N258" s="291"/>
      <c r="O258" s="285">
        <f t="shared" si="49"/>
        <v>1</v>
      </c>
      <c r="P258" s="291"/>
      <c r="Q258" s="285">
        <f t="shared" si="50"/>
        <v>0</v>
      </c>
      <c r="R258" s="341">
        <f t="shared" si="51"/>
        <v>0</v>
      </c>
      <c r="S258" s="284">
        <f t="shared" si="52"/>
        <v>0</v>
      </c>
    </row>
    <row r="259" spans="1:19">
      <c r="A259" s="292"/>
      <c r="B259" s="293"/>
      <c r="C259" s="285">
        <f t="shared" si="43"/>
        <v>1</v>
      </c>
      <c r="D259" s="291"/>
      <c r="E259" s="285">
        <f t="shared" si="44"/>
        <v>1</v>
      </c>
      <c r="F259" s="291"/>
      <c r="G259" s="285">
        <f t="shared" si="45"/>
        <v>1</v>
      </c>
      <c r="H259" s="291"/>
      <c r="I259" s="285">
        <f t="shared" si="46"/>
        <v>1</v>
      </c>
      <c r="J259" s="291"/>
      <c r="K259" s="285">
        <f t="shared" si="47"/>
        <v>1</v>
      </c>
      <c r="L259" s="291"/>
      <c r="M259" s="285">
        <f t="shared" si="48"/>
        <v>1</v>
      </c>
      <c r="N259" s="291"/>
      <c r="O259" s="285">
        <f t="shared" si="49"/>
        <v>1</v>
      </c>
      <c r="P259" s="291"/>
      <c r="Q259" s="285">
        <f t="shared" si="50"/>
        <v>0</v>
      </c>
      <c r="R259" s="341">
        <f t="shared" si="51"/>
        <v>0</v>
      </c>
      <c r="S259" s="284">
        <f t="shared" si="52"/>
        <v>0</v>
      </c>
    </row>
    <row r="260" spans="1:19">
      <c r="A260" s="292"/>
      <c r="B260" s="293"/>
      <c r="C260" s="285">
        <f t="shared" si="43"/>
        <v>1</v>
      </c>
      <c r="D260" s="291"/>
      <c r="E260" s="285">
        <f t="shared" si="44"/>
        <v>1</v>
      </c>
      <c r="F260" s="291"/>
      <c r="G260" s="285">
        <f t="shared" si="45"/>
        <v>1</v>
      </c>
      <c r="H260" s="291"/>
      <c r="I260" s="285">
        <f t="shared" si="46"/>
        <v>1</v>
      </c>
      <c r="J260" s="291"/>
      <c r="K260" s="285">
        <f t="shared" si="47"/>
        <v>1</v>
      </c>
      <c r="L260" s="291"/>
      <c r="M260" s="285">
        <f t="shared" si="48"/>
        <v>1</v>
      </c>
      <c r="N260" s="291"/>
      <c r="O260" s="285">
        <f t="shared" si="49"/>
        <v>1</v>
      </c>
      <c r="P260" s="291"/>
      <c r="Q260" s="285">
        <f t="shared" si="50"/>
        <v>0</v>
      </c>
      <c r="R260" s="341">
        <f t="shared" si="51"/>
        <v>0</v>
      </c>
      <c r="S260" s="284">
        <f t="shared" si="52"/>
        <v>0</v>
      </c>
    </row>
    <row r="261" spans="1:19">
      <c r="A261" s="292"/>
      <c r="B261" s="293"/>
      <c r="C261" s="285">
        <f t="shared" si="43"/>
        <v>1</v>
      </c>
      <c r="D261" s="291"/>
      <c r="E261" s="285">
        <f t="shared" si="44"/>
        <v>1</v>
      </c>
      <c r="F261" s="291"/>
      <c r="G261" s="285">
        <f t="shared" si="45"/>
        <v>1</v>
      </c>
      <c r="H261" s="291"/>
      <c r="I261" s="285">
        <f t="shared" si="46"/>
        <v>1</v>
      </c>
      <c r="J261" s="291"/>
      <c r="K261" s="285">
        <f t="shared" si="47"/>
        <v>1</v>
      </c>
      <c r="L261" s="291"/>
      <c r="M261" s="285">
        <f t="shared" si="48"/>
        <v>1</v>
      </c>
      <c r="N261" s="291"/>
      <c r="O261" s="285">
        <f t="shared" si="49"/>
        <v>1</v>
      </c>
      <c r="P261" s="291"/>
      <c r="Q261" s="285">
        <f t="shared" si="50"/>
        <v>0</v>
      </c>
      <c r="R261" s="341">
        <f t="shared" si="51"/>
        <v>0</v>
      </c>
      <c r="S261" s="284">
        <f t="shared" si="52"/>
        <v>0</v>
      </c>
    </row>
    <row r="262" spans="1:19">
      <c r="A262" s="292"/>
      <c r="B262" s="293"/>
      <c r="C262" s="285">
        <f t="shared" si="43"/>
        <v>1</v>
      </c>
      <c r="D262" s="291"/>
      <c r="E262" s="285">
        <f t="shared" si="44"/>
        <v>1</v>
      </c>
      <c r="F262" s="291"/>
      <c r="G262" s="285">
        <f t="shared" si="45"/>
        <v>1</v>
      </c>
      <c r="H262" s="291"/>
      <c r="I262" s="285">
        <f t="shared" si="46"/>
        <v>1</v>
      </c>
      <c r="J262" s="291"/>
      <c r="K262" s="285">
        <f t="shared" si="47"/>
        <v>1</v>
      </c>
      <c r="L262" s="291"/>
      <c r="M262" s="285">
        <f t="shared" si="48"/>
        <v>1</v>
      </c>
      <c r="N262" s="291"/>
      <c r="O262" s="285">
        <f t="shared" si="49"/>
        <v>1</v>
      </c>
      <c r="P262" s="291"/>
      <c r="Q262" s="285">
        <f t="shared" si="50"/>
        <v>0</v>
      </c>
      <c r="R262" s="341">
        <f t="shared" si="51"/>
        <v>0</v>
      </c>
      <c r="S262" s="284">
        <f t="shared" si="52"/>
        <v>0</v>
      </c>
    </row>
    <row r="263" spans="1:19">
      <c r="A263" s="292"/>
      <c r="B263" s="293"/>
      <c r="C263" s="285">
        <f t="shared" si="43"/>
        <v>1</v>
      </c>
      <c r="D263" s="291"/>
      <c r="E263" s="285">
        <f t="shared" si="44"/>
        <v>1</v>
      </c>
      <c r="F263" s="291"/>
      <c r="G263" s="285">
        <f t="shared" si="45"/>
        <v>1</v>
      </c>
      <c r="H263" s="291"/>
      <c r="I263" s="285">
        <f t="shared" si="46"/>
        <v>1</v>
      </c>
      <c r="J263" s="291"/>
      <c r="K263" s="285">
        <f t="shared" si="47"/>
        <v>1</v>
      </c>
      <c r="L263" s="291"/>
      <c r="M263" s="285">
        <f t="shared" si="48"/>
        <v>1</v>
      </c>
      <c r="N263" s="291"/>
      <c r="O263" s="285">
        <f t="shared" si="49"/>
        <v>1</v>
      </c>
      <c r="P263" s="291"/>
      <c r="Q263" s="285">
        <f t="shared" si="50"/>
        <v>0</v>
      </c>
      <c r="R263" s="341">
        <f t="shared" si="51"/>
        <v>0</v>
      </c>
      <c r="S263" s="284">
        <f t="shared" si="52"/>
        <v>0</v>
      </c>
    </row>
    <row r="264" spans="1:19">
      <c r="A264" s="292"/>
      <c r="B264" s="293"/>
      <c r="C264" s="285">
        <f t="shared" si="43"/>
        <v>1</v>
      </c>
      <c r="D264" s="291"/>
      <c r="E264" s="285">
        <f t="shared" si="44"/>
        <v>1</v>
      </c>
      <c r="F264" s="291"/>
      <c r="G264" s="285">
        <f t="shared" si="45"/>
        <v>1</v>
      </c>
      <c r="H264" s="291"/>
      <c r="I264" s="285">
        <f t="shared" si="46"/>
        <v>1</v>
      </c>
      <c r="J264" s="291"/>
      <c r="K264" s="285">
        <f t="shared" si="47"/>
        <v>1</v>
      </c>
      <c r="L264" s="291"/>
      <c r="M264" s="285">
        <f t="shared" si="48"/>
        <v>1</v>
      </c>
      <c r="N264" s="291"/>
      <c r="O264" s="285">
        <f t="shared" si="49"/>
        <v>1</v>
      </c>
      <c r="P264" s="291"/>
      <c r="Q264" s="285">
        <f t="shared" si="50"/>
        <v>0</v>
      </c>
      <c r="R264" s="341">
        <f t="shared" si="51"/>
        <v>0</v>
      </c>
      <c r="S264" s="284">
        <f t="shared" si="52"/>
        <v>0</v>
      </c>
    </row>
    <row r="265" spans="1:19">
      <c r="A265" s="292"/>
      <c r="B265" s="293"/>
      <c r="C265" s="285">
        <f t="shared" si="43"/>
        <v>1</v>
      </c>
      <c r="D265" s="291"/>
      <c r="E265" s="285">
        <f t="shared" si="44"/>
        <v>1</v>
      </c>
      <c r="F265" s="291"/>
      <c r="G265" s="285">
        <f t="shared" si="45"/>
        <v>1</v>
      </c>
      <c r="H265" s="291"/>
      <c r="I265" s="285">
        <f t="shared" si="46"/>
        <v>1</v>
      </c>
      <c r="J265" s="291"/>
      <c r="K265" s="285">
        <f t="shared" si="47"/>
        <v>1</v>
      </c>
      <c r="L265" s="291"/>
      <c r="M265" s="285">
        <f t="shared" si="48"/>
        <v>1</v>
      </c>
      <c r="N265" s="291"/>
      <c r="O265" s="285">
        <f t="shared" si="49"/>
        <v>1</v>
      </c>
      <c r="P265" s="291"/>
      <c r="Q265" s="285">
        <f t="shared" si="50"/>
        <v>0</v>
      </c>
      <c r="R265" s="341">
        <f t="shared" si="51"/>
        <v>0</v>
      </c>
      <c r="S265" s="284">
        <f t="shared" si="52"/>
        <v>0</v>
      </c>
    </row>
    <row r="266" spans="1:19">
      <c r="A266" s="292"/>
      <c r="B266" s="293"/>
      <c r="C266" s="285">
        <f t="shared" si="43"/>
        <v>1</v>
      </c>
      <c r="D266" s="291"/>
      <c r="E266" s="285">
        <f t="shared" si="44"/>
        <v>1</v>
      </c>
      <c r="F266" s="291"/>
      <c r="G266" s="285">
        <f t="shared" si="45"/>
        <v>1</v>
      </c>
      <c r="H266" s="291"/>
      <c r="I266" s="285">
        <f t="shared" si="46"/>
        <v>1</v>
      </c>
      <c r="J266" s="291"/>
      <c r="K266" s="285">
        <f t="shared" si="47"/>
        <v>1</v>
      </c>
      <c r="L266" s="291"/>
      <c r="M266" s="285">
        <f t="shared" si="48"/>
        <v>1</v>
      </c>
      <c r="N266" s="291"/>
      <c r="O266" s="285">
        <f t="shared" si="49"/>
        <v>1</v>
      </c>
      <c r="P266" s="291"/>
      <c r="Q266" s="285">
        <f t="shared" si="50"/>
        <v>0</v>
      </c>
      <c r="R266" s="341">
        <f t="shared" si="51"/>
        <v>0</v>
      </c>
      <c r="S266" s="284">
        <f t="shared" si="52"/>
        <v>0</v>
      </c>
    </row>
    <row r="267" spans="1:19">
      <c r="A267" s="292"/>
      <c r="B267" s="293"/>
      <c r="C267" s="285">
        <f t="shared" si="43"/>
        <v>1</v>
      </c>
      <c r="D267" s="291"/>
      <c r="E267" s="285">
        <f t="shared" si="44"/>
        <v>1</v>
      </c>
      <c r="F267" s="291"/>
      <c r="G267" s="285">
        <f t="shared" si="45"/>
        <v>1</v>
      </c>
      <c r="H267" s="291"/>
      <c r="I267" s="285">
        <f t="shared" si="46"/>
        <v>1</v>
      </c>
      <c r="J267" s="291"/>
      <c r="K267" s="285">
        <f t="shared" si="47"/>
        <v>1</v>
      </c>
      <c r="L267" s="291"/>
      <c r="M267" s="285">
        <f t="shared" si="48"/>
        <v>1</v>
      </c>
      <c r="N267" s="291"/>
      <c r="O267" s="285">
        <f t="shared" si="49"/>
        <v>1</v>
      </c>
      <c r="P267" s="291"/>
      <c r="Q267" s="285">
        <f t="shared" si="50"/>
        <v>0</v>
      </c>
      <c r="R267" s="341">
        <f t="shared" si="51"/>
        <v>0</v>
      </c>
      <c r="S267" s="284">
        <f t="shared" si="52"/>
        <v>0</v>
      </c>
    </row>
    <row r="268" spans="1:19">
      <c r="A268" s="292"/>
      <c r="B268" s="293"/>
      <c r="C268" s="285">
        <f t="shared" si="43"/>
        <v>1</v>
      </c>
      <c r="D268" s="291"/>
      <c r="E268" s="285">
        <f t="shared" si="44"/>
        <v>1</v>
      </c>
      <c r="F268" s="291"/>
      <c r="G268" s="285">
        <f t="shared" si="45"/>
        <v>1</v>
      </c>
      <c r="H268" s="291"/>
      <c r="I268" s="285">
        <f t="shared" si="46"/>
        <v>1</v>
      </c>
      <c r="J268" s="291"/>
      <c r="K268" s="285">
        <f t="shared" si="47"/>
        <v>1</v>
      </c>
      <c r="L268" s="291"/>
      <c r="M268" s="285">
        <f t="shared" si="48"/>
        <v>1</v>
      </c>
      <c r="N268" s="291"/>
      <c r="O268" s="285">
        <f t="shared" si="49"/>
        <v>1</v>
      </c>
      <c r="P268" s="291"/>
      <c r="Q268" s="285">
        <f t="shared" si="50"/>
        <v>0</v>
      </c>
      <c r="R268" s="341">
        <f t="shared" si="51"/>
        <v>0</v>
      </c>
      <c r="S268" s="284">
        <f t="shared" si="52"/>
        <v>0</v>
      </c>
    </row>
    <row r="269" spans="1:19">
      <c r="A269" s="292"/>
      <c r="B269" s="293"/>
      <c r="C269" s="285">
        <f t="shared" si="43"/>
        <v>1</v>
      </c>
      <c r="D269" s="291"/>
      <c r="E269" s="285">
        <f t="shared" si="44"/>
        <v>1</v>
      </c>
      <c r="F269" s="291"/>
      <c r="G269" s="285">
        <f t="shared" si="45"/>
        <v>1</v>
      </c>
      <c r="H269" s="291"/>
      <c r="I269" s="285">
        <f t="shared" si="46"/>
        <v>1</v>
      </c>
      <c r="J269" s="291"/>
      <c r="K269" s="285">
        <f t="shared" si="47"/>
        <v>1</v>
      </c>
      <c r="L269" s="291"/>
      <c r="M269" s="285">
        <f t="shared" si="48"/>
        <v>1</v>
      </c>
      <c r="N269" s="291"/>
      <c r="O269" s="285">
        <f t="shared" si="49"/>
        <v>1</v>
      </c>
      <c r="P269" s="291"/>
      <c r="Q269" s="285">
        <f t="shared" si="50"/>
        <v>0</v>
      </c>
      <c r="R269" s="341">
        <f t="shared" si="51"/>
        <v>0</v>
      </c>
      <c r="S269" s="284">
        <f t="shared" si="52"/>
        <v>0</v>
      </c>
    </row>
    <row r="270" spans="1:19">
      <c r="A270" s="292"/>
      <c r="B270" s="293"/>
      <c r="C270" s="285">
        <f t="shared" si="43"/>
        <v>1</v>
      </c>
      <c r="D270" s="291"/>
      <c r="E270" s="285">
        <f t="shared" si="44"/>
        <v>1</v>
      </c>
      <c r="F270" s="291"/>
      <c r="G270" s="285">
        <f t="shared" si="45"/>
        <v>1</v>
      </c>
      <c r="H270" s="291"/>
      <c r="I270" s="285">
        <f t="shared" si="46"/>
        <v>1</v>
      </c>
      <c r="J270" s="291"/>
      <c r="K270" s="285">
        <f t="shared" si="47"/>
        <v>1</v>
      </c>
      <c r="L270" s="291"/>
      <c r="M270" s="285">
        <f t="shared" si="48"/>
        <v>1</v>
      </c>
      <c r="N270" s="291"/>
      <c r="O270" s="285">
        <f t="shared" si="49"/>
        <v>1</v>
      </c>
      <c r="P270" s="291"/>
      <c r="Q270" s="285">
        <f t="shared" si="50"/>
        <v>0</v>
      </c>
      <c r="R270" s="341">
        <f t="shared" si="51"/>
        <v>0</v>
      </c>
      <c r="S270" s="284">
        <f t="shared" si="52"/>
        <v>0</v>
      </c>
    </row>
    <row r="271" spans="1:19">
      <c r="A271" s="292"/>
      <c r="B271" s="293"/>
      <c r="C271" s="285">
        <f t="shared" si="43"/>
        <v>1</v>
      </c>
      <c r="D271" s="291"/>
      <c r="E271" s="285">
        <f t="shared" si="44"/>
        <v>1</v>
      </c>
      <c r="F271" s="291"/>
      <c r="G271" s="285">
        <f t="shared" si="45"/>
        <v>1</v>
      </c>
      <c r="H271" s="291"/>
      <c r="I271" s="285">
        <f t="shared" si="46"/>
        <v>1</v>
      </c>
      <c r="J271" s="291"/>
      <c r="K271" s="285">
        <f t="shared" si="47"/>
        <v>1</v>
      </c>
      <c r="L271" s="291"/>
      <c r="M271" s="285">
        <f t="shared" si="48"/>
        <v>1</v>
      </c>
      <c r="N271" s="291"/>
      <c r="O271" s="285">
        <f t="shared" si="49"/>
        <v>1</v>
      </c>
      <c r="P271" s="291"/>
      <c r="Q271" s="285">
        <f t="shared" si="50"/>
        <v>0</v>
      </c>
      <c r="R271" s="341">
        <f t="shared" si="51"/>
        <v>0</v>
      </c>
      <c r="S271" s="284">
        <f t="shared" si="52"/>
        <v>0</v>
      </c>
    </row>
    <row r="272" spans="1:19">
      <c r="A272" s="292"/>
      <c r="B272" s="293"/>
      <c r="C272" s="285">
        <f t="shared" si="43"/>
        <v>1</v>
      </c>
      <c r="D272" s="291"/>
      <c r="E272" s="285">
        <f t="shared" si="44"/>
        <v>1</v>
      </c>
      <c r="F272" s="291"/>
      <c r="G272" s="285">
        <f t="shared" si="45"/>
        <v>1</v>
      </c>
      <c r="H272" s="291"/>
      <c r="I272" s="285">
        <f t="shared" si="46"/>
        <v>1</v>
      </c>
      <c r="J272" s="291"/>
      <c r="K272" s="285">
        <f t="shared" si="47"/>
        <v>1</v>
      </c>
      <c r="L272" s="291"/>
      <c r="M272" s="285">
        <f t="shared" si="48"/>
        <v>1</v>
      </c>
      <c r="N272" s="291"/>
      <c r="O272" s="285">
        <f t="shared" si="49"/>
        <v>1</v>
      </c>
      <c r="P272" s="291"/>
      <c r="Q272" s="285">
        <f t="shared" si="50"/>
        <v>0</v>
      </c>
      <c r="R272" s="341">
        <f t="shared" si="51"/>
        <v>0</v>
      </c>
      <c r="S272" s="284">
        <f t="shared" si="52"/>
        <v>0</v>
      </c>
    </row>
    <row r="273" spans="1:19">
      <c r="A273" s="292"/>
      <c r="B273" s="293"/>
      <c r="C273" s="285">
        <f t="shared" si="43"/>
        <v>1</v>
      </c>
      <c r="D273" s="291"/>
      <c r="E273" s="285">
        <f t="shared" si="44"/>
        <v>1</v>
      </c>
      <c r="F273" s="291"/>
      <c r="G273" s="285">
        <f t="shared" si="45"/>
        <v>1</v>
      </c>
      <c r="H273" s="291"/>
      <c r="I273" s="285">
        <f t="shared" si="46"/>
        <v>1</v>
      </c>
      <c r="J273" s="291"/>
      <c r="K273" s="285">
        <f t="shared" si="47"/>
        <v>1</v>
      </c>
      <c r="L273" s="291"/>
      <c r="M273" s="285">
        <f t="shared" si="48"/>
        <v>1</v>
      </c>
      <c r="N273" s="291"/>
      <c r="O273" s="285">
        <f t="shared" si="49"/>
        <v>1</v>
      </c>
      <c r="P273" s="291"/>
      <c r="Q273" s="285">
        <f t="shared" si="50"/>
        <v>0</v>
      </c>
      <c r="R273" s="341">
        <f t="shared" si="51"/>
        <v>0</v>
      </c>
      <c r="S273" s="284">
        <f t="shared" si="52"/>
        <v>0</v>
      </c>
    </row>
    <row r="274" spans="1:19">
      <c r="A274" s="292"/>
      <c r="B274" s="293"/>
      <c r="C274" s="285">
        <f t="shared" si="43"/>
        <v>1</v>
      </c>
      <c r="D274" s="291"/>
      <c r="E274" s="285">
        <f t="shared" si="44"/>
        <v>1</v>
      </c>
      <c r="F274" s="291"/>
      <c r="G274" s="285">
        <f t="shared" si="45"/>
        <v>1</v>
      </c>
      <c r="H274" s="291"/>
      <c r="I274" s="285">
        <f t="shared" si="46"/>
        <v>1</v>
      </c>
      <c r="J274" s="291"/>
      <c r="K274" s="285">
        <f t="shared" si="47"/>
        <v>1</v>
      </c>
      <c r="L274" s="291"/>
      <c r="M274" s="285">
        <f t="shared" si="48"/>
        <v>1</v>
      </c>
      <c r="N274" s="291"/>
      <c r="O274" s="285">
        <f t="shared" si="49"/>
        <v>1</v>
      </c>
      <c r="P274" s="291"/>
      <c r="Q274" s="285">
        <f t="shared" si="50"/>
        <v>0</v>
      </c>
      <c r="R274" s="341">
        <f t="shared" si="51"/>
        <v>0</v>
      </c>
      <c r="S274" s="284">
        <f t="shared" si="52"/>
        <v>0</v>
      </c>
    </row>
    <row r="275" spans="1:19">
      <c r="A275" s="292"/>
      <c r="B275" s="293"/>
      <c r="C275" s="285">
        <f t="shared" si="43"/>
        <v>1</v>
      </c>
      <c r="D275" s="291"/>
      <c r="E275" s="285">
        <f t="shared" si="44"/>
        <v>1</v>
      </c>
      <c r="F275" s="291"/>
      <c r="G275" s="285">
        <f t="shared" si="45"/>
        <v>1</v>
      </c>
      <c r="H275" s="291"/>
      <c r="I275" s="285">
        <f t="shared" si="46"/>
        <v>1</v>
      </c>
      <c r="J275" s="291"/>
      <c r="K275" s="285">
        <f t="shared" si="47"/>
        <v>1</v>
      </c>
      <c r="L275" s="291"/>
      <c r="M275" s="285">
        <f t="shared" si="48"/>
        <v>1</v>
      </c>
      <c r="N275" s="291"/>
      <c r="O275" s="285">
        <f t="shared" si="49"/>
        <v>1</v>
      </c>
      <c r="P275" s="291"/>
      <c r="Q275" s="285">
        <f t="shared" si="50"/>
        <v>0</v>
      </c>
      <c r="R275" s="341">
        <f t="shared" si="51"/>
        <v>0</v>
      </c>
      <c r="S275" s="284">
        <f t="shared" si="52"/>
        <v>0</v>
      </c>
    </row>
    <row r="276" spans="1:19">
      <c r="A276" s="292"/>
      <c r="B276" s="293"/>
      <c r="C276" s="285">
        <f t="shared" si="43"/>
        <v>1</v>
      </c>
      <c r="D276" s="291"/>
      <c r="E276" s="285">
        <f t="shared" si="44"/>
        <v>1</v>
      </c>
      <c r="F276" s="291"/>
      <c r="G276" s="285">
        <f t="shared" si="45"/>
        <v>1</v>
      </c>
      <c r="H276" s="291"/>
      <c r="I276" s="285">
        <f t="shared" si="46"/>
        <v>1</v>
      </c>
      <c r="J276" s="291"/>
      <c r="K276" s="285">
        <f t="shared" si="47"/>
        <v>1</v>
      </c>
      <c r="L276" s="291"/>
      <c r="M276" s="285">
        <f t="shared" si="48"/>
        <v>1</v>
      </c>
      <c r="N276" s="291"/>
      <c r="O276" s="285">
        <f t="shared" si="49"/>
        <v>1</v>
      </c>
      <c r="P276" s="291"/>
      <c r="Q276" s="285">
        <f t="shared" si="50"/>
        <v>0</v>
      </c>
      <c r="R276" s="341">
        <f t="shared" si="51"/>
        <v>0</v>
      </c>
      <c r="S276" s="284">
        <f t="shared" si="52"/>
        <v>0</v>
      </c>
    </row>
    <row r="277" spans="1:19">
      <c r="A277" s="292"/>
      <c r="B277" s="293"/>
      <c r="C277" s="285">
        <f t="shared" si="43"/>
        <v>1</v>
      </c>
      <c r="D277" s="291"/>
      <c r="E277" s="285">
        <f t="shared" si="44"/>
        <v>1</v>
      </c>
      <c r="F277" s="291"/>
      <c r="G277" s="285">
        <f t="shared" si="45"/>
        <v>1</v>
      </c>
      <c r="H277" s="291"/>
      <c r="I277" s="285">
        <f t="shared" si="46"/>
        <v>1</v>
      </c>
      <c r="J277" s="291"/>
      <c r="K277" s="285">
        <f t="shared" si="47"/>
        <v>1</v>
      </c>
      <c r="L277" s="291"/>
      <c r="M277" s="285">
        <f t="shared" si="48"/>
        <v>1</v>
      </c>
      <c r="N277" s="291"/>
      <c r="O277" s="285">
        <f t="shared" si="49"/>
        <v>1</v>
      </c>
      <c r="P277" s="291"/>
      <c r="Q277" s="285">
        <f t="shared" si="50"/>
        <v>0</v>
      </c>
      <c r="R277" s="341">
        <f t="shared" si="51"/>
        <v>0</v>
      </c>
      <c r="S277" s="284">
        <f t="shared" si="52"/>
        <v>0</v>
      </c>
    </row>
    <row r="278" spans="1:19">
      <c r="A278" s="292"/>
      <c r="B278" s="293"/>
      <c r="C278" s="285">
        <f t="shared" si="43"/>
        <v>1</v>
      </c>
      <c r="D278" s="291"/>
      <c r="E278" s="285">
        <f t="shared" si="44"/>
        <v>1</v>
      </c>
      <c r="F278" s="291"/>
      <c r="G278" s="285">
        <f t="shared" si="45"/>
        <v>1</v>
      </c>
      <c r="H278" s="291"/>
      <c r="I278" s="285">
        <f t="shared" si="46"/>
        <v>1</v>
      </c>
      <c r="J278" s="291"/>
      <c r="K278" s="285">
        <f t="shared" si="47"/>
        <v>1</v>
      </c>
      <c r="L278" s="291"/>
      <c r="M278" s="285">
        <f t="shared" si="48"/>
        <v>1</v>
      </c>
      <c r="N278" s="291"/>
      <c r="O278" s="285">
        <f t="shared" si="49"/>
        <v>1</v>
      </c>
      <c r="P278" s="291"/>
      <c r="Q278" s="285">
        <f t="shared" si="50"/>
        <v>0</v>
      </c>
      <c r="R278" s="341">
        <f t="shared" si="51"/>
        <v>0</v>
      </c>
      <c r="S278" s="284">
        <f t="shared" si="52"/>
        <v>0</v>
      </c>
    </row>
    <row r="279" spans="1:19">
      <c r="A279" s="292"/>
      <c r="B279" s="293"/>
      <c r="C279" s="285">
        <f t="shared" si="43"/>
        <v>1</v>
      </c>
      <c r="D279" s="291"/>
      <c r="E279" s="285">
        <f t="shared" si="44"/>
        <v>1</v>
      </c>
      <c r="F279" s="291"/>
      <c r="G279" s="285">
        <f t="shared" si="45"/>
        <v>1</v>
      </c>
      <c r="H279" s="291"/>
      <c r="I279" s="285">
        <f t="shared" si="46"/>
        <v>1</v>
      </c>
      <c r="J279" s="291"/>
      <c r="K279" s="285">
        <f t="shared" si="47"/>
        <v>1</v>
      </c>
      <c r="L279" s="291"/>
      <c r="M279" s="285">
        <f t="shared" si="48"/>
        <v>1</v>
      </c>
      <c r="N279" s="291"/>
      <c r="O279" s="285">
        <f t="shared" si="49"/>
        <v>1</v>
      </c>
      <c r="P279" s="291"/>
      <c r="Q279" s="285">
        <f t="shared" si="50"/>
        <v>0</v>
      </c>
      <c r="R279" s="341">
        <f t="shared" si="51"/>
        <v>0</v>
      </c>
      <c r="S279" s="284">
        <f t="shared" si="52"/>
        <v>0</v>
      </c>
    </row>
    <row r="280" spans="1:19">
      <c r="A280" s="292"/>
      <c r="B280" s="293"/>
      <c r="C280" s="285">
        <f t="shared" si="43"/>
        <v>1</v>
      </c>
      <c r="D280" s="291"/>
      <c r="E280" s="285">
        <f t="shared" si="44"/>
        <v>1</v>
      </c>
      <c r="F280" s="291"/>
      <c r="G280" s="285">
        <f t="shared" si="45"/>
        <v>1</v>
      </c>
      <c r="H280" s="291"/>
      <c r="I280" s="285">
        <f t="shared" si="46"/>
        <v>1</v>
      </c>
      <c r="J280" s="291"/>
      <c r="K280" s="285">
        <f t="shared" si="47"/>
        <v>1</v>
      </c>
      <c r="L280" s="291"/>
      <c r="M280" s="285">
        <f t="shared" si="48"/>
        <v>1</v>
      </c>
      <c r="N280" s="291"/>
      <c r="O280" s="285">
        <f t="shared" si="49"/>
        <v>1</v>
      </c>
      <c r="P280" s="291"/>
      <c r="Q280" s="285">
        <f t="shared" si="50"/>
        <v>0</v>
      </c>
      <c r="R280" s="341">
        <f t="shared" si="51"/>
        <v>0</v>
      </c>
      <c r="S280" s="284">
        <f t="shared" si="52"/>
        <v>0</v>
      </c>
    </row>
    <row r="281" spans="1:19">
      <c r="A281" s="292"/>
      <c r="B281" s="293"/>
      <c r="C281" s="285">
        <f t="shared" si="43"/>
        <v>1</v>
      </c>
      <c r="D281" s="291"/>
      <c r="E281" s="285">
        <f t="shared" si="44"/>
        <v>1</v>
      </c>
      <c r="F281" s="291"/>
      <c r="G281" s="285">
        <f t="shared" si="45"/>
        <v>1</v>
      </c>
      <c r="H281" s="291"/>
      <c r="I281" s="285">
        <f t="shared" si="46"/>
        <v>1</v>
      </c>
      <c r="J281" s="291"/>
      <c r="K281" s="285">
        <f t="shared" si="47"/>
        <v>1</v>
      </c>
      <c r="L281" s="291"/>
      <c r="M281" s="285">
        <f t="shared" si="48"/>
        <v>1</v>
      </c>
      <c r="N281" s="291"/>
      <c r="O281" s="285">
        <f t="shared" si="49"/>
        <v>1</v>
      </c>
      <c r="P281" s="291"/>
      <c r="Q281" s="285">
        <f t="shared" si="50"/>
        <v>0</v>
      </c>
      <c r="R281" s="341">
        <f t="shared" si="51"/>
        <v>0</v>
      </c>
      <c r="S281" s="284">
        <f t="shared" si="52"/>
        <v>0</v>
      </c>
    </row>
    <row r="282" spans="1:19">
      <c r="A282" s="292"/>
      <c r="B282" s="293"/>
      <c r="C282" s="285">
        <f t="shared" ref="C282:C345" si="53">IF(B282="",1,(LOOKUP(B282,$3:$3,$4:$4)-LOOKUP($B$24,$3:$3,$4:$4)+100)/100)</f>
        <v>1</v>
      </c>
      <c r="D282" s="291"/>
      <c r="E282" s="285">
        <f t="shared" ref="E282:E345" si="54">(SUMIF($5:$5,D282,$6:$6)-SUMIF($5:$5,$D$24,$6:$6)+100)/100</f>
        <v>1</v>
      </c>
      <c r="F282" s="291"/>
      <c r="G282" s="285">
        <f t="shared" ref="G282:G345" si="55">(SUMIF($7:$7,F282,$8:$8)-SUMIF($7:$7,$F$24,$8:$8)+100)/100</f>
        <v>1</v>
      </c>
      <c r="H282" s="291"/>
      <c r="I282" s="285">
        <f t="shared" ref="I282:I345" si="56">(SUMIF($9:$9,H282,$10:$10)-SUMIF($9:$9,$H$24,$10:$10)+100)/100</f>
        <v>1</v>
      </c>
      <c r="J282" s="291"/>
      <c r="K282" s="285">
        <f t="shared" ref="K282:K345" si="57">(SUMIF($11:$11,J282,$12:$12)-SUMIF($11:$11,$J$24,$12:$12)+100)/100</f>
        <v>1</v>
      </c>
      <c r="L282" s="291"/>
      <c r="M282" s="285">
        <f t="shared" ref="M282:M345" si="58">(SUMIF($13:$13,L282,$14:$14)-SUMIF($13:$13,$L$24,$14:$14)+100)/100</f>
        <v>1</v>
      </c>
      <c r="N282" s="291"/>
      <c r="O282" s="285">
        <f t="shared" ref="O282:O345" si="59">(SUMIF($15:$15,N282,$16:$16)-SUMIF($15:$15,$N$24,$16:$16)+100)/100</f>
        <v>1</v>
      </c>
      <c r="P282" s="291"/>
      <c r="Q282" s="285">
        <f t="shared" ref="Q282:Q345" si="60">(SUMIF($17:$17,P282,$18:$18)-SUMIF($17:$17,$P$24,$18:$18)+100)/100</f>
        <v>0</v>
      </c>
      <c r="R282" s="341">
        <f t="shared" ref="R282:R345" si="61">IF(B282="",0,ROUND($R$24*C282*E282*G282*I282*K282*M282*O282*Q282,0))</f>
        <v>0</v>
      </c>
      <c r="S282" s="284">
        <f t="shared" si="52"/>
        <v>0</v>
      </c>
    </row>
    <row r="283" spans="1:19">
      <c r="A283" s="292"/>
      <c r="B283" s="293"/>
      <c r="C283" s="285">
        <f t="shared" si="53"/>
        <v>1</v>
      </c>
      <c r="D283" s="291"/>
      <c r="E283" s="285">
        <f t="shared" si="54"/>
        <v>1</v>
      </c>
      <c r="F283" s="291"/>
      <c r="G283" s="285">
        <f t="shared" si="55"/>
        <v>1</v>
      </c>
      <c r="H283" s="291"/>
      <c r="I283" s="285">
        <f t="shared" si="56"/>
        <v>1</v>
      </c>
      <c r="J283" s="291"/>
      <c r="K283" s="285">
        <f t="shared" si="57"/>
        <v>1</v>
      </c>
      <c r="L283" s="291"/>
      <c r="M283" s="285">
        <f t="shared" si="58"/>
        <v>1</v>
      </c>
      <c r="N283" s="291"/>
      <c r="O283" s="285">
        <f t="shared" si="59"/>
        <v>1</v>
      </c>
      <c r="P283" s="291"/>
      <c r="Q283" s="285">
        <f t="shared" si="60"/>
        <v>0</v>
      </c>
      <c r="R283" s="341">
        <f t="shared" si="61"/>
        <v>0</v>
      </c>
      <c r="S283" s="284">
        <f t="shared" si="52"/>
        <v>0</v>
      </c>
    </row>
    <row r="284" spans="1:19">
      <c r="A284" s="292"/>
      <c r="B284" s="293"/>
      <c r="C284" s="285">
        <f t="shared" si="53"/>
        <v>1</v>
      </c>
      <c r="D284" s="291"/>
      <c r="E284" s="285">
        <f t="shared" si="54"/>
        <v>1</v>
      </c>
      <c r="F284" s="291"/>
      <c r="G284" s="285">
        <f t="shared" si="55"/>
        <v>1</v>
      </c>
      <c r="H284" s="291"/>
      <c r="I284" s="285">
        <f t="shared" si="56"/>
        <v>1</v>
      </c>
      <c r="J284" s="291"/>
      <c r="K284" s="285">
        <f t="shared" si="57"/>
        <v>1</v>
      </c>
      <c r="L284" s="291"/>
      <c r="M284" s="285">
        <f t="shared" si="58"/>
        <v>1</v>
      </c>
      <c r="N284" s="291"/>
      <c r="O284" s="285">
        <f t="shared" si="59"/>
        <v>1</v>
      </c>
      <c r="P284" s="291"/>
      <c r="Q284" s="285">
        <f t="shared" si="60"/>
        <v>0</v>
      </c>
      <c r="R284" s="341">
        <f t="shared" si="61"/>
        <v>0</v>
      </c>
      <c r="S284" s="284">
        <f t="shared" si="52"/>
        <v>0</v>
      </c>
    </row>
    <row r="285" spans="1:19">
      <c r="A285" s="292"/>
      <c r="B285" s="293"/>
      <c r="C285" s="285">
        <f t="shared" si="53"/>
        <v>1</v>
      </c>
      <c r="D285" s="291"/>
      <c r="E285" s="285">
        <f t="shared" si="54"/>
        <v>1</v>
      </c>
      <c r="F285" s="291"/>
      <c r="G285" s="285">
        <f t="shared" si="55"/>
        <v>1</v>
      </c>
      <c r="H285" s="291"/>
      <c r="I285" s="285">
        <f t="shared" si="56"/>
        <v>1</v>
      </c>
      <c r="J285" s="291"/>
      <c r="K285" s="285">
        <f t="shared" si="57"/>
        <v>1</v>
      </c>
      <c r="L285" s="291"/>
      <c r="M285" s="285">
        <f t="shared" si="58"/>
        <v>1</v>
      </c>
      <c r="N285" s="291"/>
      <c r="O285" s="285">
        <f t="shared" si="59"/>
        <v>1</v>
      </c>
      <c r="P285" s="291"/>
      <c r="Q285" s="285">
        <f t="shared" si="60"/>
        <v>0</v>
      </c>
      <c r="R285" s="341">
        <f t="shared" si="61"/>
        <v>0</v>
      </c>
      <c r="S285" s="284">
        <f t="shared" si="52"/>
        <v>0</v>
      </c>
    </row>
    <row r="286" spans="1:19">
      <c r="A286" s="292"/>
      <c r="B286" s="293"/>
      <c r="C286" s="285">
        <f t="shared" si="53"/>
        <v>1</v>
      </c>
      <c r="D286" s="291"/>
      <c r="E286" s="285">
        <f t="shared" si="54"/>
        <v>1</v>
      </c>
      <c r="F286" s="291"/>
      <c r="G286" s="285">
        <f t="shared" si="55"/>
        <v>1</v>
      </c>
      <c r="H286" s="291"/>
      <c r="I286" s="285">
        <f t="shared" si="56"/>
        <v>1</v>
      </c>
      <c r="J286" s="291"/>
      <c r="K286" s="285">
        <f t="shared" si="57"/>
        <v>1</v>
      </c>
      <c r="L286" s="291"/>
      <c r="M286" s="285">
        <f t="shared" si="58"/>
        <v>1</v>
      </c>
      <c r="N286" s="291"/>
      <c r="O286" s="285">
        <f t="shared" si="59"/>
        <v>1</v>
      </c>
      <c r="P286" s="291"/>
      <c r="Q286" s="285">
        <f t="shared" si="60"/>
        <v>0</v>
      </c>
      <c r="R286" s="341">
        <f t="shared" si="61"/>
        <v>0</v>
      </c>
      <c r="S286" s="284">
        <f t="shared" si="52"/>
        <v>0</v>
      </c>
    </row>
    <row r="287" spans="1:19">
      <c r="A287" s="292"/>
      <c r="B287" s="293"/>
      <c r="C287" s="285">
        <f t="shared" si="53"/>
        <v>1</v>
      </c>
      <c r="D287" s="291"/>
      <c r="E287" s="285">
        <f t="shared" si="54"/>
        <v>1</v>
      </c>
      <c r="F287" s="291"/>
      <c r="G287" s="285">
        <f t="shared" si="55"/>
        <v>1</v>
      </c>
      <c r="H287" s="291"/>
      <c r="I287" s="285">
        <f t="shared" si="56"/>
        <v>1</v>
      </c>
      <c r="J287" s="291"/>
      <c r="K287" s="285">
        <f t="shared" si="57"/>
        <v>1</v>
      </c>
      <c r="L287" s="291"/>
      <c r="M287" s="285">
        <f t="shared" si="58"/>
        <v>1</v>
      </c>
      <c r="N287" s="291"/>
      <c r="O287" s="285">
        <f t="shared" si="59"/>
        <v>1</v>
      </c>
      <c r="P287" s="291"/>
      <c r="Q287" s="285">
        <f t="shared" si="60"/>
        <v>0</v>
      </c>
      <c r="R287" s="341">
        <f t="shared" si="61"/>
        <v>0</v>
      </c>
      <c r="S287" s="284">
        <f t="shared" ref="S287:S320" si="62">ROUND(R287*B287/10000,0)</f>
        <v>0</v>
      </c>
    </row>
    <row r="288" spans="1:19">
      <c r="A288" s="292"/>
      <c r="B288" s="293"/>
      <c r="C288" s="285">
        <f t="shared" si="53"/>
        <v>1</v>
      </c>
      <c r="D288" s="291"/>
      <c r="E288" s="285">
        <f t="shared" si="54"/>
        <v>1</v>
      </c>
      <c r="F288" s="291"/>
      <c r="G288" s="285">
        <f t="shared" si="55"/>
        <v>1</v>
      </c>
      <c r="H288" s="291"/>
      <c r="I288" s="285">
        <f t="shared" si="56"/>
        <v>1</v>
      </c>
      <c r="J288" s="291"/>
      <c r="K288" s="285">
        <f t="shared" si="57"/>
        <v>1</v>
      </c>
      <c r="L288" s="291"/>
      <c r="M288" s="285">
        <f t="shared" si="58"/>
        <v>1</v>
      </c>
      <c r="N288" s="291"/>
      <c r="O288" s="285">
        <f t="shared" si="59"/>
        <v>1</v>
      </c>
      <c r="P288" s="291"/>
      <c r="Q288" s="285">
        <f t="shared" si="60"/>
        <v>0</v>
      </c>
      <c r="R288" s="341">
        <f t="shared" si="61"/>
        <v>0</v>
      </c>
      <c r="S288" s="284">
        <f t="shared" si="62"/>
        <v>0</v>
      </c>
    </row>
    <row r="289" spans="1:19">
      <c r="A289" s="292"/>
      <c r="B289" s="293"/>
      <c r="C289" s="285">
        <f t="shared" si="53"/>
        <v>1</v>
      </c>
      <c r="D289" s="291"/>
      <c r="E289" s="285">
        <f t="shared" si="54"/>
        <v>1</v>
      </c>
      <c r="F289" s="291"/>
      <c r="G289" s="285">
        <f t="shared" si="55"/>
        <v>1</v>
      </c>
      <c r="H289" s="291"/>
      <c r="I289" s="285">
        <f t="shared" si="56"/>
        <v>1</v>
      </c>
      <c r="J289" s="291"/>
      <c r="K289" s="285">
        <f t="shared" si="57"/>
        <v>1</v>
      </c>
      <c r="L289" s="291"/>
      <c r="M289" s="285">
        <f t="shared" si="58"/>
        <v>1</v>
      </c>
      <c r="N289" s="291"/>
      <c r="O289" s="285">
        <f t="shared" si="59"/>
        <v>1</v>
      </c>
      <c r="P289" s="291"/>
      <c r="Q289" s="285">
        <f t="shared" si="60"/>
        <v>0</v>
      </c>
      <c r="R289" s="341">
        <f t="shared" si="61"/>
        <v>0</v>
      </c>
      <c r="S289" s="284">
        <f t="shared" si="62"/>
        <v>0</v>
      </c>
    </row>
    <row r="290" spans="1:19">
      <c r="A290" s="292"/>
      <c r="B290" s="293"/>
      <c r="C290" s="285">
        <f t="shared" si="53"/>
        <v>1</v>
      </c>
      <c r="D290" s="291"/>
      <c r="E290" s="285">
        <f t="shared" si="54"/>
        <v>1</v>
      </c>
      <c r="F290" s="291"/>
      <c r="G290" s="285">
        <f t="shared" si="55"/>
        <v>1</v>
      </c>
      <c r="H290" s="291"/>
      <c r="I290" s="285">
        <f t="shared" si="56"/>
        <v>1</v>
      </c>
      <c r="J290" s="291"/>
      <c r="K290" s="285">
        <f t="shared" si="57"/>
        <v>1</v>
      </c>
      <c r="L290" s="291"/>
      <c r="M290" s="285">
        <f t="shared" si="58"/>
        <v>1</v>
      </c>
      <c r="N290" s="291"/>
      <c r="O290" s="285">
        <f t="shared" si="59"/>
        <v>1</v>
      </c>
      <c r="P290" s="291"/>
      <c r="Q290" s="285">
        <f t="shared" si="60"/>
        <v>0</v>
      </c>
      <c r="R290" s="341">
        <f t="shared" si="61"/>
        <v>0</v>
      </c>
      <c r="S290" s="284">
        <f t="shared" si="62"/>
        <v>0</v>
      </c>
    </row>
    <row r="291" spans="1:19">
      <c r="A291" s="292"/>
      <c r="B291" s="293"/>
      <c r="C291" s="285">
        <f t="shared" si="53"/>
        <v>1</v>
      </c>
      <c r="D291" s="291"/>
      <c r="E291" s="285">
        <f t="shared" si="54"/>
        <v>1</v>
      </c>
      <c r="F291" s="291"/>
      <c r="G291" s="285">
        <f t="shared" si="55"/>
        <v>1</v>
      </c>
      <c r="H291" s="291"/>
      <c r="I291" s="285">
        <f t="shared" si="56"/>
        <v>1</v>
      </c>
      <c r="J291" s="291"/>
      <c r="K291" s="285">
        <f t="shared" si="57"/>
        <v>1</v>
      </c>
      <c r="L291" s="291"/>
      <c r="M291" s="285">
        <f t="shared" si="58"/>
        <v>1</v>
      </c>
      <c r="N291" s="291"/>
      <c r="O291" s="285">
        <f t="shared" si="59"/>
        <v>1</v>
      </c>
      <c r="P291" s="291"/>
      <c r="Q291" s="285">
        <f t="shared" si="60"/>
        <v>0</v>
      </c>
      <c r="R291" s="341">
        <f t="shared" si="61"/>
        <v>0</v>
      </c>
      <c r="S291" s="284">
        <f t="shared" si="62"/>
        <v>0</v>
      </c>
    </row>
    <row r="292" spans="1:19">
      <c r="A292" s="292"/>
      <c r="B292" s="293"/>
      <c r="C292" s="285">
        <f t="shared" si="53"/>
        <v>1</v>
      </c>
      <c r="D292" s="291"/>
      <c r="E292" s="285">
        <f t="shared" si="54"/>
        <v>1</v>
      </c>
      <c r="F292" s="291"/>
      <c r="G292" s="285">
        <f t="shared" si="55"/>
        <v>1</v>
      </c>
      <c r="H292" s="291"/>
      <c r="I292" s="285">
        <f t="shared" si="56"/>
        <v>1</v>
      </c>
      <c r="J292" s="291"/>
      <c r="K292" s="285">
        <f t="shared" si="57"/>
        <v>1</v>
      </c>
      <c r="L292" s="291"/>
      <c r="M292" s="285">
        <f t="shared" si="58"/>
        <v>1</v>
      </c>
      <c r="N292" s="291"/>
      <c r="O292" s="285">
        <f t="shared" si="59"/>
        <v>1</v>
      </c>
      <c r="P292" s="291"/>
      <c r="Q292" s="285">
        <f t="shared" si="60"/>
        <v>0</v>
      </c>
      <c r="R292" s="341">
        <f t="shared" si="61"/>
        <v>0</v>
      </c>
      <c r="S292" s="284">
        <f t="shared" si="62"/>
        <v>0</v>
      </c>
    </row>
    <row r="293" spans="1:19">
      <c r="A293" s="292"/>
      <c r="B293" s="293"/>
      <c r="C293" s="285">
        <f t="shared" si="53"/>
        <v>1</v>
      </c>
      <c r="D293" s="291"/>
      <c r="E293" s="285">
        <f t="shared" si="54"/>
        <v>1</v>
      </c>
      <c r="F293" s="291"/>
      <c r="G293" s="285">
        <f t="shared" si="55"/>
        <v>1</v>
      </c>
      <c r="H293" s="291"/>
      <c r="I293" s="285">
        <f t="shared" si="56"/>
        <v>1</v>
      </c>
      <c r="J293" s="291"/>
      <c r="K293" s="285">
        <f t="shared" si="57"/>
        <v>1</v>
      </c>
      <c r="L293" s="291"/>
      <c r="M293" s="285">
        <f t="shared" si="58"/>
        <v>1</v>
      </c>
      <c r="N293" s="291"/>
      <c r="O293" s="285">
        <f t="shared" si="59"/>
        <v>1</v>
      </c>
      <c r="P293" s="291"/>
      <c r="Q293" s="285">
        <f t="shared" si="60"/>
        <v>0</v>
      </c>
      <c r="R293" s="341">
        <f t="shared" si="61"/>
        <v>0</v>
      </c>
      <c r="S293" s="284">
        <f t="shared" si="62"/>
        <v>0</v>
      </c>
    </row>
    <row r="294" spans="1:19">
      <c r="A294" s="292"/>
      <c r="B294" s="293"/>
      <c r="C294" s="285">
        <f t="shared" si="53"/>
        <v>1</v>
      </c>
      <c r="D294" s="291"/>
      <c r="E294" s="285">
        <f t="shared" si="54"/>
        <v>1</v>
      </c>
      <c r="F294" s="291"/>
      <c r="G294" s="285">
        <f t="shared" si="55"/>
        <v>1</v>
      </c>
      <c r="H294" s="291"/>
      <c r="I294" s="285">
        <f t="shared" si="56"/>
        <v>1</v>
      </c>
      <c r="J294" s="291"/>
      <c r="K294" s="285">
        <f t="shared" si="57"/>
        <v>1</v>
      </c>
      <c r="L294" s="291"/>
      <c r="M294" s="285">
        <f t="shared" si="58"/>
        <v>1</v>
      </c>
      <c r="N294" s="291"/>
      <c r="O294" s="285">
        <f t="shared" si="59"/>
        <v>1</v>
      </c>
      <c r="P294" s="291"/>
      <c r="Q294" s="285">
        <f t="shared" si="60"/>
        <v>0</v>
      </c>
      <c r="R294" s="341">
        <f t="shared" si="61"/>
        <v>0</v>
      </c>
      <c r="S294" s="284">
        <f t="shared" si="62"/>
        <v>0</v>
      </c>
    </row>
    <row r="295" spans="1:19">
      <c r="A295" s="292"/>
      <c r="B295" s="293"/>
      <c r="C295" s="285">
        <f t="shared" si="53"/>
        <v>1</v>
      </c>
      <c r="D295" s="291"/>
      <c r="E295" s="285">
        <f t="shared" si="54"/>
        <v>1</v>
      </c>
      <c r="F295" s="291"/>
      <c r="G295" s="285">
        <f t="shared" si="55"/>
        <v>1</v>
      </c>
      <c r="H295" s="291"/>
      <c r="I295" s="285">
        <f t="shared" si="56"/>
        <v>1</v>
      </c>
      <c r="J295" s="291"/>
      <c r="K295" s="285">
        <f t="shared" si="57"/>
        <v>1</v>
      </c>
      <c r="L295" s="291"/>
      <c r="M295" s="285">
        <f t="shared" si="58"/>
        <v>1</v>
      </c>
      <c r="N295" s="291"/>
      <c r="O295" s="285">
        <f t="shared" si="59"/>
        <v>1</v>
      </c>
      <c r="P295" s="291"/>
      <c r="Q295" s="285">
        <f t="shared" si="60"/>
        <v>0</v>
      </c>
      <c r="R295" s="341">
        <f t="shared" si="61"/>
        <v>0</v>
      </c>
      <c r="S295" s="284">
        <f t="shared" si="62"/>
        <v>0</v>
      </c>
    </row>
    <row r="296" spans="1:19">
      <c r="A296" s="292"/>
      <c r="B296" s="293"/>
      <c r="C296" s="285">
        <f t="shared" si="53"/>
        <v>1</v>
      </c>
      <c r="D296" s="291"/>
      <c r="E296" s="285">
        <f t="shared" si="54"/>
        <v>1</v>
      </c>
      <c r="F296" s="291"/>
      <c r="G296" s="285">
        <f t="shared" si="55"/>
        <v>1</v>
      </c>
      <c r="H296" s="291"/>
      <c r="I296" s="285">
        <f t="shared" si="56"/>
        <v>1</v>
      </c>
      <c r="J296" s="291"/>
      <c r="K296" s="285">
        <f t="shared" si="57"/>
        <v>1</v>
      </c>
      <c r="L296" s="291"/>
      <c r="M296" s="285">
        <f t="shared" si="58"/>
        <v>1</v>
      </c>
      <c r="N296" s="291"/>
      <c r="O296" s="285">
        <f t="shared" si="59"/>
        <v>1</v>
      </c>
      <c r="P296" s="291"/>
      <c r="Q296" s="285">
        <f t="shared" si="60"/>
        <v>0</v>
      </c>
      <c r="R296" s="341">
        <f t="shared" si="61"/>
        <v>0</v>
      </c>
      <c r="S296" s="284">
        <f t="shared" si="62"/>
        <v>0</v>
      </c>
    </row>
    <row r="297" spans="1:19">
      <c r="A297" s="292"/>
      <c r="B297" s="293"/>
      <c r="C297" s="285">
        <f t="shared" si="53"/>
        <v>1</v>
      </c>
      <c r="D297" s="291"/>
      <c r="E297" s="285">
        <f t="shared" si="54"/>
        <v>1</v>
      </c>
      <c r="F297" s="291"/>
      <c r="G297" s="285">
        <f t="shared" si="55"/>
        <v>1</v>
      </c>
      <c r="H297" s="291"/>
      <c r="I297" s="285">
        <f t="shared" si="56"/>
        <v>1</v>
      </c>
      <c r="J297" s="291"/>
      <c r="K297" s="285">
        <f t="shared" si="57"/>
        <v>1</v>
      </c>
      <c r="L297" s="291"/>
      <c r="M297" s="285">
        <f t="shared" si="58"/>
        <v>1</v>
      </c>
      <c r="N297" s="291"/>
      <c r="O297" s="285">
        <f t="shared" si="59"/>
        <v>1</v>
      </c>
      <c r="P297" s="291"/>
      <c r="Q297" s="285">
        <f t="shared" si="60"/>
        <v>0</v>
      </c>
      <c r="R297" s="341">
        <f t="shared" si="61"/>
        <v>0</v>
      </c>
      <c r="S297" s="284">
        <f t="shared" si="62"/>
        <v>0</v>
      </c>
    </row>
    <row r="298" spans="1:19">
      <c r="A298" s="292"/>
      <c r="B298" s="293"/>
      <c r="C298" s="285">
        <f t="shared" si="53"/>
        <v>1</v>
      </c>
      <c r="D298" s="291"/>
      <c r="E298" s="285">
        <f t="shared" si="54"/>
        <v>1</v>
      </c>
      <c r="F298" s="291"/>
      <c r="G298" s="285">
        <f t="shared" si="55"/>
        <v>1</v>
      </c>
      <c r="H298" s="291"/>
      <c r="I298" s="285">
        <f t="shared" si="56"/>
        <v>1</v>
      </c>
      <c r="J298" s="291"/>
      <c r="K298" s="285">
        <f t="shared" si="57"/>
        <v>1</v>
      </c>
      <c r="L298" s="291"/>
      <c r="M298" s="285">
        <f t="shared" si="58"/>
        <v>1</v>
      </c>
      <c r="N298" s="291"/>
      <c r="O298" s="285">
        <f t="shared" si="59"/>
        <v>1</v>
      </c>
      <c r="P298" s="291"/>
      <c r="Q298" s="285">
        <f t="shared" si="60"/>
        <v>0</v>
      </c>
      <c r="R298" s="341">
        <f t="shared" si="61"/>
        <v>0</v>
      </c>
      <c r="S298" s="284">
        <f t="shared" si="62"/>
        <v>0</v>
      </c>
    </row>
    <row r="299" spans="1:19">
      <c r="A299" s="292"/>
      <c r="B299" s="293"/>
      <c r="C299" s="285">
        <f t="shared" si="53"/>
        <v>1</v>
      </c>
      <c r="D299" s="291"/>
      <c r="E299" s="285">
        <f t="shared" si="54"/>
        <v>1</v>
      </c>
      <c r="F299" s="291"/>
      <c r="G299" s="285">
        <f t="shared" si="55"/>
        <v>1</v>
      </c>
      <c r="H299" s="291"/>
      <c r="I299" s="285">
        <f t="shared" si="56"/>
        <v>1</v>
      </c>
      <c r="J299" s="291"/>
      <c r="K299" s="285">
        <f t="shared" si="57"/>
        <v>1</v>
      </c>
      <c r="L299" s="291"/>
      <c r="M299" s="285">
        <f t="shared" si="58"/>
        <v>1</v>
      </c>
      <c r="N299" s="291"/>
      <c r="O299" s="285">
        <f t="shared" si="59"/>
        <v>1</v>
      </c>
      <c r="P299" s="291"/>
      <c r="Q299" s="285">
        <f t="shared" si="60"/>
        <v>0</v>
      </c>
      <c r="R299" s="341">
        <f t="shared" si="61"/>
        <v>0</v>
      </c>
      <c r="S299" s="284">
        <f t="shared" si="62"/>
        <v>0</v>
      </c>
    </row>
    <row r="300" spans="1:19">
      <c r="A300" s="292"/>
      <c r="B300" s="293"/>
      <c r="C300" s="285">
        <f t="shared" si="53"/>
        <v>1</v>
      </c>
      <c r="D300" s="291"/>
      <c r="E300" s="285">
        <f t="shared" si="54"/>
        <v>1</v>
      </c>
      <c r="F300" s="291"/>
      <c r="G300" s="285">
        <f t="shared" si="55"/>
        <v>1</v>
      </c>
      <c r="H300" s="291"/>
      <c r="I300" s="285">
        <f t="shared" si="56"/>
        <v>1</v>
      </c>
      <c r="J300" s="291"/>
      <c r="K300" s="285">
        <f t="shared" si="57"/>
        <v>1</v>
      </c>
      <c r="L300" s="291"/>
      <c r="M300" s="285">
        <f t="shared" si="58"/>
        <v>1</v>
      </c>
      <c r="N300" s="291"/>
      <c r="O300" s="285">
        <f t="shared" si="59"/>
        <v>1</v>
      </c>
      <c r="P300" s="291"/>
      <c r="Q300" s="285">
        <f t="shared" si="60"/>
        <v>0</v>
      </c>
      <c r="R300" s="341">
        <f t="shared" si="61"/>
        <v>0</v>
      </c>
      <c r="S300" s="284">
        <f t="shared" si="62"/>
        <v>0</v>
      </c>
    </row>
    <row r="301" spans="1:19">
      <c r="A301" s="292"/>
      <c r="B301" s="293"/>
      <c r="C301" s="285">
        <f t="shared" si="53"/>
        <v>1</v>
      </c>
      <c r="D301" s="291"/>
      <c r="E301" s="285">
        <f t="shared" si="54"/>
        <v>1</v>
      </c>
      <c r="F301" s="291"/>
      <c r="G301" s="285">
        <f t="shared" si="55"/>
        <v>1</v>
      </c>
      <c r="H301" s="291"/>
      <c r="I301" s="285">
        <f t="shared" si="56"/>
        <v>1</v>
      </c>
      <c r="J301" s="291"/>
      <c r="K301" s="285">
        <f t="shared" si="57"/>
        <v>1</v>
      </c>
      <c r="L301" s="291"/>
      <c r="M301" s="285">
        <f t="shared" si="58"/>
        <v>1</v>
      </c>
      <c r="N301" s="291"/>
      <c r="O301" s="285">
        <f t="shared" si="59"/>
        <v>1</v>
      </c>
      <c r="P301" s="291"/>
      <c r="Q301" s="285">
        <f t="shared" si="60"/>
        <v>0</v>
      </c>
      <c r="R301" s="341">
        <f t="shared" si="61"/>
        <v>0</v>
      </c>
      <c r="S301" s="284">
        <f t="shared" si="62"/>
        <v>0</v>
      </c>
    </row>
    <row r="302" spans="1:19">
      <c r="A302" s="292"/>
      <c r="B302" s="293"/>
      <c r="C302" s="285">
        <f t="shared" si="53"/>
        <v>1</v>
      </c>
      <c r="D302" s="291"/>
      <c r="E302" s="285">
        <f t="shared" si="54"/>
        <v>1</v>
      </c>
      <c r="F302" s="291"/>
      <c r="G302" s="285">
        <f t="shared" si="55"/>
        <v>1</v>
      </c>
      <c r="H302" s="291"/>
      <c r="I302" s="285">
        <f t="shared" si="56"/>
        <v>1</v>
      </c>
      <c r="J302" s="291"/>
      <c r="K302" s="285">
        <f t="shared" si="57"/>
        <v>1</v>
      </c>
      <c r="L302" s="291"/>
      <c r="M302" s="285">
        <f t="shared" si="58"/>
        <v>1</v>
      </c>
      <c r="N302" s="291"/>
      <c r="O302" s="285">
        <f t="shared" si="59"/>
        <v>1</v>
      </c>
      <c r="P302" s="291"/>
      <c r="Q302" s="285">
        <f t="shared" si="60"/>
        <v>0</v>
      </c>
      <c r="R302" s="341">
        <f t="shared" si="61"/>
        <v>0</v>
      </c>
      <c r="S302" s="284">
        <f t="shared" si="62"/>
        <v>0</v>
      </c>
    </row>
    <row r="303" spans="1:19">
      <c r="A303" s="292"/>
      <c r="B303" s="293"/>
      <c r="C303" s="285">
        <f t="shared" si="53"/>
        <v>1</v>
      </c>
      <c r="D303" s="291"/>
      <c r="E303" s="285">
        <f t="shared" si="54"/>
        <v>1</v>
      </c>
      <c r="F303" s="291"/>
      <c r="G303" s="285">
        <f t="shared" si="55"/>
        <v>1</v>
      </c>
      <c r="H303" s="291"/>
      <c r="I303" s="285">
        <f t="shared" si="56"/>
        <v>1</v>
      </c>
      <c r="J303" s="291"/>
      <c r="K303" s="285">
        <f t="shared" si="57"/>
        <v>1</v>
      </c>
      <c r="L303" s="291"/>
      <c r="M303" s="285">
        <f t="shared" si="58"/>
        <v>1</v>
      </c>
      <c r="N303" s="291"/>
      <c r="O303" s="285">
        <f t="shared" si="59"/>
        <v>1</v>
      </c>
      <c r="P303" s="291"/>
      <c r="Q303" s="285">
        <f t="shared" si="60"/>
        <v>0</v>
      </c>
      <c r="R303" s="341">
        <f t="shared" si="61"/>
        <v>0</v>
      </c>
      <c r="S303" s="284">
        <f t="shared" si="62"/>
        <v>0</v>
      </c>
    </row>
    <row r="304" spans="1:19">
      <c r="A304" s="292"/>
      <c r="B304" s="293"/>
      <c r="C304" s="285">
        <f t="shared" si="53"/>
        <v>1</v>
      </c>
      <c r="D304" s="291"/>
      <c r="E304" s="285">
        <f t="shared" si="54"/>
        <v>1</v>
      </c>
      <c r="F304" s="291"/>
      <c r="G304" s="285">
        <f t="shared" si="55"/>
        <v>1</v>
      </c>
      <c r="H304" s="291"/>
      <c r="I304" s="285">
        <f t="shared" si="56"/>
        <v>1</v>
      </c>
      <c r="J304" s="291"/>
      <c r="K304" s="285">
        <f t="shared" si="57"/>
        <v>1</v>
      </c>
      <c r="L304" s="291"/>
      <c r="M304" s="285">
        <f t="shared" si="58"/>
        <v>1</v>
      </c>
      <c r="N304" s="291"/>
      <c r="O304" s="285">
        <f t="shared" si="59"/>
        <v>1</v>
      </c>
      <c r="P304" s="291"/>
      <c r="Q304" s="285">
        <f t="shared" si="60"/>
        <v>0</v>
      </c>
      <c r="R304" s="341">
        <f t="shared" si="61"/>
        <v>0</v>
      </c>
      <c r="S304" s="284">
        <f t="shared" si="62"/>
        <v>0</v>
      </c>
    </row>
    <row r="305" spans="1:19">
      <c r="A305" s="292"/>
      <c r="B305" s="293"/>
      <c r="C305" s="285">
        <f t="shared" si="53"/>
        <v>1</v>
      </c>
      <c r="D305" s="291"/>
      <c r="E305" s="285">
        <f t="shared" si="54"/>
        <v>1</v>
      </c>
      <c r="F305" s="291"/>
      <c r="G305" s="285">
        <f t="shared" si="55"/>
        <v>1</v>
      </c>
      <c r="H305" s="291"/>
      <c r="I305" s="285">
        <f t="shared" si="56"/>
        <v>1</v>
      </c>
      <c r="J305" s="291"/>
      <c r="K305" s="285">
        <f t="shared" si="57"/>
        <v>1</v>
      </c>
      <c r="L305" s="291"/>
      <c r="M305" s="285">
        <f t="shared" si="58"/>
        <v>1</v>
      </c>
      <c r="N305" s="291"/>
      <c r="O305" s="285">
        <f t="shared" si="59"/>
        <v>1</v>
      </c>
      <c r="P305" s="291"/>
      <c r="Q305" s="285">
        <f t="shared" si="60"/>
        <v>0</v>
      </c>
      <c r="R305" s="341">
        <f t="shared" si="61"/>
        <v>0</v>
      </c>
      <c r="S305" s="284">
        <f t="shared" si="62"/>
        <v>0</v>
      </c>
    </row>
    <row r="306" spans="1:19">
      <c r="A306" s="292"/>
      <c r="B306" s="293"/>
      <c r="C306" s="285">
        <f t="shared" si="53"/>
        <v>1</v>
      </c>
      <c r="D306" s="291"/>
      <c r="E306" s="285">
        <f t="shared" si="54"/>
        <v>1</v>
      </c>
      <c r="F306" s="291"/>
      <c r="G306" s="285">
        <f t="shared" si="55"/>
        <v>1</v>
      </c>
      <c r="H306" s="291"/>
      <c r="I306" s="285">
        <f t="shared" si="56"/>
        <v>1</v>
      </c>
      <c r="J306" s="291"/>
      <c r="K306" s="285">
        <f t="shared" si="57"/>
        <v>1</v>
      </c>
      <c r="L306" s="291"/>
      <c r="M306" s="285">
        <f t="shared" si="58"/>
        <v>1</v>
      </c>
      <c r="N306" s="291"/>
      <c r="O306" s="285">
        <f t="shared" si="59"/>
        <v>1</v>
      </c>
      <c r="P306" s="291"/>
      <c r="Q306" s="285">
        <f t="shared" si="60"/>
        <v>0</v>
      </c>
      <c r="R306" s="341">
        <f t="shared" si="61"/>
        <v>0</v>
      </c>
      <c r="S306" s="284">
        <f t="shared" si="62"/>
        <v>0</v>
      </c>
    </row>
    <row r="307" spans="1:19">
      <c r="A307" s="292"/>
      <c r="B307" s="293"/>
      <c r="C307" s="285">
        <f t="shared" si="53"/>
        <v>1</v>
      </c>
      <c r="D307" s="291"/>
      <c r="E307" s="285">
        <f t="shared" si="54"/>
        <v>1</v>
      </c>
      <c r="F307" s="291"/>
      <c r="G307" s="285">
        <f t="shared" si="55"/>
        <v>1</v>
      </c>
      <c r="H307" s="291"/>
      <c r="I307" s="285">
        <f t="shared" si="56"/>
        <v>1</v>
      </c>
      <c r="J307" s="291"/>
      <c r="K307" s="285">
        <f t="shared" si="57"/>
        <v>1</v>
      </c>
      <c r="L307" s="291"/>
      <c r="M307" s="285">
        <f t="shared" si="58"/>
        <v>1</v>
      </c>
      <c r="N307" s="291"/>
      <c r="O307" s="285">
        <f t="shared" si="59"/>
        <v>1</v>
      </c>
      <c r="P307" s="291"/>
      <c r="Q307" s="285">
        <f t="shared" si="60"/>
        <v>0</v>
      </c>
      <c r="R307" s="341">
        <f t="shared" si="61"/>
        <v>0</v>
      </c>
      <c r="S307" s="284">
        <f t="shared" si="62"/>
        <v>0</v>
      </c>
    </row>
    <row r="308" spans="1:19">
      <c r="A308" s="292"/>
      <c r="B308" s="293"/>
      <c r="C308" s="285">
        <f t="shared" si="53"/>
        <v>1</v>
      </c>
      <c r="D308" s="291"/>
      <c r="E308" s="285">
        <f t="shared" si="54"/>
        <v>1</v>
      </c>
      <c r="F308" s="291"/>
      <c r="G308" s="285">
        <f t="shared" si="55"/>
        <v>1</v>
      </c>
      <c r="H308" s="291"/>
      <c r="I308" s="285">
        <f t="shared" si="56"/>
        <v>1</v>
      </c>
      <c r="J308" s="291"/>
      <c r="K308" s="285">
        <f t="shared" si="57"/>
        <v>1</v>
      </c>
      <c r="L308" s="291"/>
      <c r="M308" s="285">
        <f t="shared" si="58"/>
        <v>1</v>
      </c>
      <c r="N308" s="291"/>
      <c r="O308" s="285">
        <f t="shared" si="59"/>
        <v>1</v>
      </c>
      <c r="P308" s="291"/>
      <c r="Q308" s="285">
        <f t="shared" si="60"/>
        <v>0</v>
      </c>
      <c r="R308" s="341">
        <f t="shared" si="61"/>
        <v>0</v>
      </c>
      <c r="S308" s="284">
        <f t="shared" si="62"/>
        <v>0</v>
      </c>
    </row>
    <row r="309" spans="1:19">
      <c r="A309" s="292"/>
      <c r="B309" s="293"/>
      <c r="C309" s="285">
        <f t="shared" si="53"/>
        <v>1</v>
      </c>
      <c r="D309" s="291"/>
      <c r="E309" s="285">
        <f t="shared" si="54"/>
        <v>1</v>
      </c>
      <c r="F309" s="291"/>
      <c r="G309" s="285">
        <f t="shared" si="55"/>
        <v>1</v>
      </c>
      <c r="H309" s="291"/>
      <c r="I309" s="285">
        <f t="shared" si="56"/>
        <v>1</v>
      </c>
      <c r="J309" s="291"/>
      <c r="K309" s="285">
        <f t="shared" si="57"/>
        <v>1</v>
      </c>
      <c r="L309" s="291"/>
      <c r="M309" s="285">
        <f t="shared" si="58"/>
        <v>1</v>
      </c>
      <c r="N309" s="291"/>
      <c r="O309" s="285">
        <f t="shared" si="59"/>
        <v>1</v>
      </c>
      <c r="P309" s="291"/>
      <c r="Q309" s="285">
        <f t="shared" si="60"/>
        <v>0</v>
      </c>
      <c r="R309" s="341">
        <f t="shared" si="61"/>
        <v>0</v>
      </c>
      <c r="S309" s="284">
        <f t="shared" si="62"/>
        <v>0</v>
      </c>
    </row>
    <row r="310" spans="1:19">
      <c r="A310" s="292"/>
      <c r="B310" s="293"/>
      <c r="C310" s="285">
        <f t="shared" si="53"/>
        <v>1</v>
      </c>
      <c r="D310" s="291"/>
      <c r="E310" s="285">
        <f t="shared" si="54"/>
        <v>1</v>
      </c>
      <c r="F310" s="291"/>
      <c r="G310" s="285">
        <f t="shared" si="55"/>
        <v>1</v>
      </c>
      <c r="H310" s="291"/>
      <c r="I310" s="285">
        <f t="shared" si="56"/>
        <v>1</v>
      </c>
      <c r="J310" s="291"/>
      <c r="K310" s="285">
        <f t="shared" si="57"/>
        <v>1</v>
      </c>
      <c r="L310" s="291"/>
      <c r="M310" s="285">
        <f t="shared" si="58"/>
        <v>1</v>
      </c>
      <c r="N310" s="291"/>
      <c r="O310" s="285">
        <f t="shared" si="59"/>
        <v>1</v>
      </c>
      <c r="P310" s="291"/>
      <c r="Q310" s="285">
        <f t="shared" si="60"/>
        <v>0</v>
      </c>
      <c r="R310" s="341">
        <f t="shared" si="61"/>
        <v>0</v>
      </c>
      <c r="S310" s="284">
        <f t="shared" si="62"/>
        <v>0</v>
      </c>
    </row>
    <row r="311" spans="1:19">
      <c r="A311" s="292"/>
      <c r="B311" s="293"/>
      <c r="C311" s="285">
        <f t="shared" si="53"/>
        <v>1</v>
      </c>
      <c r="D311" s="291"/>
      <c r="E311" s="285">
        <f t="shared" si="54"/>
        <v>1</v>
      </c>
      <c r="F311" s="291"/>
      <c r="G311" s="285">
        <f t="shared" si="55"/>
        <v>1</v>
      </c>
      <c r="H311" s="291"/>
      <c r="I311" s="285">
        <f t="shared" si="56"/>
        <v>1</v>
      </c>
      <c r="J311" s="291"/>
      <c r="K311" s="285">
        <f t="shared" si="57"/>
        <v>1</v>
      </c>
      <c r="L311" s="291"/>
      <c r="M311" s="285">
        <f t="shared" si="58"/>
        <v>1</v>
      </c>
      <c r="N311" s="291"/>
      <c r="O311" s="285">
        <f t="shared" si="59"/>
        <v>1</v>
      </c>
      <c r="P311" s="291"/>
      <c r="Q311" s="285">
        <f t="shared" si="60"/>
        <v>0</v>
      </c>
      <c r="R311" s="341">
        <f t="shared" si="61"/>
        <v>0</v>
      </c>
      <c r="S311" s="284">
        <f t="shared" si="62"/>
        <v>0</v>
      </c>
    </row>
    <row r="312" spans="1:19">
      <c r="A312" s="292"/>
      <c r="B312" s="293"/>
      <c r="C312" s="285">
        <f t="shared" si="53"/>
        <v>1</v>
      </c>
      <c r="D312" s="291"/>
      <c r="E312" s="285">
        <f t="shared" si="54"/>
        <v>1</v>
      </c>
      <c r="F312" s="291"/>
      <c r="G312" s="285">
        <f t="shared" si="55"/>
        <v>1</v>
      </c>
      <c r="H312" s="291"/>
      <c r="I312" s="285">
        <f t="shared" si="56"/>
        <v>1</v>
      </c>
      <c r="J312" s="291"/>
      <c r="K312" s="285">
        <f t="shared" si="57"/>
        <v>1</v>
      </c>
      <c r="L312" s="291"/>
      <c r="M312" s="285">
        <f t="shared" si="58"/>
        <v>1</v>
      </c>
      <c r="N312" s="291"/>
      <c r="O312" s="285">
        <f t="shared" si="59"/>
        <v>1</v>
      </c>
      <c r="P312" s="291"/>
      <c r="Q312" s="285">
        <f t="shared" si="60"/>
        <v>0</v>
      </c>
      <c r="R312" s="341">
        <f t="shared" si="61"/>
        <v>0</v>
      </c>
      <c r="S312" s="284">
        <f t="shared" si="62"/>
        <v>0</v>
      </c>
    </row>
    <row r="313" spans="1:19">
      <c r="A313" s="292"/>
      <c r="B313" s="293"/>
      <c r="C313" s="285">
        <f t="shared" si="53"/>
        <v>1</v>
      </c>
      <c r="D313" s="291"/>
      <c r="E313" s="285">
        <f t="shared" si="54"/>
        <v>1</v>
      </c>
      <c r="F313" s="291"/>
      <c r="G313" s="285">
        <f t="shared" si="55"/>
        <v>1</v>
      </c>
      <c r="H313" s="291"/>
      <c r="I313" s="285">
        <f t="shared" si="56"/>
        <v>1</v>
      </c>
      <c r="J313" s="291"/>
      <c r="K313" s="285">
        <f t="shared" si="57"/>
        <v>1</v>
      </c>
      <c r="L313" s="291"/>
      <c r="M313" s="285">
        <f t="shared" si="58"/>
        <v>1</v>
      </c>
      <c r="N313" s="291"/>
      <c r="O313" s="285">
        <f t="shared" si="59"/>
        <v>1</v>
      </c>
      <c r="P313" s="291"/>
      <c r="Q313" s="285">
        <f t="shared" si="60"/>
        <v>0</v>
      </c>
      <c r="R313" s="341">
        <f t="shared" si="61"/>
        <v>0</v>
      </c>
      <c r="S313" s="284">
        <f t="shared" si="62"/>
        <v>0</v>
      </c>
    </row>
    <row r="314" spans="1:19">
      <c r="A314" s="292"/>
      <c r="B314" s="293"/>
      <c r="C314" s="285">
        <f t="shared" si="53"/>
        <v>1</v>
      </c>
      <c r="D314" s="291"/>
      <c r="E314" s="285">
        <f t="shared" si="54"/>
        <v>1</v>
      </c>
      <c r="F314" s="291"/>
      <c r="G314" s="285">
        <f t="shared" si="55"/>
        <v>1</v>
      </c>
      <c r="H314" s="291"/>
      <c r="I314" s="285">
        <f t="shared" si="56"/>
        <v>1</v>
      </c>
      <c r="J314" s="291"/>
      <c r="K314" s="285">
        <f t="shared" si="57"/>
        <v>1</v>
      </c>
      <c r="L314" s="291"/>
      <c r="M314" s="285">
        <f t="shared" si="58"/>
        <v>1</v>
      </c>
      <c r="N314" s="291"/>
      <c r="O314" s="285">
        <f t="shared" si="59"/>
        <v>1</v>
      </c>
      <c r="P314" s="291"/>
      <c r="Q314" s="285">
        <f t="shared" si="60"/>
        <v>0</v>
      </c>
      <c r="R314" s="341">
        <f t="shared" si="61"/>
        <v>0</v>
      </c>
      <c r="S314" s="284">
        <f t="shared" si="62"/>
        <v>0</v>
      </c>
    </row>
    <row r="315" spans="1:19">
      <c r="A315" s="292"/>
      <c r="B315" s="293"/>
      <c r="C315" s="285">
        <f t="shared" si="53"/>
        <v>1</v>
      </c>
      <c r="D315" s="291"/>
      <c r="E315" s="285">
        <f t="shared" si="54"/>
        <v>1</v>
      </c>
      <c r="F315" s="291"/>
      <c r="G315" s="285">
        <f t="shared" si="55"/>
        <v>1</v>
      </c>
      <c r="H315" s="291"/>
      <c r="I315" s="285">
        <f t="shared" si="56"/>
        <v>1</v>
      </c>
      <c r="J315" s="291"/>
      <c r="K315" s="285">
        <f t="shared" si="57"/>
        <v>1</v>
      </c>
      <c r="L315" s="291"/>
      <c r="M315" s="285">
        <f t="shared" si="58"/>
        <v>1</v>
      </c>
      <c r="N315" s="291"/>
      <c r="O315" s="285">
        <f t="shared" si="59"/>
        <v>1</v>
      </c>
      <c r="P315" s="291"/>
      <c r="Q315" s="285">
        <f t="shared" si="60"/>
        <v>0</v>
      </c>
      <c r="R315" s="341">
        <f t="shared" si="61"/>
        <v>0</v>
      </c>
      <c r="S315" s="284">
        <f t="shared" si="62"/>
        <v>0</v>
      </c>
    </row>
    <row r="316" spans="1:19">
      <c r="A316" s="292"/>
      <c r="B316" s="293"/>
      <c r="C316" s="285">
        <f t="shared" si="53"/>
        <v>1</v>
      </c>
      <c r="D316" s="291"/>
      <c r="E316" s="285">
        <f t="shared" si="54"/>
        <v>1</v>
      </c>
      <c r="F316" s="291"/>
      <c r="G316" s="285">
        <f t="shared" si="55"/>
        <v>1</v>
      </c>
      <c r="H316" s="291"/>
      <c r="I316" s="285">
        <f t="shared" si="56"/>
        <v>1</v>
      </c>
      <c r="J316" s="291"/>
      <c r="K316" s="285">
        <f t="shared" si="57"/>
        <v>1</v>
      </c>
      <c r="L316" s="291"/>
      <c r="M316" s="285">
        <f t="shared" si="58"/>
        <v>1</v>
      </c>
      <c r="N316" s="291"/>
      <c r="O316" s="285">
        <f t="shared" si="59"/>
        <v>1</v>
      </c>
      <c r="P316" s="291"/>
      <c r="Q316" s="285">
        <f t="shared" si="60"/>
        <v>0</v>
      </c>
      <c r="R316" s="341">
        <f t="shared" si="61"/>
        <v>0</v>
      </c>
      <c r="S316" s="284">
        <f t="shared" si="62"/>
        <v>0</v>
      </c>
    </row>
    <row r="317" spans="1:19">
      <c r="A317" s="292"/>
      <c r="B317" s="293"/>
      <c r="C317" s="285">
        <f t="shared" si="53"/>
        <v>1</v>
      </c>
      <c r="D317" s="291"/>
      <c r="E317" s="285">
        <f t="shared" si="54"/>
        <v>1</v>
      </c>
      <c r="F317" s="291"/>
      <c r="G317" s="285">
        <f t="shared" si="55"/>
        <v>1</v>
      </c>
      <c r="H317" s="291"/>
      <c r="I317" s="285">
        <f t="shared" si="56"/>
        <v>1</v>
      </c>
      <c r="J317" s="291"/>
      <c r="K317" s="285">
        <f t="shared" si="57"/>
        <v>1</v>
      </c>
      <c r="L317" s="291"/>
      <c r="M317" s="285">
        <f t="shared" si="58"/>
        <v>1</v>
      </c>
      <c r="N317" s="291"/>
      <c r="O317" s="285">
        <f t="shared" si="59"/>
        <v>1</v>
      </c>
      <c r="P317" s="291"/>
      <c r="Q317" s="285">
        <f t="shared" si="60"/>
        <v>0</v>
      </c>
      <c r="R317" s="341">
        <f t="shared" si="61"/>
        <v>0</v>
      </c>
      <c r="S317" s="284">
        <f t="shared" si="62"/>
        <v>0</v>
      </c>
    </row>
    <row r="318" spans="1:19">
      <c r="A318" s="292"/>
      <c r="B318" s="293"/>
      <c r="C318" s="285">
        <f t="shared" si="53"/>
        <v>1</v>
      </c>
      <c r="D318" s="291"/>
      <c r="E318" s="285">
        <f t="shared" si="54"/>
        <v>1</v>
      </c>
      <c r="F318" s="291"/>
      <c r="G318" s="285">
        <f t="shared" si="55"/>
        <v>1</v>
      </c>
      <c r="H318" s="291"/>
      <c r="I318" s="285">
        <f t="shared" si="56"/>
        <v>1</v>
      </c>
      <c r="J318" s="291"/>
      <c r="K318" s="285">
        <f t="shared" si="57"/>
        <v>1</v>
      </c>
      <c r="L318" s="291"/>
      <c r="M318" s="285">
        <f t="shared" si="58"/>
        <v>1</v>
      </c>
      <c r="N318" s="291"/>
      <c r="O318" s="285">
        <f t="shared" si="59"/>
        <v>1</v>
      </c>
      <c r="P318" s="291"/>
      <c r="Q318" s="285">
        <f t="shared" si="60"/>
        <v>0</v>
      </c>
      <c r="R318" s="341">
        <f t="shared" si="61"/>
        <v>0</v>
      </c>
      <c r="S318" s="284">
        <f t="shared" si="62"/>
        <v>0</v>
      </c>
    </row>
    <row r="319" spans="1:19">
      <c r="A319" s="292"/>
      <c r="B319" s="293"/>
      <c r="C319" s="285">
        <f t="shared" si="53"/>
        <v>1</v>
      </c>
      <c r="D319" s="291"/>
      <c r="E319" s="285">
        <f t="shared" si="54"/>
        <v>1</v>
      </c>
      <c r="F319" s="291"/>
      <c r="G319" s="285">
        <f t="shared" si="55"/>
        <v>1</v>
      </c>
      <c r="H319" s="291"/>
      <c r="I319" s="285">
        <f t="shared" si="56"/>
        <v>1</v>
      </c>
      <c r="J319" s="291"/>
      <c r="K319" s="285">
        <f t="shared" si="57"/>
        <v>1</v>
      </c>
      <c r="L319" s="291"/>
      <c r="M319" s="285">
        <f t="shared" si="58"/>
        <v>1</v>
      </c>
      <c r="N319" s="291"/>
      <c r="O319" s="285">
        <f t="shared" si="59"/>
        <v>1</v>
      </c>
      <c r="P319" s="291"/>
      <c r="Q319" s="285">
        <f t="shared" si="60"/>
        <v>0</v>
      </c>
      <c r="R319" s="341">
        <f t="shared" si="61"/>
        <v>0</v>
      </c>
      <c r="S319" s="284">
        <f t="shared" si="62"/>
        <v>0</v>
      </c>
    </row>
    <row r="320" spans="1:19">
      <c r="A320" s="292"/>
      <c r="B320" s="293"/>
      <c r="C320" s="285">
        <f t="shared" si="53"/>
        <v>1</v>
      </c>
      <c r="D320" s="291"/>
      <c r="E320" s="285">
        <f t="shared" si="54"/>
        <v>1</v>
      </c>
      <c r="F320" s="291"/>
      <c r="G320" s="285">
        <f t="shared" si="55"/>
        <v>1</v>
      </c>
      <c r="H320" s="291"/>
      <c r="I320" s="285">
        <f t="shared" si="56"/>
        <v>1</v>
      </c>
      <c r="J320" s="291"/>
      <c r="K320" s="285">
        <f t="shared" si="57"/>
        <v>1</v>
      </c>
      <c r="L320" s="291"/>
      <c r="M320" s="285">
        <f t="shared" si="58"/>
        <v>1</v>
      </c>
      <c r="N320" s="291"/>
      <c r="O320" s="285">
        <f t="shared" si="59"/>
        <v>1</v>
      </c>
      <c r="P320" s="291"/>
      <c r="Q320" s="285">
        <f t="shared" si="60"/>
        <v>0</v>
      </c>
      <c r="R320" s="341">
        <f t="shared" si="61"/>
        <v>0</v>
      </c>
      <c r="S320" s="284">
        <f t="shared" si="62"/>
        <v>0</v>
      </c>
    </row>
    <row r="321" spans="1:19">
      <c r="A321" s="292"/>
      <c r="B321" s="293"/>
      <c r="C321" s="285">
        <f t="shared" si="53"/>
        <v>1</v>
      </c>
      <c r="D321" s="291"/>
      <c r="E321" s="285">
        <f t="shared" si="54"/>
        <v>1</v>
      </c>
      <c r="F321" s="291"/>
      <c r="G321" s="285">
        <f t="shared" si="55"/>
        <v>1</v>
      </c>
      <c r="H321" s="291"/>
      <c r="I321" s="285">
        <f t="shared" si="56"/>
        <v>1</v>
      </c>
      <c r="J321" s="291"/>
      <c r="K321" s="285">
        <f t="shared" si="57"/>
        <v>1</v>
      </c>
      <c r="L321" s="291"/>
      <c r="M321" s="285">
        <f t="shared" si="58"/>
        <v>1</v>
      </c>
      <c r="N321" s="291"/>
      <c r="O321" s="285">
        <f t="shared" si="59"/>
        <v>1</v>
      </c>
      <c r="P321" s="291"/>
      <c r="Q321" s="285">
        <f t="shared" si="60"/>
        <v>0</v>
      </c>
      <c r="R321" s="341">
        <f t="shared" si="61"/>
        <v>0</v>
      </c>
      <c r="S321" s="284">
        <f t="shared" ref="S321:S384" si="63">ROUND(R321*B321/10000,0)</f>
        <v>0</v>
      </c>
    </row>
    <row r="322" spans="1:19">
      <c r="A322" s="292"/>
      <c r="B322" s="293"/>
      <c r="C322" s="285">
        <f t="shared" si="53"/>
        <v>1</v>
      </c>
      <c r="D322" s="291"/>
      <c r="E322" s="285">
        <f t="shared" si="54"/>
        <v>1</v>
      </c>
      <c r="F322" s="291"/>
      <c r="G322" s="285">
        <f t="shared" si="55"/>
        <v>1</v>
      </c>
      <c r="H322" s="291"/>
      <c r="I322" s="285">
        <f t="shared" si="56"/>
        <v>1</v>
      </c>
      <c r="J322" s="291"/>
      <c r="K322" s="285">
        <f t="shared" si="57"/>
        <v>1</v>
      </c>
      <c r="L322" s="291"/>
      <c r="M322" s="285">
        <f t="shared" si="58"/>
        <v>1</v>
      </c>
      <c r="N322" s="291"/>
      <c r="O322" s="285">
        <f t="shared" si="59"/>
        <v>1</v>
      </c>
      <c r="P322" s="291"/>
      <c r="Q322" s="285">
        <f t="shared" si="60"/>
        <v>0</v>
      </c>
      <c r="R322" s="341">
        <f t="shared" si="61"/>
        <v>0</v>
      </c>
      <c r="S322" s="284">
        <f t="shared" si="63"/>
        <v>0</v>
      </c>
    </row>
    <row r="323" spans="1:19">
      <c r="A323" s="292"/>
      <c r="B323" s="293"/>
      <c r="C323" s="285">
        <f t="shared" si="53"/>
        <v>1</v>
      </c>
      <c r="D323" s="291"/>
      <c r="E323" s="285">
        <f t="shared" si="54"/>
        <v>1</v>
      </c>
      <c r="F323" s="291"/>
      <c r="G323" s="285">
        <f t="shared" si="55"/>
        <v>1</v>
      </c>
      <c r="H323" s="291"/>
      <c r="I323" s="285">
        <f t="shared" si="56"/>
        <v>1</v>
      </c>
      <c r="J323" s="291"/>
      <c r="K323" s="285">
        <f t="shared" si="57"/>
        <v>1</v>
      </c>
      <c r="L323" s="291"/>
      <c r="M323" s="285">
        <f t="shared" si="58"/>
        <v>1</v>
      </c>
      <c r="N323" s="291"/>
      <c r="O323" s="285">
        <f t="shared" si="59"/>
        <v>1</v>
      </c>
      <c r="P323" s="291"/>
      <c r="Q323" s="285">
        <f t="shared" si="60"/>
        <v>0</v>
      </c>
      <c r="R323" s="341">
        <f t="shared" si="61"/>
        <v>0</v>
      </c>
      <c r="S323" s="284">
        <f t="shared" si="63"/>
        <v>0</v>
      </c>
    </row>
    <row r="324" spans="1:19">
      <c r="A324" s="292"/>
      <c r="B324" s="293"/>
      <c r="C324" s="285">
        <f t="shared" si="53"/>
        <v>1</v>
      </c>
      <c r="D324" s="291"/>
      <c r="E324" s="285">
        <f t="shared" si="54"/>
        <v>1</v>
      </c>
      <c r="F324" s="291"/>
      <c r="G324" s="285">
        <f t="shared" si="55"/>
        <v>1</v>
      </c>
      <c r="H324" s="291"/>
      <c r="I324" s="285">
        <f t="shared" si="56"/>
        <v>1</v>
      </c>
      <c r="J324" s="291"/>
      <c r="K324" s="285">
        <f t="shared" si="57"/>
        <v>1</v>
      </c>
      <c r="L324" s="291"/>
      <c r="M324" s="285">
        <f t="shared" si="58"/>
        <v>1</v>
      </c>
      <c r="N324" s="291"/>
      <c r="O324" s="285">
        <f t="shared" si="59"/>
        <v>1</v>
      </c>
      <c r="P324" s="291"/>
      <c r="Q324" s="285">
        <f t="shared" si="60"/>
        <v>0</v>
      </c>
      <c r="R324" s="341">
        <f t="shared" si="61"/>
        <v>0</v>
      </c>
      <c r="S324" s="284">
        <f t="shared" si="63"/>
        <v>0</v>
      </c>
    </row>
    <row r="325" spans="1:19">
      <c r="A325" s="292"/>
      <c r="B325" s="293"/>
      <c r="C325" s="285">
        <f t="shared" si="53"/>
        <v>1</v>
      </c>
      <c r="D325" s="291"/>
      <c r="E325" s="285">
        <f t="shared" si="54"/>
        <v>1</v>
      </c>
      <c r="F325" s="291"/>
      <c r="G325" s="285">
        <f t="shared" si="55"/>
        <v>1</v>
      </c>
      <c r="H325" s="291"/>
      <c r="I325" s="285">
        <f t="shared" si="56"/>
        <v>1</v>
      </c>
      <c r="J325" s="291"/>
      <c r="K325" s="285">
        <f t="shared" si="57"/>
        <v>1</v>
      </c>
      <c r="L325" s="291"/>
      <c r="M325" s="285">
        <f t="shared" si="58"/>
        <v>1</v>
      </c>
      <c r="N325" s="291"/>
      <c r="O325" s="285">
        <f t="shared" si="59"/>
        <v>1</v>
      </c>
      <c r="P325" s="291"/>
      <c r="Q325" s="285">
        <f t="shared" si="60"/>
        <v>0</v>
      </c>
      <c r="R325" s="341">
        <f t="shared" si="61"/>
        <v>0</v>
      </c>
      <c r="S325" s="284">
        <f t="shared" si="63"/>
        <v>0</v>
      </c>
    </row>
    <row r="326" spans="1:19">
      <c r="A326" s="292"/>
      <c r="B326" s="293"/>
      <c r="C326" s="285">
        <f t="shared" si="53"/>
        <v>1</v>
      </c>
      <c r="D326" s="291"/>
      <c r="E326" s="285">
        <f t="shared" si="54"/>
        <v>1</v>
      </c>
      <c r="F326" s="291"/>
      <c r="G326" s="285">
        <f t="shared" si="55"/>
        <v>1</v>
      </c>
      <c r="H326" s="291"/>
      <c r="I326" s="285">
        <f t="shared" si="56"/>
        <v>1</v>
      </c>
      <c r="J326" s="291"/>
      <c r="K326" s="285">
        <f t="shared" si="57"/>
        <v>1</v>
      </c>
      <c r="L326" s="291"/>
      <c r="M326" s="285">
        <f t="shared" si="58"/>
        <v>1</v>
      </c>
      <c r="N326" s="291"/>
      <c r="O326" s="285">
        <f t="shared" si="59"/>
        <v>1</v>
      </c>
      <c r="P326" s="291"/>
      <c r="Q326" s="285">
        <f t="shared" si="60"/>
        <v>0</v>
      </c>
      <c r="R326" s="341">
        <f t="shared" si="61"/>
        <v>0</v>
      </c>
      <c r="S326" s="284">
        <f t="shared" si="63"/>
        <v>0</v>
      </c>
    </row>
    <row r="327" spans="1:19">
      <c r="A327" s="292"/>
      <c r="B327" s="293"/>
      <c r="C327" s="285">
        <f t="shared" si="53"/>
        <v>1</v>
      </c>
      <c r="D327" s="291"/>
      <c r="E327" s="285">
        <f t="shared" si="54"/>
        <v>1</v>
      </c>
      <c r="F327" s="291"/>
      <c r="G327" s="285">
        <f t="shared" si="55"/>
        <v>1</v>
      </c>
      <c r="H327" s="291"/>
      <c r="I327" s="285">
        <f t="shared" si="56"/>
        <v>1</v>
      </c>
      <c r="J327" s="291"/>
      <c r="K327" s="285">
        <f t="shared" si="57"/>
        <v>1</v>
      </c>
      <c r="L327" s="291"/>
      <c r="M327" s="285">
        <f t="shared" si="58"/>
        <v>1</v>
      </c>
      <c r="N327" s="291"/>
      <c r="O327" s="285">
        <f t="shared" si="59"/>
        <v>1</v>
      </c>
      <c r="P327" s="291"/>
      <c r="Q327" s="285">
        <f t="shared" si="60"/>
        <v>0</v>
      </c>
      <c r="R327" s="341">
        <f t="shared" si="61"/>
        <v>0</v>
      </c>
      <c r="S327" s="284">
        <f t="shared" si="63"/>
        <v>0</v>
      </c>
    </row>
    <row r="328" spans="1:19">
      <c r="A328" s="292"/>
      <c r="B328" s="293"/>
      <c r="C328" s="285">
        <f t="shared" si="53"/>
        <v>1</v>
      </c>
      <c r="D328" s="291"/>
      <c r="E328" s="285">
        <f t="shared" si="54"/>
        <v>1</v>
      </c>
      <c r="F328" s="291"/>
      <c r="G328" s="285">
        <f t="shared" si="55"/>
        <v>1</v>
      </c>
      <c r="H328" s="291"/>
      <c r="I328" s="285">
        <f t="shared" si="56"/>
        <v>1</v>
      </c>
      <c r="J328" s="291"/>
      <c r="K328" s="285">
        <f t="shared" si="57"/>
        <v>1</v>
      </c>
      <c r="L328" s="291"/>
      <c r="M328" s="285">
        <f t="shared" si="58"/>
        <v>1</v>
      </c>
      <c r="N328" s="291"/>
      <c r="O328" s="285">
        <f t="shared" si="59"/>
        <v>1</v>
      </c>
      <c r="P328" s="291"/>
      <c r="Q328" s="285">
        <f t="shared" si="60"/>
        <v>0</v>
      </c>
      <c r="R328" s="341">
        <f t="shared" si="61"/>
        <v>0</v>
      </c>
      <c r="S328" s="284">
        <f t="shared" si="63"/>
        <v>0</v>
      </c>
    </row>
    <row r="329" spans="1:19">
      <c r="A329" s="292"/>
      <c r="B329" s="293"/>
      <c r="C329" s="285">
        <f t="shared" si="53"/>
        <v>1</v>
      </c>
      <c r="D329" s="291"/>
      <c r="E329" s="285">
        <f t="shared" si="54"/>
        <v>1</v>
      </c>
      <c r="F329" s="291"/>
      <c r="G329" s="285">
        <f t="shared" si="55"/>
        <v>1</v>
      </c>
      <c r="H329" s="291"/>
      <c r="I329" s="285">
        <f t="shared" si="56"/>
        <v>1</v>
      </c>
      <c r="J329" s="291"/>
      <c r="K329" s="285">
        <f t="shared" si="57"/>
        <v>1</v>
      </c>
      <c r="L329" s="291"/>
      <c r="M329" s="285">
        <f t="shared" si="58"/>
        <v>1</v>
      </c>
      <c r="N329" s="291"/>
      <c r="O329" s="285">
        <f t="shared" si="59"/>
        <v>1</v>
      </c>
      <c r="P329" s="291"/>
      <c r="Q329" s="285">
        <f t="shared" si="60"/>
        <v>0</v>
      </c>
      <c r="R329" s="341">
        <f t="shared" si="61"/>
        <v>0</v>
      </c>
      <c r="S329" s="284">
        <f t="shared" si="63"/>
        <v>0</v>
      </c>
    </row>
    <row r="330" spans="1:19">
      <c r="A330" s="292"/>
      <c r="B330" s="293"/>
      <c r="C330" s="285">
        <f t="shared" si="53"/>
        <v>1</v>
      </c>
      <c r="D330" s="291"/>
      <c r="E330" s="285">
        <f t="shared" si="54"/>
        <v>1</v>
      </c>
      <c r="F330" s="291"/>
      <c r="G330" s="285">
        <f t="shared" si="55"/>
        <v>1</v>
      </c>
      <c r="H330" s="291"/>
      <c r="I330" s="285">
        <f t="shared" si="56"/>
        <v>1</v>
      </c>
      <c r="J330" s="291"/>
      <c r="K330" s="285">
        <f t="shared" si="57"/>
        <v>1</v>
      </c>
      <c r="L330" s="291"/>
      <c r="M330" s="285">
        <f t="shared" si="58"/>
        <v>1</v>
      </c>
      <c r="N330" s="291"/>
      <c r="O330" s="285">
        <f t="shared" si="59"/>
        <v>1</v>
      </c>
      <c r="P330" s="291"/>
      <c r="Q330" s="285">
        <f t="shared" si="60"/>
        <v>0</v>
      </c>
      <c r="R330" s="341">
        <f t="shared" si="61"/>
        <v>0</v>
      </c>
      <c r="S330" s="284">
        <f t="shared" si="63"/>
        <v>0</v>
      </c>
    </row>
    <row r="331" spans="1:19">
      <c r="A331" s="292"/>
      <c r="B331" s="293"/>
      <c r="C331" s="285">
        <f t="shared" si="53"/>
        <v>1</v>
      </c>
      <c r="D331" s="291"/>
      <c r="E331" s="285">
        <f t="shared" si="54"/>
        <v>1</v>
      </c>
      <c r="F331" s="291"/>
      <c r="G331" s="285">
        <f t="shared" si="55"/>
        <v>1</v>
      </c>
      <c r="H331" s="291"/>
      <c r="I331" s="285">
        <f t="shared" si="56"/>
        <v>1</v>
      </c>
      <c r="J331" s="291"/>
      <c r="K331" s="285">
        <f t="shared" si="57"/>
        <v>1</v>
      </c>
      <c r="L331" s="291"/>
      <c r="M331" s="285">
        <f t="shared" si="58"/>
        <v>1</v>
      </c>
      <c r="N331" s="291"/>
      <c r="O331" s="285">
        <f t="shared" si="59"/>
        <v>1</v>
      </c>
      <c r="P331" s="291"/>
      <c r="Q331" s="285">
        <f t="shared" si="60"/>
        <v>0</v>
      </c>
      <c r="R331" s="341">
        <f t="shared" si="61"/>
        <v>0</v>
      </c>
      <c r="S331" s="284">
        <f t="shared" si="63"/>
        <v>0</v>
      </c>
    </row>
    <row r="332" spans="1:19">
      <c r="A332" s="292"/>
      <c r="B332" s="293"/>
      <c r="C332" s="285">
        <f t="shared" si="53"/>
        <v>1</v>
      </c>
      <c r="D332" s="291"/>
      <c r="E332" s="285">
        <f t="shared" si="54"/>
        <v>1</v>
      </c>
      <c r="F332" s="291"/>
      <c r="G332" s="285">
        <f t="shared" si="55"/>
        <v>1</v>
      </c>
      <c r="H332" s="291"/>
      <c r="I332" s="285">
        <f t="shared" si="56"/>
        <v>1</v>
      </c>
      <c r="J332" s="291"/>
      <c r="K332" s="285">
        <f t="shared" si="57"/>
        <v>1</v>
      </c>
      <c r="L332" s="291"/>
      <c r="M332" s="285">
        <f t="shared" si="58"/>
        <v>1</v>
      </c>
      <c r="N332" s="291"/>
      <c r="O332" s="285">
        <f t="shared" si="59"/>
        <v>1</v>
      </c>
      <c r="P332" s="291"/>
      <c r="Q332" s="285">
        <f t="shared" si="60"/>
        <v>0</v>
      </c>
      <c r="R332" s="341">
        <f t="shared" si="61"/>
        <v>0</v>
      </c>
      <c r="S332" s="284">
        <f t="shared" si="63"/>
        <v>0</v>
      </c>
    </row>
    <row r="333" spans="1:19">
      <c r="A333" s="292"/>
      <c r="B333" s="293"/>
      <c r="C333" s="285">
        <f t="shared" si="53"/>
        <v>1</v>
      </c>
      <c r="D333" s="291"/>
      <c r="E333" s="285">
        <f t="shared" si="54"/>
        <v>1</v>
      </c>
      <c r="F333" s="291"/>
      <c r="G333" s="285">
        <f t="shared" si="55"/>
        <v>1</v>
      </c>
      <c r="H333" s="291"/>
      <c r="I333" s="285">
        <f t="shared" si="56"/>
        <v>1</v>
      </c>
      <c r="J333" s="291"/>
      <c r="K333" s="285">
        <f t="shared" si="57"/>
        <v>1</v>
      </c>
      <c r="L333" s="291"/>
      <c r="M333" s="285">
        <f t="shared" si="58"/>
        <v>1</v>
      </c>
      <c r="N333" s="291"/>
      <c r="O333" s="285">
        <f t="shared" si="59"/>
        <v>1</v>
      </c>
      <c r="P333" s="291"/>
      <c r="Q333" s="285">
        <f t="shared" si="60"/>
        <v>0</v>
      </c>
      <c r="R333" s="341">
        <f t="shared" si="61"/>
        <v>0</v>
      </c>
      <c r="S333" s="284">
        <f t="shared" si="63"/>
        <v>0</v>
      </c>
    </row>
    <row r="334" spans="1:19">
      <c r="A334" s="292"/>
      <c r="B334" s="293"/>
      <c r="C334" s="285">
        <f t="shared" si="53"/>
        <v>1</v>
      </c>
      <c r="D334" s="291"/>
      <c r="E334" s="285">
        <f t="shared" si="54"/>
        <v>1</v>
      </c>
      <c r="F334" s="291"/>
      <c r="G334" s="285">
        <f t="shared" si="55"/>
        <v>1</v>
      </c>
      <c r="H334" s="291"/>
      <c r="I334" s="285">
        <f t="shared" si="56"/>
        <v>1</v>
      </c>
      <c r="J334" s="291"/>
      <c r="K334" s="285">
        <f t="shared" si="57"/>
        <v>1</v>
      </c>
      <c r="L334" s="291"/>
      <c r="M334" s="285">
        <f t="shared" si="58"/>
        <v>1</v>
      </c>
      <c r="N334" s="291"/>
      <c r="O334" s="285">
        <f t="shared" si="59"/>
        <v>1</v>
      </c>
      <c r="P334" s="291"/>
      <c r="Q334" s="285">
        <f t="shared" si="60"/>
        <v>0</v>
      </c>
      <c r="R334" s="341">
        <f t="shared" si="61"/>
        <v>0</v>
      </c>
      <c r="S334" s="284">
        <f t="shared" si="63"/>
        <v>0</v>
      </c>
    </row>
    <row r="335" spans="1:19">
      <c r="A335" s="292"/>
      <c r="B335" s="293"/>
      <c r="C335" s="285">
        <f t="shared" si="53"/>
        <v>1</v>
      </c>
      <c r="D335" s="291"/>
      <c r="E335" s="285">
        <f t="shared" si="54"/>
        <v>1</v>
      </c>
      <c r="F335" s="291"/>
      <c r="G335" s="285">
        <f t="shared" si="55"/>
        <v>1</v>
      </c>
      <c r="H335" s="291"/>
      <c r="I335" s="285">
        <f t="shared" si="56"/>
        <v>1</v>
      </c>
      <c r="J335" s="291"/>
      <c r="K335" s="285">
        <f t="shared" si="57"/>
        <v>1</v>
      </c>
      <c r="L335" s="291"/>
      <c r="M335" s="285">
        <f t="shared" si="58"/>
        <v>1</v>
      </c>
      <c r="N335" s="291"/>
      <c r="O335" s="285">
        <f t="shared" si="59"/>
        <v>1</v>
      </c>
      <c r="P335" s="291"/>
      <c r="Q335" s="285">
        <f t="shared" si="60"/>
        <v>0</v>
      </c>
      <c r="R335" s="341">
        <f t="shared" si="61"/>
        <v>0</v>
      </c>
      <c r="S335" s="284">
        <f t="shared" si="63"/>
        <v>0</v>
      </c>
    </row>
    <row r="336" spans="1:19">
      <c r="A336" s="292"/>
      <c r="B336" s="293"/>
      <c r="C336" s="285">
        <f t="shared" si="53"/>
        <v>1</v>
      </c>
      <c r="D336" s="291"/>
      <c r="E336" s="285">
        <f t="shared" si="54"/>
        <v>1</v>
      </c>
      <c r="F336" s="291"/>
      <c r="G336" s="285">
        <f t="shared" si="55"/>
        <v>1</v>
      </c>
      <c r="H336" s="291"/>
      <c r="I336" s="285">
        <f t="shared" si="56"/>
        <v>1</v>
      </c>
      <c r="J336" s="291"/>
      <c r="K336" s="285">
        <f t="shared" si="57"/>
        <v>1</v>
      </c>
      <c r="L336" s="291"/>
      <c r="M336" s="285">
        <f t="shared" si="58"/>
        <v>1</v>
      </c>
      <c r="N336" s="291"/>
      <c r="O336" s="285">
        <f t="shared" si="59"/>
        <v>1</v>
      </c>
      <c r="P336" s="291"/>
      <c r="Q336" s="285">
        <f t="shared" si="60"/>
        <v>0</v>
      </c>
      <c r="R336" s="341">
        <f t="shared" si="61"/>
        <v>0</v>
      </c>
      <c r="S336" s="284">
        <f t="shared" si="63"/>
        <v>0</v>
      </c>
    </row>
    <row r="337" spans="1:19">
      <c r="A337" s="292"/>
      <c r="B337" s="293"/>
      <c r="C337" s="285">
        <f t="shared" si="53"/>
        <v>1</v>
      </c>
      <c r="D337" s="291"/>
      <c r="E337" s="285">
        <f t="shared" si="54"/>
        <v>1</v>
      </c>
      <c r="F337" s="291"/>
      <c r="G337" s="285">
        <f t="shared" si="55"/>
        <v>1</v>
      </c>
      <c r="H337" s="291"/>
      <c r="I337" s="285">
        <f t="shared" si="56"/>
        <v>1</v>
      </c>
      <c r="J337" s="291"/>
      <c r="K337" s="285">
        <f t="shared" si="57"/>
        <v>1</v>
      </c>
      <c r="L337" s="291"/>
      <c r="M337" s="285">
        <f t="shared" si="58"/>
        <v>1</v>
      </c>
      <c r="N337" s="291"/>
      <c r="O337" s="285">
        <f t="shared" si="59"/>
        <v>1</v>
      </c>
      <c r="P337" s="291"/>
      <c r="Q337" s="285">
        <f t="shared" si="60"/>
        <v>0</v>
      </c>
      <c r="R337" s="341">
        <f t="shared" si="61"/>
        <v>0</v>
      </c>
      <c r="S337" s="284">
        <f t="shared" si="63"/>
        <v>0</v>
      </c>
    </row>
    <row r="338" spans="1:19">
      <c r="A338" s="292"/>
      <c r="B338" s="293"/>
      <c r="C338" s="285">
        <f t="shared" si="53"/>
        <v>1</v>
      </c>
      <c r="D338" s="291"/>
      <c r="E338" s="285">
        <f t="shared" si="54"/>
        <v>1</v>
      </c>
      <c r="F338" s="291"/>
      <c r="G338" s="285">
        <f t="shared" si="55"/>
        <v>1</v>
      </c>
      <c r="H338" s="291"/>
      <c r="I338" s="285">
        <f t="shared" si="56"/>
        <v>1</v>
      </c>
      <c r="J338" s="291"/>
      <c r="K338" s="285">
        <f t="shared" si="57"/>
        <v>1</v>
      </c>
      <c r="L338" s="291"/>
      <c r="M338" s="285">
        <f t="shared" si="58"/>
        <v>1</v>
      </c>
      <c r="N338" s="291"/>
      <c r="O338" s="285">
        <f t="shared" si="59"/>
        <v>1</v>
      </c>
      <c r="P338" s="291"/>
      <c r="Q338" s="285">
        <f t="shared" si="60"/>
        <v>0</v>
      </c>
      <c r="R338" s="341">
        <f t="shared" si="61"/>
        <v>0</v>
      </c>
      <c r="S338" s="284">
        <f t="shared" si="63"/>
        <v>0</v>
      </c>
    </row>
    <row r="339" spans="1:19">
      <c r="A339" s="292"/>
      <c r="B339" s="293"/>
      <c r="C339" s="285">
        <f t="shared" si="53"/>
        <v>1</v>
      </c>
      <c r="D339" s="291"/>
      <c r="E339" s="285">
        <f t="shared" si="54"/>
        <v>1</v>
      </c>
      <c r="F339" s="291"/>
      <c r="G339" s="285">
        <f t="shared" si="55"/>
        <v>1</v>
      </c>
      <c r="H339" s="291"/>
      <c r="I339" s="285">
        <f t="shared" si="56"/>
        <v>1</v>
      </c>
      <c r="J339" s="291"/>
      <c r="K339" s="285">
        <f t="shared" si="57"/>
        <v>1</v>
      </c>
      <c r="L339" s="291"/>
      <c r="M339" s="285">
        <f t="shared" si="58"/>
        <v>1</v>
      </c>
      <c r="N339" s="291"/>
      <c r="O339" s="285">
        <f t="shared" si="59"/>
        <v>1</v>
      </c>
      <c r="P339" s="291"/>
      <c r="Q339" s="285">
        <f t="shared" si="60"/>
        <v>0</v>
      </c>
      <c r="R339" s="341">
        <f t="shared" si="61"/>
        <v>0</v>
      </c>
      <c r="S339" s="284">
        <f t="shared" si="63"/>
        <v>0</v>
      </c>
    </row>
    <row r="340" spans="1:19">
      <c r="A340" s="292"/>
      <c r="B340" s="293"/>
      <c r="C340" s="285">
        <f t="shared" si="53"/>
        <v>1</v>
      </c>
      <c r="D340" s="291"/>
      <c r="E340" s="285">
        <f t="shared" si="54"/>
        <v>1</v>
      </c>
      <c r="F340" s="291"/>
      <c r="G340" s="285">
        <f t="shared" si="55"/>
        <v>1</v>
      </c>
      <c r="H340" s="291"/>
      <c r="I340" s="285">
        <f t="shared" si="56"/>
        <v>1</v>
      </c>
      <c r="J340" s="291"/>
      <c r="K340" s="285">
        <f t="shared" si="57"/>
        <v>1</v>
      </c>
      <c r="L340" s="291"/>
      <c r="M340" s="285">
        <f t="shared" si="58"/>
        <v>1</v>
      </c>
      <c r="N340" s="291"/>
      <c r="O340" s="285">
        <f t="shared" si="59"/>
        <v>1</v>
      </c>
      <c r="P340" s="291"/>
      <c r="Q340" s="285">
        <f t="shared" si="60"/>
        <v>0</v>
      </c>
      <c r="R340" s="341">
        <f t="shared" si="61"/>
        <v>0</v>
      </c>
      <c r="S340" s="284">
        <f t="shared" si="63"/>
        <v>0</v>
      </c>
    </row>
    <row r="341" spans="1:19">
      <c r="A341" s="292"/>
      <c r="B341" s="293"/>
      <c r="C341" s="285">
        <f t="shared" si="53"/>
        <v>1</v>
      </c>
      <c r="D341" s="291"/>
      <c r="E341" s="285">
        <f t="shared" si="54"/>
        <v>1</v>
      </c>
      <c r="F341" s="291"/>
      <c r="G341" s="285">
        <f t="shared" si="55"/>
        <v>1</v>
      </c>
      <c r="H341" s="291"/>
      <c r="I341" s="285">
        <f t="shared" si="56"/>
        <v>1</v>
      </c>
      <c r="J341" s="291"/>
      <c r="K341" s="285">
        <f t="shared" si="57"/>
        <v>1</v>
      </c>
      <c r="L341" s="291"/>
      <c r="M341" s="285">
        <f t="shared" si="58"/>
        <v>1</v>
      </c>
      <c r="N341" s="291"/>
      <c r="O341" s="285">
        <f t="shared" si="59"/>
        <v>1</v>
      </c>
      <c r="P341" s="291"/>
      <c r="Q341" s="285">
        <f t="shared" si="60"/>
        <v>0</v>
      </c>
      <c r="R341" s="341">
        <f t="shared" si="61"/>
        <v>0</v>
      </c>
      <c r="S341" s="284">
        <f t="shared" si="63"/>
        <v>0</v>
      </c>
    </row>
    <row r="342" spans="1:19">
      <c r="A342" s="292"/>
      <c r="B342" s="293"/>
      <c r="C342" s="285">
        <f t="shared" si="53"/>
        <v>1</v>
      </c>
      <c r="D342" s="291"/>
      <c r="E342" s="285">
        <f t="shared" si="54"/>
        <v>1</v>
      </c>
      <c r="F342" s="291"/>
      <c r="G342" s="285">
        <f t="shared" si="55"/>
        <v>1</v>
      </c>
      <c r="H342" s="291"/>
      <c r="I342" s="285">
        <f t="shared" si="56"/>
        <v>1</v>
      </c>
      <c r="J342" s="291"/>
      <c r="K342" s="285">
        <f t="shared" si="57"/>
        <v>1</v>
      </c>
      <c r="L342" s="291"/>
      <c r="M342" s="285">
        <f t="shared" si="58"/>
        <v>1</v>
      </c>
      <c r="N342" s="291"/>
      <c r="O342" s="285">
        <f t="shared" si="59"/>
        <v>1</v>
      </c>
      <c r="P342" s="291"/>
      <c r="Q342" s="285">
        <f t="shared" si="60"/>
        <v>0</v>
      </c>
      <c r="R342" s="341">
        <f t="shared" si="61"/>
        <v>0</v>
      </c>
      <c r="S342" s="284">
        <f t="shared" si="63"/>
        <v>0</v>
      </c>
    </row>
    <row r="343" spans="1:19">
      <c r="A343" s="292"/>
      <c r="B343" s="293"/>
      <c r="C343" s="285">
        <f t="shared" si="53"/>
        <v>1</v>
      </c>
      <c r="D343" s="291"/>
      <c r="E343" s="285">
        <f t="shared" si="54"/>
        <v>1</v>
      </c>
      <c r="F343" s="291"/>
      <c r="G343" s="285">
        <f t="shared" si="55"/>
        <v>1</v>
      </c>
      <c r="H343" s="291"/>
      <c r="I343" s="285">
        <f t="shared" si="56"/>
        <v>1</v>
      </c>
      <c r="J343" s="291"/>
      <c r="K343" s="285">
        <f t="shared" si="57"/>
        <v>1</v>
      </c>
      <c r="L343" s="291"/>
      <c r="M343" s="285">
        <f t="shared" si="58"/>
        <v>1</v>
      </c>
      <c r="N343" s="291"/>
      <c r="O343" s="285">
        <f t="shared" si="59"/>
        <v>1</v>
      </c>
      <c r="P343" s="291"/>
      <c r="Q343" s="285">
        <f t="shared" si="60"/>
        <v>0</v>
      </c>
      <c r="R343" s="341">
        <f t="shared" si="61"/>
        <v>0</v>
      </c>
      <c r="S343" s="284">
        <f t="shared" si="63"/>
        <v>0</v>
      </c>
    </row>
    <row r="344" spans="1:19">
      <c r="A344" s="292"/>
      <c r="B344" s="293"/>
      <c r="C344" s="285">
        <f t="shared" si="53"/>
        <v>1</v>
      </c>
      <c r="D344" s="291"/>
      <c r="E344" s="285">
        <f t="shared" si="54"/>
        <v>1</v>
      </c>
      <c r="F344" s="291"/>
      <c r="G344" s="285">
        <f t="shared" si="55"/>
        <v>1</v>
      </c>
      <c r="H344" s="291"/>
      <c r="I344" s="285">
        <f t="shared" si="56"/>
        <v>1</v>
      </c>
      <c r="J344" s="291"/>
      <c r="K344" s="285">
        <f t="shared" si="57"/>
        <v>1</v>
      </c>
      <c r="L344" s="291"/>
      <c r="M344" s="285">
        <f t="shared" si="58"/>
        <v>1</v>
      </c>
      <c r="N344" s="291"/>
      <c r="O344" s="285">
        <f t="shared" si="59"/>
        <v>1</v>
      </c>
      <c r="P344" s="291"/>
      <c r="Q344" s="285">
        <f t="shared" si="60"/>
        <v>0</v>
      </c>
      <c r="R344" s="341">
        <f t="shared" si="61"/>
        <v>0</v>
      </c>
      <c r="S344" s="284">
        <f t="shared" si="63"/>
        <v>0</v>
      </c>
    </row>
    <row r="345" spans="1:19">
      <c r="A345" s="292"/>
      <c r="B345" s="293"/>
      <c r="C345" s="285">
        <f t="shared" si="53"/>
        <v>1</v>
      </c>
      <c r="D345" s="291"/>
      <c r="E345" s="285">
        <f t="shared" si="54"/>
        <v>1</v>
      </c>
      <c r="F345" s="291"/>
      <c r="G345" s="285">
        <f t="shared" si="55"/>
        <v>1</v>
      </c>
      <c r="H345" s="291"/>
      <c r="I345" s="285">
        <f t="shared" si="56"/>
        <v>1</v>
      </c>
      <c r="J345" s="291"/>
      <c r="K345" s="285">
        <f t="shared" si="57"/>
        <v>1</v>
      </c>
      <c r="L345" s="291"/>
      <c r="M345" s="285">
        <f t="shared" si="58"/>
        <v>1</v>
      </c>
      <c r="N345" s="291"/>
      <c r="O345" s="285">
        <f t="shared" si="59"/>
        <v>1</v>
      </c>
      <c r="P345" s="291"/>
      <c r="Q345" s="285">
        <f t="shared" si="60"/>
        <v>0</v>
      </c>
      <c r="R345" s="341">
        <f t="shared" si="61"/>
        <v>0</v>
      </c>
      <c r="S345" s="284">
        <f t="shared" si="63"/>
        <v>0</v>
      </c>
    </row>
    <row r="346" spans="1:19">
      <c r="A346" s="292"/>
      <c r="B346" s="293"/>
      <c r="C346" s="285">
        <f t="shared" ref="C346:C409" si="64">IF(B346="",1,(LOOKUP(B346,$3:$3,$4:$4)-LOOKUP($B$24,$3:$3,$4:$4)+100)/100)</f>
        <v>1</v>
      </c>
      <c r="D346" s="291"/>
      <c r="E346" s="285">
        <f t="shared" ref="E346:E409" si="65">(SUMIF($5:$5,D346,$6:$6)-SUMIF($5:$5,$D$24,$6:$6)+100)/100</f>
        <v>1</v>
      </c>
      <c r="F346" s="291"/>
      <c r="G346" s="285">
        <f t="shared" ref="G346:G409" si="66">(SUMIF($7:$7,F346,$8:$8)-SUMIF($7:$7,$F$24,$8:$8)+100)/100</f>
        <v>1</v>
      </c>
      <c r="H346" s="291"/>
      <c r="I346" s="285">
        <f t="shared" ref="I346:I409" si="67">(SUMIF($9:$9,H346,$10:$10)-SUMIF($9:$9,$H$24,$10:$10)+100)/100</f>
        <v>1</v>
      </c>
      <c r="J346" s="291"/>
      <c r="K346" s="285">
        <f t="shared" ref="K346:K409" si="68">(SUMIF($11:$11,J346,$12:$12)-SUMIF($11:$11,$J$24,$12:$12)+100)/100</f>
        <v>1</v>
      </c>
      <c r="L346" s="291"/>
      <c r="M346" s="285">
        <f t="shared" ref="M346:M409" si="69">(SUMIF($13:$13,L346,$14:$14)-SUMIF($13:$13,$L$24,$14:$14)+100)/100</f>
        <v>1</v>
      </c>
      <c r="N346" s="291"/>
      <c r="O346" s="285">
        <f t="shared" ref="O346:O409" si="70">(SUMIF($15:$15,N346,$16:$16)-SUMIF($15:$15,$N$24,$16:$16)+100)/100</f>
        <v>1</v>
      </c>
      <c r="P346" s="291"/>
      <c r="Q346" s="285">
        <f t="shared" ref="Q346:Q409" si="71">(SUMIF($17:$17,P346,$18:$18)-SUMIF($17:$17,$P$24,$18:$18)+100)/100</f>
        <v>0</v>
      </c>
      <c r="R346" s="341">
        <f t="shared" ref="R346:R409" si="72">IF(B346="",0,ROUND($R$24*C346*E346*G346*I346*K346*M346*O346*Q346,0))</f>
        <v>0</v>
      </c>
      <c r="S346" s="284">
        <f t="shared" si="63"/>
        <v>0</v>
      </c>
    </row>
    <row r="347" spans="1:19">
      <c r="A347" s="292"/>
      <c r="B347" s="293"/>
      <c r="C347" s="285">
        <f t="shared" si="64"/>
        <v>1</v>
      </c>
      <c r="D347" s="291"/>
      <c r="E347" s="285">
        <f t="shared" si="65"/>
        <v>1</v>
      </c>
      <c r="F347" s="291"/>
      <c r="G347" s="285">
        <f t="shared" si="66"/>
        <v>1</v>
      </c>
      <c r="H347" s="291"/>
      <c r="I347" s="285">
        <f t="shared" si="67"/>
        <v>1</v>
      </c>
      <c r="J347" s="291"/>
      <c r="K347" s="285">
        <f t="shared" si="68"/>
        <v>1</v>
      </c>
      <c r="L347" s="291"/>
      <c r="M347" s="285">
        <f t="shared" si="69"/>
        <v>1</v>
      </c>
      <c r="N347" s="291"/>
      <c r="O347" s="285">
        <f t="shared" si="70"/>
        <v>1</v>
      </c>
      <c r="P347" s="291"/>
      <c r="Q347" s="285">
        <f t="shared" si="71"/>
        <v>0</v>
      </c>
      <c r="R347" s="341">
        <f t="shared" si="72"/>
        <v>0</v>
      </c>
      <c r="S347" s="284">
        <f t="shared" si="63"/>
        <v>0</v>
      </c>
    </row>
    <row r="348" spans="1:19">
      <c r="A348" s="292"/>
      <c r="B348" s="293"/>
      <c r="C348" s="285">
        <f t="shared" si="64"/>
        <v>1</v>
      </c>
      <c r="D348" s="291"/>
      <c r="E348" s="285">
        <f t="shared" si="65"/>
        <v>1</v>
      </c>
      <c r="F348" s="291"/>
      <c r="G348" s="285">
        <f t="shared" si="66"/>
        <v>1</v>
      </c>
      <c r="H348" s="291"/>
      <c r="I348" s="285">
        <f t="shared" si="67"/>
        <v>1</v>
      </c>
      <c r="J348" s="291"/>
      <c r="K348" s="285">
        <f t="shared" si="68"/>
        <v>1</v>
      </c>
      <c r="L348" s="291"/>
      <c r="M348" s="285">
        <f t="shared" si="69"/>
        <v>1</v>
      </c>
      <c r="N348" s="291"/>
      <c r="O348" s="285">
        <f t="shared" si="70"/>
        <v>1</v>
      </c>
      <c r="P348" s="291"/>
      <c r="Q348" s="285">
        <f t="shared" si="71"/>
        <v>0</v>
      </c>
      <c r="R348" s="341">
        <f t="shared" si="72"/>
        <v>0</v>
      </c>
      <c r="S348" s="284">
        <f t="shared" si="63"/>
        <v>0</v>
      </c>
    </row>
    <row r="349" spans="1:19">
      <c r="A349" s="292"/>
      <c r="B349" s="293"/>
      <c r="C349" s="285">
        <f t="shared" si="64"/>
        <v>1</v>
      </c>
      <c r="D349" s="291"/>
      <c r="E349" s="285">
        <f t="shared" si="65"/>
        <v>1</v>
      </c>
      <c r="F349" s="291"/>
      <c r="G349" s="285">
        <f t="shared" si="66"/>
        <v>1</v>
      </c>
      <c r="H349" s="291"/>
      <c r="I349" s="285">
        <f t="shared" si="67"/>
        <v>1</v>
      </c>
      <c r="J349" s="291"/>
      <c r="K349" s="285">
        <f t="shared" si="68"/>
        <v>1</v>
      </c>
      <c r="L349" s="291"/>
      <c r="M349" s="285">
        <f t="shared" si="69"/>
        <v>1</v>
      </c>
      <c r="N349" s="291"/>
      <c r="O349" s="285">
        <f t="shared" si="70"/>
        <v>1</v>
      </c>
      <c r="P349" s="291"/>
      <c r="Q349" s="285">
        <f t="shared" si="71"/>
        <v>0</v>
      </c>
      <c r="R349" s="341">
        <f t="shared" si="72"/>
        <v>0</v>
      </c>
      <c r="S349" s="284">
        <f t="shared" si="63"/>
        <v>0</v>
      </c>
    </row>
    <row r="350" spans="1:19">
      <c r="A350" s="292"/>
      <c r="B350" s="293"/>
      <c r="C350" s="285">
        <f t="shared" si="64"/>
        <v>1</v>
      </c>
      <c r="D350" s="291"/>
      <c r="E350" s="285">
        <f t="shared" si="65"/>
        <v>1</v>
      </c>
      <c r="F350" s="291"/>
      <c r="G350" s="285">
        <f t="shared" si="66"/>
        <v>1</v>
      </c>
      <c r="H350" s="291"/>
      <c r="I350" s="285">
        <f t="shared" si="67"/>
        <v>1</v>
      </c>
      <c r="J350" s="291"/>
      <c r="K350" s="285">
        <f t="shared" si="68"/>
        <v>1</v>
      </c>
      <c r="L350" s="291"/>
      <c r="M350" s="285">
        <f t="shared" si="69"/>
        <v>1</v>
      </c>
      <c r="N350" s="291"/>
      <c r="O350" s="285">
        <f t="shared" si="70"/>
        <v>1</v>
      </c>
      <c r="P350" s="291"/>
      <c r="Q350" s="285">
        <f t="shared" si="71"/>
        <v>0</v>
      </c>
      <c r="R350" s="341">
        <f t="shared" si="72"/>
        <v>0</v>
      </c>
      <c r="S350" s="284">
        <f t="shared" si="63"/>
        <v>0</v>
      </c>
    </row>
    <row r="351" spans="1:19">
      <c r="A351" s="292"/>
      <c r="B351" s="293"/>
      <c r="C351" s="285">
        <f t="shared" si="64"/>
        <v>1</v>
      </c>
      <c r="D351" s="291"/>
      <c r="E351" s="285">
        <f t="shared" si="65"/>
        <v>1</v>
      </c>
      <c r="F351" s="291"/>
      <c r="G351" s="285">
        <f t="shared" si="66"/>
        <v>1</v>
      </c>
      <c r="H351" s="291"/>
      <c r="I351" s="285">
        <f t="shared" si="67"/>
        <v>1</v>
      </c>
      <c r="J351" s="291"/>
      <c r="K351" s="285">
        <f t="shared" si="68"/>
        <v>1</v>
      </c>
      <c r="L351" s="291"/>
      <c r="M351" s="285">
        <f t="shared" si="69"/>
        <v>1</v>
      </c>
      <c r="N351" s="291"/>
      <c r="O351" s="285">
        <f t="shared" si="70"/>
        <v>1</v>
      </c>
      <c r="P351" s="291"/>
      <c r="Q351" s="285">
        <f t="shared" si="71"/>
        <v>0</v>
      </c>
      <c r="R351" s="341">
        <f t="shared" si="72"/>
        <v>0</v>
      </c>
      <c r="S351" s="284">
        <f t="shared" si="63"/>
        <v>0</v>
      </c>
    </row>
    <row r="352" spans="1:19">
      <c r="A352" s="292"/>
      <c r="B352" s="293"/>
      <c r="C352" s="285">
        <f t="shared" si="64"/>
        <v>1</v>
      </c>
      <c r="D352" s="291"/>
      <c r="E352" s="285">
        <f t="shared" si="65"/>
        <v>1</v>
      </c>
      <c r="F352" s="291"/>
      <c r="G352" s="285">
        <f t="shared" si="66"/>
        <v>1</v>
      </c>
      <c r="H352" s="291"/>
      <c r="I352" s="285">
        <f t="shared" si="67"/>
        <v>1</v>
      </c>
      <c r="J352" s="291"/>
      <c r="K352" s="285">
        <f t="shared" si="68"/>
        <v>1</v>
      </c>
      <c r="L352" s="291"/>
      <c r="M352" s="285">
        <f t="shared" si="69"/>
        <v>1</v>
      </c>
      <c r="N352" s="291"/>
      <c r="O352" s="285">
        <f t="shared" si="70"/>
        <v>1</v>
      </c>
      <c r="P352" s="291"/>
      <c r="Q352" s="285">
        <f t="shared" si="71"/>
        <v>0</v>
      </c>
      <c r="R352" s="341">
        <f t="shared" si="72"/>
        <v>0</v>
      </c>
      <c r="S352" s="284">
        <f t="shared" si="63"/>
        <v>0</v>
      </c>
    </row>
    <row r="353" spans="1:19">
      <c r="A353" s="292"/>
      <c r="B353" s="293"/>
      <c r="C353" s="285">
        <f t="shared" si="64"/>
        <v>1</v>
      </c>
      <c r="D353" s="291"/>
      <c r="E353" s="285">
        <f t="shared" si="65"/>
        <v>1</v>
      </c>
      <c r="F353" s="291"/>
      <c r="G353" s="285">
        <f t="shared" si="66"/>
        <v>1</v>
      </c>
      <c r="H353" s="291"/>
      <c r="I353" s="285">
        <f t="shared" si="67"/>
        <v>1</v>
      </c>
      <c r="J353" s="291"/>
      <c r="K353" s="285">
        <f t="shared" si="68"/>
        <v>1</v>
      </c>
      <c r="L353" s="291"/>
      <c r="M353" s="285">
        <f t="shared" si="69"/>
        <v>1</v>
      </c>
      <c r="N353" s="291"/>
      <c r="O353" s="285">
        <f t="shared" si="70"/>
        <v>1</v>
      </c>
      <c r="P353" s="291"/>
      <c r="Q353" s="285">
        <f t="shared" si="71"/>
        <v>0</v>
      </c>
      <c r="R353" s="341">
        <f t="shared" si="72"/>
        <v>0</v>
      </c>
      <c r="S353" s="284">
        <f t="shared" si="63"/>
        <v>0</v>
      </c>
    </row>
    <row r="354" spans="1:19">
      <c r="A354" s="292"/>
      <c r="B354" s="293"/>
      <c r="C354" s="285">
        <f t="shared" si="64"/>
        <v>1</v>
      </c>
      <c r="D354" s="291"/>
      <c r="E354" s="285">
        <f t="shared" si="65"/>
        <v>1</v>
      </c>
      <c r="F354" s="291"/>
      <c r="G354" s="285">
        <f t="shared" si="66"/>
        <v>1</v>
      </c>
      <c r="H354" s="291"/>
      <c r="I354" s="285">
        <f t="shared" si="67"/>
        <v>1</v>
      </c>
      <c r="J354" s="291"/>
      <c r="K354" s="285">
        <f t="shared" si="68"/>
        <v>1</v>
      </c>
      <c r="L354" s="291"/>
      <c r="M354" s="285">
        <f t="shared" si="69"/>
        <v>1</v>
      </c>
      <c r="N354" s="291"/>
      <c r="O354" s="285">
        <f t="shared" si="70"/>
        <v>1</v>
      </c>
      <c r="P354" s="291"/>
      <c r="Q354" s="285">
        <f t="shared" si="71"/>
        <v>0</v>
      </c>
      <c r="R354" s="341">
        <f t="shared" si="72"/>
        <v>0</v>
      </c>
      <c r="S354" s="284">
        <f t="shared" si="63"/>
        <v>0</v>
      </c>
    </row>
    <row r="355" spans="1:19">
      <c r="A355" s="292"/>
      <c r="B355" s="293"/>
      <c r="C355" s="285">
        <f t="shared" si="64"/>
        <v>1</v>
      </c>
      <c r="D355" s="291"/>
      <c r="E355" s="285">
        <f t="shared" si="65"/>
        <v>1</v>
      </c>
      <c r="F355" s="291"/>
      <c r="G355" s="285">
        <f t="shared" si="66"/>
        <v>1</v>
      </c>
      <c r="H355" s="291"/>
      <c r="I355" s="285">
        <f t="shared" si="67"/>
        <v>1</v>
      </c>
      <c r="J355" s="291"/>
      <c r="K355" s="285">
        <f t="shared" si="68"/>
        <v>1</v>
      </c>
      <c r="L355" s="291"/>
      <c r="M355" s="285">
        <f t="shared" si="69"/>
        <v>1</v>
      </c>
      <c r="N355" s="291"/>
      <c r="O355" s="285">
        <f t="shared" si="70"/>
        <v>1</v>
      </c>
      <c r="P355" s="291"/>
      <c r="Q355" s="285">
        <f t="shared" si="71"/>
        <v>0</v>
      </c>
      <c r="R355" s="341">
        <f t="shared" si="72"/>
        <v>0</v>
      </c>
      <c r="S355" s="284">
        <f t="shared" si="63"/>
        <v>0</v>
      </c>
    </row>
    <row r="356" spans="1:19">
      <c r="A356" s="292"/>
      <c r="B356" s="293"/>
      <c r="C356" s="285">
        <f t="shared" si="64"/>
        <v>1</v>
      </c>
      <c r="D356" s="291"/>
      <c r="E356" s="285">
        <f t="shared" si="65"/>
        <v>1</v>
      </c>
      <c r="F356" s="291"/>
      <c r="G356" s="285">
        <f t="shared" si="66"/>
        <v>1</v>
      </c>
      <c r="H356" s="291"/>
      <c r="I356" s="285">
        <f t="shared" si="67"/>
        <v>1</v>
      </c>
      <c r="J356" s="291"/>
      <c r="K356" s="285">
        <f t="shared" si="68"/>
        <v>1</v>
      </c>
      <c r="L356" s="291"/>
      <c r="M356" s="285">
        <f t="shared" si="69"/>
        <v>1</v>
      </c>
      <c r="N356" s="291"/>
      <c r="O356" s="285">
        <f t="shared" si="70"/>
        <v>1</v>
      </c>
      <c r="P356" s="291"/>
      <c r="Q356" s="285">
        <f t="shared" si="71"/>
        <v>0</v>
      </c>
      <c r="R356" s="341">
        <f t="shared" si="72"/>
        <v>0</v>
      </c>
      <c r="S356" s="284">
        <f t="shared" si="63"/>
        <v>0</v>
      </c>
    </row>
    <row r="357" spans="1:19">
      <c r="A357" s="292"/>
      <c r="B357" s="293"/>
      <c r="C357" s="285">
        <f t="shared" si="64"/>
        <v>1</v>
      </c>
      <c r="D357" s="291"/>
      <c r="E357" s="285">
        <f t="shared" si="65"/>
        <v>1</v>
      </c>
      <c r="F357" s="291"/>
      <c r="G357" s="285">
        <f t="shared" si="66"/>
        <v>1</v>
      </c>
      <c r="H357" s="291"/>
      <c r="I357" s="285">
        <f t="shared" si="67"/>
        <v>1</v>
      </c>
      <c r="J357" s="291"/>
      <c r="K357" s="285">
        <f t="shared" si="68"/>
        <v>1</v>
      </c>
      <c r="L357" s="291"/>
      <c r="M357" s="285">
        <f t="shared" si="69"/>
        <v>1</v>
      </c>
      <c r="N357" s="291"/>
      <c r="O357" s="285">
        <f t="shared" si="70"/>
        <v>1</v>
      </c>
      <c r="P357" s="291"/>
      <c r="Q357" s="285">
        <f t="shared" si="71"/>
        <v>0</v>
      </c>
      <c r="R357" s="341">
        <f t="shared" si="72"/>
        <v>0</v>
      </c>
      <c r="S357" s="284">
        <f t="shared" si="63"/>
        <v>0</v>
      </c>
    </row>
    <row r="358" spans="1:19">
      <c r="A358" s="292"/>
      <c r="B358" s="293"/>
      <c r="C358" s="285">
        <f t="shared" si="64"/>
        <v>1</v>
      </c>
      <c r="D358" s="291"/>
      <c r="E358" s="285">
        <f t="shared" si="65"/>
        <v>1</v>
      </c>
      <c r="F358" s="291"/>
      <c r="G358" s="285">
        <f t="shared" si="66"/>
        <v>1</v>
      </c>
      <c r="H358" s="291"/>
      <c r="I358" s="285">
        <f t="shared" si="67"/>
        <v>1</v>
      </c>
      <c r="J358" s="291"/>
      <c r="K358" s="285">
        <f t="shared" si="68"/>
        <v>1</v>
      </c>
      <c r="L358" s="291"/>
      <c r="M358" s="285">
        <f t="shared" si="69"/>
        <v>1</v>
      </c>
      <c r="N358" s="291"/>
      <c r="O358" s="285">
        <f t="shared" si="70"/>
        <v>1</v>
      </c>
      <c r="P358" s="291"/>
      <c r="Q358" s="285">
        <f t="shared" si="71"/>
        <v>0</v>
      </c>
      <c r="R358" s="341">
        <f t="shared" si="72"/>
        <v>0</v>
      </c>
      <c r="S358" s="284">
        <f t="shared" si="63"/>
        <v>0</v>
      </c>
    </row>
    <row r="359" spans="1:19">
      <c r="A359" s="292"/>
      <c r="B359" s="293"/>
      <c r="C359" s="285">
        <f t="shared" si="64"/>
        <v>1</v>
      </c>
      <c r="D359" s="291"/>
      <c r="E359" s="285">
        <f t="shared" si="65"/>
        <v>1</v>
      </c>
      <c r="F359" s="291"/>
      <c r="G359" s="285">
        <f t="shared" si="66"/>
        <v>1</v>
      </c>
      <c r="H359" s="291"/>
      <c r="I359" s="285">
        <f t="shared" si="67"/>
        <v>1</v>
      </c>
      <c r="J359" s="291"/>
      <c r="K359" s="285">
        <f t="shared" si="68"/>
        <v>1</v>
      </c>
      <c r="L359" s="291"/>
      <c r="M359" s="285">
        <f t="shared" si="69"/>
        <v>1</v>
      </c>
      <c r="N359" s="291"/>
      <c r="O359" s="285">
        <f t="shared" si="70"/>
        <v>1</v>
      </c>
      <c r="P359" s="291"/>
      <c r="Q359" s="285">
        <f t="shared" si="71"/>
        <v>0</v>
      </c>
      <c r="R359" s="341">
        <f t="shared" si="72"/>
        <v>0</v>
      </c>
      <c r="S359" s="284">
        <f t="shared" si="63"/>
        <v>0</v>
      </c>
    </row>
    <row r="360" spans="1:19">
      <c r="A360" s="292"/>
      <c r="B360" s="293"/>
      <c r="C360" s="285">
        <f t="shared" si="64"/>
        <v>1</v>
      </c>
      <c r="D360" s="291"/>
      <c r="E360" s="285">
        <f t="shared" si="65"/>
        <v>1</v>
      </c>
      <c r="F360" s="291"/>
      <c r="G360" s="285">
        <f t="shared" si="66"/>
        <v>1</v>
      </c>
      <c r="H360" s="291"/>
      <c r="I360" s="285">
        <f t="shared" si="67"/>
        <v>1</v>
      </c>
      <c r="J360" s="291"/>
      <c r="K360" s="285">
        <f t="shared" si="68"/>
        <v>1</v>
      </c>
      <c r="L360" s="291"/>
      <c r="M360" s="285">
        <f t="shared" si="69"/>
        <v>1</v>
      </c>
      <c r="N360" s="291"/>
      <c r="O360" s="285">
        <f t="shared" si="70"/>
        <v>1</v>
      </c>
      <c r="P360" s="291"/>
      <c r="Q360" s="285">
        <f t="shared" si="71"/>
        <v>0</v>
      </c>
      <c r="R360" s="341">
        <f t="shared" si="72"/>
        <v>0</v>
      </c>
      <c r="S360" s="284">
        <f t="shared" si="63"/>
        <v>0</v>
      </c>
    </row>
    <row r="361" spans="1:19">
      <c r="A361" s="292"/>
      <c r="B361" s="293"/>
      <c r="C361" s="285">
        <f t="shared" si="64"/>
        <v>1</v>
      </c>
      <c r="D361" s="291"/>
      <c r="E361" s="285">
        <f t="shared" si="65"/>
        <v>1</v>
      </c>
      <c r="F361" s="291"/>
      <c r="G361" s="285">
        <f t="shared" si="66"/>
        <v>1</v>
      </c>
      <c r="H361" s="291"/>
      <c r="I361" s="285">
        <f t="shared" si="67"/>
        <v>1</v>
      </c>
      <c r="J361" s="291"/>
      <c r="K361" s="285">
        <f t="shared" si="68"/>
        <v>1</v>
      </c>
      <c r="L361" s="291"/>
      <c r="M361" s="285">
        <f t="shared" si="69"/>
        <v>1</v>
      </c>
      <c r="N361" s="291"/>
      <c r="O361" s="285">
        <f t="shared" si="70"/>
        <v>1</v>
      </c>
      <c r="P361" s="291"/>
      <c r="Q361" s="285">
        <f t="shared" si="71"/>
        <v>0</v>
      </c>
      <c r="R361" s="341">
        <f t="shared" si="72"/>
        <v>0</v>
      </c>
      <c r="S361" s="284">
        <f t="shared" si="63"/>
        <v>0</v>
      </c>
    </row>
    <row r="362" spans="1:19">
      <c r="A362" s="292"/>
      <c r="B362" s="293"/>
      <c r="C362" s="285">
        <f t="shared" si="64"/>
        <v>1</v>
      </c>
      <c r="D362" s="291"/>
      <c r="E362" s="285">
        <f t="shared" si="65"/>
        <v>1</v>
      </c>
      <c r="F362" s="291"/>
      <c r="G362" s="285">
        <f t="shared" si="66"/>
        <v>1</v>
      </c>
      <c r="H362" s="291"/>
      <c r="I362" s="285">
        <f t="shared" si="67"/>
        <v>1</v>
      </c>
      <c r="J362" s="291"/>
      <c r="K362" s="285">
        <f t="shared" si="68"/>
        <v>1</v>
      </c>
      <c r="L362" s="291"/>
      <c r="M362" s="285">
        <f t="shared" si="69"/>
        <v>1</v>
      </c>
      <c r="N362" s="291"/>
      <c r="O362" s="285">
        <f t="shared" si="70"/>
        <v>1</v>
      </c>
      <c r="P362" s="291"/>
      <c r="Q362" s="285">
        <f t="shared" si="71"/>
        <v>0</v>
      </c>
      <c r="R362" s="341">
        <f t="shared" si="72"/>
        <v>0</v>
      </c>
      <c r="S362" s="284">
        <f t="shared" si="63"/>
        <v>0</v>
      </c>
    </row>
    <row r="363" spans="1:19">
      <c r="A363" s="292"/>
      <c r="B363" s="293"/>
      <c r="C363" s="285">
        <f t="shared" si="64"/>
        <v>1</v>
      </c>
      <c r="D363" s="291"/>
      <c r="E363" s="285">
        <f t="shared" si="65"/>
        <v>1</v>
      </c>
      <c r="F363" s="291"/>
      <c r="G363" s="285">
        <f t="shared" si="66"/>
        <v>1</v>
      </c>
      <c r="H363" s="291"/>
      <c r="I363" s="285">
        <f t="shared" si="67"/>
        <v>1</v>
      </c>
      <c r="J363" s="291"/>
      <c r="K363" s="285">
        <f t="shared" si="68"/>
        <v>1</v>
      </c>
      <c r="L363" s="291"/>
      <c r="M363" s="285">
        <f t="shared" si="69"/>
        <v>1</v>
      </c>
      <c r="N363" s="291"/>
      <c r="O363" s="285">
        <f t="shared" si="70"/>
        <v>1</v>
      </c>
      <c r="P363" s="291"/>
      <c r="Q363" s="285">
        <f t="shared" si="71"/>
        <v>0</v>
      </c>
      <c r="R363" s="341">
        <f t="shared" si="72"/>
        <v>0</v>
      </c>
      <c r="S363" s="284">
        <f t="shared" si="63"/>
        <v>0</v>
      </c>
    </row>
    <row r="364" spans="1:19">
      <c r="A364" s="292"/>
      <c r="B364" s="293"/>
      <c r="C364" s="285">
        <f t="shared" si="64"/>
        <v>1</v>
      </c>
      <c r="D364" s="291"/>
      <c r="E364" s="285">
        <f t="shared" si="65"/>
        <v>1</v>
      </c>
      <c r="F364" s="291"/>
      <c r="G364" s="285">
        <f t="shared" si="66"/>
        <v>1</v>
      </c>
      <c r="H364" s="291"/>
      <c r="I364" s="285">
        <f t="shared" si="67"/>
        <v>1</v>
      </c>
      <c r="J364" s="291"/>
      <c r="K364" s="285">
        <f t="shared" si="68"/>
        <v>1</v>
      </c>
      <c r="L364" s="291"/>
      <c r="M364" s="285">
        <f t="shared" si="69"/>
        <v>1</v>
      </c>
      <c r="N364" s="291"/>
      <c r="O364" s="285">
        <f t="shared" si="70"/>
        <v>1</v>
      </c>
      <c r="P364" s="291"/>
      <c r="Q364" s="285">
        <f t="shared" si="71"/>
        <v>0</v>
      </c>
      <c r="R364" s="341">
        <f t="shared" si="72"/>
        <v>0</v>
      </c>
      <c r="S364" s="284">
        <f t="shared" si="63"/>
        <v>0</v>
      </c>
    </row>
    <row r="365" spans="1:19">
      <c r="A365" s="292"/>
      <c r="B365" s="293"/>
      <c r="C365" s="285">
        <f t="shared" si="64"/>
        <v>1</v>
      </c>
      <c r="D365" s="291"/>
      <c r="E365" s="285">
        <f t="shared" si="65"/>
        <v>1</v>
      </c>
      <c r="F365" s="291"/>
      <c r="G365" s="285">
        <f t="shared" si="66"/>
        <v>1</v>
      </c>
      <c r="H365" s="291"/>
      <c r="I365" s="285">
        <f t="shared" si="67"/>
        <v>1</v>
      </c>
      <c r="J365" s="291"/>
      <c r="K365" s="285">
        <f t="shared" si="68"/>
        <v>1</v>
      </c>
      <c r="L365" s="291"/>
      <c r="M365" s="285">
        <f t="shared" si="69"/>
        <v>1</v>
      </c>
      <c r="N365" s="291"/>
      <c r="O365" s="285">
        <f t="shared" si="70"/>
        <v>1</v>
      </c>
      <c r="P365" s="291"/>
      <c r="Q365" s="285">
        <f t="shared" si="71"/>
        <v>0</v>
      </c>
      <c r="R365" s="341">
        <f t="shared" si="72"/>
        <v>0</v>
      </c>
      <c r="S365" s="284">
        <f t="shared" si="63"/>
        <v>0</v>
      </c>
    </row>
    <row r="366" spans="1:19">
      <c r="A366" s="292"/>
      <c r="B366" s="293"/>
      <c r="C366" s="285">
        <f t="shared" si="64"/>
        <v>1</v>
      </c>
      <c r="D366" s="291"/>
      <c r="E366" s="285">
        <f t="shared" si="65"/>
        <v>1</v>
      </c>
      <c r="F366" s="291"/>
      <c r="G366" s="285">
        <f t="shared" si="66"/>
        <v>1</v>
      </c>
      <c r="H366" s="291"/>
      <c r="I366" s="285">
        <f t="shared" si="67"/>
        <v>1</v>
      </c>
      <c r="J366" s="291"/>
      <c r="K366" s="285">
        <f t="shared" si="68"/>
        <v>1</v>
      </c>
      <c r="L366" s="291"/>
      <c r="M366" s="285">
        <f t="shared" si="69"/>
        <v>1</v>
      </c>
      <c r="N366" s="291"/>
      <c r="O366" s="285">
        <f t="shared" si="70"/>
        <v>1</v>
      </c>
      <c r="P366" s="291"/>
      <c r="Q366" s="285">
        <f t="shared" si="71"/>
        <v>0</v>
      </c>
      <c r="R366" s="341">
        <f t="shared" si="72"/>
        <v>0</v>
      </c>
      <c r="S366" s="284">
        <f t="shared" si="63"/>
        <v>0</v>
      </c>
    </row>
    <row r="367" spans="1:19">
      <c r="A367" s="292"/>
      <c r="B367" s="293"/>
      <c r="C367" s="285">
        <f t="shared" si="64"/>
        <v>1</v>
      </c>
      <c r="D367" s="291"/>
      <c r="E367" s="285">
        <f t="shared" si="65"/>
        <v>1</v>
      </c>
      <c r="F367" s="291"/>
      <c r="G367" s="285">
        <f t="shared" si="66"/>
        <v>1</v>
      </c>
      <c r="H367" s="291"/>
      <c r="I367" s="285">
        <f t="shared" si="67"/>
        <v>1</v>
      </c>
      <c r="J367" s="291"/>
      <c r="K367" s="285">
        <f t="shared" si="68"/>
        <v>1</v>
      </c>
      <c r="L367" s="291"/>
      <c r="M367" s="285">
        <f t="shared" si="69"/>
        <v>1</v>
      </c>
      <c r="N367" s="291"/>
      <c r="O367" s="285">
        <f t="shared" si="70"/>
        <v>1</v>
      </c>
      <c r="P367" s="291"/>
      <c r="Q367" s="285">
        <f t="shared" si="71"/>
        <v>0</v>
      </c>
      <c r="R367" s="341">
        <f t="shared" si="72"/>
        <v>0</v>
      </c>
      <c r="S367" s="284">
        <f t="shared" si="63"/>
        <v>0</v>
      </c>
    </row>
    <row r="368" spans="1:19">
      <c r="A368" s="292"/>
      <c r="B368" s="293"/>
      <c r="C368" s="285">
        <f t="shared" si="64"/>
        <v>1</v>
      </c>
      <c r="D368" s="291"/>
      <c r="E368" s="285">
        <f t="shared" si="65"/>
        <v>1</v>
      </c>
      <c r="F368" s="291"/>
      <c r="G368" s="285">
        <f t="shared" si="66"/>
        <v>1</v>
      </c>
      <c r="H368" s="291"/>
      <c r="I368" s="285">
        <f t="shared" si="67"/>
        <v>1</v>
      </c>
      <c r="J368" s="291"/>
      <c r="K368" s="285">
        <f t="shared" si="68"/>
        <v>1</v>
      </c>
      <c r="L368" s="291"/>
      <c r="M368" s="285">
        <f t="shared" si="69"/>
        <v>1</v>
      </c>
      <c r="N368" s="291"/>
      <c r="O368" s="285">
        <f t="shared" si="70"/>
        <v>1</v>
      </c>
      <c r="P368" s="291"/>
      <c r="Q368" s="285">
        <f t="shared" si="71"/>
        <v>0</v>
      </c>
      <c r="R368" s="341">
        <f t="shared" si="72"/>
        <v>0</v>
      </c>
      <c r="S368" s="284">
        <f t="shared" si="63"/>
        <v>0</v>
      </c>
    </row>
    <row r="369" spans="1:19">
      <c r="A369" s="292"/>
      <c r="B369" s="293"/>
      <c r="C369" s="285">
        <f t="shared" si="64"/>
        <v>1</v>
      </c>
      <c r="D369" s="291"/>
      <c r="E369" s="285">
        <f t="shared" si="65"/>
        <v>1</v>
      </c>
      <c r="F369" s="291"/>
      <c r="G369" s="285">
        <f t="shared" si="66"/>
        <v>1</v>
      </c>
      <c r="H369" s="291"/>
      <c r="I369" s="285">
        <f t="shared" si="67"/>
        <v>1</v>
      </c>
      <c r="J369" s="291"/>
      <c r="K369" s="285">
        <f t="shared" si="68"/>
        <v>1</v>
      </c>
      <c r="L369" s="291"/>
      <c r="M369" s="285">
        <f t="shared" si="69"/>
        <v>1</v>
      </c>
      <c r="N369" s="291"/>
      <c r="O369" s="285">
        <f t="shared" si="70"/>
        <v>1</v>
      </c>
      <c r="P369" s="291"/>
      <c r="Q369" s="285">
        <f t="shared" si="71"/>
        <v>0</v>
      </c>
      <c r="R369" s="341">
        <f t="shared" si="72"/>
        <v>0</v>
      </c>
      <c r="S369" s="284">
        <f t="shared" si="63"/>
        <v>0</v>
      </c>
    </row>
    <row r="370" spans="1:19">
      <c r="A370" s="292"/>
      <c r="B370" s="293"/>
      <c r="C370" s="285">
        <f t="shared" si="64"/>
        <v>1</v>
      </c>
      <c r="D370" s="291"/>
      <c r="E370" s="285">
        <f t="shared" si="65"/>
        <v>1</v>
      </c>
      <c r="F370" s="291"/>
      <c r="G370" s="285">
        <f t="shared" si="66"/>
        <v>1</v>
      </c>
      <c r="H370" s="291"/>
      <c r="I370" s="285">
        <f t="shared" si="67"/>
        <v>1</v>
      </c>
      <c r="J370" s="291"/>
      <c r="K370" s="285">
        <f t="shared" si="68"/>
        <v>1</v>
      </c>
      <c r="L370" s="291"/>
      <c r="M370" s="285">
        <f t="shared" si="69"/>
        <v>1</v>
      </c>
      <c r="N370" s="291"/>
      <c r="O370" s="285">
        <f t="shared" si="70"/>
        <v>1</v>
      </c>
      <c r="P370" s="291"/>
      <c r="Q370" s="285">
        <f t="shared" si="71"/>
        <v>0</v>
      </c>
      <c r="R370" s="341">
        <f t="shared" si="72"/>
        <v>0</v>
      </c>
      <c r="S370" s="284">
        <f t="shared" si="63"/>
        <v>0</v>
      </c>
    </row>
    <row r="371" spans="1:19">
      <c r="A371" s="292"/>
      <c r="B371" s="293"/>
      <c r="C371" s="285">
        <f t="shared" si="64"/>
        <v>1</v>
      </c>
      <c r="D371" s="291"/>
      <c r="E371" s="285">
        <f t="shared" si="65"/>
        <v>1</v>
      </c>
      <c r="F371" s="291"/>
      <c r="G371" s="285">
        <f t="shared" si="66"/>
        <v>1</v>
      </c>
      <c r="H371" s="291"/>
      <c r="I371" s="285">
        <f t="shared" si="67"/>
        <v>1</v>
      </c>
      <c r="J371" s="291"/>
      <c r="K371" s="285">
        <f t="shared" si="68"/>
        <v>1</v>
      </c>
      <c r="L371" s="291"/>
      <c r="M371" s="285">
        <f t="shared" si="69"/>
        <v>1</v>
      </c>
      <c r="N371" s="291"/>
      <c r="O371" s="285">
        <f t="shared" si="70"/>
        <v>1</v>
      </c>
      <c r="P371" s="291"/>
      <c r="Q371" s="285">
        <f t="shared" si="71"/>
        <v>0</v>
      </c>
      <c r="R371" s="341">
        <f t="shared" si="72"/>
        <v>0</v>
      </c>
      <c r="S371" s="284">
        <f t="shared" si="63"/>
        <v>0</v>
      </c>
    </row>
    <row r="372" spans="1:19">
      <c r="A372" s="292"/>
      <c r="B372" s="293"/>
      <c r="C372" s="285">
        <f t="shared" si="64"/>
        <v>1</v>
      </c>
      <c r="D372" s="291"/>
      <c r="E372" s="285">
        <f t="shared" si="65"/>
        <v>1</v>
      </c>
      <c r="F372" s="291"/>
      <c r="G372" s="285">
        <f t="shared" si="66"/>
        <v>1</v>
      </c>
      <c r="H372" s="291"/>
      <c r="I372" s="285">
        <f t="shared" si="67"/>
        <v>1</v>
      </c>
      <c r="J372" s="291"/>
      <c r="K372" s="285">
        <f t="shared" si="68"/>
        <v>1</v>
      </c>
      <c r="L372" s="291"/>
      <c r="M372" s="285">
        <f t="shared" si="69"/>
        <v>1</v>
      </c>
      <c r="N372" s="291"/>
      <c r="O372" s="285">
        <f t="shared" si="70"/>
        <v>1</v>
      </c>
      <c r="P372" s="291"/>
      <c r="Q372" s="285">
        <f t="shared" si="71"/>
        <v>0</v>
      </c>
      <c r="R372" s="341">
        <f t="shared" si="72"/>
        <v>0</v>
      </c>
      <c r="S372" s="284">
        <f t="shared" si="63"/>
        <v>0</v>
      </c>
    </row>
    <row r="373" spans="1:19">
      <c r="A373" s="292"/>
      <c r="B373" s="293"/>
      <c r="C373" s="285">
        <f t="shared" si="64"/>
        <v>1</v>
      </c>
      <c r="D373" s="291"/>
      <c r="E373" s="285">
        <f t="shared" si="65"/>
        <v>1</v>
      </c>
      <c r="F373" s="291"/>
      <c r="G373" s="285">
        <f t="shared" si="66"/>
        <v>1</v>
      </c>
      <c r="H373" s="291"/>
      <c r="I373" s="285">
        <f t="shared" si="67"/>
        <v>1</v>
      </c>
      <c r="J373" s="291"/>
      <c r="K373" s="285">
        <f t="shared" si="68"/>
        <v>1</v>
      </c>
      <c r="L373" s="291"/>
      <c r="M373" s="285">
        <f t="shared" si="69"/>
        <v>1</v>
      </c>
      <c r="N373" s="291"/>
      <c r="O373" s="285">
        <f t="shared" si="70"/>
        <v>1</v>
      </c>
      <c r="P373" s="291"/>
      <c r="Q373" s="285">
        <f t="shared" si="71"/>
        <v>0</v>
      </c>
      <c r="R373" s="341">
        <f t="shared" si="72"/>
        <v>0</v>
      </c>
      <c r="S373" s="284">
        <f t="shared" si="63"/>
        <v>0</v>
      </c>
    </row>
    <row r="374" spans="1:19">
      <c r="A374" s="292"/>
      <c r="B374" s="293"/>
      <c r="C374" s="285">
        <f t="shared" si="64"/>
        <v>1</v>
      </c>
      <c r="D374" s="291"/>
      <c r="E374" s="285">
        <f t="shared" si="65"/>
        <v>1</v>
      </c>
      <c r="F374" s="291"/>
      <c r="G374" s="285">
        <f t="shared" si="66"/>
        <v>1</v>
      </c>
      <c r="H374" s="291"/>
      <c r="I374" s="285">
        <f t="shared" si="67"/>
        <v>1</v>
      </c>
      <c r="J374" s="291"/>
      <c r="K374" s="285">
        <f t="shared" si="68"/>
        <v>1</v>
      </c>
      <c r="L374" s="291"/>
      <c r="M374" s="285">
        <f t="shared" si="69"/>
        <v>1</v>
      </c>
      <c r="N374" s="291"/>
      <c r="O374" s="285">
        <f t="shared" si="70"/>
        <v>1</v>
      </c>
      <c r="P374" s="291"/>
      <c r="Q374" s="285">
        <f t="shared" si="71"/>
        <v>0</v>
      </c>
      <c r="R374" s="341">
        <f t="shared" si="72"/>
        <v>0</v>
      </c>
      <c r="S374" s="284">
        <f t="shared" si="63"/>
        <v>0</v>
      </c>
    </row>
    <row r="375" spans="1:19">
      <c r="A375" s="292"/>
      <c r="B375" s="293"/>
      <c r="C375" s="285">
        <f t="shared" si="64"/>
        <v>1</v>
      </c>
      <c r="D375" s="291"/>
      <c r="E375" s="285">
        <f t="shared" si="65"/>
        <v>1</v>
      </c>
      <c r="F375" s="291"/>
      <c r="G375" s="285">
        <f t="shared" si="66"/>
        <v>1</v>
      </c>
      <c r="H375" s="291"/>
      <c r="I375" s="285">
        <f t="shared" si="67"/>
        <v>1</v>
      </c>
      <c r="J375" s="291"/>
      <c r="K375" s="285">
        <f t="shared" si="68"/>
        <v>1</v>
      </c>
      <c r="L375" s="291"/>
      <c r="M375" s="285">
        <f t="shared" si="69"/>
        <v>1</v>
      </c>
      <c r="N375" s="291"/>
      <c r="O375" s="285">
        <f t="shared" si="70"/>
        <v>1</v>
      </c>
      <c r="P375" s="291"/>
      <c r="Q375" s="285">
        <f t="shared" si="71"/>
        <v>0</v>
      </c>
      <c r="R375" s="341">
        <f t="shared" si="72"/>
        <v>0</v>
      </c>
      <c r="S375" s="284">
        <f t="shared" si="63"/>
        <v>0</v>
      </c>
    </row>
    <row r="376" spans="1:19">
      <c r="A376" s="292"/>
      <c r="B376" s="293"/>
      <c r="C376" s="285">
        <f t="shared" si="64"/>
        <v>1</v>
      </c>
      <c r="D376" s="291"/>
      <c r="E376" s="285">
        <f t="shared" si="65"/>
        <v>1</v>
      </c>
      <c r="F376" s="291"/>
      <c r="G376" s="285">
        <f t="shared" si="66"/>
        <v>1</v>
      </c>
      <c r="H376" s="291"/>
      <c r="I376" s="285">
        <f t="shared" si="67"/>
        <v>1</v>
      </c>
      <c r="J376" s="291"/>
      <c r="K376" s="285">
        <f t="shared" si="68"/>
        <v>1</v>
      </c>
      <c r="L376" s="291"/>
      <c r="M376" s="285">
        <f t="shared" si="69"/>
        <v>1</v>
      </c>
      <c r="N376" s="291"/>
      <c r="O376" s="285">
        <f t="shared" si="70"/>
        <v>1</v>
      </c>
      <c r="P376" s="291"/>
      <c r="Q376" s="285">
        <f t="shared" si="71"/>
        <v>0</v>
      </c>
      <c r="R376" s="341">
        <f t="shared" si="72"/>
        <v>0</v>
      </c>
      <c r="S376" s="284">
        <f t="shared" si="63"/>
        <v>0</v>
      </c>
    </row>
    <row r="377" spans="1:19">
      <c r="A377" s="292"/>
      <c r="B377" s="293"/>
      <c r="C377" s="285">
        <f t="shared" si="64"/>
        <v>1</v>
      </c>
      <c r="D377" s="291"/>
      <c r="E377" s="285">
        <f t="shared" si="65"/>
        <v>1</v>
      </c>
      <c r="F377" s="291"/>
      <c r="G377" s="285">
        <f t="shared" si="66"/>
        <v>1</v>
      </c>
      <c r="H377" s="291"/>
      <c r="I377" s="285">
        <f t="shared" si="67"/>
        <v>1</v>
      </c>
      <c r="J377" s="291"/>
      <c r="K377" s="285">
        <f t="shared" si="68"/>
        <v>1</v>
      </c>
      <c r="L377" s="291"/>
      <c r="M377" s="285">
        <f t="shared" si="69"/>
        <v>1</v>
      </c>
      <c r="N377" s="291"/>
      <c r="O377" s="285">
        <f t="shared" si="70"/>
        <v>1</v>
      </c>
      <c r="P377" s="291"/>
      <c r="Q377" s="285">
        <f t="shared" si="71"/>
        <v>0</v>
      </c>
      <c r="R377" s="341">
        <f t="shared" si="72"/>
        <v>0</v>
      </c>
      <c r="S377" s="284">
        <f t="shared" si="63"/>
        <v>0</v>
      </c>
    </row>
    <row r="378" spans="1:19">
      <c r="A378" s="292"/>
      <c r="B378" s="293"/>
      <c r="C378" s="285">
        <f t="shared" si="64"/>
        <v>1</v>
      </c>
      <c r="D378" s="291"/>
      <c r="E378" s="285">
        <f t="shared" si="65"/>
        <v>1</v>
      </c>
      <c r="F378" s="291"/>
      <c r="G378" s="285">
        <f t="shared" si="66"/>
        <v>1</v>
      </c>
      <c r="H378" s="291"/>
      <c r="I378" s="285">
        <f t="shared" si="67"/>
        <v>1</v>
      </c>
      <c r="J378" s="291"/>
      <c r="K378" s="285">
        <f t="shared" si="68"/>
        <v>1</v>
      </c>
      <c r="L378" s="291"/>
      <c r="M378" s="285">
        <f t="shared" si="69"/>
        <v>1</v>
      </c>
      <c r="N378" s="291"/>
      <c r="O378" s="285">
        <f t="shared" si="70"/>
        <v>1</v>
      </c>
      <c r="P378" s="291"/>
      <c r="Q378" s="285">
        <f t="shared" si="71"/>
        <v>0</v>
      </c>
      <c r="R378" s="341">
        <f t="shared" si="72"/>
        <v>0</v>
      </c>
      <c r="S378" s="284">
        <f t="shared" si="63"/>
        <v>0</v>
      </c>
    </row>
    <row r="379" spans="1:19">
      <c r="A379" s="292"/>
      <c r="B379" s="293"/>
      <c r="C379" s="285">
        <f t="shared" si="64"/>
        <v>1</v>
      </c>
      <c r="D379" s="291"/>
      <c r="E379" s="285">
        <f t="shared" si="65"/>
        <v>1</v>
      </c>
      <c r="F379" s="291"/>
      <c r="G379" s="285">
        <f t="shared" si="66"/>
        <v>1</v>
      </c>
      <c r="H379" s="291"/>
      <c r="I379" s="285">
        <f t="shared" si="67"/>
        <v>1</v>
      </c>
      <c r="J379" s="291"/>
      <c r="K379" s="285">
        <f t="shared" si="68"/>
        <v>1</v>
      </c>
      <c r="L379" s="291"/>
      <c r="M379" s="285">
        <f t="shared" si="69"/>
        <v>1</v>
      </c>
      <c r="N379" s="291"/>
      <c r="O379" s="285">
        <f t="shared" si="70"/>
        <v>1</v>
      </c>
      <c r="P379" s="291"/>
      <c r="Q379" s="285">
        <f t="shared" si="71"/>
        <v>0</v>
      </c>
      <c r="R379" s="341">
        <f t="shared" si="72"/>
        <v>0</v>
      </c>
      <c r="S379" s="284">
        <f t="shared" si="63"/>
        <v>0</v>
      </c>
    </row>
    <row r="380" spans="1:19">
      <c r="A380" s="292"/>
      <c r="B380" s="293"/>
      <c r="C380" s="285">
        <f t="shared" si="64"/>
        <v>1</v>
      </c>
      <c r="D380" s="291"/>
      <c r="E380" s="285">
        <f t="shared" si="65"/>
        <v>1</v>
      </c>
      <c r="F380" s="291"/>
      <c r="G380" s="285">
        <f t="shared" si="66"/>
        <v>1</v>
      </c>
      <c r="H380" s="291"/>
      <c r="I380" s="285">
        <f t="shared" si="67"/>
        <v>1</v>
      </c>
      <c r="J380" s="291"/>
      <c r="K380" s="285">
        <f t="shared" si="68"/>
        <v>1</v>
      </c>
      <c r="L380" s="291"/>
      <c r="M380" s="285">
        <f t="shared" si="69"/>
        <v>1</v>
      </c>
      <c r="N380" s="291"/>
      <c r="O380" s="285">
        <f t="shared" si="70"/>
        <v>1</v>
      </c>
      <c r="P380" s="291"/>
      <c r="Q380" s="285">
        <f t="shared" si="71"/>
        <v>0</v>
      </c>
      <c r="R380" s="341">
        <f t="shared" si="72"/>
        <v>0</v>
      </c>
      <c r="S380" s="284">
        <f t="shared" si="63"/>
        <v>0</v>
      </c>
    </row>
    <row r="381" spans="1:19">
      <c r="A381" s="292"/>
      <c r="B381" s="293"/>
      <c r="C381" s="285">
        <f t="shared" si="64"/>
        <v>1</v>
      </c>
      <c r="D381" s="291"/>
      <c r="E381" s="285">
        <f t="shared" si="65"/>
        <v>1</v>
      </c>
      <c r="F381" s="291"/>
      <c r="G381" s="285">
        <f t="shared" si="66"/>
        <v>1</v>
      </c>
      <c r="H381" s="291"/>
      <c r="I381" s="285">
        <f t="shared" si="67"/>
        <v>1</v>
      </c>
      <c r="J381" s="291"/>
      <c r="K381" s="285">
        <f t="shared" si="68"/>
        <v>1</v>
      </c>
      <c r="L381" s="291"/>
      <c r="M381" s="285">
        <f t="shared" si="69"/>
        <v>1</v>
      </c>
      <c r="N381" s="291"/>
      <c r="O381" s="285">
        <f t="shared" si="70"/>
        <v>1</v>
      </c>
      <c r="P381" s="291"/>
      <c r="Q381" s="285">
        <f t="shared" si="71"/>
        <v>0</v>
      </c>
      <c r="R381" s="341">
        <f t="shared" si="72"/>
        <v>0</v>
      </c>
      <c r="S381" s="284">
        <f t="shared" si="63"/>
        <v>0</v>
      </c>
    </row>
    <row r="382" spans="1:19">
      <c r="A382" s="292"/>
      <c r="B382" s="293"/>
      <c r="C382" s="285">
        <f t="shared" si="64"/>
        <v>1</v>
      </c>
      <c r="D382" s="291"/>
      <c r="E382" s="285">
        <f t="shared" si="65"/>
        <v>1</v>
      </c>
      <c r="F382" s="291"/>
      <c r="G382" s="285">
        <f t="shared" si="66"/>
        <v>1</v>
      </c>
      <c r="H382" s="291"/>
      <c r="I382" s="285">
        <f t="shared" si="67"/>
        <v>1</v>
      </c>
      <c r="J382" s="291"/>
      <c r="K382" s="285">
        <f t="shared" si="68"/>
        <v>1</v>
      </c>
      <c r="L382" s="291"/>
      <c r="M382" s="285">
        <f t="shared" si="69"/>
        <v>1</v>
      </c>
      <c r="N382" s="291"/>
      <c r="O382" s="285">
        <f t="shared" si="70"/>
        <v>1</v>
      </c>
      <c r="P382" s="291"/>
      <c r="Q382" s="285">
        <f t="shared" si="71"/>
        <v>0</v>
      </c>
      <c r="R382" s="341">
        <f t="shared" si="72"/>
        <v>0</v>
      </c>
      <c r="S382" s="284">
        <f t="shared" si="63"/>
        <v>0</v>
      </c>
    </row>
    <row r="383" spans="1:19">
      <c r="A383" s="292"/>
      <c r="B383" s="293"/>
      <c r="C383" s="285">
        <f t="shared" si="64"/>
        <v>1</v>
      </c>
      <c r="D383" s="291"/>
      <c r="E383" s="285">
        <f t="shared" si="65"/>
        <v>1</v>
      </c>
      <c r="F383" s="291"/>
      <c r="G383" s="285">
        <f t="shared" si="66"/>
        <v>1</v>
      </c>
      <c r="H383" s="291"/>
      <c r="I383" s="285">
        <f t="shared" si="67"/>
        <v>1</v>
      </c>
      <c r="J383" s="291"/>
      <c r="K383" s="285">
        <f t="shared" si="68"/>
        <v>1</v>
      </c>
      <c r="L383" s="291"/>
      <c r="M383" s="285">
        <f t="shared" si="69"/>
        <v>1</v>
      </c>
      <c r="N383" s="291"/>
      <c r="O383" s="285">
        <f t="shared" si="70"/>
        <v>1</v>
      </c>
      <c r="P383" s="291"/>
      <c r="Q383" s="285">
        <f t="shared" si="71"/>
        <v>0</v>
      </c>
      <c r="R383" s="341">
        <f t="shared" si="72"/>
        <v>0</v>
      </c>
      <c r="S383" s="284">
        <f t="shared" si="63"/>
        <v>0</v>
      </c>
    </row>
    <row r="384" spans="1:19">
      <c r="A384" s="292"/>
      <c r="B384" s="293"/>
      <c r="C384" s="285">
        <f t="shared" si="64"/>
        <v>1</v>
      </c>
      <c r="D384" s="291"/>
      <c r="E384" s="285">
        <f t="shared" si="65"/>
        <v>1</v>
      </c>
      <c r="F384" s="291"/>
      <c r="G384" s="285">
        <f t="shared" si="66"/>
        <v>1</v>
      </c>
      <c r="H384" s="291"/>
      <c r="I384" s="285">
        <f t="shared" si="67"/>
        <v>1</v>
      </c>
      <c r="J384" s="291"/>
      <c r="K384" s="285">
        <f t="shared" si="68"/>
        <v>1</v>
      </c>
      <c r="L384" s="291"/>
      <c r="M384" s="285">
        <f t="shared" si="69"/>
        <v>1</v>
      </c>
      <c r="N384" s="291"/>
      <c r="O384" s="285">
        <f t="shared" si="70"/>
        <v>1</v>
      </c>
      <c r="P384" s="291"/>
      <c r="Q384" s="285">
        <f t="shared" si="71"/>
        <v>0</v>
      </c>
      <c r="R384" s="341">
        <f t="shared" si="72"/>
        <v>0</v>
      </c>
      <c r="S384" s="284">
        <f t="shared" si="63"/>
        <v>0</v>
      </c>
    </row>
    <row r="385" spans="1:19">
      <c r="A385" s="292"/>
      <c r="B385" s="293"/>
      <c r="C385" s="285">
        <f t="shared" si="64"/>
        <v>1</v>
      </c>
      <c r="D385" s="291"/>
      <c r="E385" s="285">
        <f t="shared" si="65"/>
        <v>1</v>
      </c>
      <c r="F385" s="291"/>
      <c r="G385" s="285">
        <f t="shared" si="66"/>
        <v>1</v>
      </c>
      <c r="H385" s="291"/>
      <c r="I385" s="285">
        <f t="shared" si="67"/>
        <v>1</v>
      </c>
      <c r="J385" s="291"/>
      <c r="K385" s="285">
        <f t="shared" si="68"/>
        <v>1</v>
      </c>
      <c r="L385" s="291"/>
      <c r="M385" s="285">
        <f t="shared" si="69"/>
        <v>1</v>
      </c>
      <c r="N385" s="291"/>
      <c r="O385" s="285">
        <f t="shared" si="70"/>
        <v>1</v>
      </c>
      <c r="P385" s="291"/>
      <c r="Q385" s="285">
        <f t="shared" si="71"/>
        <v>0</v>
      </c>
      <c r="R385" s="341">
        <f t="shared" si="72"/>
        <v>0</v>
      </c>
      <c r="S385" s="284">
        <f t="shared" ref="S385:S422" si="73">ROUND(R385*B385/10000,0)</f>
        <v>0</v>
      </c>
    </row>
    <row r="386" spans="1:19">
      <c r="A386" s="292"/>
      <c r="B386" s="293"/>
      <c r="C386" s="285">
        <f t="shared" si="64"/>
        <v>1</v>
      </c>
      <c r="D386" s="291"/>
      <c r="E386" s="285">
        <f t="shared" si="65"/>
        <v>1</v>
      </c>
      <c r="F386" s="291"/>
      <c r="G386" s="285">
        <f t="shared" si="66"/>
        <v>1</v>
      </c>
      <c r="H386" s="291"/>
      <c r="I386" s="285">
        <f t="shared" si="67"/>
        <v>1</v>
      </c>
      <c r="J386" s="291"/>
      <c r="K386" s="285">
        <f t="shared" si="68"/>
        <v>1</v>
      </c>
      <c r="L386" s="291"/>
      <c r="M386" s="285">
        <f t="shared" si="69"/>
        <v>1</v>
      </c>
      <c r="N386" s="291"/>
      <c r="O386" s="285">
        <f t="shared" si="70"/>
        <v>1</v>
      </c>
      <c r="P386" s="291"/>
      <c r="Q386" s="285">
        <f t="shared" si="71"/>
        <v>0</v>
      </c>
      <c r="R386" s="341">
        <f t="shared" si="72"/>
        <v>0</v>
      </c>
      <c r="S386" s="284">
        <f t="shared" si="73"/>
        <v>0</v>
      </c>
    </row>
    <row r="387" spans="1:19">
      <c r="A387" s="292"/>
      <c r="B387" s="293"/>
      <c r="C387" s="285">
        <f t="shared" si="64"/>
        <v>1</v>
      </c>
      <c r="D387" s="291"/>
      <c r="E387" s="285">
        <f t="shared" si="65"/>
        <v>1</v>
      </c>
      <c r="F387" s="291"/>
      <c r="G387" s="285">
        <f t="shared" si="66"/>
        <v>1</v>
      </c>
      <c r="H387" s="291"/>
      <c r="I387" s="285">
        <f t="shared" si="67"/>
        <v>1</v>
      </c>
      <c r="J387" s="291"/>
      <c r="K387" s="285">
        <f t="shared" si="68"/>
        <v>1</v>
      </c>
      <c r="L387" s="291"/>
      <c r="M387" s="285">
        <f t="shared" si="69"/>
        <v>1</v>
      </c>
      <c r="N387" s="291"/>
      <c r="O387" s="285">
        <f t="shared" si="70"/>
        <v>1</v>
      </c>
      <c r="P387" s="291"/>
      <c r="Q387" s="285">
        <f t="shared" si="71"/>
        <v>0</v>
      </c>
      <c r="R387" s="341">
        <f t="shared" si="72"/>
        <v>0</v>
      </c>
      <c r="S387" s="284">
        <f t="shared" si="73"/>
        <v>0</v>
      </c>
    </row>
    <row r="388" spans="1:19">
      <c r="A388" s="292"/>
      <c r="B388" s="293"/>
      <c r="C388" s="285">
        <f t="shared" si="64"/>
        <v>1</v>
      </c>
      <c r="D388" s="291"/>
      <c r="E388" s="285">
        <f t="shared" si="65"/>
        <v>1</v>
      </c>
      <c r="F388" s="291"/>
      <c r="G388" s="285">
        <f t="shared" si="66"/>
        <v>1</v>
      </c>
      <c r="H388" s="291"/>
      <c r="I388" s="285">
        <f t="shared" si="67"/>
        <v>1</v>
      </c>
      <c r="J388" s="291"/>
      <c r="K388" s="285">
        <f t="shared" si="68"/>
        <v>1</v>
      </c>
      <c r="L388" s="291"/>
      <c r="M388" s="285">
        <f t="shared" si="69"/>
        <v>1</v>
      </c>
      <c r="N388" s="291"/>
      <c r="O388" s="285">
        <f t="shared" si="70"/>
        <v>1</v>
      </c>
      <c r="P388" s="291"/>
      <c r="Q388" s="285">
        <f t="shared" si="71"/>
        <v>0</v>
      </c>
      <c r="R388" s="341">
        <f t="shared" si="72"/>
        <v>0</v>
      </c>
      <c r="S388" s="284">
        <f t="shared" si="73"/>
        <v>0</v>
      </c>
    </row>
    <row r="389" spans="1:19">
      <c r="A389" s="292"/>
      <c r="B389" s="293"/>
      <c r="C389" s="285">
        <f t="shared" si="64"/>
        <v>1</v>
      </c>
      <c r="D389" s="291"/>
      <c r="E389" s="285">
        <f t="shared" si="65"/>
        <v>1</v>
      </c>
      <c r="F389" s="291"/>
      <c r="G389" s="285">
        <f t="shared" si="66"/>
        <v>1</v>
      </c>
      <c r="H389" s="291"/>
      <c r="I389" s="285">
        <f t="shared" si="67"/>
        <v>1</v>
      </c>
      <c r="J389" s="291"/>
      <c r="K389" s="285">
        <f t="shared" si="68"/>
        <v>1</v>
      </c>
      <c r="L389" s="291"/>
      <c r="M389" s="285">
        <f t="shared" si="69"/>
        <v>1</v>
      </c>
      <c r="N389" s="291"/>
      <c r="O389" s="285">
        <f t="shared" si="70"/>
        <v>1</v>
      </c>
      <c r="P389" s="291"/>
      <c r="Q389" s="285">
        <f t="shared" si="71"/>
        <v>0</v>
      </c>
      <c r="R389" s="341">
        <f t="shared" si="72"/>
        <v>0</v>
      </c>
      <c r="S389" s="284">
        <f t="shared" si="73"/>
        <v>0</v>
      </c>
    </row>
    <row r="390" spans="1:19">
      <c r="A390" s="292"/>
      <c r="B390" s="293"/>
      <c r="C390" s="285">
        <f t="shared" si="64"/>
        <v>1</v>
      </c>
      <c r="D390" s="291"/>
      <c r="E390" s="285">
        <f t="shared" si="65"/>
        <v>1</v>
      </c>
      <c r="F390" s="291"/>
      <c r="G390" s="285">
        <f t="shared" si="66"/>
        <v>1</v>
      </c>
      <c r="H390" s="291"/>
      <c r="I390" s="285">
        <f t="shared" si="67"/>
        <v>1</v>
      </c>
      <c r="J390" s="291"/>
      <c r="K390" s="285">
        <f t="shared" si="68"/>
        <v>1</v>
      </c>
      <c r="L390" s="291"/>
      <c r="M390" s="285">
        <f t="shared" si="69"/>
        <v>1</v>
      </c>
      <c r="N390" s="291"/>
      <c r="O390" s="285">
        <f t="shared" si="70"/>
        <v>1</v>
      </c>
      <c r="P390" s="291"/>
      <c r="Q390" s="285">
        <f t="shared" si="71"/>
        <v>0</v>
      </c>
      <c r="R390" s="341">
        <f t="shared" si="72"/>
        <v>0</v>
      </c>
      <c r="S390" s="284">
        <f t="shared" si="73"/>
        <v>0</v>
      </c>
    </row>
    <row r="391" spans="1:19">
      <c r="A391" s="292"/>
      <c r="B391" s="293"/>
      <c r="C391" s="285">
        <f t="shared" si="64"/>
        <v>1</v>
      </c>
      <c r="D391" s="291"/>
      <c r="E391" s="285">
        <f t="shared" si="65"/>
        <v>1</v>
      </c>
      <c r="F391" s="291"/>
      <c r="G391" s="285">
        <f t="shared" si="66"/>
        <v>1</v>
      </c>
      <c r="H391" s="291"/>
      <c r="I391" s="285">
        <f t="shared" si="67"/>
        <v>1</v>
      </c>
      <c r="J391" s="291"/>
      <c r="K391" s="285">
        <f t="shared" si="68"/>
        <v>1</v>
      </c>
      <c r="L391" s="291"/>
      <c r="M391" s="285">
        <f t="shared" si="69"/>
        <v>1</v>
      </c>
      <c r="N391" s="291"/>
      <c r="O391" s="285">
        <f t="shared" si="70"/>
        <v>1</v>
      </c>
      <c r="P391" s="291"/>
      <c r="Q391" s="285">
        <f t="shared" si="71"/>
        <v>0</v>
      </c>
      <c r="R391" s="341">
        <f t="shared" si="72"/>
        <v>0</v>
      </c>
      <c r="S391" s="284">
        <f t="shared" si="73"/>
        <v>0</v>
      </c>
    </row>
    <row r="392" spans="1:19">
      <c r="A392" s="292"/>
      <c r="B392" s="293"/>
      <c r="C392" s="285">
        <f t="shared" si="64"/>
        <v>1</v>
      </c>
      <c r="D392" s="291"/>
      <c r="E392" s="285">
        <f t="shared" si="65"/>
        <v>1</v>
      </c>
      <c r="F392" s="291"/>
      <c r="G392" s="285">
        <f t="shared" si="66"/>
        <v>1</v>
      </c>
      <c r="H392" s="291"/>
      <c r="I392" s="285">
        <f t="shared" si="67"/>
        <v>1</v>
      </c>
      <c r="J392" s="291"/>
      <c r="K392" s="285">
        <f t="shared" si="68"/>
        <v>1</v>
      </c>
      <c r="L392" s="291"/>
      <c r="M392" s="285">
        <f t="shared" si="69"/>
        <v>1</v>
      </c>
      <c r="N392" s="291"/>
      <c r="O392" s="285">
        <f t="shared" si="70"/>
        <v>1</v>
      </c>
      <c r="P392" s="291"/>
      <c r="Q392" s="285">
        <f t="shared" si="71"/>
        <v>0</v>
      </c>
      <c r="R392" s="341">
        <f t="shared" si="72"/>
        <v>0</v>
      </c>
      <c r="S392" s="284">
        <f t="shared" si="73"/>
        <v>0</v>
      </c>
    </row>
    <row r="393" spans="1:19">
      <c r="A393" s="292"/>
      <c r="B393" s="293"/>
      <c r="C393" s="285">
        <f t="shared" si="64"/>
        <v>1</v>
      </c>
      <c r="D393" s="291"/>
      <c r="E393" s="285">
        <f t="shared" si="65"/>
        <v>1</v>
      </c>
      <c r="F393" s="291"/>
      <c r="G393" s="285">
        <f t="shared" si="66"/>
        <v>1</v>
      </c>
      <c r="H393" s="291"/>
      <c r="I393" s="285">
        <f t="shared" si="67"/>
        <v>1</v>
      </c>
      <c r="J393" s="291"/>
      <c r="K393" s="285">
        <f t="shared" si="68"/>
        <v>1</v>
      </c>
      <c r="L393" s="291"/>
      <c r="M393" s="285">
        <f t="shared" si="69"/>
        <v>1</v>
      </c>
      <c r="N393" s="291"/>
      <c r="O393" s="285">
        <f t="shared" si="70"/>
        <v>1</v>
      </c>
      <c r="P393" s="291"/>
      <c r="Q393" s="285">
        <f t="shared" si="71"/>
        <v>0</v>
      </c>
      <c r="R393" s="341">
        <f t="shared" si="72"/>
        <v>0</v>
      </c>
      <c r="S393" s="284">
        <f t="shared" si="73"/>
        <v>0</v>
      </c>
    </row>
    <row r="394" spans="1:19">
      <c r="A394" s="292"/>
      <c r="B394" s="293"/>
      <c r="C394" s="285">
        <f t="shared" si="64"/>
        <v>1</v>
      </c>
      <c r="D394" s="291"/>
      <c r="E394" s="285">
        <f t="shared" si="65"/>
        <v>1</v>
      </c>
      <c r="F394" s="291"/>
      <c r="G394" s="285">
        <f t="shared" si="66"/>
        <v>1</v>
      </c>
      <c r="H394" s="291"/>
      <c r="I394" s="285">
        <f t="shared" si="67"/>
        <v>1</v>
      </c>
      <c r="J394" s="291"/>
      <c r="K394" s="285">
        <f t="shared" si="68"/>
        <v>1</v>
      </c>
      <c r="L394" s="291"/>
      <c r="M394" s="285">
        <f t="shared" si="69"/>
        <v>1</v>
      </c>
      <c r="N394" s="291"/>
      <c r="O394" s="285">
        <f t="shared" si="70"/>
        <v>1</v>
      </c>
      <c r="P394" s="291"/>
      <c r="Q394" s="285">
        <f t="shared" si="71"/>
        <v>0</v>
      </c>
      <c r="R394" s="341">
        <f t="shared" si="72"/>
        <v>0</v>
      </c>
      <c r="S394" s="284">
        <f t="shared" si="73"/>
        <v>0</v>
      </c>
    </row>
    <row r="395" spans="1:19">
      <c r="A395" s="292"/>
      <c r="B395" s="293"/>
      <c r="C395" s="285">
        <f t="shared" si="64"/>
        <v>1</v>
      </c>
      <c r="D395" s="291"/>
      <c r="E395" s="285">
        <f t="shared" si="65"/>
        <v>1</v>
      </c>
      <c r="F395" s="291"/>
      <c r="G395" s="285">
        <f t="shared" si="66"/>
        <v>1</v>
      </c>
      <c r="H395" s="291"/>
      <c r="I395" s="285">
        <f t="shared" si="67"/>
        <v>1</v>
      </c>
      <c r="J395" s="291"/>
      <c r="K395" s="285">
        <f t="shared" si="68"/>
        <v>1</v>
      </c>
      <c r="L395" s="291"/>
      <c r="M395" s="285">
        <f t="shared" si="69"/>
        <v>1</v>
      </c>
      <c r="N395" s="291"/>
      <c r="O395" s="285">
        <f t="shared" si="70"/>
        <v>1</v>
      </c>
      <c r="P395" s="291"/>
      <c r="Q395" s="285">
        <f t="shared" si="71"/>
        <v>0</v>
      </c>
      <c r="R395" s="341">
        <f t="shared" si="72"/>
        <v>0</v>
      </c>
      <c r="S395" s="284">
        <f t="shared" si="73"/>
        <v>0</v>
      </c>
    </row>
    <row r="396" spans="1:19">
      <c r="A396" s="292"/>
      <c r="B396" s="293"/>
      <c r="C396" s="285">
        <f t="shared" si="64"/>
        <v>1</v>
      </c>
      <c r="D396" s="291"/>
      <c r="E396" s="285">
        <f t="shared" si="65"/>
        <v>1</v>
      </c>
      <c r="F396" s="291"/>
      <c r="G396" s="285">
        <f t="shared" si="66"/>
        <v>1</v>
      </c>
      <c r="H396" s="291"/>
      <c r="I396" s="285">
        <f t="shared" si="67"/>
        <v>1</v>
      </c>
      <c r="J396" s="291"/>
      <c r="K396" s="285">
        <f t="shared" si="68"/>
        <v>1</v>
      </c>
      <c r="L396" s="291"/>
      <c r="M396" s="285">
        <f t="shared" si="69"/>
        <v>1</v>
      </c>
      <c r="N396" s="291"/>
      <c r="O396" s="285">
        <f t="shared" si="70"/>
        <v>1</v>
      </c>
      <c r="P396" s="291"/>
      <c r="Q396" s="285">
        <f t="shared" si="71"/>
        <v>0</v>
      </c>
      <c r="R396" s="341">
        <f t="shared" si="72"/>
        <v>0</v>
      </c>
      <c r="S396" s="284">
        <f t="shared" si="73"/>
        <v>0</v>
      </c>
    </row>
    <row r="397" spans="1:19">
      <c r="A397" s="292"/>
      <c r="B397" s="293"/>
      <c r="C397" s="285">
        <f t="shared" si="64"/>
        <v>1</v>
      </c>
      <c r="D397" s="291"/>
      <c r="E397" s="285">
        <f t="shared" si="65"/>
        <v>1</v>
      </c>
      <c r="F397" s="291"/>
      <c r="G397" s="285">
        <f t="shared" si="66"/>
        <v>1</v>
      </c>
      <c r="H397" s="291"/>
      <c r="I397" s="285">
        <f t="shared" si="67"/>
        <v>1</v>
      </c>
      <c r="J397" s="291"/>
      <c r="K397" s="285">
        <f t="shared" si="68"/>
        <v>1</v>
      </c>
      <c r="L397" s="291"/>
      <c r="M397" s="285">
        <f t="shared" si="69"/>
        <v>1</v>
      </c>
      <c r="N397" s="291"/>
      <c r="O397" s="285">
        <f t="shared" si="70"/>
        <v>1</v>
      </c>
      <c r="P397" s="291"/>
      <c r="Q397" s="285">
        <f t="shared" si="71"/>
        <v>0</v>
      </c>
      <c r="R397" s="341">
        <f t="shared" si="72"/>
        <v>0</v>
      </c>
      <c r="S397" s="284">
        <f t="shared" si="73"/>
        <v>0</v>
      </c>
    </row>
    <row r="398" spans="1:19">
      <c r="A398" s="292"/>
      <c r="B398" s="293"/>
      <c r="C398" s="285">
        <f t="shared" si="64"/>
        <v>1</v>
      </c>
      <c r="D398" s="291"/>
      <c r="E398" s="285">
        <f t="shared" si="65"/>
        <v>1</v>
      </c>
      <c r="F398" s="291"/>
      <c r="G398" s="285">
        <f t="shared" si="66"/>
        <v>1</v>
      </c>
      <c r="H398" s="291"/>
      <c r="I398" s="285">
        <f t="shared" si="67"/>
        <v>1</v>
      </c>
      <c r="J398" s="291"/>
      <c r="K398" s="285">
        <f t="shared" si="68"/>
        <v>1</v>
      </c>
      <c r="L398" s="291"/>
      <c r="M398" s="285">
        <f t="shared" si="69"/>
        <v>1</v>
      </c>
      <c r="N398" s="291"/>
      <c r="O398" s="285">
        <f t="shared" si="70"/>
        <v>1</v>
      </c>
      <c r="P398" s="291"/>
      <c r="Q398" s="285">
        <f t="shared" si="71"/>
        <v>0</v>
      </c>
      <c r="R398" s="341">
        <f t="shared" si="72"/>
        <v>0</v>
      </c>
      <c r="S398" s="284">
        <f t="shared" si="73"/>
        <v>0</v>
      </c>
    </row>
    <row r="399" spans="1:19">
      <c r="A399" s="292"/>
      <c r="B399" s="293"/>
      <c r="C399" s="285">
        <f t="shared" si="64"/>
        <v>1</v>
      </c>
      <c r="D399" s="291"/>
      <c r="E399" s="285">
        <f t="shared" si="65"/>
        <v>1</v>
      </c>
      <c r="F399" s="291"/>
      <c r="G399" s="285">
        <f t="shared" si="66"/>
        <v>1</v>
      </c>
      <c r="H399" s="291"/>
      <c r="I399" s="285">
        <f t="shared" si="67"/>
        <v>1</v>
      </c>
      <c r="J399" s="291"/>
      <c r="K399" s="285">
        <f t="shared" si="68"/>
        <v>1</v>
      </c>
      <c r="L399" s="291"/>
      <c r="M399" s="285">
        <f t="shared" si="69"/>
        <v>1</v>
      </c>
      <c r="N399" s="291"/>
      <c r="O399" s="285">
        <f t="shared" si="70"/>
        <v>1</v>
      </c>
      <c r="P399" s="291"/>
      <c r="Q399" s="285">
        <f t="shared" si="71"/>
        <v>0</v>
      </c>
      <c r="R399" s="341">
        <f t="shared" si="72"/>
        <v>0</v>
      </c>
      <c r="S399" s="284">
        <f t="shared" si="73"/>
        <v>0</v>
      </c>
    </row>
    <row r="400" spans="1:19">
      <c r="A400" s="292"/>
      <c r="B400" s="293"/>
      <c r="C400" s="285">
        <f t="shared" si="64"/>
        <v>1</v>
      </c>
      <c r="D400" s="291"/>
      <c r="E400" s="285">
        <f t="shared" si="65"/>
        <v>1</v>
      </c>
      <c r="F400" s="291"/>
      <c r="G400" s="285">
        <f t="shared" si="66"/>
        <v>1</v>
      </c>
      <c r="H400" s="291"/>
      <c r="I400" s="285">
        <f t="shared" si="67"/>
        <v>1</v>
      </c>
      <c r="J400" s="291"/>
      <c r="K400" s="285">
        <f t="shared" si="68"/>
        <v>1</v>
      </c>
      <c r="L400" s="291"/>
      <c r="M400" s="285">
        <f t="shared" si="69"/>
        <v>1</v>
      </c>
      <c r="N400" s="291"/>
      <c r="O400" s="285">
        <f t="shared" si="70"/>
        <v>1</v>
      </c>
      <c r="P400" s="291"/>
      <c r="Q400" s="285">
        <f t="shared" si="71"/>
        <v>0</v>
      </c>
      <c r="R400" s="341">
        <f t="shared" si="72"/>
        <v>0</v>
      </c>
      <c r="S400" s="284">
        <f t="shared" si="73"/>
        <v>0</v>
      </c>
    </row>
    <row r="401" spans="1:19">
      <c r="A401" s="292"/>
      <c r="B401" s="293"/>
      <c r="C401" s="285">
        <f t="shared" si="64"/>
        <v>1</v>
      </c>
      <c r="D401" s="291"/>
      <c r="E401" s="285">
        <f t="shared" si="65"/>
        <v>1</v>
      </c>
      <c r="F401" s="291"/>
      <c r="G401" s="285">
        <f t="shared" si="66"/>
        <v>1</v>
      </c>
      <c r="H401" s="291"/>
      <c r="I401" s="285">
        <f t="shared" si="67"/>
        <v>1</v>
      </c>
      <c r="J401" s="291"/>
      <c r="K401" s="285">
        <f t="shared" si="68"/>
        <v>1</v>
      </c>
      <c r="L401" s="291"/>
      <c r="M401" s="285">
        <f t="shared" si="69"/>
        <v>1</v>
      </c>
      <c r="N401" s="291"/>
      <c r="O401" s="285">
        <f t="shared" si="70"/>
        <v>1</v>
      </c>
      <c r="P401" s="291"/>
      <c r="Q401" s="285">
        <f t="shared" si="71"/>
        <v>0</v>
      </c>
      <c r="R401" s="341">
        <f t="shared" si="72"/>
        <v>0</v>
      </c>
      <c r="S401" s="284">
        <f t="shared" si="73"/>
        <v>0</v>
      </c>
    </row>
    <row r="402" spans="1:19">
      <c r="A402" s="292"/>
      <c r="B402" s="293"/>
      <c r="C402" s="285">
        <f t="shared" si="64"/>
        <v>1</v>
      </c>
      <c r="D402" s="291"/>
      <c r="E402" s="285">
        <f t="shared" si="65"/>
        <v>1</v>
      </c>
      <c r="F402" s="291"/>
      <c r="G402" s="285">
        <f t="shared" si="66"/>
        <v>1</v>
      </c>
      <c r="H402" s="291"/>
      <c r="I402" s="285">
        <f t="shared" si="67"/>
        <v>1</v>
      </c>
      <c r="J402" s="291"/>
      <c r="K402" s="285">
        <f t="shared" si="68"/>
        <v>1</v>
      </c>
      <c r="L402" s="291"/>
      <c r="M402" s="285">
        <f t="shared" si="69"/>
        <v>1</v>
      </c>
      <c r="N402" s="291"/>
      <c r="O402" s="285">
        <f t="shared" si="70"/>
        <v>1</v>
      </c>
      <c r="P402" s="291"/>
      <c r="Q402" s="285">
        <f t="shared" si="71"/>
        <v>0</v>
      </c>
      <c r="R402" s="341">
        <f t="shared" si="72"/>
        <v>0</v>
      </c>
      <c r="S402" s="284">
        <f t="shared" si="73"/>
        <v>0</v>
      </c>
    </row>
    <row r="403" spans="1:19">
      <c r="A403" s="292"/>
      <c r="B403" s="293"/>
      <c r="C403" s="285">
        <f t="shared" si="64"/>
        <v>1</v>
      </c>
      <c r="D403" s="291"/>
      <c r="E403" s="285">
        <f t="shared" si="65"/>
        <v>1</v>
      </c>
      <c r="F403" s="291"/>
      <c r="G403" s="285">
        <f t="shared" si="66"/>
        <v>1</v>
      </c>
      <c r="H403" s="291"/>
      <c r="I403" s="285">
        <f t="shared" si="67"/>
        <v>1</v>
      </c>
      <c r="J403" s="291"/>
      <c r="K403" s="285">
        <f t="shared" si="68"/>
        <v>1</v>
      </c>
      <c r="L403" s="291"/>
      <c r="M403" s="285">
        <f t="shared" si="69"/>
        <v>1</v>
      </c>
      <c r="N403" s="291"/>
      <c r="O403" s="285">
        <f t="shared" si="70"/>
        <v>1</v>
      </c>
      <c r="P403" s="291"/>
      <c r="Q403" s="285">
        <f t="shared" si="71"/>
        <v>0</v>
      </c>
      <c r="R403" s="341">
        <f t="shared" si="72"/>
        <v>0</v>
      </c>
      <c r="S403" s="284">
        <f t="shared" si="73"/>
        <v>0</v>
      </c>
    </row>
    <row r="404" spans="1:19">
      <c r="A404" s="292"/>
      <c r="B404" s="293"/>
      <c r="C404" s="285">
        <f t="shared" si="64"/>
        <v>1</v>
      </c>
      <c r="D404" s="291"/>
      <c r="E404" s="285">
        <f t="shared" si="65"/>
        <v>1</v>
      </c>
      <c r="F404" s="291"/>
      <c r="G404" s="285">
        <f t="shared" si="66"/>
        <v>1</v>
      </c>
      <c r="H404" s="291"/>
      <c r="I404" s="285">
        <f t="shared" si="67"/>
        <v>1</v>
      </c>
      <c r="J404" s="291"/>
      <c r="K404" s="285">
        <f t="shared" si="68"/>
        <v>1</v>
      </c>
      <c r="L404" s="291"/>
      <c r="M404" s="285">
        <f t="shared" si="69"/>
        <v>1</v>
      </c>
      <c r="N404" s="291"/>
      <c r="O404" s="285">
        <f t="shared" si="70"/>
        <v>1</v>
      </c>
      <c r="P404" s="291"/>
      <c r="Q404" s="285">
        <f t="shared" si="71"/>
        <v>0</v>
      </c>
      <c r="R404" s="341">
        <f t="shared" si="72"/>
        <v>0</v>
      </c>
      <c r="S404" s="284">
        <f t="shared" si="73"/>
        <v>0</v>
      </c>
    </row>
    <row r="405" spans="1:19">
      <c r="A405" s="292"/>
      <c r="B405" s="293"/>
      <c r="C405" s="285">
        <f t="shared" si="64"/>
        <v>1</v>
      </c>
      <c r="D405" s="291"/>
      <c r="E405" s="285">
        <f t="shared" si="65"/>
        <v>1</v>
      </c>
      <c r="F405" s="291"/>
      <c r="G405" s="285">
        <f t="shared" si="66"/>
        <v>1</v>
      </c>
      <c r="H405" s="291"/>
      <c r="I405" s="285">
        <f t="shared" si="67"/>
        <v>1</v>
      </c>
      <c r="J405" s="291"/>
      <c r="K405" s="285">
        <f t="shared" si="68"/>
        <v>1</v>
      </c>
      <c r="L405" s="291"/>
      <c r="M405" s="285">
        <f t="shared" si="69"/>
        <v>1</v>
      </c>
      <c r="N405" s="291"/>
      <c r="O405" s="285">
        <f t="shared" si="70"/>
        <v>1</v>
      </c>
      <c r="P405" s="291"/>
      <c r="Q405" s="285">
        <f t="shared" si="71"/>
        <v>0</v>
      </c>
      <c r="R405" s="341">
        <f t="shared" si="72"/>
        <v>0</v>
      </c>
      <c r="S405" s="284">
        <f t="shared" si="73"/>
        <v>0</v>
      </c>
    </row>
    <row r="406" spans="1:19">
      <c r="A406" s="292"/>
      <c r="B406" s="293"/>
      <c r="C406" s="285">
        <f t="shared" si="64"/>
        <v>1</v>
      </c>
      <c r="D406" s="291"/>
      <c r="E406" s="285">
        <f t="shared" si="65"/>
        <v>1</v>
      </c>
      <c r="F406" s="291"/>
      <c r="G406" s="285">
        <f t="shared" si="66"/>
        <v>1</v>
      </c>
      <c r="H406" s="291"/>
      <c r="I406" s="285">
        <f t="shared" si="67"/>
        <v>1</v>
      </c>
      <c r="J406" s="291"/>
      <c r="K406" s="285">
        <f t="shared" si="68"/>
        <v>1</v>
      </c>
      <c r="L406" s="291"/>
      <c r="M406" s="285">
        <f t="shared" si="69"/>
        <v>1</v>
      </c>
      <c r="N406" s="291"/>
      <c r="O406" s="285">
        <f t="shared" si="70"/>
        <v>1</v>
      </c>
      <c r="P406" s="291"/>
      <c r="Q406" s="285">
        <f t="shared" si="71"/>
        <v>0</v>
      </c>
      <c r="R406" s="341">
        <f t="shared" si="72"/>
        <v>0</v>
      </c>
      <c r="S406" s="284">
        <f t="shared" si="73"/>
        <v>0</v>
      </c>
    </row>
    <row r="407" spans="1:19">
      <c r="A407" s="292"/>
      <c r="B407" s="293"/>
      <c r="C407" s="285">
        <f t="shared" si="64"/>
        <v>1</v>
      </c>
      <c r="D407" s="291"/>
      <c r="E407" s="285">
        <f t="shared" si="65"/>
        <v>1</v>
      </c>
      <c r="F407" s="291"/>
      <c r="G407" s="285">
        <f t="shared" si="66"/>
        <v>1</v>
      </c>
      <c r="H407" s="291"/>
      <c r="I407" s="285">
        <f t="shared" si="67"/>
        <v>1</v>
      </c>
      <c r="J407" s="291"/>
      <c r="K407" s="285">
        <f t="shared" si="68"/>
        <v>1</v>
      </c>
      <c r="L407" s="291"/>
      <c r="M407" s="285">
        <f t="shared" si="69"/>
        <v>1</v>
      </c>
      <c r="N407" s="291"/>
      <c r="O407" s="285">
        <f t="shared" si="70"/>
        <v>1</v>
      </c>
      <c r="P407" s="291"/>
      <c r="Q407" s="285">
        <f t="shared" si="71"/>
        <v>0</v>
      </c>
      <c r="R407" s="341">
        <f t="shared" si="72"/>
        <v>0</v>
      </c>
      <c r="S407" s="284">
        <f t="shared" si="73"/>
        <v>0</v>
      </c>
    </row>
    <row r="408" spans="1:19">
      <c r="A408" s="292"/>
      <c r="B408" s="293"/>
      <c r="C408" s="285">
        <f t="shared" si="64"/>
        <v>1</v>
      </c>
      <c r="D408" s="291"/>
      <c r="E408" s="285">
        <f t="shared" si="65"/>
        <v>1</v>
      </c>
      <c r="F408" s="291"/>
      <c r="G408" s="285">
        <f t="shared" si="66"/>
        <v>1</v>
      </c>
      <c r="H408" s="291"/>
      <c r="I408" s="285">
        <f t="shared" si="67"/>
        <v>1</v>
      </c>
      <c r="J408" s="291"/>
      <c r="K408" s="285">
        <f t="shared" si="68"/>
        <v>1</v>
      </c>
      <c r="L408" s="291"/>
      <c r="M408" s="285">
        <f t="shared" si="69"/>
        <v>1</v>
      </c>
      <c r="N408" s="291"/>
      <c r="O408" s="285">
        <f t="shared" si="70"/>
        <v>1</v>
      </c>
      <c r="P408" s="291"/>
      <c r="Q408" s="285">
        <f t="shared" si="71"/>
        <v>0</v>
      </c>
      <c r="R408" s="341">
        <f t="shared" si="72"/>
        <v>0</v>
      </c>
      <c r="S408" s="284">
        <f t="shared" si="73"/>
        <v>0</v>
      </c>
    </row>
    <row r="409" spans="1:19">
      <c r="A409" s="292"/>
      <c r="B409" s="293"/>
      <c r="C409" s="285">
        <f t="shared" si="64"/>
        <v>1</v>
      </c>
      <c r="D409" s="291"/>
      <c r="E409" s="285">
        <f t="shared" si="65"/>
        <v>1</v>
      </c>
      <c r="F409" s="291"/>
      <c r="G409" s="285">
        <f t="shared" si="66"/>
        <v>1</v>
      </c>
      <c r="H409" s="291"/>
      <c r="I409" s="285">
        <f t="shared" si="67"/>
        <v>1</v>
      </c>
      <c r="J409" s="291"/>
      <c r="K409" s="285">
        <f t="shared" si="68"/>
        <v>1</v>
      </c>
      <c r="L409" s="291"/>
      <c r="M409" s="285">
        <f t="shared" si="69"/>
        <v>1</v>
      </c>
      <c r="N409" s="291"/>
      <c r="O409" s="285">
        <f t="shared" si="70"/>
        <v>1</v>
      </c>
      <c r="P409" s="291"/>
      <c r="Q409" s="285">
        <f t="shared" si="71"/>
        <v>0</v>
      </c>
      <c r="R409" s="341">
        <f t="shared" si="72"/>
        <v>0</v>
      </c>
      <c r="S409" s="284">
        <f t="shared" si="73"/>
        <v>0</v>
      </c>
    </row>
    <row r="410" spans="1:19">
      <c r="A410" s="292"/>
      <c r="B410" s="293"/>
      <c r="C410" s="285">
        <f t="shared" ref="C410:C473" si="74">IF(B410="",1,(LOOKUP(B410,$3:$3,$4:$4)-LOOKUP($B$24,$3:$3,$4:$4)+100)/100)</f>
        <v>1</v>
      </c>
      <c r="D410" s="291"/>
      <c r="E410" s="285">
        <f t="shared" ref="E410:E473" si="75">(SUMIF($5:$5,D410,$6:$6)-SUMIF($5:$5,$D$24,$6:$6)+100)/100</f>
        <v>1</v>
      </c>
      <c r="F410" s="291"/>
      <c r="G410" s="285">
        <f t="shared" ref="G410:G473" si="76">(SUMIF($7:$7,F410,$8:$8)-SUMIF($7:$7,$F$24,$8:$8)+100)/100</f>
        <v>1</v>
      </c>
      <c r="H410" s="291"/>
      <c r="I410" s="285">
        <f t="shared" ref="I410:I473" si="77">(SUMIF($9:$9,H410,$10:$10)-SUMIF($9:$9,$H$24,$10:$10)+100)/100</f>
        <v>1</v>
      </c>
      <c r="J410" s="291"/>
      <c r="K410" s="285">
        <f t="shared" ref="K410:K473" si="78">(SUMIF($11:$11,J410,$12:$12)-SUMIF($11:$11,$J$24,$12:$12)+100)/100</f>
        <v>1</v>
      </c>
      <c r="L410" s="291"/>
      <c r="M410" s="285">
        <f t="shared" ref="M410:M473" si="79">(SUMIF($13:$13,L410,$14:$14)-SUMIF($13:$13,$L$24,$14:$14)+100)/100</f>
        <v>1</v>
      </c>
      <c r="N410" s="291"/>
      <c r="O410" s="285">
        <f t="shared" ref="O410:O473" si="80">(SUMIF($15:$15,N410,$16:$16)-SUMIF($15:$15,$N$24,$16:$16)+100)/100</f>
        <v>1</v>
      </c>
      <c r="P410" s="291"/>
      <c r="Q410" s="285">
        <f t="shared" ref="Q410:Q473" si="81">(SUMIF($17:$17,P410,$18:$18)-SUMIF($17:$17,$P$24,$18:$18)+100)/100</f>
        <v>0</v>
      </c>
      <c r="R410" s="341">
        <f t="shared" ref="R410:R473" si="82">IF(B410="",0,ROUND($R$24*C410*E410*G410*I410*K410*M410*O410*Q410,0))</f>
        <v>0</v>
      </c>
      <c r="S410" s="284">
        <f t="shared" si="73"/>
        <v>0</v>
      </c>
    </row>
    <row r="411" spans="1:19">
      <c r="A411" s="292"/>
      <c r="B411" s="293"/>
      <c r="C411" s="285">
        <f t="shared" si="74"/>
        <v>1</v>
      </c>
      <c r="D411" s="291"/>
      <c r="E411" s="285">
        <f t="shared" si="75"/>
        <v>1</v>
      </c>
      <c r="F411" s="291"/>
      <c r="G411" s="285">
        <f t="shared" si="76"/>
        <v>1</v>
      </c>
      <c r="H411" s="291"/>
      <c r="I411" s="285">
        <f t="shared" si="77"/>
        <v>1</v>
      </c>
      <c r="J411" s="291"/>
      <c r="K411" s="285">
        <f t="shared" si="78"/>
        <v>1</v>
      </c>
      <c r="L411" s="291"/>
      <c r="M411" s="285">
        <f t="shared" si="79"/>
        <v>1</v>
      </c>
      <c r="N411" s="291"/>
      <c r="O411" s="285">
        <f t="shared" si="80"/>
        <v>1</v>
      </c>
      <c r="P411" s="291"/>
      <c r="Q411" s="285">
        <f t="shared" si="81"/>
        <v>0</v>
      </c>
      <c r="R411" s="341">
        <f t="shared" si="82"/>
        <v>0</v>
      </c>
      <c r="S411" s="284">
        <f t="shared" si="73"/>
        <v>0</v>
      </c>
    </row>
    <row r="412" spans="1:19">
      <c r="A412" s="292"/>
      <c r="B412" s="293"/>
      <c r="C412" s="285">
        <f t="shared" si="74"/>
        <v>1</v>
      </c>
      <c r="D412" s="291"/>
      <c r="E412" s="285">
        <f t="shared" si="75"/>
        <v>1</v>
      </c>
      <c r="F412" s="291"/>
      <c r="G412" s="285">
        <f t="shared" si="76"/>
        <v>1</v>
      </c>
      <c r="H412" s="291"/>
      <c r="I412" s="285">
        <f t="shared" si="77"/>
        <v>1</v>
      </c>
      <c r="J412" s="291"/>
      <c r="K412" s="285">
        <f t="shared" si="78"/>
        <v>1</v>
      </c>
      <c r="L412" s="291"/>
      <c r="M412" s="285">
        <f t="shared" si="79"/>
        <v>1</v>
      </c>
      <c r="N412" s="291"/>
      <c r="O412" s="285">
        <f t="shared" si="80"/>
        <v>1</v>
      </c>
      <c r="P412" s="291"/>
      <c r="Q412" s="285">
        <f t="shared" si="81"/>
        <v>0</v>
      </c>
      <c r="R412" s="341">
        <f t="shared" si="82"/>
        <v>0</v>
      </c>
      <c r="S412" s="284">
        <f t="shared" si="73"/>
        <v>0</v>
      </c>
    </row>
    <row r="413" spans="1:19">
      <c r="A413" s="292"/>
      <c r="B413" s="293"/>
      <c r="C413" s="285">
        <f t="shared" si="74"/>
        <v>1</v>
      </c>
      <c r="D413" s="291"/>
      <c r="E413" s="285">
        <f t="shared" si="75"/>
        <v>1</v>
      </c>
      <c r="F413" s="291"/>
      <c r="G413" s="285">
        <f t="shared" si="76"/>
        <v>1</v>
      </c>
      <c r="H413" s="291"/>
      <c r="I413" s="285">
        <f t="shared" si="77"/>
        <v>1</v>
      </c>
      <c r="J413" s="291"/>
      <c r="K413" s="285">
        <f t="shared" si="78"/>
        <v>1</v>
      </c>
      <c r="L413" s="291"/>
      <c r="M413" s="285">
        <f t="shared" si="79"/>
        <v>1</v>
      </c>
      <c r="N413" s="291"/>
      <c r="O413" s="285">
        <f t="shared" si="80"/>
        <v>1</v>
      </c>
      <c r="P413" s="291"/>
      <c r="Q413" s="285">
        <f t="shared" si="81"/>
        <v>0</v>
      </c>
      <c r="R413" s="341">
        <f t="shared" si="82"/>
        <v>0</v>
      </c>
      <c r="S413" s="284">
        <f t="shared" si="73"/>
        <v>0</v>
      </c>
    </row>
    <row r="414" spans="1:19">
      <c r="A414" s="292"/>
      <c r="B414" s="293"/>
      <c r="C414" s="285">
        <f t="shared" si="74"/>
        <v>1</v>
      </c>
      <c r="D414" s="291"/>
      <c r="E414" s="285">
        <f t="shared" si="75"/>
        <v>1</v>
      </c>
      <c r="F414" s="291"/>
      <c r="G414" s="285">
        <f t="shared" si="76"/>
        <v>1</v>
      </c>
      <c r="H414" s="291"/>
      <c r="I414" s="285">
        <f t="shared" si="77"/>
        <v>1</v>
      </c>
      <c r="J414" s="291"/>
      <c r="K414" s="285">
        <f t="shared" si="78"/>
        <v>1</v>
      </c>
      <c r="L414" s="291"/>
      <c r="M414" s="285">
        <f t="shared" si="79"/>
        <v>1</v>
      </c>
      <c r="N414" s="291"/>
      <c r="O414" s="285">
        <f t="shared" si="80"/>
        <v>1</v>
      </c>
      <c r="P414" s="291"/>
      <c r="Q414" s="285">
        <f t="shared" si="81"/>
        <v>0</v>
      </c>
      <c r="R414" s="341">
        <f t="shared" si="82"/>
        <v>0</v>
      </c>
      <c r="S414" s="284">
        <f t="shared" si="73"/>
        <v>0</v>
      </c>
    </row>
    <row r="415" spans="1:19">
      <c r="A415" s="292"/>
      <c r="B415" s="293"/>
      <c r="C415" s="285">
        <f t="shared" si="74"/>
        <v>1</v>
      </c>
      <c r="D415" s="291"/>
      <c r="E415" s="285">
        <f t="shared" si="75"/>
        <v>1</v>
      </c>
      <c r="F415" s="291"/>
      <c r="G415" s="285">
        <f t="shared" si="76"/>
        <v>1</v>
      </c>
      <c r="H415" s="291"/>
      <c r="I415" s="285">
        <f t="shared" si="77"/>
        <v>1</v>
      </c>
      <c r="J415" s="291"/>
      <c r="K415" s="285">
        <f t="shared" si="78"/>
        <v>1</v>
      </c>
      <c r="L415" s="291"/>
      <c r="M415" s="285">
        <f t="shared" si="79"/>
        <v>1</v>
      </c>
      <c r="N415" s="291"/>
      <c r="O415" s="285">
        <f t="shared" si="80"/>
        <v>1</v>
      </c>
      <c r="P415" s="291"/>
      <c r="Q415" s="285">
        <f t="shared" si="81"/>
        <v>0</v>
      </c>
      <c r="R415" s="341">
        <f t="shared" si="82"/>
        <v>0</v>
      </c>
      <c r="S415" s="284">
        <f t="shared" si="73"/>
        <v>0</v>
      </c>
    </row>
    <row r="416" spans="1:19">
      <c r="A416" s="292"/>
      <c r="B416" s="293"/>
      <c r="C416" s="285">
        <f t="shared" si="74"/>
        <v>1</v>
      </c>
      <c r="D416" s="291"/>
      <c r="E416" s="285">
        <f t="shared" si="75"/>
        <v>1</v>
      </c>
      <c r="F416" s="291"/>
      <c r="G416" s="285">
        <f t="shared" si="76"/>
        <v>1</v>
      </c>
      <c r="H416" s="291"/>
      <c r="I416" s="285">
        <f t="shared" si="77"/>
        <v>1</v>
      </c>
      <c r="J416" s="291"/>
      <c r="K416" s="285">
        <f t="shared" si="78"/>
        <v>1</v>
      </c>
      <c r="L416" s="291"/>
      <c r="M416" s="285">
        <f t="shared" si="79"/>
        <v>1</v>
      </c>
      <c r="N416" s="291"/>
      <c r="O416" s="285">
        <f t="shared" si="80"/>
        <v>1</v>
      </c>
      <c r="P416" s="291"/>
      <c r="Q416" s="285">
        <f t="shared" si="81"/>
        <v>0</v>
      </c>
      <c r="R416" s="341">
        <f t="shared" si="82"/>
        <v>0</v>
      </c>
      <c r="S416" s="284">
        <f t="shared" si="73"/>
        <v>0</v>
      </c>
    </row>
    <row r="417" spans="1:19">
      <c r="A417" s="292"/>
      <c r="B417" s="293"/>
      <c r="C417" s="285">
        <f t="shared" si="74"/>
        <v>1</v>
      </c>
      <c r="D417" s="291"/>
      <c r="E417" s="285">
        <f t="shared" si="75"/>
        <v>1</v>
      </c>
      <c r="F417" s="291"/>
      <c r="G417" s="285">
        <f t="shared" si="76"/>
        <v>1</v>
      </c>
      <c r="H417" s="291"/>
      <c r="I417" s="285">
        <f t="shared" si="77"/>
        <v>1</v>
      </c>
      <c r="J417" s="291"/>
      <c r="K417" s="285">
        <f t="shared" si="78"/>
        <v>1</v>
      </c>
      <c r="L417" s="291"/>
      <c r="M417" s="285">
        <f t="shared" si="79"/>
        <v>1</v>
      </c>
      <c r="N417" s="291"/>
      <c r="O417" s="285">
        <f t="shared" si="80"/>
        <v>1</v>
      </c>
      <c r="P417" s="291"/>
      <c r="Q417" s="285">
        <f t="shared" si="81"/>
        <v>0</v>
      </c>
      <c r="R417" s="341">
        <f t="shared" si="82"/>
        <v>0</v>
      </c>
      <c r="S417" s="284">
        <f t="shared" si="73"/>
        <v>0</v>
      </c>
    </row>
    <row r="418" spans="1:19">
      <c r="A418" s="292"/>
      <c r="B418" s="293"/>
      <c r="C418" s="285">
        <f t="shared" si="74"/>
        <v>1</v>
      </c>
      <c r="D418" s="291"/>
      <c r="E418" s="285">
        <f t="shared" si="75"/>
        <v>1</v>
      </c>
      <c r="F418" s="291"/>
      <c r="G418" s="285">
        <f t="shared" si="76"/>
        <v>1</v>
      </c>
      <c r="H418" s="291"/>
      <c r="I418" s="285">
        <f t="shared" si="77"/>
        <v>1</v>
      </c>
      <c r="J418" s="291"/>
      <c r="K418" s="285">
        <f t="shared" si="78"/>
        <v>1</v>
      </c>
      <c r="L418" s="291"/>
      <c r="M418" s="285">
        <f t="shared" si="79"/>
        <v>1</v>
      </c>
      <c r="N418" s="291"/>
      <c r="O418" s="285">
        <f t="shared" si="80"/>
        <v>1</v>
      </c>
      <c r="P418" s="291"/>
      <c r="Q418" s="285">
        <f t="shared" si="81"/>
        <v>0</v>
      </c>
      <c r="R418" s="341">
        <f t="shared" si="82"/>
        <v>0</v>
      </c>
      <c r="S418" s="284">
        <f t="shared" si="73"/>
        <v>0</v>
      </c>
    </row>
    <row r="419" spans="1:19">
      <c r="A419" s="292"/>
      <c r="B419" s="293"/>
      <c r="C419" s="285">
        <f t="shared" si="74"/>
        <v>1</v>
      </c>
      <c r="D419" s="291"/>
      <c r="E419" s="285">
        <f t="shared" si="75"/>
        <v>1</v>
      </c>
      <c r="F419" s="291"/>
      <c r="G419" s="285">
        <f t="shared" si="76"/>
        <v>1</v>
      </c>
      <c r="H419" s="291"/>
      <c r="I419" s="285">
        <f t="shared" si="77"/>
        <v>1</v>
      </c>
      <c r="J419" s="291"/>
      <c r="K419" s="285">
        <f t="shared" si="78"/>
        <v>1</v>
      </c>
      <c r="L419" s="291"/>
      <c r="M419" s="285">
        <f t="shared" si="79"/>
        <v>1</v>
      </c>
      <c r="N419" s="291"/>
      <c r="O419" s="285">
        <f t="shared" si="80"/>
        <v>1</v>
      </c>
      <c r="P419" s="291"/>
      <c r="Q419" s="285">
        <f t="shared" si="81"/>
        <v>0</v>
      </c>
      <c r="R419" s="341">
        <f t="shared" si="82"/>
        <v>0</v>
      </c>
      <c r="S419" s="284">
        <f t="shared" si="73"/>
        <v>0</v>
      </c>
    </row>
    <row r="420" spans="1:19">
      <c r="A420" s="292"/>
      <c r="B420" s="293"/>
      <c r="C420" s="285">
        <f t="shared" si="74"/>
        <v>1</v>
      </c>
      <c r="D420" s="291"/>
      <c r="E420" s="285">
        <f t="shared" si="75"/>
        <v>1</v>
      </c>
      <c r="F420" s="291"/>
      <c r="G420" s="285">
        <f t="shared" si="76"/>
        <v>1</v>
      </c>
      <c r="H420" s="291"/>
      <c r="I420" s="285">
        <f t="shared" si="77"/>
        <v>1</v>
      </c>
      <c r="J420" s="291"/>
      <c r="K420" s="285">
        <f t="shared" si="78"/>
        <v>1</v>
      </c>
      <c r="L420" s="291"/>
      <c r="M420" s="285">
        <f t="shared" si="79"/>
        <v>1</v>
      </c>
      <c r="N420" s="291"/>
      <c r="O420" s="285">
        <f t="shared" si="80"/>
        <v>1</v>
      </c>
      <c r="P420" s="291"/>
      <c r="Q420" s="285">
        <f t="shared" si="81"/>
        <v>0</v>
      </c>
      <c r="R420" s="341">
        <f t="shared" si="82"/>
        <v>0</v>
      </c>
      <c r="S420" s="284">
        <f t="shared" si="73"/>
        <v>0</v>
      </c>
    </row>
    <row r="421" spans="1:19">
      <c r="A421" s="292"/>
      <c r="B421" s="293"/>
      <c r="C421" s="285">
        <f t="shared" si="74"/>
        <v>1</v>
      </c>
      <c r="D421" s="291"/>
      <c r="E421" s="285">
        <f t="shared" si="75"/>
        <v>1</v>
      </c>
      <c r="F421" s="291"/>
      <c r="G421" s="285">
        <f t="shared" si="76"/>
        <v>1</v>
      </c>
      <c r="H421" s="291"/>
      <c r="I421" s="285">
        <f t="shared" si="77"/>
        <v>1</v>
      </c>
      <c r="J421" s="291"/>
      <c r="K421" s="285">
        <f t="shared" si="78"/>
        <v>1</v>
      </c>
      <c r="L421" s="291"/>
      <c r="M421" s="285">
        <f t="shared" si="79"/>
        <v>1</v>
      </c>
      <c r="N421" s="291"/>
      <c r="O421" s="285">
        <f t="shared" si="80"/>
        <v>1</v>
      </c>
      <c r="P421" s="291"/>
      <c r="Q421" s="285">
        <f t="shared" si="81"/>
        <v>0</v>
      </c>
      <c r="R421" s="341">
        <f t="shared" si="82"/>
        <v>0</v>
      </c>
      <c r="S421" s="284">
        <f t="shared" si="73"/>
        <v>0</v>
      </c>
    </row>
    <row r="422" spans="1:19">
      <c r="A422" s="292"/>
      <c r="B422" s="293"/>
      <c r="C422" s="285">
        <f t="shared" si="74"/>
        <v>1</v>
      </c>
      <c r="D422" s="291"/>
      <c r="E422" s="285">
        <f t="shared" si="75"/>
        <v>1</v>
      </c>
      <c r="F422" s="291"/>
      <c r="G422" s="285">
        <f t="shared" si="76"/>
        <v>1</v>
      </c>
      <c r="H422" s="291"/>
      <c r="I422" s="285">
        <f t="shared" si="77"/>
        <v>1</v>
      </c>
      <c r="J422" s="291"/>
      <c r="K422" s="285">
        <f t="shared" si="78"/>
        <v>1</v>
      </c>
      <c r="L422" s="291"/>
      <c r="M422" s="285">
        <f t="shared" si="79"/>
        <v>1</v>
      </c>
      <c r="N422" s="291"/>
      <c r="O422" s="285">
        <f t="shared" si="80"/>
        <v>1</v>
      </c>
      <c r="P422" s="291"/>
      <c r="Q422" s="285">
        <f t="shared" si="81"/>
        <v>0</v>
      </c>
      <c r="R422" s="341">
        <f t="shared" si="82"/>
        <v>0</v>
      </c>
      <c r="S422" s="284">
        <f t="shared" si="73"/>
        <v>0</v>
      </c>
    </row>
    <row r="423" spans="1:19">
      <c r="A423" s="292"/>
      <c r="B423" s="293"/>
      <c r="C423" s="285">
        <f t="shared" si="74"/>
        <v>1</v>
      </c>
      <c r="D423" s="291"/>
      <c r="E423" s="285">
        <f t="shared" si="75"/>
        <v>1</v>
      </c>
      <c r="F423" s="291"/>
      <c r="G423" s="285">
        <f t="shared" si="76"/>
        <v>1</v>
      </c>
      <c r="H423" s="291"/>
      <c r="I423" s="285">
        <f t="shared" si="77"/>
        <v>1</v>
      </c>
      <c r="J423" s="291"/>
      <c r="K423" s="285">
        <f t="shared" si="78"/>
        <v>1</v>
      </c>
      <c r="L423" s="291"/>
      <c r="M423" s="285">
        <f t="shared" si="79"/>
        <v>1</v>
      </c>
      <c r="N423" s="291"/>
      <c r="O423" s="285">
        <f t="shared" si="80"/>
        <v>1</v>
      </c>
      <c r="P423" s="291"/>
      <c r="Q423" s="285">
        <f t="shared" si="81"/>
        <v>0</v>
      </c>
      <c r="R423" s="341">
        <f t="shared" si="82"/>
        <v>0</v>
      </c>
      <c r="S423" s="284">
        <f t="shared" ref="S423:S467" si="83">ROUND(R423*B423/10000,0)</f>
        <v>0</v>
      </c>
    </row>
    <row r="424" spans="1:19">
      <c r="A424" s="292"/>
      <c r="B424" s="293"/>
      <c r="C424" s="285">
        <f t="shared" si="74"/>
        <v>1</v>
      </c>
      <c r="D424" s="291"/>
      <c r="E424" s="285">
        <f t="shared" si="75"/>
        <v>1</v>
      </c>
      <c r="F424" s="291"/>
      <c r="G424" s="285">
        <f t="shared" si="76"/>
        <v>1</v>
      </c>
      <c r="H424" s="291"/>
      <c r="I424" s="285">
        <f t="shared" si="77"/>
        <v>1</v>
      </c>
      <c r="J424" s="291"/>
      <c r="K424" s="285">
        <f t="shared" si="78"/>
        <v>1</v>
      </c>
      <c r="L424" s="291"/>
      <c r="M424" s="285">
        <f t="shared" si="79"/>
        <v>1</v>
      </c>
      <c r="N424" s="291"/>
      <c r="O424" s="285">
        <f t="shared" si="80"/>
        <v>1</v>
      </c>
      <c r="P424" s="291"/>
      <c r="Q424" s="285">
        <f t="shared" si="81"/>
        <v>0</v>
      </c>
      <c r="R424" s="341">
        <f t="shared" si="82"/>
        <v>0</v>
      </c>
      <c r="S424" s="284">
        <f t="shared" si="83"/>
        <v>0</v>
      </c>
    </row>
    <row r="425" spans="1:19">
      <c r="A425" s="292"/>
      <c r="B425" s="293"/>
      <c r="C425" s="285">
        <f t="shared" si="74"/>
        <v>1</v>
      </c>
      <c r="D425" s="291"/>
      <c r="E425" s="285">
        <f t="shared" si="75"/>
        <v>1</v>
      </c>
      <c r="F425" s="291"/>
      <c r="G425" s="285">
        <f t="shared" si="76"/>
        <v>1</v>
      </c>
      <c r="H425" s="291"/>
      <c r="I425" s="285">
        <f t="shared" si="77"/>
        <v>1</v>
      </c>
      <c r="J425" s="291"/>
      <c r="K425" s="285">
        <f t="shared" si="78"/>
        <v>1</v>
      </c>
      <c r="L425" s="291"/>
      <c r="M425" s="285">
        <f t="shared" si="79"/>
        <v>1</v>
      </c>
      <c r="N425" s="291"/>
      <c r="O425" s="285">
        <f t="shared" si="80"/>
        <v>1</v>
      </c>
      <c r="P425" s="291"/>
      <c r="Q425" s="285">
        <f t="shared" si="81"/>
        <v>0</v>
      </c>
      <c r="R425" s="341">
        <f t="shared" si="82"/>
        <v>0</v>
      </c>
      <c r="S425" s="284">
        <f t="shared" si="83"/>
        <v>0</v>
      </c>
    </row>
    <row r="426" spans="1:19">
      <c r="A426" s="292"/>
      <c r="B426" s="293"/>
      <c r="C426" s="285">
        <f t="shared" si="74"/>
        <v>1</v>
      </c>
      <c r="D426" s="291"/>
      <c r="E426" s="285">
        <f t="shared" si="75"/>
        <v>1</v>
      </c>
      <c r="F426" s="291"/>
      <c r="G426" s="285">
        <f t="shared" si="76"/>
        <v>1</v>
      </c>
      <c r="H426" s="291"/>
      <c r="I426" s="285">
        <f t="shared" si="77"/>
        <v>1</v>
      </c>
      <c r="J426" s="291"/>
      <c r="K426" s="285">
        <f t="shared" si="78"/>
        <v>1</v>
      </c>
      <c r="L426" s="291"/>
      <c r="M426" s="285">
        <f t="shared" si="79"/>
        <v>1</v>
      </c>
      <c r="N426" s="291"/>
      <c r="O426" s="285">
        <f t="shared" si="80"/>
        <v>1</v>
      </c>
      <c r="P426" s="291"/>
      <c r="Q426" s="285">
        <f t="shared" si="81"/>
        <v>0</v>
      </c>
      <c r="R426" s="341">
        <f t="shared" si="82"/>
        <v>0</v>
      </c>
      <c r="S426" s="284">
        <f t="shared" si="83"/>
        <v>0</v>
      </c>
    </row>
    <row r="427" spans="1:19">
      <c r="A427" s="292"/>
      <c r="B427" s="293"/>
      <c r="C427" s="285">
        <f t="shared" si="74"/>
        <v>1</v>
      </c>
      <c r="D427" s="291"/>
      <c r="E427" s="285">
        <f t="shared" si="75"/>
        <v>1</v>
      </c>
      <c r="F427" s="291"/>
      <c r="G427" s="285">
        <f t="shared" si="76"/>
        <v>1</v>
      </c>
      <c r="H427" s="291"/>
      <c r="I427" s="285">
        <f t="shared" si="77"/>
        <v>1</v>
      </c>
      <c r="J427" s="291"/>
      <c r="K427" s="285">
        <f t="shared" si="78"/>
        <v>1</v>
      </c>
      <c r="L427" s="291"/>
      <c r="M427" s="285">
        <f t="shared" si="79"/>
        <v>1</v>
      </c>
      <c r="N427" s="291"/>
      <c r="O427" s="285">
        <f t="shared" si="80"/>
        <v>1</v>
      </c>
      <c r="P427" s="291"/>
      <c r="Q427" s="285">
        <f t="shared" si="81"/>
        <v>0</v>
      </c>
      <c r="R427" s="341">
        <f t="shared" si="82"/>
        <v>0</v>
      </c>
      <c r="S427" s="284">
        <f t="shared" si="83"/>
        <v>0</v>
      </c>
    </row>
    <row r="428" spans="1:19">
      <c r="A428" s="292"/>
      <c r="B428" s="293"/>
      <c r="C428" s="285">
        <f t="shared" si="74"/>
        <v>1</v>
      </c>
      <c r="D428" s="291"/>
      <c r="E428" s="285">
        <f t="shared" si="75"/>
        <v>1</v>
      </c>
      <c r="F428" s="291"/>
      <c r="G428" s="285">
        <f t="shared" si="76"/>
        <v>1</v>
      </c>
      <c r="H428" s="291"/>
      <c r="I428" s="285">
        <f t="shared" si="77"/>
        <v>1</v>
      </c>
      <c r="J428" s="291"/>
      <c r="K428" s="285">
        <f t="shared" si="78"/>
        <v>1</v>
      </c>
      <c r="L428" s="291"/>
      <c r="M428" s="285">
        <f t="shared" si="79"/>
        <v>1</v>
      </c>
      <c r="N428" s="291"/>
      <c r="O428" s="285">
        <f t="shared" si="80"/>
        <v>1</v>
      </c>
      <c r="P428" s="291"/>
      <c r="Q428" s="285">
        <f t="shared" si="81"/>
        <v>0</v>
      </c>
      <c r="R428" s="341">
        <f t="shared" si="82"/>
        <v>0</v>
      </c>
      <c r="S428" s="284">
        <f t="shared" si="83"/>
        <v>0</v>
      </c>
    </row>
    <row r="429" spans="1:19">
      <c r="A429" s="292"/>
      <c r="B429" s="293"/>
      <c r="C429" s="285">
        <f t="shared" si="74"/>
        <v>1</v>
      </c>
      <c r="D429" s="291"/>
      <c r="E429" s="285">
        <f t="shared" si="75"/>
        <v>1</v>
      </c>
      <c r="F429" s="291"/>
      <c r="G429" s="285">
        <f t="shared" si="76"/>
        <v>1</v>
      </c>
      <c r="H429" s="291"/>
      <c r="I429" s="285">
        <f t="shared" si="77"/>
        <v>1</v>
      </c>
      <c r="J429" s="291"/>
      <c r="K429" s="285">
        <f t="shared" si="78"/>
        <v>1</v>
      </c>
      <c r="L429" s="291"/>
      <c r="M429" s="285">
        <f t="shared" si="79"/>
        <v>1</v>
      </c>
      <c r="N429" s="291"/>
      <c r="O429" s="285">
        <f t="shared" si="80"/>
        <v>1</v>
      </c>
      <c r="P429" s="291"/>
      <c r="Q429" s="285">
        <f t="shared" si="81"/>
        <v>0</v>
      </c>
      <c r="R429" s="341">
        <f t="shared" si="82"/>
        <v>0</v>
      </c>
      <c r="S429" s="284">
        <f t="shared" si="83"/>
        <v>0</v>
      </c>
    </row>
    <row r="430" spans="1:19">
      <c r="A430" s="292"/>
      <c r="B430" s="293"/>
      <c r="C430" s="285">
        <f t="shared" si="74"/>
        <v>1</v>
      </c>
      <c r="D430" s="291"/>
      <c r="E430" s="285">
        <f t="shared" si="75"/>
        <v>1</v>
      </c>
      <c r="F430" s="291"/>
      <c r="G430" s="285">
        <f t="shared" si="76"/>
        <v>1</v>
      </c>
      <c r="H430" s="291"/>
      <c r="I430" s="285">
        <f t="shared" si="77"/>
        <v>1</v>
      </c>
      <c r="J430" s="291"/>
      <c r="K430" s="285">
        <f t="shared" si="78"/>
        <v>1</v>
      </c>
      <c r="L430" s="291"/>
      <c r="M430" s="285">
        <f t="shared" si="79"/>
        <v>1</v>
      </c>
      <c r="N430" s="291"/>
      <c r="O430" s="285">
        <f t="shared" si="80"/>
        <v>1</v>
      </c>
      <c r="P430" s="291"/>
      <c r="Q430" s="285">
        <f t="shared" si="81"/>
        <v>0</v>
      </c>
      <c r="R430" s="341">
        <f t="shared" si="82"/>
        <v>0</v>
      </c>
      <c r="S430" s="284">
        <f t="shared" si="83"/>
        <v>0</v>
      </c>
    </row>
    <row r="431" spans="1:19">
      <c r="A431" s="292"/>
      <c r="B431" s="293"/>
      <c r="C431" s="285">
        <f t="shared" si="74"/>
        <v>1</v>
      </c>
      <c r="D431" s="291"/>
      <c r="E431" s="285">
        <f t="shared" si="75"/>
        <v>1</v>
      </c>
      <c r="F431" s="291"/>
      <c r="G431" s="285">
        <f t="shared" si="76"/>
        <v>1</v>
      </c>
      <c r="H431" s="291"/>
      <c r="I431" s="285">
        <f t="shared" si="77"/>
        <v>1</v>
      </c>
      <c r="J431" s="291"/>
      <c r="K431" s="285">
        <f t="shared" si="78"/>
        <v>1</v>
      </c>
      <c r="L431" s="291"/>
      <c r="M431" s="285">
        <f t="shared" si="79"/>
        <v>1</v>
      </c>
      <c r="N431" s="291"/>
      <c r="O431" s="285">
        <f t="shared" si="80"/>
        <v>1</v>
      </c>
      <c r="P431" s="291"/>
      <c r="Q431" s="285">
        <f t="shared" si="81"/>
        <v>0</v>
      </c>
      <c r="R431" s="341">
        <f t="shared" si="82"/>
        <v>0</v>
      </c>
      <c r="S431" s="284">
        <f t="shared" si="83"/>
        <v>0</v>
      </c>
    </row>
    <row r="432" spans="1:19">
      <c r="A432" s="292"/>
      <c r="B432" s="293"/>
      <c r="C432" s="285">
        <f t="shared" si="74"/>
        <v>1</v>
      </c>
      <c r="D432" s="291"/>
      <c r="E432" s="285">
        <f t="shared" si="75"/>
        <v>1</v>
      </c>
      <c r="F432" s="291"/>
      <c r="G432" s="285">
        <f t="shared" si="76"/>
        <v>1</v>
      </c>
      <c r="H432" s="291"/>
      <c r="I432" s="285">
        <f t="shared" si="77"/>
        <v>1</v>
      </c>
      <c r="J432" s="291"/>
      <c r="K432" s="285">
        <f t="shared" si="78"/>
        <v>1</v>
      </c>
      <c r="L432" s="291"/>
      <c r="M432" s="285">
        <f t="shared" si="79"/>
        <v>1</v>
      </c>
      <c r="N432" s="291"/>
      <c r="O432" s="285">
        <f t="shared" si="80"/>
        <v>1</v>
      </c>
      <c r="P432" s="291"/>
      <c r="Q432" s="285">
        <f t="shared" si="81"/>
        <v>0</v>
      </c>
      <c r="R432" s="341">
        <f t="shared" si="82"/>
        <v>0</v>
      </c>
      <c r="S432" s="284">
        <f t="shared" si="83"/>
        <v>0</v>
      </c>
    </row>
    <row r="433" spans="1:19">
      <c r="A433" s="292"/>
      <c r="B433" s="293"/>
      <c r="C433" s="285">
        <f t="shared" si="74"/>
        <v>1</v>
      </c>
      <c r="D433" s="291"/>
      <c r="E433" s="285">
        <f t="shared" si="75"/>
        <v>1</v>
      </c>
      <c r="F433" s="291"/>
      <c r="G433" s="285">
        <f t="shared" si="76"/>
        <v>1</v>
      </c>
      <c r="H433" s="291"/>
      <c r="I433" s="285">
        <f t="shared" si="77"/>
        <v>1</v>
      </c>
      <c r="J433" s="291"/>
      <c r="K433" s="285">
        <f t="shared" si="78"/>
        <v>1</v>
      </c>
      <c r="L433" s="291"/>
      <c r="M433" s="285">
        <f t="shared" si="79"/>
        <v>1</v>
      </c>
      <c r="N433" s="291"/>
      <c r="O433" s="285">
        <f t="shared" si="80"/>
        <v>1</v>
      </c>
      <c r="P433" s="291"/>
      <c r="Q433" s="285">
        <f t="shared" si="81"/>
        <v>0</v>
      </c>
      <c r="R433" s="341">
        <f t="shared" si="82"/>
        <v>0</v>
      </c>
      <c r="S433" s="284">
        <f t="shared" si="83"/>
        <v>0</v>
      </c>
    </row>
    <row r="434" spans="1:19">
      <c r="A434" s="292"/>
      <c r="B434" s="293"/>
      <c r="C434" s="285">
        <f t="shared" si="74"/>
        <v>1</v>
      </c>
      <c r="D434" s="291"/>
      <c r="E434" s="285">
        <f t="shared" si="75"/>
        <v>1</v>
      </c>
      <c r="F434" s="291"/>
      <c r="G434" s="285">
        <f t="shared" si="76"/>
        <v>1</v>
      </c>
      <c r="H434" s="291"/>
      <c r="I434" s="285">
        <f t="shared" si="77"/>
        <v>1</v>
      </c>
      <c r="J434" s="291"/>
      <c r="K434" s="285">
        <f t="shared" si="78"/>
        <v>1</v>
      </c>
      <c r="L434" s="291"/>
      <c r="M434" s="285">
        <f t="shared" si="79"/>
        <v>1</v>
      </c>
      <c r="N434" s="291"/>
      <c r="O434" s="285">
        <f t="shared" si="80"/>
        <v>1</v>
      </c>
      <c r="P434" s="291"/>
      <c r="Q434" s="285">
        <f t="shared" si="81"/>
        <v>0</v>
      </c>
      <c r="R434" s="341">
        <f t="shared" si="82"/>
        <v>0</v>
      </c>
      <c r="S434" s="284">
        <f t="shared" si="83"/>
        <v>0</v>
      </c>
    </row>
    <row r="435" spans="1:19">
      <c r="A435" s="292"/>
      <c r="B435" s="293"/>
      <c r="C435" s="285">
        <f t="shared" si="74"/>
        <v>1</v>
      </c>
      <c r="D435" s="291"/>
      <c r="E435" s="285">
        <f t="shared" si="75"/>
        <v>1</v>
      </c>
      <c r="F435" s="291"/>
      <c r="G435" s="285">
        <f t="shared" si="76"/>
        <v>1</v>
      </c>
      <c r="H435" s="291"/>
      <c r="I435" s="285">
        <f t="shared" si="77"/>
        <v>1</v>
      </c>
      <c r="J435" s="291"/>
      <c r="K435" s="285">
        <f t="shared" si="78"/>
        <v>1</v>
      </c>
      <c r="L435" s="291"/>
      <c r="M435" s="285">
        <f t="shared" si="79"/>
        <v>1</v>
      </c>
      <c r="N435" s="291"/>
      <c r="O435" s="285">
        <f t="shared" si="80"/>
        <v>1</v>
      </c>
      <c r="P435" s="291"/>
      <c r="Q435" s="285">
        <f t="shared" si="81"/>
        <v>0</v>
      </c>
      <c r="R435" s="341">
        <f t="shared" si="82"/>
        <v>0</v>
      </c>
      <c r="S435" s="284">
        <f t="shared" si="83"/>
        <v>0</v>
      </c>
    </row>
    <row r="436" spans="1:19">
      <c r="A436" s="292"/>
      <c r="B436" s="293"/>
      <c r="C436" s="285">
        <f t="shared" si="74"/>
        <v>1</v>
      </c>
      <c r="D436" s="291"/>
      <c r="E436" s="285">
        <f t="shared" si="75"/>
        <v>1</v>
      </c>
      <c r="F436" s="291"/>
      <c r="G436" s="285">
        <f t="shared" si="76"/>
        <v>1</v>
      </c>
      <c r="H436" s="291"/>
      <c r="I436" s="285">
        <f t="shared" si="77"/>
        <v>1</v>
      </c>
      <c r="J436" s="291"/>
      <c r="K436" s="285">
        <f t="shared" si="78"/>
        <v>1</v>
      </c>
      <c r="L436" s="291"/>
      <c r="M436" s="285">
        <f t="shared" si="79"/>
        <v>1</v>
      </c>
      <c r="N436" s="291"/>
      <c r="O436" s="285">
        <f t="shared" si="80"/>
        <v>1</v>
      </c>
      <c r="P436" s="291"/>
      <c r="Q436" s="285">
        <f t="shared" si="81"/>
        <v>0</v>
      </c>
      <c r="R436" s="341">
        <f t="shared" si="82"/>
        <v>0</v>
      </c>
      <c r="S436" s="284">
        <f t="shared" si="83"/>
        <v>0</v>
      </c>
    </row>
    <row r="437" spans="1:19">
      <c r="A437" s="292"/>
      <c r="B437" s="293"/>
      <c r="C437" s="285">
        <f t="shared" si="74"/>
        <v>1</v>
      </c>
      <c r="D437" s="291"/>
      <c r="E437" s="285">
        <f t="shared" si="75"/>
        <v>1</v>
      </c>
      <c r="F437" s="291"/>
      <c r="G437" s="285">
        <f t="shared" si="76"/>
        <v>1</v>
      </c>
      <c r="H437" s="291"/>
      <c r="I437" s="285">
        <f t="shared" si="77"/>
        <v>1</v>
      </c>
      <c r="J437" s="291"/>
      <c r="K437" s="285">
        <f t="shared" si="78"/>
        <v>1</v>
      </c>
      <c r="L437" s="291"/>
      <c r="M437" s="285">
        <f t="shared" si="79"/>
        <v>1</v>
      </c>
      <c r="N437" s="291"/>
      <c r="O437" s="285">
        <f t="shared" si="80"/>
        <v>1</v>
      </c>
      <c r="P437" s="291"/>
      <c r="Q437" s="285">
        <f t="shared" si="81"/>
        <v>0</v>
      </c>
      <c r="R437" s="341">
        <f t="shared" si="82"/>
        <v>0</v>
      </c>
      <c r="S437" s="284">
        <f t="shared" si="83"/>
        <v>0</v>
      </c>
    </row>
    <row r="438" spans="1:19">
      <c r="A438" s="292"/>
      <c r="B438" s="293"/>
      <c r="C438" s="285">
        <f t="shared" si="74"/>
        <v>1</v>
      </c>
      <c r="D438" s="291"/>
      <c r="E438" s="285">
        <f t="shared" si="75"/>
        <v>1</v>
      </c>
      <c r="F438" s="291"/>
      <c r="G438" s="285">
        <f t="shared" si="76"/>
        <v>1</v>
      </c>
      <c r="H438" s="291"/>
      <c r="I438" s="285">
        <f t="shared" si="77"/>
        <v>1</v>
      </c>
      <c r="J438" s="291"/>
      <c r="K438" s="285">
        <f t="shared" si="78"/>
        <v>1</v>
      </c>
      <c r="L438" s="291"/>
      <c r="M438" s="285">
        <f t="shared" si="79"/>
        <v>1</v>
      </c>
      <c r="N438" s="291"/>
      <c r="O438" s="285">
        <f t="shared" si="80"/>
        <v>1</v>
      </c>
      <c r="P438" s="291"/>
      <c r="Q438" s="285">
        <f t="shared" si="81"/>
        <v>0</v>
      </c>
      <c r="R438" s="341">
        <f t="shared" si="82"/>
        <v>0</v>
      </c>
      <c r="S438" s="284">
        <f t="shared" si="83"/>
        <v>0</v>
      </c>
    </row>
    <row r="439" spans="1:19">
      <c r="A439" s="292"/>
      <c r="B439" s="293"/>
      <c r="C439" s="285">
        <f t="shared" si="74"/>
        <v>1</v>
      </c>
      <c r="D439" s="291"/>
      <c r="E439" s="285">
        <f t="shared" si="75"/>
        <v>1</v>
      </c>
      <c r="F439" s="291"/>
      <c r="G439" s="285">
        <f t="shared" si="76"/>
        <v>1</v>
      </c>
      <c r="H439" s="291"/>
      <c r="I439" s="285">
        <f t="shared" si="77"/>
        <v>1</v>
      </c>
      <c r="J439" s="291"/>
      <c r="K439" s="285">
        <f t="shared" si="78"/>
        <v>1</v>
      </c>
      <c r="L439" s="291"/>
      <c r="M439" s="285">
        <f t="shared" si="79"/>
        <v>1</v>
      </c>
      <c r="N439" s="291"/>
      <c r="O439" s="285">
        <f t="shared" si="80"/>
        <v>1</v>
      </c>
      <c r="P439" s="291"/>
      <c r="Q439" s="285">
        <f t="shared" si="81"/>
        <v>0</v>
      </c>
      <c r="R439" s="341">
        <f t="shared" si="82"/>
        <v>0</v>
      </c>
      <c r="S439" s="284">
        <f t="shared" si="83"/>
        <v>0</v>
      </c>
    </row>
    <row r="440" spans="1:19">
      <c r="A440" s="292"/>
      <c r="B440" s="293"/>
      <c r="C440" s="285">
        <f t="shared" si="74"/>
        <v>1</v>
      </c>
      <c r="D440" s="291"/>
      <c r="E440" s="285">
        <f t="shared" si="75"/>
        <v>1</v>
      </c>
      <c r="F440" s="291"/>
      <c r="G440" s="285">
        <f t="shared" si="76"/>
        <v>1</v>
      </c>
      <c r="H440" s="291"/>
      <c r="I440" s="285">
        <f t="shared" si="77"/>
        <v>1</v>
      </c>
      <c r="J440" s="291"/>
      <c r="K440" s="285">
        <f t="shared" si="78"/>
        <v>1</v>
      </c>
      <c r="L440" s="291"/>
      <c r="M440" s="285">
        <f t="shared" si="79"/>
        <v>1</v>
      </c>
      <c r="N440" s="291"/>
      <c r="O440" s="285">
        <f t="shared" si="80"/>
        <v>1</v>
      </c>
      <c r="P440" s="291"/>
      <c r="Q440" s="285">
        <f t="shared" si="81"/>
        <v>0</v>
      </c>
      <c r="R440" s="341">
        <f t="shared" si="82"/>
        <v>0</v>
      </c>
      <c r="S440" s="284">
        <f t="shared" si="83"/>
        <v>0</v>
      </c>
    </row>
    <row r="441" spans="1:19">
      <c r="A441" s="292"/>
      <c r="B441" s="293"/>
      <c r="C441" s="285">
        <f t="shared" si="74"/>
        <v>1</v>
      </c>
      <c r="D441" s="291"/>
      <c r="E441" s="285">
        <f t="shared" si="75"/>
        <v>1</v>
      </c>
      <c r="F441" s="291"/>
      <c r="G441" s="285">
        <f t="shared" si="76"/>
        <v>1</v>
      </c>
      <c r="H441" s="291"/>
      <c r="I441" s="285">
        <f t="shared" si="77"/>
        <v>1</v>
      </c>
      <c r="J441" s="291"/>
      <c r="K441" s="285">
        <f t="shared" si="78"/>
        <v>1</v>
      </c>
      <c r="L441" s="291"/>
      <c r="M441" s="285">
        <f t="shared" si="79"/>
        <v>1</v>
      </c>
      <c r="N441" s="291"/>
      <c r="O441" s="285">
        <f t="shared" si="80"/>
        <v>1</v>
      </c>
      <c r="P441" s="291"/>
      <c r="Q441" s="285">
        <f t="shared" si="81"/>
        <v>0</v>
      </c>
      <c r="R441" s="341">
        <f t="shared" si="82"/>
        <v>0</v>
      </c>
      <c r="S441" s="284">
        <f t="shared" si="83"/>
        <v>0</v>
      </c>
    </row>
    <row r="442" spans="1:19">
      <c r="A442" s="292"/>
      <c r="B442" s="293"/>
      <c r="C442" s="285">
        <f t="shared" si="74"/>
        <v>1</v>
      </c>
      <c r="D442" s="291"/>
      <c r="E442" s="285">
        <f t="shared" si="75"/>
        <v>1</v>
      </c>
      <c r="F442" s="291"/>
      <c r="G442" s="285">
        <f t="shared" si="76"/>
        <v>1</v>
      </c>
      <c r="H442" s="291"/>
      <c r="I442" s="285">
        <f t="shared" si="77"/>
        <v>1</v>
      </c>
      <c r="J442" s="291"/>
      <c r="K442" s="285">
        <f t="shared" si="78"/>
        <v>1</v>
      </c>
      <c r="L442" s="291"/>
      <c r="M442" s="285">
        <f t="shared" si="79"/>
        <v>1</v>
      </c>
      <c r="N442" s="291"/>
      <c r="O442" s="285">
        <f t="shared" si="80"/>
        <v>1</v>
      </c>
      <c r="P442" s="291"/>
      <c r="Q442" s="285">
        <f t="shared" si="81"/>
        <v>0</v>
      </c>
      <c r="R442" s="341">
        <f t="shared" si="82"/>
        <v>0</v>
      </c>
      <c r="S442" s="284">
        <f t="shared" si="83"/>
        <v>0</v>
      </c>
    </row>
    <row r="443" spans="1:19">
      <c r="A443" s="292"/>
      <c r="B443" s="293"/>
      <c r="C443" s="285">
        <f t="shared" si="74"/>
        <v>1</v>
      </c>
      <c r="D443" s="291"/>
      <c r="E443" s="285">
        <f t="shared" si="75"/>
        <v>1</v>
      </c>
      <c r="F443" s="291"/>
      <c r="G443" s="285">
        <f t="shared" si="76"/>
        <v>1</v>
      </c>
      <c r="H443" s="291"/>
      <c r="I443" s="285">
        <f t="shared" si="77"/>
        <v>1</v>
      </c>
      <c r="J443" s="291"/>
      <c r="K443" s="285">
        <f t="shared" si="78"/>
        <v>1</v>
      </c>
      <c r="L443" s="291"/>
      <c r="M443" s="285">
        <f t="shared" si="79"/>
        <v>1</v>
      </c>
      <c r="N443" s="291"/>
      <c r="O443" s="285">
        <f t="shared" si="80"/>
        <v>1</v>
      </c>
      <c r="P443" s="291"/>
      <c r="Q443" s="285">
        <f t="shared" si="81"/>
        <v>0</v>
      </c>
      <c r="R443" s="341">
        <f t="shared" si="82"/>
        <v>0</v>
      </c>
      <c r="S443" s="284">
        <f t="shared" si="83"/>
        <v>0</v>
      </c>
    </row>
    <row r="444" spans="1:19">
      <c r="A444" s="292"/>
      <c r="B444" s="293"/>
      <c r="C444" s="285">
        <f t="shared" si="74"/>
        <v>1</v>
      </c>
      <c r="D444" s="291"/>
      <c r="E444" s="285">
        <f t="shared" si="75"/>
        <v>1</v>
      </c>
      <c r="F444" s="291"/>
      <c r="G444" s="285">
        <f t="shared" si="76"/>
        <v>1</v>
      </c>
      <c r="H444" s="291"/>
      <c r="I444" s="285">
        <f t="shared" si="77"/>
        <v>1</v>
      </c>
      <c r="J444" s="291"/>
      <c r="K444" s="285">
        <f t="shared" si="78"/>
        <v>1</v>
      </c>
      <c r="L444" s="291"/>
      <c r="M444" s="285">
        <f t="shared" si="79"/>
        <v>1</v>
      </c>
      <c r="N444" s="291"/>
      <c r="O444" s="285">
        <f t="shared" si="80"/>
        <v>1</v>
      </c>
      <c r="P444" s="291"/>
      <c r="Q444" s="285">
        <f t="shared" si="81"/>
        <v>0</v>
      </c>
      <c r="R444" s="341">
        <f t="shared" si="82"/>
        <v>0</v>
      </c>
      <c r="S444" s="284">
        <f t="shared" si="83"/>
        <v>0</v>
      </c>
    </row>
    <row r="445" spans="1:19">
      <c r="A445" s="292"/>
      <c r="B445" s="293"/>
      <c r="C445" s="285">
        <f t="shared" si="74"/>
        <v>1</v>
      </c>
      <c r="D445" s="291"/>
      <c r="E445" s="285">
        <f t="shared" si="75"/>
        <v>1</v>
      </c>
      <c r="F445" s="291"/>
      <c r="G445" s="285">
        <f t="shared" si="76"/>
        <v>1</v>
      </c>
      <c r="H445" s="291"/>
      <c r="I445" s="285">
        <f t="shared" si="77"/>
        <v>1</v>
      </c>
      <c r="J445" s="291"/>
      <c r="K445" s="285">
        <f t="shared" si="78"/>
        <v>1</v>
      </c>
      <c r="L445" s="291"/>
      <c r="M445" s="285">
        <f t="shared" si="79"/>
        <v>1</v>
      </c>
      <c r="N445" s="291"/>
      <c r="O445" s="285">
        <f t="shared" si="80"/>
        <v>1</v>
      </c>
      <c r="P445" s="291"/>
      <c r="Q445" s="285">
        <f t="shared" si="81"/>
        <v>0</v>
      </c>
      <c r="R445" s="341">
        <f t="shared" si="82"/>
        <v>0</v>
      </c>
      <c r="S445" s="284">
        <f t="shared" si="83"/>
        <v>0</v>
      </c>
    </row>
    <row r="446" spans="1:19">
      <c r="A446" s="292"/>
      <c r="B446" s="293"/>
      <c r="C446" s="285">
        <f t="shared" si="74"/>
        <v>1</v>
      </c>
      <c r="D446" s="291"/>
      <c r="E446" s="285">
        <f t="shared" si="75"/>
        <v>1</v>
      </c>
      <c r="F446" s="291"/>
      <c r="G446" s="285">
        <f t="shared" si="76"/>
        <v>1</v>
      </c>
      <c r="H446" s="291"/>
      <c r="I446" s="285">
        <f t="shared" si="77"/>
        <v>1</v>
      </c>
      <c r="J446" s="291"/>
      <c r="K446" s="285">
        <f t="shared" si="78"/>
        <v>1</v>
      </c>
      <c r="L446" s="291"/>
      <c r="M446" s="285">
        <f t="shared" si="79"/>
        <v>1</v>
      </c>
      <c r="N446" s="291"/>
      <c r="O446" s="285">
        <f t="shared" si="80"/>
        <v>1</v>
      </c>
      <c r="P446" s="291"/>
      <c r="Q446" s="285">
        <f t="shared" si="81"/>
        <v>0</v>
      </c>
      <c r="R446" s="341">
        <f t="shared" si="82"/>
        <v>0</v>
      </c>
      <c r="S446" s="284">
        <f t="shared" si="83"/>
        <v>0</v>
      </c>
    </row>
    <row r="447" spans="1:19">
      <c r="A447" s="292"/>
      <c r="B447" s="293"/>
      <c r="C447" s="285">
        <f t="shared" si="74"/>
        <v>1</v>
      </c>
      <c r="D447" s="291"/>
      <c r="E447" s="285">
        <f t="shared" si="75"/>
        <v>1</v>
      </c>
      <c r="F447" s="291"/>
      <c r="G447" s="285">
        <f t="shared" si="76"/>
        <v>1</v>
      </c>
      <c r="H447" s="291"/>
      <c r="I447" s="285">
        <f t="shared" si="77"/>
        <v>1</v>
      </c>
      <c r="J447" s="291"/>
      <c r="K447" s="285">
        <f t="shared" si="78"/>
        <v>1</v>
      </c>
      <c r="L447" s="291"/>
      <c r="M447" s="285">
        <f t="shared" si="79"/>
        <v>1</v>
      </c>
      <c r="N447" s="291"/>
      <c r="O447" s="285">
        <f t="shared" si="80"/>
        <v>1</v>
      </c>
      <c r="P447" s="291"/>
      <c r="Q447" s="285">
        <f t="shared" si="81"/>
        <v>0</v>
      </c>
      <c r="R447" s="341">
        <f t="shared" si="82"/>
        <v>0</v>
      </c>
      <c r="S447" s="284">
        <f t="shared" si="83"/>
        <v>0</v>
      </c>
    </row>
    <row r="448" spans="1:19">
      <c r="A448" s="292"/>
      <c r="B448" s="293"/>
      <c r="C448" s="285">
        <f t="shared" si="74"/>
        <v>1</v>
      </c>
      <c r="D448" s="291"/>
      <c r="E448" s="285">
        <f t="shared" si="75"/>
        <v>1</v>
      </c>
      <c r="F448" s="291"/>
      <c r="G448" s="285">
        <f t="shared" si="76"/>
        <v>1</v>
      </c>
      <c r="H448" s="291"/>
      <c r="I448" s="285">
        <f t="shared" si="77"/>
        <v>1</v>
      </c>
      <c r="J448" s="291"/>
      <c r="K448" s="285">
        <f t="shared" si="78"/>
        <v>1</v>
      </c>
      <c r="L448" s="291"/>
      <c r="M448" s="285">
        <f t="shared" si="79"/>
        <v>1</v>
      </c>
      <c r="N448" s="291"/>
      <c r="O448" s="285">
        <f t="shared" si="80"/>
        <v>1</v>
      </c>
      <c r="P448" s="291"/>
      <c r="Q448" s="285">
        <f t="shared" si="81"/>
        <v>0</v>
      </c>
      <c r="R448" s="341">
        <f t="shared" si="82"/>
        <v>0</v>
      </c>
      <c r="S448" s="284">
        <f t="shared" si="83"/>
        <v>0</v>
      </c>
    </row>
    <row r="449" spans="1:19">
      <c r="A449" s="292"/>
      <c r="B449" s="293"/>
      <c r="C449" s="285">
        <f t="shared" si="74"/>
        <v>1</v>
      </c>
      <c r="D449" s="291"/>
      <c r="E449" s="285">
        <f t="shared" si="75"/>
        <v>1</v>
      </c>
      <c r="F449" s="291"/>
      <c r="G449" s="285">
        <f t="shared" si="76"/>
        <v>1</v>
      </c>
      <c r="H449" s="291"/>
      <c r="I449" s="285">
        <f t="shared" si="77"/>
        <v>1</v>
      </c>
      <c r="J449" s="291"/>
      <c r="K449" s="285">
        <f t="shared" si="78"/>
        <v>1</v>
      </c>
      <c r="L449" s="291"/>
      <c r="M449" s="285">
        <f t="shared" si="79"/>
        <v>1</v>
      </c>
      <c r="N449" s="291"/>
      <c r="O449" s="285">
        <f t="shared" si="80"/>
        <v>1</v>
      </c>
      <c r="P449" s="291"/>
      <c r="Q449" s="285">
        <f t="shared" si="81"/>
        <v>0</v>
      </c>
      <c r="R449" s="341">
        <f t="shared" si="82"/>
        <v>0</v>
      </c>
      <c r="S449" s="284">
        <f t="shared" si="83"/>
        <v>0</v>
      </c>
    </row>
    <row r="450" spans="1:19">
      <c r="A450" s="292"/>
      <c r="B450" s="293"/>
      <c r="C450" s="285">
        <f t="shared" si="74"/>
        <v>1</v>
      </c>
      <c r="D450" s="291"/>
      <c r="E450" s="285">
        <f t="shared" si="75"/>
        <v>1</v>
      </c>
      <c r="F450" s="291"/>
      <c r="G450" s="285">
        <f t="shared" si="76"/>
        <v>1</v>
      </c>
      <c r="H450" s="291"/>
      <c r="I450" s="285">
        <f t="shared" si="77"/>
        <v>1</v>
      </c>
      <c r="J450" s="291"/>
      <c r="K450" s="285">
        <f t="shared" si="78"/>
        <v>1</v>
      </c>
      <c r="L450" s="291"/>
      <c r="M450" s="285">
        <f t="shared" si="79"/>
        <v>1</v>
      </c>
      <c r="N450" s="291"/>
      <c r="O450" s="285">
        <f t="shared" si="80"/>
        <v>1</v>
      </c>
      <c r="P450" s="291"/>
      <c r="Q450" s="285">
        <f t="shared" si="81"/>
        <v>0</v>
      </c>
      <c r="R450" s="341">
        <f t="shared" si="82"/>
        <v>0</v>
      </c>
      <c r="S450" s="284">
        <f t="shared" si="83"/>
        <v>0</v>
      </c>
    </row>
    <row r="451" spans="1:19">
      <c r="A451" s="292"/>
      <c r="B451" s="293"/>
      <c r="C451" s="285">
        <f t="shared" si="74"/>
        <v>1</v>
      </c>
      <c r="D451" s="291"/>
      <c r="E451" s="285">
        <f t="shared" si="75"/>
        <v>1</v>
      </c>
      <c r="F451" s="291"/>
      <c r="G451" s="285">
        <f t="shared" si="76"/>
        <v>1</v>
      </c>
      <c r="H451" s="291"/>
      <c r="I451" s="285">
        <f t="shared" si="77"/>
        <v>1</v>
      </c>
      <c r="J451" s="291"/>
      <c r="K451" s="285">
        <f t="shared" si="78"/>
        <v>1</v>
      </c>
      <c r="L451" s="291"/>
      <c r="M451" s="285">
        <f t="shared" si="79"/>
        <v>1</v>
      </c>
      <c r="N451" s="291"/>
      <c r="O451" s="285">
        <f t="shared" si="80"/>
        <v>1</v>
      </c>
      <c r="P451" s="291"/>
      <c r="Q451" s="285">
        <f t="shared" si="81"/>
        <v>0</v>
      </c>
      <c r="R451" s="341">
        <f t="shared" si="82"/>
        <v>0</v>
      </c>
      <c r="S451" s="284">
        <f t="shared" si="83"/>
        <v>0</v>
      </c>
    </row>
    <row r="452" spans="1:19">
      <c r="A452" s="292"/>
      <c r="B452" s="293"/>
      <c r="C452" s="285">
        <f t="shared" si="74"/>
        <v>1</v>
      </c>
      <c r="D452" s="291"/>
      <c r="E452" s="285">
        <f t="shared" si="75"/>
        <v>1</v>
      </c>
      <c r="F452" s="291"/>
      <c r="G452" s="285">
        <f t="shared" si="76"/>
        <v>1</v>
      </c>
      <c r="H452" s="291"/>
      <c r="I452" s="285">
        <f t="shared" si="77"/>
        <v>1</v>
      </c>
      <c r="J452" s="291"/>
      <c r="K452" s="285">
        <f t="shared" si="78"/>
        <v>1</v>
      </c>
      <c r="L452" s="291"/>
      <c r="M452" s="285">
        <f t="shared" si="79"/>
        <v>1</v>
      </c>
      <c r="N452" s="291"/>
      <c r="O452" s="285">
        <f t="shared" si="80"/>
        <v>1</v>
      </c>
      <c r="P452" s="291"/>
      <c r="Q452" s="285">
        <f t="shared" si="81"/>
        <v>0</v>
      </c>
      <c r="R452" s="341">
        <f t="shared" si="82"/>
        <v>0</v>
      </c>
      <c r="S452" s="284">
        <f t="shared" si="83"/>
        <v>0</v>
      </c>
    </row>
    <row r="453" spans="1:19">
      <c r="A453" s="292"/>
      <c r="B453" s="293"/>
      <c r="C453" s="285">
        <f t="shared" si="74"/>
        <v>1</v>
      </c>
      <c r="D453" s="291"/>
      <c r="E453" s="285">
        <f t="shared" si="75"/>
        <v>1</v>
      </c>
      <c r="F453" s="291"/>
      <c r="G453" s="285">
        <f t="shared" si="76"/>
        <v>1</v>
      </c>
      <c r="H453" s="291"/>
      <c r="I453" s="285">
        <f t="shared" si="77"/>
        <v>1</v>
      </c>
      <c r="J453" s="291"/>
      <c r="K453" s="285">
        <f t="shared" si="78"/>
        <v>1</v>
      </c>
      <c r="L453" s="291"/>
      <c r="M453" s="285">
        <f t="shared" si="79"/>
        <v>1</v>
      </c>
      <c r="N453" s="291"/>
      <c r="O453" s="285">
        <f t="shared" si="80"/>
        <v>1</v>
      </c>
      <c r="P453" s="291"/>
      <c r="Q453" s="285">
        <f t="shared" si="81"/>
        <v>0</v>
      </c>
      <c r="R453" s="341">
        <f t="shared" si="82"/>
        <v>0</v>
      </c>
      <c r="S453" s="284">
        <f t="shared" si="83"/>
        <v>0</v>
      </c>
    </row>
    <row r="454" spans="1:19">
      <c r="A454" s="292"/>
      <c r="B454" s="293"/>
      <c r="C454" s="285">
        <f t="shared" si="74"/>
        <v>1</v>
      </c>
      <c r="D454" s="291"/>
      <c r="E454" s="285">
        <f t="shared" si="75"/>
        <v>1</v>
      </c>
      <c r="F454" s="291"/>
      <c r="G454" s="285">
        <f t="shared" si="76"/>
        <v>1</v>
      </c>
      <c r="H454" s="291"/>
      <c r="I454" s="285">
        <f t="shared" si="77"/>
        <v>1</v>
      </c>
      <c r="J454" s="291"/>
      <c r="K454" s="285">
        <f t="shared" si="78"/>
        <v>1</v>
      </c>
      <c r="L454" s="291"/>
      <c r="M454" s="285">
        <f t="shared" si="79"/>
        <v>1</v>
      </c>
      <c r="N454" s="291"/>
      <c r="O454" s="285">
        <f t="shared" si="80"/>
        <v>1</v>
      </c>
      <c r="P454" s="291"/>
      <c r="Q454" s="285">
        <f t="shared" si="81"/>
        <v>0</v>
      </c>
      <c r="R454" s="341">
        <f t="shared" si="82"/>
        <v>0</v>
      </c>
      <c r="S454" s="284">
        <f t="shared" si="83"/>
        <v>0</v>
      </c>
    </row>
    <row r="455" spans="1:19">
      <c r="A455" s="292"/>
      <c r="B455" s="293"/>
      <c r="C455" s="285">
        <f t="shared" si="74"/>
        <v>1</v>
      </c>
      <c r="D455" s="291"/>
      <c r="E455" s="285">
        <f t="shared" si="75"/>
        <v>1</v>
      </c>
      <c r="F455" s="291"/>
      <c r="G455" s="285">
        <f t="shared" si="76"/>
        <v>1</v>
      </c>
      <c r="H455" s="291"/>
      <c r="I455" s="285">
        <f t="shared" si="77"/>
        <v>1</v>
      </c>
      <c r="J455" s="291"/>
      <c r="K455" s="285">
        <f t="shared" si="78"/>
        <v>1</v>
      </c>
      <c r="L455" s="291"/>
      <c r="M455" s="285">
        <f t="shared" si="79"/>
        <v>1</v>
      </c>
      <c r="N455" s="291"/>
      <c r="O455" s="285">
        <f t="shared" si="80"/>
        <v>1</v>
      </c>
      <c r="P455" s="291"/>
      <c r="Q455" s="285">
        <f t="shared" si="81"/>
        <v>0</v>
      </c>
      <c r="R455" s="341">
        <f t="shared" si="82"/>
        <v>0</v>
      </c>
      <c r="S455" s="284">
        <f t="shared" si="83"/>
        <v>0</v>
      </c>
    </row>
    <row r="456" spans="1:19">
      <c r="A456" s="292"/>
      <c r="B456" s="293"/>
      <c r="C456" s="285">
        <f t="shared" si="74"/>
        <v>1</v>
      </c>
      <c r="D456" s="291"/>
      <c r="E456" s="285">
        <f t="shared" si="75"/>
        <v>1</v>
      </c>
      <c r="F456" s="291"/>
      <c r="G456" s="285">
        <f t="shared" si="76"/>
        <v>1</v>
      </c>
      <c r="H456" s="291"/>
      <c r="I456" s="285">
        <f t="shared" si="77"/>
        <v>1</v>
      </c>
      <c r="J456" s="291"/>
      <c r="K456" s="285">
        <f t="shared" si="78"/>
        <v>1</v>
      </c>
      <c r="L456" s="291"/>
      <c r="M456" s="285">
        <f t="shared" si="79"/>
        <v>1</v>
      </c>
      <c r="N456" s="291"/>
      <c r="O456" s="285">
        <f t="shared" si="80"/>
        <v>1</v>
      </c>
      <c r="P456" s="291"/>
      <c r="Q456" s="285">
        <f t="shared" si="81"/>
        <v>0</v>
      </c>
      <c r="R456" s="341">
        <f t="shared" si="82"/>
        <v>0</v>
      </c>
      <c r="S456" s="284">
        <f t="shared" si="83"/>
        <v>0</v>
      </c>
    </row>
    <row r="457" spans="1:19">
      <c r="A457" s="292"/>
      <c r="B457" s="293"/>
      <c r="C457" s="285">
        <f t="shared" si="74"/>
        <v>1</v>
      </c>
      <c r="D457" s="291"/>
      <c r="E457" s="285">
        <f t="shared" si="75"/>
        <v>1</v>
      </c>
      <c r="F457" s="291"/>
      <c r="G457" s="285">
        <f t="shared" si="76"/>
        <v>1</v>
      </c>
      <c r="H457" s="291"/>
      <c r="I457" s="285">
        <f t="shared" si="77"/>
        <v>1</v>
      </c>
      <c r="J457" s="291"/>
      <c r="K457" s="285">
        <f t="shared" si="78"/>
        <v>1</v>
      </c>
      <c r="L457" s="291"/>
      <c r="M457" s="285">
        <f t="shared" si="79"/>
        <v>1</v>
      </c>
      <c r="N457" s="291"/>
      <c r="O457" s="285">
        <f t="shared" si="80"/>
        <v>1</v>
      </c>
      <c r="P457" s="291"/>
      <c r="Q457" s="285">
        <f t="shared" si="81"/>
        <v>0</v>
      </c>
      <c r="R457" s="341">
        <f t="shared" si="82"/>
        <v>0</v>
      </c>
      <c r="S457" s="284">
        <f t="shared" si="83"/>
        <v>0</v>
      </c>
    </row>
    <row r="458" spans="1:19">
      <c r="A458" s="292"/>
      <c r="B458" s="293"/>
      <c r="C458" s="285">
        <f t="shared" si="74"/>
        <v>1</v>
      </c>
      <c r="D458" s="291"/>
      <c r="E458" s="285">
        <f t="shared" si="75"/>
        <v>1</v>
      </c>
      <c r="F458" s="291"/>
      <c r="G458" s="285">
        <f t="shared" si="76"/>
        <v>1</v>
      </c>
      <c r="H458" s="291"/>
      <c r="I458" s="285">
        <f t="shared" si="77"/>
        <v>1</v>
      </c>
      <c r="J458" s="291"/>
      <c r="K458" s="285">
        <f t="shared" si="78"/>
        <v>1</v>
      </c>
      <c r="L458" s="291"/>
      <c r="M458" s="285">
        <f t="shared" si="79"/>
        <v>1</v>
      </c>
      <c r="N458" s="291"/>
      <c r="O458" s="285">
        <f t="shared" si="80"/>
        <v>1</v>
      </c>
      <c r="P458" s="291"/>
      <c r="Q458" s="285">
        <f t="shared" si="81"/>
        <v>0</v>
      </c>
      <c r="R458" s="341">
        <f t="shared" si="82"/>
        <v>0</v>
      </c>
      <c r="S458" s="284">
        <f t="shared" si="83"/>
        <v>0</v>
      </c>
    </row>
    <row r="459" spans="1:19">
      <c r="A459" s="292"/>
      <c r="B459" s="293"/>
      <c r="C459" s="285">
        <f t="shared" si="74"/>
        <v>1</v>
      </c>
      <c r="D459" s="291"/>
      <c r="E459" s="285">
        <f t="shared" si="75"/>
        <v>1</v>
      </c>
      <c r="F459" s="291"/>
      <c r="G459" s="285">
        <f t="shared" si="76"/>
        <v>1</v>
      </c>
      <c r="H459" s="291"/>
      <c r="I459" s="285">
        <f t="shared" si="77"/>
        <v>1</v>
      </c>
      <c r="J459" s="291"/>
      <c r="K459" s="285">
        <f t="shared" si="78"/>
        <v>1</v>
      </c>
      <c r="L459" s="291"/>
      <c r="M459" s="285">
        <f t="shared" si="79"/>
        <v>1</v>
      </c>
      <c r="N459" s="291"/>
      <c r="O459" s="285">
        <f t="shared" si="80"/>
        <v>1</v>
      </c>
      <c r="P459" s="291"/>
      <c r="Q459" s="285">
        <f t="shared" si="81"/>
        <v>0</v>
      </c>
      <c r="R459" s="341">
        <f t="shared" si="82"/>
        <v>0</v>
      </c>
      <c r="S459" s="284">
        <f t="shared" si="83"/>
        <v>0</v>
      </c>
    </row>
    <row r="460" spans="1:19">
      <c r="A460" s="292"/>
      <c r="B460" s="293"/>
      <c r="C460" s="285">
        <f t="shared" si="74"/>
        <v>1</v>
      </c>
      <c r="D460" s="291"/>
      <c r="E460" s="285">
        <f t="shared" si="75"/>
        <v>1</v>
      </c>
      <c r="F460" s="291"/>
      <c r="G460" s="285">
        <f t="shared" si="76"/>
        <v>1</v>
      </c>
      <c r="H460" s="291"/>
      <c r="I460" s="285">
        <f t="shared" si="77"/>
        <v>1</v>
      </c>
      <c r="J460" s="291"/>
      <c r="K460" s="285">
        <f t="shared" si="78"/>
        <v>1</v>
      </c>
      <c r="L460" s="291"/>
      <c r="M460" s="285">
        <f t="shared" si="79"/>
        <v>1</v>
      </c>
      <c r="N460" s="291"/>
      <c r="O460" s="285">
        <f t="shared" si="80"/>
        <v>1</v>
      </c>
      <c r="P460" s="291"/>
      <c r="Q460" s="285">
        <f t="shared" si="81"/>
        <v>0</v>
      </c>
      <c r="R460" s="341">
        <f t="shared" si="82"/>
        <v>0</v>
      </c>
      <c r="S460" s="284">
        <f t="shared" si="83"/>
        <v>0</v>
      </c>
    </row>
    <row r="461" spans="1:19">
      <c r="A461" s="292"/>
      <c r="B461" s="293"/>
      <c r="C461" s="285">
        <f t="shared" si="74"/>
        <v>1</v>
      </c>
      <c r="D461" s="291"/>
      <c r="E461" s="285">
        <f t="shared" si="75"/>
        <v>1</v>
      </c>
      <c r="F461" s="291"/>
      <c r="G461" s="285">
        <f t="shared" si="76"/>
        <v>1</v>
      </c>
      <c r="H461" s="291"/>
      <c r="I461" s="285">
        <f t="shared" si="77"/>
        <v>1</v>
      </c>
      <c r="J461" s="291"/>
      <c r="K461" s="285">
        <f t="shared" si="78"/>
        <v>1</v>
      </c>
      <c r="L461" s="291"/>
      <c r="M461" s="285">
        <f t="shared" si="79"/>
        <v>1</v>
      </c>
      <c r="N461" s="291"/>
      <c r="O461" s="285">
        <f t="shared" si="80"/>
        <v>1</v>
      </c>
      <c r="P461" s="291"/>
      <c r="Q461" s="285">
        <f t="shared" si="81"/>
        <v>0</v>
      </c>
      <c r="R461" s="341">
        <f t="shared" si="82"/>
        <v>0</v>
      </c>
      <c r="S461" s="284">
        <f t="shared" si="83"/>
        <v>0</v>
      </c>
    </row>
    <row r="462" spans="1:19">
      <c r="A462" s="292"/>
      <c r="B462" s="293"/>
      <c r="C462" s="285">
        <f t="shared" si="74"/>
        <v>1</v>
      </c>
      <c r="D462" s="291"/>
      <c r="E462" s="285">
        <f t="shared" si="75"/>
        <v>1</v>
      </c>
      <c r="F462" s="291"/>
      <c r="G462" s="285">
        <f t="shared" si="76"/>
        <v>1</v>
      </c>
      <c r="H462" s="291"/>
      <c r="I462" s="285">
        <f t="shared" si="77"/>
        <v>1</v>
      </c>
      <c r="J462" s="291"/>
      <c r="K462" s="285">
        <f t="shared" si="78"/>
        <v>1</v>
      </c>
      <c r="L462" s="291"/>
      <c r="M462" s="285">
        <f t="shared" si="79"/>
        <v>1</v>
      </c>
      <c r="N462" s="291"/>
      <c r="O462" s="285">
        <f t="shared" si="80"/>
        <v>1</v>
      </c>
      <c r="P462" s="291"/>
      <c r="Q462" s="285">
        <f t="shared" si="81"/>
        <v>0</v>
      </c>
      <c r="R462" s="341">
        <f t="shared" si="82"/>
        <v>0</v>
      </c>
      <c r="S462" s="284">
        <f t="shared" si="83"/>
        <v>0</v>
      </c>
    </row>
    <row r="463" spans="1:19">
      <c r="A463" s="292"/>
      <c r="B463" s="293"/>
      <c r="C463" s="285">
        <f t="shared" si="74"/>
        <v>1</v>
      </c>
      <c r="D463" s="291"/>
      <c r="E463" s="285">
        <f t="shared" si="75"/>
        <v>1</v>
      </c>
      <c r="F463" s="291"/>
      <c r="G463" s="285">
        <f t="shared" si="76"/>
        <v>1</v>
      </c>
      <c r="H463" s="291"/>
      <c r="I463" s="285">
        <f t="shared" si="77"/>
        <v>1</v>
      </c>
      <c r="J463" s="291"/>
      <c r="K463" s="285">
        <f t="shared" si="78"/>
        <v>1</v>
      </c>
      <c r="L463" s="291"/>
      <c r="M463" s="285">
        <f t="shared" si="79"/>
        <v>1</v>
      </c>
      <c r="N463" s="291"/>
      <c r="O463" s="285">
        <f t="shared" si="80"/>
        <v>1</v>
      </c>
      <c r="P463" s="291"/>
      <c r="Q463" s="285">
        <f t="shared" si="81"/>
        <v>0</v>
      </c>
      <c r="R463" s="341">
        <f t="shared" si="82"/>
        <v>0</v>
      </c>
      <c r="S463" s="284">
        <f t="shared" si="83"/>
        <v>0</v>
      </c>
    </row>
    <row r="464" spans="1:19">
      <c r="A464" s="292"/>
      <c r="B464" s="293"/>
      <c r="C464" s="285">
        <f t="shared" si="74"/>
        <v>1</v>
      </c>
      <c r="D464" s="291"/>
      <c r="E464" s="285">
        <f t="shared" si="75"/>
        <v>1</v>
      </c>
      <c r="F464" s="291"/>
      <c r="G464" s="285">
        <f t="shared" si="76"/>
        <v>1</v>
      </c>
      <c r="H464" s="291"/>
      <c r="I464" s="285">
        <f t="shared" si="77"/>
        <v>1</v>
      </c>
      <c r="J464" s="291"/>
      <c r="K464" s="285">
        <f t="shared" si="78"/>
        <v>1</v>
      </c>
      <c r="L464" s="291"/>
      <c r="M464" s="285">
        <f t="shared" si="79"/>
        <v>1</v>
      </c>
      <c r="N464" s="291"/>
      <c r="O464" s="285">
        <f t="shared" si="80"/>
        <v>1</v>
      </c>
      <c r="P464" s="291"/>
      <c r="Q464" s="285">
        <f t="shared" si="81"/>
        <v>0</v>
      </c>
      <c r="R464" s="341">
        <f t="shared" si="82"/>
        <v>0</v>
      </c>
      <c r="S464" s="284">
        <f t="shared" si="83"/>
        <v>0</v>
      </c>
    </row>
    <row r="465" spans="1:19">
      <c r="A465" s="292"/>
      <c r="B465" s="293"/>
      <c r="C465" s="285">
        <f t="shared" si="74"/>
        <v>1</v>
      </c>
      <c r="D465" s="291"/>
      <c r="E465" s="285">
        <f t="shared" si="75"/>
        <v>1</v>
      </c>
      <c r="F465" s="291"/>
      <c r="G465" s="285">
        <f t="shared" si="76"/>
        <v>1</v>
      </c>
      <c r="H465" s="291"/>
      <c r="I465" s="285">
        <f t="shared" si="77"/>
        <v>1</v>
      </c>
      <c r="J465" s="291"/>
      <c r="K465" s="285">
        <f t="shared" si="78"/>
        <v>1</v>
      </c>
      <c r="L465" s="291"/>
      <c r="M465" s="285">
        <f t="shared" si="79"/>
        <v>1</v>
      </c>
      <c r="N465" s="291"/>
      <c r="O465" s="285">
        <f t="shared" si="80"/>
        <v>1</v>
      </c>
      <c r="P465" s="291"/>
      <c r="Q465" s="285">
        <f t="shared" si="81"/>
        <v>0</v>
      </c>
      <c r="R465" s="341">
        <f t="shared" si="82"/>
        <v>0</v>
      </c>
      <c r="S465" s="284">
        <f t="shared" si="83"/>
        <v>0</v>
      </c>
    </row>
    <row r="466" spans="1:19">
      <c r="A466" s="292"/>
      <c r="B466" s="293"/>
      <c r="C466" s="285">
        <f t="shared" si="74"/>
        <v>1</v>
      </c>
      <c r="D466" s="291"/>
      <c r="E466" s="285">
        <f t="shared" si="75"/>
        <v>1</v>
      </c>
      <c r="F466" s="291"/>
      <c r="G466" s="285">
        <f t="shared" si="76"/>
        <v>1</v>
      </c>
      <c r="H466" s="291"/>
      <c r="I466" s="285">
        <f t="shared" si="77"/>
        <v>1</v>
      </c>
      <c r="J466" s="291"/>
      <c r="K466" s="285">
        <f t="shared" si="78"/>
        <v>1</v>
      </c>
      <c r="L466" s="291"/>
      <c r="M466" s="285">
        <f t="shared" si="79"/>
        <v>1</v>
      </c>
      <c r="N466" s="291"/>
      <c r="O466" s="285">
        <f t="shared" si="80"/>
        <v>1</v>
      </c>
      <c r="P466" s="291"/>
      <c r="Q466" s="285">
        <f t="shared" si="81"/>
        <v>0</v>
      </c>
      <c r="R466" s="341">
        <f t="shared" si="82"/>
        <v>0</v>
      </c>
      <c r="S466" s="284">
        <f t="shared" si="83"/>
        <v>0</v>
      </c>
    </row>
    <row r="467" spans="1:19">
      <c r="A467" s="292"/>
      <c r="B467" s="293"/>
      <c r="C467" s="285">
        <f t="shared" si="74"/>
        <v>1</v>
      </c>
      <c r="D467" s="291"/>
      <c r="E467" s="285">
        <f t="shared" si="75"/>
        <v>1</v>
      </c>
      <c r="F467" s="291"/>
      <c r="G467" s="285">
        <f t="shared" si="76"/>
        <v>1</v>
      </c>
      <c r="H467" s="291"/>
      <c r="I467" s="285">
        <f t="shared" si="77"/>
        <v>1</v>
      </c>
      <c r="J467" s="291"/>
      <c r="K467" s="285">
        <f t="shared" si="78"/>
        <v>1</v>
      </c>
      <c r="L467" s="291"/>
      <c r="M467" s="285">
        <f t="shared" si="79"/>
        <v>1</v>
      </c>
      <c r="N467" s="291"/>
      <c r="O467" s="285">
        <f t="shared" si="80"/>
        <v>1</v>
      </c>
      <c r="P467" s="291"/>
      <c r="Q467" s="285">
        <f t="shared" si="81"/>
        <v>0</v>
      </c>
      <c r="R467" s="341">
        <f t="shared" si="82"/>
        <v>0</v>
      </c>
      <c r="S467" s="284">
        <f t="shared" si="83"/>
        <v>0</v>
      </c>
    </row>
    <row r="468" spans="1:19">
      <c r="A468" s="292"/>
      <c r="B468" s="293"/>
      <c r="C468" s="285">
        <f t="shared" si="74"/>
        <v>1</v>
      </c>
      <c r="D468" s="291"/>
      <c r="E468" s="285">
        <f t="shared" si="75"/>
        <v>1</v>
      </c>
      <c r="F468" s="291"/>
      <c r="G468" s="285">
        <f t="shared" si="76"/>
        <v>1</v>
      </c>
      <c r="H468" s="291"/>
      <c r="I468" s="285">
        <f t="shared" si="77"/>
        <v>1</v>
      </c>
      <c r="J468" s="291"/>
      <c r="K468" s="285">
        <f t="shared" si="78"/>
        <v>1</v>
      </c>
      <c r="L468" s="291"/>
      <c r="M468" s="285">
        <f t="shared" si="79"/>
        <v>1</v>
      </c>
      <c r="N468" s="291"/>
      <c r="O468" s="285">
        <f t="shared" si="80"/>
        <v>1</v>
      </c>
      <c r="P468" s="291"/>
      <c r="Q468" s="285">
        <f t="shared" si="81"/>
        <v>0</v>
      </c>
      <c r="R468" s="341">
        <f t="shared" si="82"/>
        <v>0</v>
      </c>
      <c r="S468" s="284">
        <f t="shared" ref="S468:S497" si="84">ROUND(R468*B468/10000,0)</f>
        <v>0</v>
      </c>
    </row>
    <row r="469" spans="1:19">
      <c r="A469" s="292"/>
      <c r="B469" s="293"/>
      <c r="C469" s="285">
        <f t="shared" si="74"/>
        <v>1</v>
      </c>
      <c r="D469" s="291"/>
      <c r="E469" s="285">
        <f t="shared" si="75"/>
        <v>1</v>
      </c>
      <c r="F469" s="291"/>
      <c r="G469" s="285">
        <f t="shared" si="76"/>
        <v>1</v>
      </c>
      <c r="H469" s="291"/>
      <c r="I469" s="285">
        <f t="shared" si="77"/>
        <v>1</v>
      </c>
      <c r="J469" s="291"/>
      <c r="K469" s="285">
        <f t="shared" si="78"/>
        <v>1</v>
      </c>
      <c r="L469" s="291"/>
      <c r="M469" s="285">
        <f t="shared" si="79"/>
        <v>1</v>
      </c>
      <c r="N469" s="291"/>
      <c r="O469" s="285">
        <f t="shared" si="80"/>
        <v>1</v>
      </c>
      <c r="P469" s="291"/>
      <c r="Q469" s="285">
        <f t="shared" si="81"/>
        <v>0</v>
      </c>
      <c r="R469" s="341">
        <f t="shared" si="82"/>
        <v>0</v>
      </c>
      <c r="S469" s="284">
        <f t="shared" si="84"/>
        <v>0</v>
      </c>
    </row>
    <row r="470" spans="1:19">
      <c r="A470" s="292"/>
      <c r="B470" s="293"/>
      <c r="C470" s="285">
        <f t="shared" si="74"/>
        <v>1</v>
      </c>
      <c r="D470" s="291"/>
      <c r="E470" s="285">
        <f t="shared" si="75"/>
        <v>1</v>
      </c>
      <c r="F470" s="291"/>
      <c r="G470" s="285">
        <f t="shared" si="76"/>
        <v>1</v>
      </c>
      <c r="H470" s="291"/>
      <c r="I470" s="285">
        <f t="shared" si="77"/>
        <v>1</v>
      </c>
      <c r="J470" s="291"/>
      <c r="K470" s="285">
        <f t="shared" si="78"/>
        <v>1</v>
      </c>
      <c r="L470" s="291"/>
      <c r="M470" s="285">
        <f t="shared" si="79"/>
        <v>1</v>
      </c>
      <c r="N470" s="291"/>
      <c r="O470" s="285">
        <f t="shared" si="80"/>
        <v>1</v>
      </c>
      <c r="P470" s="291"/>
      <c r="Q470" s="285">
        <f t="shared" si="81"/>
        <v>0</v>
      </c>
      <c r="R470" s="341">
        <f t="shared" si="82"/>
        <v>0</v>
      </c>
      <c r="S470" s="284">
        <f t="shared" si="84"/>
        <v>0</v>
      </c>
    </row>
    <row r="471" spans="1:19">
      <c r="A471" s="292"/>
      <c r="B471" s="293"/>
      <c r="C471" s="285">
        <f t="shared" si="74"/>
        <v>1</v>
      </c>
      <c r="D471" s="291"/>
      <c r="E471" s="285">
        <f t="shared" si="75"/>
        <v>1</v>
      </c>
      <c r="F471" s="291"/>
      <c r="G471" s="285">
        <f t="shared" si="76"/>
        <v>1</v>
      </c>
      <c r="H471" s="291"/>
      <c r="I471" s="285">
        <f t="shared" si="77"/>
        <v>1</v>
      </c>
      <c r="J471" s="291"/>
      <c r="K471" s="285">
        <f t="shared" si="78"/>
        <v>1</v>
      </c>
      <c r="L471" s="291"/>
      <c r="M471" s="285">
        <f t="shared" si="79"/>
        <v>1</v>
      </c>
      <c r="N471" s="291"/>
      <c r="O471" s="285">
        <f t="shared" si="80"/>
        <v>1</v>
      </c>
      <c r="P471" s="291"/>
      <c r="Q471" s="285">
        <f t="shared" si="81"/>
        <v>0</v>
      </c>
      <c r="R471" s="341">
        <f t="shared" si="82"/>
        <v>0</v>
      </c>
      <c r="S471" s="284">
        <f t="shared" si="84"/>
        <v>0</v>
      </c>
    </row>
    <row r="472" spans="1:19">
      <c r="A472" s="292"/>
      <c r="B472" s="293"/>
      <c r="C472" s="285">
        <f t="shared" si="74"/>
        <v>1</v>
      </c>
      <c r="D472" s="291"/>
      <c r="E472" s="285">
        <f t="shared" si="75"/>
        <v>1</v>
      </c>
      <c r="F472" s="291"/>
      <c r="G472" s="285">
        <f t="shared" si="76"/>
        <v>1</v>
      </c>
      <c r="H472" s="291"/>
      <c r="I472" s="285">
        <f t="shared" si="77"/>
        <v>1</v>
      </c>
      <c r="J472" s="291"/>
      <c r="K472" s="285">
        <f t="shared" si="78"/>
        <v>1</v>
      </c>
      <c r="L472" s="291"/>
      <c r="M472" s="285">
        <f t="shared" si="79"/>
        <v>1</v>
      </c>
      <c r="N472" s="291"/>
      <c r="O472" s="285">
        <f t="shared" si="80"/>
        <v>1</v>
      </c>
      <c r="P472" s="291"/>
      <c r="Q472" s="285">
        <f t="shared" si="81"/>
        <v>0</v>
      </c>
      <c r="R472" s="341">
        <f t="shared" si="82"/>
        <v>0</v>
      </c>
      <c r="S472" s="284">
        <f t="shared" si="84"/>
        <v>0</v>
      </c>
    </row>
    <row r="473" spans="1:19">
      <c r="A473" s="292"/>
      <c r="B473" s="293"/>
      <c r="C473" s="285">
        <f t="shared" si="74"/>
        <v>1</v>
      </c>
      <c r="D473" s="291"/>
      <c r="E473" s="285">
        <f t="shared" si="75"/>
        <v>1</v>
      </c>
      <c r="F473" s="291"/>
      <c r="G473" s="285">
        <f t="shared" si="76"/>
        <v>1</v>
      </c>
      <c r="H473" s="291"/>
      <c r="I473" s="285">
        <f t="shared" si="77"/>
        <v>1</v>
      </c>
      <c r="J473" s="291"/>
      <c r="K473" s="285">
        <f t="shared" si="78"/>
        <v>1</v>
      </c>
      <c r="L473" s="291"/>
      <c r="M473" s="285">
        <f t="shared" si="79"/>
        <v>1</v>
      </c>
      <c r="N473" s="291"/>
      <c r="O473" s="285">
        <f t="shared" si="80"/>
        <v>1</v>
      </c>
      <c r="P473" s="291"/>
      <c r="Q473" s="285">
        <f t="shared" si="81"/>
        <v>0</v>
      </c>
      <c r="R473" s="341">
        <f t="shared" si="82"/>
        <v>0</v>
      </c>
      <c r="S473" s="284">
        <f t="shared" si="84"/>
        <v>0</v>
      </c>
    </row>
    <row r="474" spans="1:19">
      <c r="A474" s="292"/>
      <c r="B474" s="293"/>
      <c r="C474" s="285">
        <f t="shared" ref="C474:C524" si="85">IF(B474="",1,(LOOKUP(B474,$3:$3,$4:$4)-LOOKUP($B$24,$3:$3,$4:$4)+100)/100)</f>
        <v>1</v>
      </c>
      <c r="D474" s="291"/>
      <c r="E474" s="285">
        <f t="shared" ref="E474:E524" si="86">(SUMIF($5:$5,D474,$6:$6)-SUMIF($5:$5,$D$24,$6:$6)+100)/100</f>
        <v>1</v>
      </c>
      <c r="F474" s="291"/>
      <c r="G474" s="285">
        <f t="shared" ref="G474:G524" si="87">(SUMIF($7:$7,F474,$8:$8)-SUMIF($7:$7,$F$24,$8:$8)+100)/100</f>
        <v>1</v>
      </c>
      <c r="H474" s="291"/>
      <c r="I474" s="285">
        <f t="shared" ref="I474:I524" si="88">(SUMIF($9:$9,H474,$10:$10)-SUMIF($9:$9,$H$24,$10:$10)+100)/100</f>
        <v>1</v>
      </c>
      <c r="J474" s="291"/>
      <c r="K474" s="285">
        <f t="shared" ref="K474:K524" si="89">(SUMIF($11:$11,J474,$12:$12)-SUMIF($11:$11,$J$24,$12:$12)+100)/100</f>
        <v>1</v>
      </c>
      <c r="L474" s="291"/>
      <c r="M474" s="285">
        <f t="shared" ref="M474:M524" si="90">(SUMIF($13:$13,L474,$14:$14)-SUMIF($13:$13,$L$24,$14:$14)+100)/100</f>
        <v>1</v>
      </c>
      <c r="N474" s="291"/>
      <c r="O474" s="285">
        <f t="shared" ref="O474:O524" si="91">(SUMIF($15:$15,N474,$16:$16)-SUMIF($15:$15,$N$24,$16:$16)+100)/100</f>
        <v>1</v>
      </c>
      <c r="P474" s="291"/>
      <c r="Q474" s="285">
        <f t="shared" ref="Q474:Q524" si="92">(SUMIF($17:$17,P474,$18:$18)-SUMIF($17:$17,$P$24,$18:$18)+100)/100</f>
        <v>0</v>
      </c>
      <c r="R474" s="341">
        <f t="shared" ref="R474:R524" si="93">IF(B474="",0,ROUND($R$24*C474*E474*G474*I474*K474*M474*O474*Q474,0))</f>
        <v>0</v>
      </c>
      <c r="S474" s="284">
        <f t="shared" si="84"/>
        <v>0</v>
      </c>
    </row>
    <row r="475" spans="1:19">
      <c r="A475" s="292"/>
      <c r="B475" s="293"/>
      <c r="C475" s="285">
        <f t="shared" si="85"/>
        <v>1</v>
      </c>
      <c r="D475" s="291"/>
      <c r="E475" s="285">
        <f t="shared" si="86"/>
        <v>1</v>
      </c>
      <c r="F475" s="291"/>
      <c r="G475" s="285">
        <f t="shared" si="87"/>
        <v>1</v>
      </c>
      <c r="H475" s="291"/>
      <c r="I475" s="285">
        <f t="shared" si="88"/>
        <v>1</v>
      </c>
      <c r="J475" s="291"/>
      <c r="K475" s="285">
        <f t="shared" si="89"/>
        <v>1</v>
      </c>
      <c r="L475" s="291"/>
      <c r="M475" s="285">
        <f t="shared" si="90"/>
        <v>1</v>
      </c>
      <c r="N475" s="291"/>
      <c r="O475" s="285">
        <f t="shared" si="91"/>
        <v>1</v>
      </c>
      <c r="P475" s="291"/>
      <c r="Q475" s="285">
        <f t="shared" si="92"/>
        <v>0</v>
      </c>
      <c r="R475" s="341">
        <f t="shared" si="93"/>
        <v>0</v>
      </c>
      <c r="S475" s="284">
        <f t="shared" si="84"/>
        <v>0</v>
      </c>
    </row>
    <row r="476" spans="1:19">
      <c r="A476" s="292"/>
      <c r="B476" s="293"/>
      <c r="C476" s="285">
        <f t="shared" si="85"/>
        <v>1</v>
      </c>
      <c r="D476" s="291"/>
      <c r="E476" s="285">
        <f t="shared" si="86"/>
        <v>1</v>
      </c>
      <c r="F476" s="291"/>
      <c r="G476" s="285">
        <f t="shared" si="87"/>
        <v>1</v>
      </c>
      <c r="H476" s="291"/>
      <c r="I476" s="285">
        <f t="shared" si="88"/>
        <v>1</v>
      </c>
      <c r="J476" s="291"/>
      <c r="K476" s="285">
        <f t="shared" si="89"/>
        <v>1</v>
      </c>
      <c r="L476" s="291"/>
      <c r="M476" s="285">
        <f t="shared" si="90"/>
        <v>1</v>
      </c>
      <c r="N476" s="291"/>
      <c r="O476" s="285">
        <f t="shared" si="91"/>
        <v>1</v>
      </c>
      <c r="P476" s="291"/>
      <c r="Q476" s="285">
        <f t="shared" si="92"/>
        <v>0</v>
      </c>
      <c r="R476" s="341">
        <f t="shared" si="93"/>
        <v>0</v>
      </c>
      <c r="S476" s="284">
        <f t="shared" si="84"/>
        <v>0</v>
      </c>
    </row>
    <row r="477" spans="1:19">
      <c r="A477" s="292"/>
      <c r="B477" s="293"/>
      <c r="C477" s="285">
        <f t="shared" si="85"/>
        <v>1</v>
      </c>
      <c r="D477" s="291"/>
      <c r="E477" s="285">
        <f t="shared" si="86"/>
        <v>1</v>
      </c>
      <c r="F477" s="291"/>
      <c r="G477" s="285">
        <f t="shared" si="87"/>
        <v>1</v>
      </c>
      <c r="H477" s="291"/>
      <c r="I477" s="285">
        <f t="shared" si="88"/>
        <v>1</v>
      </c>
      <c r="J477" s="291"/>
      <c r="K477" s="285">
        <f t="shared" si="89"/>
        <v>1</v>
      </c>
      <c r="L477" s="291"/>
      <c r="M477" s="285">
        <f t="shared" si="90"/>
        <v>1</v>
      </c>
      <c r="N477" s="291"/>
      <c r="O477" s="285">
        <f t="shared" si="91"/>
        <v>1</v>
      </c>
      <c r="P477" s="291"/>
      <c r="Q477" s="285">
        <f t="shared" si="92"/>
        <v>0</v>
      </c>
      <c r="R477" s="341">
        <f t="shared" si="93"/>
        <v>0</v>
      </c>
      <c r="S477" s="284">
        <f t="shared" si="84"/>
        <v>0</v>
      </c>
    </row>
    <row r="478" spans="1:19">
      <c r="A478" s="292"/>
      <c r="B478" s="293"/>
      <c r="C478" s="285">
        <f t="shared" si="85"/>
        <v>1</v>
      </c>
      <c r="D478" s="291"/>
      <c r="E478" s="285">
        <f t="shared" si="86"/>
        <v>1</v>
      </c>
      <c r="F478" s="291"/>
      <c r="G478" s="285">
        <f t="shared" si="87"/>
        <v>1</v>
      </c>
      <c r="H478" s="291"/>
      <c r="I478" s="285">
        <f t="shared" si="88"/>
        <v>1</v>
      </c>
      <c r="J478" s="291"/>
      <c r="K478" s="285">
        <f t="shared" si="89"/>
        <v>1</v>
      </c>
      <c r="L478" s="291"/>
      <c r="M478" s="285">
        <f t="shared" si="90"/>
        <v>1</v>
      </c>
      <c r="N478" s="291"/>
      <c r="O478" s="285">
        <f t="shared" si="91"/>
        <v>1</v>
      </c>
      <c r="P478" s="291"/>
      <c r="Q478" s="285">
        <f t="shared" si="92"/>
        <v>0</v>
      </c>
      <c r="R478" s="341">
        <f t="shared" si="93"/>
        <v>0</v>
      </c>
      <c r="S478" s="284">
        <f t="shared" si="84"/>
        <v>0</v>
      </c>
    </row>
    <row r="479" spans="1:19">
      <c r="A479" s="292"/>
      <c r="B479" s="293"/>
      <c r="C479" s="285">
        <f t="shared" si="85"/>
        <v>1</v>
      </c>
      <c r="D479" s="291"/>
      <c r="E479" s="285">
        <f t="shared" si="86"/>
        <v>1</v>
      </c>
      <c r="F479" s="291"/>
      <c r="G479" s="285">
        <f t="shared" si="87"/>
        <v>1</v>
      </c>
      <c r="H479" s="291"/>
      <c r="I479" s="285">
        <f t="shared" si="88"/>
        <v>1</v>
      </c>
      <c r="J479" s="291"/>
      <c r="K479" s="285">
        <f t="shared" si="89"/>
        <v>1</v>
      </c>
      <c r="L479" s="291"/>
      <c r="M479" s="285">
        <f t="shared" si="90"/>
        <v>1</v>
      </c>
      <c r="N479" s="291"/>
      <c r="O479" s="285">
        <f t="shared" si="91"/>
        <v>1</v>
      </c>
      <c r="P479" s="291"/>
      <c r="Q479" s="285">
        <f t="shared" si="92"/>
        <v>0</v>
      </c>
      <c r="R479" s="341">
        <f t="shared" si="93"/>
        <v>0</v>
      </c>
      <c r="S479" s="284">
        <f t="shared" si="84"/>
        <v>0</v>
      </c>
    </row>
    <row r="480" spans="1:19">
      <c r="A480" s="292"/>
      <c r="B480" s="293"/>
      <c r="C480" s="285">
        <f t="shared" si="85"/>
        <v>1</v>
      </c>
      <c r="D480" s="291"/>
      <c r="E480" s="285">
        <f t="shared" si="86"/>
        <v>1</v>
      </c>
      <c r="F480" s="291"/>
      <c r="G480" s="285">
        <f t="shared" si="87"/>
        <v>1</v>
      </c>
      <c r="H480" s="291"/>
      <c r="I480" s="285">
        <f t="shared" si="88"/>
        <v>1</v>
      </c>
      <c r="J480" s="291"/>
      <c r="K480" s="285">
        <f t="shared" si="89"/>
        <v>1</v>
      </c>
      <c r="L480" s="291"/>
      <c r="M480" s="285">
        <f t="shared" si="90"/>
        <v>1</v>
      </c>
      <c r="N480" s="291"/>
      <c r="O480" s="285">
        <f t="shared" si="91"/>
        <v>1</v>
      </c>
      <c r="P480" s="291"/>
      <c r="Q480" s="285">
        <f t="shared" si="92"/>
        <v>0</v>
      </c>
      <c r="R480" s="341">
        <f t="shared" si="93"/>
        <v>0</v>
      </c>
      <c r="S480" s="284">
        <f t="shared" si="84"/>
        <v>0</v>
      </c>
    </row>
    <row r="481" spans="1:19">
      <c r="A481" s="292"/>
      <c r="B481" s="293"/>
      <c r="C481" s="285">
        <f t="shared" si="85"/>
        <v>1</v>
      </c>
      <c r="D481" s="291"/>
      <c r="E481" s="285">
        <f t="shared" si="86"/>
        <v>1</v>
      </c>
      <c r="F481" s="291"/>
      <c r="G481" s="285">
        <f t="shared" si="87"/>
        <v>1</v>
      </c>
      <c r="H481" s="291"/>
      <c r="I481" s="285">
        <f t="shared" si="88"/>
        <v>1</v>
      </c>
      <c r="J481" s="291"/>
      <c r="K481" s="285">
        <f t="shared" si="89"/>
        <v>1</v>
      </c>
      <c r="L481" s="291"/>
      <c r="M481" s="285">
        <f t="shared" si="90"/>
        <v>1</v>
      </c>
      <c r="N481" s="291"/>
      <c r="O481" s="285">
        <f t="shared" si="91"/>
        <v>1</v>
      </c>
      <c r="P481" s="291"/>
      <c r="Q481" s="285">
        <f t="shared" si="92"/>
        <v>0</v>
      </c>
      <c r="R481" s="341">
        <f t="shared" si="93"/>
        <v>0</v>
      </c>
      <c r="S481" s="284">
        <f t="shared" si="84"/>
        <v>0</v>
      </c>
    </row>
    <row r="482" spans="1:19">
      <c r="A482" s="292"/>
      <c r="B482" s="293"/>
      <c r="C482" s="285">
        <f t="shared" si="85"/>
        <v>1</v>
      </c>
      <c r="D482" s="291"/>
      <c r="E482" s="285">
        <f t="shared" si="86"/>
        <v>1</v>
      </c>
      <c r="F482" s="291"/>
      <c r="G482" s="285">
        <f t="shared" si="87"/>
        <v>1</v>
      </c>
      <c r="H482" s="291"/>
      <c r="I482" s="285">
        <f t="shared" si="88"/>
        <v>1</v>
      </c>
      <c r="J482" s="291"/>
      <c r="K482" s="285">
        <f t="shared" si="89"/>
        <v>1</v>
      </c>
      <c r="L482" s="291"/>
      <c r="M482" s="285">
        <f t="shared" si="90"/>
        <v>1</v>
      </c>
      <c r="N482" s="291"/>
      <c r="O482" s="285">
        <f t="shared" si="91"/>
        <v>1</v>
      </c>
      <c r="P482" s="291"/>
      <c r="Q482" s="285">
        <f t="shared" si="92"/>
        <v>0</v>
      </c>
      <c r="R482" s="341">
        <f t="shared" si="93"/>
        <v>0</v>
      </c>
      <c r="S482" s="284">
        <f t="shared" si="84"/>
        <v>0</v>
      </c>
    </row>
    <row r="483" spans="1:19">
      <c r="A483" s="292"/>
      <c r="B483" s="293"/>
      <c r="C483" s="285">
        <f t="shared" si="85"/>
        <v>1</v>
      </c>
      <c r="D483" s="291"/>
      <c r="E483" s="285">
        <f t="shared" si="86"/>
        <v>1</v>
      </c>
      <c r="F483" s="291"/>
      <c r="G483" s="285">
        <f t="shared" si="87"/>
        <v>1</v>
      </c>
      <c r="H483" s="291"/>
      <c r="I483" s="285">
        <f t="shared" si="88"/>
        <v>1</v>
      </c>
      <c r="J483" s="291"/>
      <c r="K483" s="285">
        <f t="shared" si="89"/>
        <v>1</v>
      </c>
      <c r="L483" s="291"/>
      <c r="M483" s="285">
        <f t="shared" si="90"/>
        <v>1</v>
      </c>
      <c r="N483" s="291"/>
      <c r="O483" s="285">
        <f t="shared" si="91"/>
        <v>1</v>
      </c>
      <c r="P483" s="291"/>
      <c r="Q483" s="285">
        <f t="shared" si="92"/>
        <v>0</v>
      </c>
      <c r="R483" s="341">
        <f t="shared" si="93"/>
        <v>0</v>
      </c>
      <c r="S483" s="284">
        <f t="shared" si="84"/>
        <v>0</v>
      </c>
    </row>
    <row r="484" spans="1:19">
      <c r="A484" s="292"/>
      <c r="B484" s="293"/>
      <c r="C484" s="285">
        <f t="shared" si="85"/>
        <v>1</v>
      </c>
      <c r="D484" s="291"/>
      <c r="E484" s="285">
        <f t="shared" si="86"/>
        <v>1</v>
      </c>
      <c r="F484" s="291"/>
      <c r="G484" s="285">
        <f t="shared" si="87"/>
        <v>1</v>
      </c>
      <c r="H484" s="291"/>
      <c r="I484" s="285">
        <f t="shared" si="88"/>
        <v>1</v>
      </c>
      <c r="J484" s="291"/>
      <c r="K484" s="285">
        <f t="shared" si="89"/>
        <v>1</v>
      </c>
      <c r="L484" s="291"/>
      <c r="M484" s="285">
        <f t="shared" si="90"/>
        <v>1</v>
      </c>
      <c r="N484" s="291"/>
      <c r="O484" s="285">
        <f t="shared" si="91"/>
        <v>1</v>
      </c>
      <c r="P484" s="291"/>
      <c r="Q484" s="285">
        <f t="shared" si="92"/>
        <v>0</v>
      </c>
      <c r="R484" s="341">
        <f t="shared" si="93"/>
        <v>0</v>
      </c>
      <c r="S484" s="284">
        <f t="shared" si="84"/>
        <v>0</v>
      </c>
    </row>
    <row r="485" spans="1:19">
      <c r="A485" s="292"/>
      <c r="B485" s="293"/>
      <c r="C485" s="285">
        <f t="shared" si="85"/>
        <v>1</v>
      </c>
      <c r="D485" s="291"/>
      <c r="E485" s="285">
        <f t="shared" si="86"/>
        <v>1</v>
      </c>
      <c r="F485" s="291"/>
      <c r="G485" s="285">
        <f t="shared" si="87"/>
        <v>1</v>
      </c>
      <c r="H485" s="291"/>
      <c r="I485" s="285">
        <f t="shared" si="88"/>
        <v>1</v>
      </c>
      <c r="J485" s="291"/>
      <c r="K485" s="285">
        <f t="shared" si="89"/>
        <v>1</v>
      </c>
      <c r="L485" s="291"/>
      <c r="M485" s="285">
        <f t="shared" si="90"/>
        <v>1</v>
      </c>
      <c r="N485" s="291"/>
      <c r="O485" s="285">
        <f t="shared" si="91"/>
        <v>1</v>
      </c>
      <c r="P485" s="291"/>
      <c r="Q485" s="285">
        <f t="shared" si="92"/>
        <v>0</v>
      </c>
      <c r="R485" s="341">
        <f t="shared" si="93"/>
        <v>0</v>
      </c>
      <c r="S485" s="284">
        <f t="shared" si="84"/>
        <v>0</v>
      </c>
    </row>
    <row r="486" spans="1:19">
      <c r="A486" s="292"/>
      <c r="B486" s="293"/>
      <c r="C486" s="285">
        <f t="shared" si="85"/>
        <v>1</v>
      </c>
      <c r="D486" s="291"/>
      <c r="E486" s="285">
        <f t="shared" si="86"/>
        <v>1</v>
      </c>
      <c r="F486" s="291"/>
      <c r="G486" s="285">
        <f t="shared" si="87"/>
        <v>1</v>
      </c>
      <c r="H486" s="291"/>
      <c r="I486" s="285">
        <f t="shared" si="88"/>
        <v>1</v>
      </c>
      <c r="J486" s="291"/>
      <c r="K486" s="285">
        <f t="shared" si="89"/>
        <v>1</v>
      </c>
      <c r="L486" s="291"/>
      <c r="M486" s="285">
        <f t="shared" si="90"/>
        <v>1</v>
      </c>
      <c r="N486" s="291"/>
      <c r="O486" s="285">
        <f t="shared" si="91"/>
        <v>1</v>
      </c>
      <c r="P486" s="291"/>
      <c r="Q486" s="285">
        <f t="shared" si="92"/>
        <v>0</v>
      </c>
      <c r="R486" s="341">
        <f t="shared" si="93"/>
        <v>0</v>
      </c>
      <c r="S486" s="284">
        <f t="shared" si="84"/>
        <v>0</v>
      </c>
    </row>
    <row r="487" spans="1:19">
      <c r="A487" s="292"/>
      <c r="B487" s="293"/>
      <c r="C487" s="285">
        <f t="shared" si="85"/>
        <v>1</v>
      </c>
      <c r="D487" s="291"/>
      <c r="E487" s="285">
        <f t="shared" si="86"/>
        <v>1</v>
      </c>
      <c r="F487" s="291"/>
      <c r="G487" s="285">
        <f t="shared" si="87"/>
        <v>1</v>
      </c>
      <c r="H487" s="291"/>
      <c r="I487" s="285">
        <f t="shared" si="88"/>
        <v>1</v>
      </c>
      <c r="J487" s="291"/>
      <c r="K487" s="285">
        <f t="shared" si="89"/>
        <v>1</v>
      </c>
      <c r="L487" s="291"/>
      <c r="M487" s="285">
        <f t="shared" si="90"/>
        <v>1</v>
      </c>
      <c r="N487" s="291"/>
      <c r="O487" s="285">
        <f t="shared" si="91"/>
        <v>1</v>
      </c>
      <c r="P487" s="291"/>
      <c r="Q487" s="285">
        <f t="shared" si="92"/>
        <v>0</v>
      </c>
      <c r="R487" s="341">
        <f t="shared" si="93"/>
        <v>0</v>
      </c>
      <c r="S487" s="284">
        <f t="shared" si="84"/>
        <v>0</v>
      </c>
    </row>
    <row r="488" spans="1:19">
      <c r="A488" s="292"/>
      <c r="B488" s="293"/>
      <c r="C488" s="285">
        <f t="shared" si="85"/>
        <v>1</v>
      </c>
      <c r="D488" s="291"/>
      <c r="E488" s="285">
        <f t="shared" si="86"/>
        <v>1</v>
      </c>
      <c r="F488" s="291"/>
      <c r="G488" s="285">
        <f t="shared" si="87"/>
        <v>1</v>
      </c>
      <c r="H488" s="291"/>
      <c r="I488" s="285">
        <f t="shared" si="88"/>
        <v>1</v>
      </c>
      <c r="J488" s="291"/>
      <c r="K488" s="285">
        <f t="shared" si="89"/>
        <v>1</v>
      </c>
      <c r="L488" s="291"/>
      <c r="M488" s="285">
        <f t="shared" si="90"/>
        <v>1</v>
      </c>
      <c r="N488" s="291"/>
      <c r="O488" s="285">
        <f t="shared" si="91"/>
        <v>1</v>
      </c>
      <c r="P488" s="291"/>
      <c r="Q488" s="285">
        <f t="shared" si="92"/>
        <v>0</v>
      </c>
      <c r="R488" s="341">
        <f t="shared" si="93"/>
        <v>0</v>
      </c>
      <c r="S488" s="284">
        <f t="shared" si="84"/>
        <v>0</v>
      </c>
    </row>
    <row r="489" spans="1:19">
      <c r="A489" s="292"/>
      <c r="B489" s="293"/>
      <c r="C489" s="285">
        <f t="shared" si="85"/>
        <v>1</v>
      </c>
      <c r="D489" s="291"/>
      <c r="E489" s="285">
        <f t="shared" si="86"/>
        <v>1</v>
      </c>
      <c r="F489" s="291"/>
      <c r="G489" s="285">
        <f t="shared" si="87"/>
        <v>1</v>
      </c>
      <c r="H489" s="291"/>
      <c r="I489" s="285">
        <f t="shared" si="88"/>
        <v>1</v>
      </c>
      <c r="J489" s="291"/>
      <c r="K489" s="285">
        <f t="shared" si="89"/>
        <v>1</v>
      </c>
      <c r="L489" s="291"/>
      <c r="M489" s="285">
        <f t="shared" si="90"/>
        <v>1</v>
      </c>
      <c r="N489" s="291"/>
      <c r="O489" s="285">
        <f t="shared" si="91"/>
        <v>1</v>
      </c>
      <c r="P489" s="291"/>
      <c r="Q489" s="285">
        <f t="shared" si="92"/>
        <v>0</v>
      </c>
      <c r="R489" s="341">
        <f t="shared" si="93"/>
        <v>0</v>
      </c>
      <c r="S489" s="284">
        <f t="shared" si="84"/>
        <v>0</v>
      </c>
    </row>
    <row r="490" spans="1:19">
      <c r="A490" s="292"/>
      <c r="B490" s="293"/>
      <c r="C490" s="285">
        <f t="shared" si="85"/>
        <v>1</v>
      </c>
      <c r="D490" s="291"/>
      <c r="E490" s="285">
        <f t="shared" si="86"/>
        <v>1</v>
      </c>
      <c r="F490" s="291"/>
      <c r="G490" s="285">
        <f t="shared" si="87"/>
        <v>1</v>
      </c>
      <c r="H490" s="291"/>
      <c r="I490" s="285">
        <f t="shared" si="88"/>
        <v>1</v>
      </c>
      <c r="J490" s="291"/>
      <c r="K490" s="285">
        <f t="shared" si="89"/>
        <v>1</v>
      </c>
      <c r="L490" s="291"/>
      <c r="M490" s="285">
        <f t="shared" si="90"/>
        <v>1</v>
      </c>
      <c r="N490" s="291"/>
      <c r="O490" s="285">
        <f t="shared" si="91"/>
        <v>1</v>
      </c>
      <c r="P490" s="291"/>
      <c r="Q490" s="285">
        <f t="shared" si="92"/>
        <v>0</v>
      </c>
      <c r="R490" s="341">
        <f t="shared" si="93"/>
        <v>0</v>
      </c>
      <c r="S490" s="284">
        <f t="shared" si="84"/>
        <v>0</v>
      </c>
    </row>
    <row r="491" spans="1:19">
      <c r="A491" s="292"/>
      <c r="B491" s="293"/>
      <c r="C491" s="285">
        <f t="shared" si="85"/>
        <v>1</v>
      </c>
      <c r="D491" s="291"/>
      <c r="E491" s="285">
        <f t="shared" si="86"/>
        <v>1</v>
      </c>
      <c r="F491" s="291"/>
      <c r="G491" s="285">
        <f t="shared" si="87"/>
        <v>1</v>
      </c>
      <c r="H491" s="291"/>
      <c r="I491" s="285">
        <f t="shared" si="88"/>
        <v>1</v>
      </c>
      <c r="J491" s="291"/>
      <c r="K491" s="285">
        <f t="shared" si="89"/>
        <v>1</v>
      </c>
      <c r="L491" s="291"/>
      <c r="M491" s="285">
        <f t="shared" si="90"/>
        <v>1</v>
      </c>
      <c r="N491" s="291"/>
      <c r="O491" s="285">
        <f t="shared" si="91"/>
        <v>1</v>
      </c>
      <c r="P491" s="291"/>
      <c r="Q491" s="285">
        <f t="shared" si="92"/>
        <v>0</v>
      </c>
      <c r="R491" s="341">
        <f t="shared" si="93"/>
        <v>0</v>
      </c>
      <c r="S491" s="284">
        <f t="shared" si="84"/>
        <v>0</v>
      </c>
    </row>
    <row r="492" spans="1:19">
      <c r="A492" s="292"/>
      <c r="B492" s="293"/>
      <c r="C492" s="285">
        <f t="shared" si="85"/>
        <v>1</v>
      </c>
      <c r="D492" s="291"/>
      <c r="E492" s="285">
        <f t="shared" si="86"/>
        <v>1</v>
      </c>
      <c r="F492" s="291"/>
      <c r="G492" s="285">
        <f t="shared" si="87"/>
        <v>1</v>
      </c>
      <c r="H492" s="291"/>
      <c r="I492" s="285">
        <f t="shared" si="88"/>
        <v>1</v>
      </c>
      <c r="J492" s="291"/>
      <c r="K492" s="285">
        <f t="shared" si="89"/>
        <v>1</v>
      </c>
      <c r="L492" s="291"/>
      <c r="M492" s="285">
        <f t="shared" si="90"/>
        <v>1</v>
      </c>
      <c r="N492" s="291"/>
      <c r="O492" s="285">
        <f t="shared" si="91"/>
        <v>1</v>
      </c>
      <c r="P492" s="291"/>
      <c r="Q492" s="285">
        <f t="shared" si="92"/>
        <v>0</v>
      </c>
      <c r="R492" s="341">
        <f t="shared" si="93"/>
        <v>0</v>
      </c>
      <c r="S492" s="284">
        <f t="shared" si="84"/>
        <v>0</v>
      </c>
    </row>
    <row r="493" spans="1:19">
      <c r="A493" s="292"/>
      <c r="B493" s="293"/>
      <c r="C493" s="285">
        <f t="shared" si="85"/>
        <v>1</v>
      </c>
      <c r="D493" s="291"/>
      <c r="E493" s="285">
        <f t="shared" si="86"/>
        <v>1</v>
      </c>
      <c r="F493" s="291"/>
      <c r="G493" s="285">
        <f t="shared" si="87"/>
        <v>1</v>
      </c>
      <c r="H493" s="291"/>
      <c r="I493" s="285">
        <f t="shared" si="88"/>
        <v>1</v>
      </c>
      <c r="J493" s="291"/>
      <c r="K493" s="285">
        <f t="shared" si="89"/>
        <v>1</v>
      </c>
      <c r="L493" s="291"/>
      <c r="M493" s="285">
        <f t="shared" si="90"/>
        <v>1</v>
      </c>
      <c r="N493" s="291"/>
      <c r="O493" s="285">
        <f t="shared" si="91"/>
        <v>1</v>
      </c>
      <c r="P493" s="291"/>
      <c r="Q493" s="285">
        <f t="shared" si="92"/>
        <v>0</v>
      </c>
      <c r="R493" s="341">
        <f t="shared" si="93"/>
        <v>0</v>
      </c>
      <c r="S493" s="284">
        <f t="shared" si="84"/>
        <v>0</v>
      </c>
    </row>
    <row r="494" spans="1:19">
      <c r="A494" s="292"/>
      <c r="B494" s="293"/>
      <c r="C494" s="285">
        <f t="shared" si="85"/>
        <v>1</v>
      </c>
      <c r="D494" s="291"/>
      <c r="E494" s="285">
        <f t="shared" si="86"/>
        <v>1</v>
      </c>
      <c r="F494" s="291"/>
      <c r="G494" s="285">
        <f t="shared" si="87"/>
        <v>1</v>
      </c>
      <c r="H494" s="291"/>
      <c r="I494" s="285">
        <f t="shared" si="88"/>
        <v>1</v>
      </c>
      <c r="J494" s="291"/>
      <c r="K494" s="285">
        <f t="shared" si="89"/>
        <v>1</v>
      </c>
      <c r="L494" s="291"/>
      <c r="M494" s="285">
        <f t="shared" si="90"/>
        <v>1</v>
      </c>
      <c r="N494" s="291"/>
      <c r="O494" s="285">
        <f t="shared" si="91"/>
        <v>1</v>
      </c>
      <c r="P494" s="291"/>
      <c r="Q494" s="285">
        <f t="shared" si="92"/>
        <v>0</v>
      </c>
      <c r="R494" s="341">
        <f t="shared" si="93"/>
        <v>0</v>
      </c>
      <c r="S494" s="284">
        <f t="shared" si="84"/>
        <v>0</v>
      </c>
    </row>
    <row r="495" spans="1:19">
      <c r="A495" s="292"/>
      <c r="B495" s="293"/>
      <c r="C495" s="285">
        <f t="shared" si="85"/>
        <v>1</v>
      </c>
      <c r="D495" s="291"/>
      <c r="E495" s="285">
        <f t="shared" si="86"/>
        <v>1</v>
      </c>
      <c r="F495" s="291"/>
      <c r="G495" s="285">
        <f t="shared" si="87"/>
        <v>1</v>
      </c>
      <c r="H495" s="291"/>
      <c r="I495" s="285">
        <f t="shared" si="88"/>
        <v>1</v>
      </c>
      <c r="J495" s="291"/>
      <c r="K495" s="285">
        <f t="shared" si="89"/>
        <v>1</v>
      </c>
      <c r="L495" s="291"/>
      <c r="M495" s="285">
        <f t="shared" si="90"/>
        <v>1</v>
      </c>
      <c r="N495" s="291"/>
      <c r="O495" s="285">
        <f t="shared" si="91"/>
        <v>1</v>
      </c>
      <c r="P495" s="291"/>
      <c r="Q495" s="285">
        <f t="shared" si="92"/>
        <v>0</v>
      </c>
      <c r="R495" s="341">
        <f t="shared" si="93"/>
        <v>0</v>
      </c>
      <c r="S495" s="284">
        <f t="shared" si="84"/>
        <v>0</v>
      </c>
    </row>
    <row r="496" spans="1:19">
      <c r="A496" s="292"/>
      <c r="B496" s="293"/>
      <c r="C496" s="285">
        <f t="shared" si="85"/>
        <v>1</v>
      </c>
      <c r="D496" s="291"/>
      <c r="E496" s="285">
        <f t="shared" si="86"/>
        <v>1</v>
      </c>
      <c r="F496" s="291"/>
      <c r="G496" s="285">
        <f t="shared" si="87"/>
        <v>1</v>
      </c>
      <c r="H496" s="291"/>
      <c r="I496" s="285">
        <f t="shared" si="88"/>
        <v>1</v>
      </c>
      <c r="J496" s="291"/>
      <c r="K496" s="285">
        <f t="shared" si="89"/>
        <v>1</v>
      </c>
      <c r="L496" s="291"/>
      <c r="M496" s="285">
        <f t="shared" si="90"/>
        <v>1</v>
      </c>
      <c r="N496" s="291"/>
      <c r="O496" s="285">
        <f t="shared" si="91"/>
        <v>1</v>
      </c>
      <c r="P496" s="291"/>
      <c r="Q496" s="285">
        <f t="shared" si="92"/>
        <v>0</v>
      </c>
      <c r="R496" s="341">
        <f t="shared" si="93"/>
        <v>0</v>
      </c>
      <c r="S496" s="284">
        <f t="shared" si="84"/>
        <v>0</v>
      </c>
    </row>
    <row r="497" spans="1:19">
      <c r="A497" s="292"/>
      <c r="B497" s="293"/>
      <c r="C497" s="285">
        <f t="shared" si="85"/>
        <v>1</v>
      </c>
      <c r="D497" s="291"/>
      <c r="E497" s="285">
        <f t="shared" si="86"/>
        <v>1</v>
      </c>
      <c r="F497" s="291"/>
      <c r="G497" s="285">
        <f t="shared" si="87"/>
        <v>1</v>
      </c>
      <c r="H497" s="291"/>
      <c r="I497" s="285">
        <f t="shared" si="88"/>
        <v>1</v>
      </c>
      <c r="J497" s="291"/>
      <c r="K497" s="285">
        <f t="shared" si="89"/>
        <v>1</v>
      </c>
      <c r="L497" s="291"/>
      <c r="M497" s="285">
        <f t="shared" si="90"/>
        <v>1</v>
      </c>
      <c r="N497" s="291"/>
      <c r="O497" s="285">
        <f t="shared" si="91"/>
        <v>1</v>
      </c>
      <c r="P497" s="291"/>
      <c r="Q497" s="285">
        <f t="shared" si="92"/>
        <v>0</v>
      </c>
      <c r="R497" s="341">
        <f t="shared" si="93"/>
        <v>0</v>
      </c>
      <c r="S497" s="284">
        <f t="shared" si="84"/>
        <v>0</v>
      </c>
    </row>
    <row r="498" spans="1:19">
      <c r="A498" s="292"/>
      <c r="B498" s="293"/>
      <c r="C498" s="285">
        <f t="shared" si="85"/>
        <v>1</v>
      </c>
      <c r="D498" s="291"/>
      <c r="E498" s="285">
        <f t="shared" si="86"/>
        <v>1</v>
      </c>
      <c r="F498" s="291"/>
      <c r="G498" s="285">
        <f t="shared" si="87"/>
        <v>1</v>
      </c>
      <c r="H498" s="291"/>
      <c r="I498" s="285">
        <f t="shared" si="88"/>
        <v>1</v>
      </c>
      <c r="J498" s="291"/>
      <c r="K498" s="285">
        <f t="shared" si="89"/>
        <v>1</v>
      </c>
      <c r="L498" s="291"/>
      <c r="M498" s="285">
        <f t="shared" si="90"/>
        <v>1</v>
      </c>
      <c r="N498" s="291"/>
      <c r="O498" s="285">
        <f t="shared" si="91"/>
        <v>1</v>
      </c>
      <c r="P498" s="291"/>
      <c r="Q498" s="285">
        <f t="shared" si="92"/>
        <v>0</v>
      </c>
      <c r="R498" s="341">
        <f t="shared" si="93"/>
        <v>0</v>
      </c>
      <c r="S498" s="284">
        <f t="shared" ref="S498:S524" si="94">ROUND(R498*B498/10000,0)</f>
        <v>0</v>
      </c>
    </row>
    <row r="499" spans="1:19">
      <c r="A499" s="292"/>
      <c r="B499" s="293"/>
      <c r="C499" s="285">
        <f t="shared" si="85"/>
        <v>1</v>
      </c>
      <c r="D499" s="291"/>
      <c r="E499" s="285">
        <f t="shared" si="86"/>
        <v>1</v>
      </c>
      <c r="F499" s="291"/>
      <c r="G499" s="285">
        <f t="shared" si="87"/>
        <v>1</v>
      </c>
      <c r="H499" s="291"/>
      <c r="I499" s="285">
        <f t="shared" si="88"/>
        <v>1</v>
      </c>
      <c r="J499" s="291"/>
      <c r="K499" s="285">
        <f t="shared" si="89"/>
        <v>1</v>
      </c>
      <c r="L499" s="291"/>
      <c r="M499" s="285">
        <f t="shared" si="90"/>
        <v>1</v>
      </c>
      <c r="N499" s="291"/>
      <c r="O499" s="285">
        <f t="shared" si="91"/>
        <v>1</v>
      </c>
      <c r="P499" s="291"/>
      <c r="Q499" s="285">
        <f t="shared" si="92"/>
        <v>0</v>
      </c>
      <c r="R499" s="341">
        <f t="shared" si="93"/>
        <v>0</v>
      </c>
      <c r="S499" s="284">
        <f t="shared" si="94"/>
        <v>0</v>
      </c>
    </row>
    <row r="500" spans="1:19">
      <c r="A500" s="292"/>
      <c r="B500" s="293"/>
      <c r="C500" s="285">
        <f t="shared" si="85"/>
        <v>1</v>
      </c>
      <c r="D500" s="291"/>
      <c r="E500" s="285">
        <f t="shared" si="86"/>
        <v>1</v>
      </c>
      <c r="F500" s="291"/>
      <c r="G500" s="285">
        <f t="shared" si="87"/>
        <v>1</v>
      </c>
      <c r="H500" s="291"/>
      <c r="I500" s="285">
        <f t="shared" si="88"/>
        <v>1</v>
      </c>
      <c r="J500" s="291"/>
      <c r="K500" s="285">
        <f t="shared" si="89"/>
        <v>1</v>
      </c>
      <c r="L500" s="291"/>
      <c r="M500" s="285">
        <f t="shared" si="90"/>
        <v>1</v>
      </c>
      <c r="N500" s="291"/>
      <c r="O500" s="285">
        <f t="shared" si="91"/>
        <v>1</v>
      </c>
      <c r="P500" s="291"/>
      <c r="Q500" s="285">
        <f t="shared" si="92"/>
        <v>0</v>
      </c>
      <c r="R500" s="341">
        <f t="shared" si="93"/>
        <v>0</v>
      </c>
      <c r="S500" s="284">
        <f t="shared" si="94"/>
        <v>0</v>
      </c>
    </row>
    <row r="501" spans="1:19">
      <c r="A501" s="292"/>
      <c r="B501" s="293"/>
      <c r="C501" s="285">
        <f t="shared" si="85"/>
        <v>1</v>
      </c>
      <c r="D501" s="291"/>
      <c r="E501" s="285">
        <f t="shared" si="86"/>
        <v>1</v>
      </c>
      <c r="F501" s="291"/>
      <c r="G501" s="285">
        <f t="shared" si="87"/>
        <v>1</v>
      </c>
      <c r="H501" s="291"/>
      <c r="I501" s="285">
        <f t="shared" si="88"/>
        <v>1</v>
      </c>
      <c r="J501" s="291"/>
      <c r="K501" s="285">
        <f t="shared" si="89"/>
        <v>1</v>
      </c>
      <c r="L501" s="291"/>
      <c r="M501" s="285">
        <f t="shared" si="90"/>
        <v>1</v>
      </c>
      <c r="N501" s="291"/>
      <c r="O501" s="285">
        <f t="shared" si="91"/>
        <v>1</v>
      </c>
      <c r="P501" s="291"/>
      <c r="Q501" s="285">
        <f t="shared" si="92"/>
        <v>0</v>
      </c>
      <c r="R501" s="341">
        <f t="shared" si="93"/>
        <v>0</v>
      </c>
      <c r="S501" s="284">
        <f t="shared" si="94"/>
        <v>0</v>
      </c>
    </row>
    <row r="502" spans="1:19">
      <c r="A502" s="292"/>
      <c r="B502" s="293"/>
      <c r="C502" s="285">
        <f t="shared" si="85"/>
        <v>1</v>
      </c>
      <c r="D502" s="291"/>
      <c r="E502" s="285">
        <f t="shared" si="86"/>
        <v>1</v>
      </c>
      <c r="F502" s="291"/>
      <c r="G502" s="285">
        <f t="shared" si="87"/>
        <v>1</v>
      </c>
      <c r="H502" s="291"/>
      <c r="I502" s="285">
        <f t="shared" si="88"/>
        <v>1</v>
      </c>
      <c r="J502" s="291"/>
      <c r="K502" s="285">
        <f t="shared" si="89"/>
        <v>1</v>
      </c>
      <c r="L502" s="291"/>
      <c r="M502" s="285">
        <f t="shared" si="90"/>
        <v>1</v>
      </c>
      <c r="N502" s="291"/>
      <c r="O502" s="285">
        <f t="shared" si="91"/>
        <v>1</v>
      </c>
      <c r="P502" s="291"/>
      <c r="Q502" s="285">
        <f t="shared" si="92"/>
        <v>0</v>
      </c>
      <c r="R502" s="341">
        <f t="shared" si="93"/>
        <v>0</v>
      </c>
      <c r="S502" s="284">
        <f t="shared" si="94"/>
        <v>0</v>
      </c>
    </row>
    <row r="503" spans="1:19">
      <c r="A503" s="292"/>
      <c r="B503" s="293"/>
      <c r="C503" s="285">
        <f t="shared" si="85"/>
        <v>1</v>
      </c>
      <c r="D503" s="291"/>
      <c r="E503" s="285">
        <f t="shared" si="86"/>
        <v>1</v>
      </c>
      <c r="F503" s="291"/>
      <c r="G503" s="285">
        <f t="shared" si="87"/>
        <v>1</v>
      </c>
      <c r="H503" s="291"/>
      <c r="I503" s="285">
        <f t="shared" si="88"/>
        <v>1</v>
      </c>
      <c r="J503" s="291"/>
      <c r="K503" s="285">
        <f t="shared" si="89"/>
        <v>1</v>
      </c>
      <c r="L503" s="291"/>
      <c r="M503" s="285">
        <f t="shared" si="90"/>
        <v>1</v>
      </c>
      <c r="N503" s="291"/>
      <c r="O503" s="285">
        <f t="shared" si="91"/>
        <v>1</v>
      </c>
      <c r="P503" s="291"/>
      <c r="Q503" s="285">
        <f t="shared" si="92"/>
        <v>0</v>
      </c>
      <c r="R503" s="341">
        <f t="shared" si="93"/>
        <v>0</v>
      </c>
      <c r="S503" s="284">
        <f t="shared" si="94"/>
        <v>0</v>
      </c>
    </row>
    <row r="504" spans="1:19">
      <c r="A504" s="292"/>
      <c r="B504" s="293"/>
      <c r="C504" s="285">
        <f t="shared" si="85"/>
        <v>1</v>
      </c>
      <c r="D504" s="291"/>
      <c r="E504" s="285">
        <f t="shared" si="86"/>
        <v>1</v>
      </c>
      <c r="F504" s="291"/>
      <c r="G504" s="285">
        <f t="shared" si="87"/>
        <v>1</v>
      </c>
      <c r="H504" s="291"/>
      <c r="I504" s="285">
        <f t="shared" si="88"/>
        <v>1</v>
      </c>
      <c r="J504" s="291"/>
      <c r="K504" s="285">
        <f t="shared" si="89"/>
        <v>1</v>
      </c>
      <c r="L504" s="291"/>
      <c r="M504" s="285">
        <f t="shared" si="90"/>
        <v>1</v>
      </c>
      <c r="N504" s="291"/>
      <c r="O504" s="285">
        <f t="shared" si="91"/>
        <v>1</v>
      </c>
      <c r="P504" s="291"/>
      <c r="Q504" s="285">
        <f t="shared" si="92"/>
        <v>0</v>
      </c>
      <c r="R504" s="341">
        <f t="shared" si="93"/>
        <v>0</v>
      </c>
      <c r="S504" s="284">
        <f t="shared" si="94"/>
        <v>0</v>
      </c>
    </row>
    <row r="505" spans="1:19">
      <c r="A505" s="292"/>
      <c r="B505" s="293"/>
      <c r="C505" s="285">
        <f t="shared" si="85"/>
        <v>1</v>
      </c>
      <c r="D505" s="291"/>
      <c r="E505" s="285">
        <f t="shared" si="86"/>
        <v>1</v>
      </c>
      <c r="F505" s="291"/>
      <c r="G505" s="285">
        <f t="shared" si="87"/>
        <v>1</v>
      </c>
      <c r="H505" s="291"/>
      <c r="I505" s="285">
        <f t="shared" si="88"/>
        <v>1</v>
      </c>
      <c r="J505" s="291"/>
      <c r="K505" s="285">
        <f t="shared" si="89"/>
        <v>1</v>
      </c>
      <c r="L505" s="291"/>
      <c r="M505" s="285">
        <f t="shared" si="90"/>
        <v>1</v>
      </c>
      <c r="N505" s="291"/>
      <c r="O505" s="285">
        <f t="shared" si="91"/>
        <v>1</v>
      </c>
      <c r="P505" s="291"/>
      <c r="Q505" s="285">
        <f t="shared" si="92"/>
        <v>0</v>
      </c>
      <c r="R505" s="341">
        <f t="shared" si="93"/>
        <v>0</v>
      </c>
      <c r="S505" s="284">
        <f t="shared" si="94"/>
        <v>0</v>
      </c>
    </row>
    <row r="506" spans="1:19">
      <c r="A506" s="292"/>
      <c r="B506" s="293"/>
      <c r="C506" s="285">
        <f t="shared" si="85"/>
        <v>1</v>
      </c>
      <c r="D506" s="291"/>
      <c r="E506" s="285">
        <f t="shared" si="86"/>
        <v>1</v>
      </c>
      <c r="F506" s="291"/>
      <c r="G506" s="285">
        <f t="shared" si="87"/>
        <v>1</v>
      </c>
      <c r="H506" s="291"/>
      <c r="I506" s="285">
        <f t="shared" si="88"/>
        <v>1</v>
      </c>
      <c r="J506" s="291"/>
      <c r="K506" s="285">
        <f t="shared" si="89"/>
        <v>1</v>
      </c>
      <c r="L506" s="291"/>
      <c r="M506" s="285">
        <f t="shared" si="90"/>
        <v>1</v>
      </c>
      <c r="N506" s="291"/>
      <c r="O506" s="285">
        <f t="shared" si="91"/>
        <v>1</v>
      </c>
      <c r="P506" s="291"/>
      <c r="Q506" s="285">
        <f t="shared" si="92"/>
        <v>0</v>
      </c>
      <c r="R506" s="341">
        <f t="shared" si="93"/>
        <v>0</v>
      </c>
      <c r="S506" s="284">
        <f t="shared" si="94"/>
        <v>0</v>
      </c>
    </row>
    <row r="507" spans="1:19">
      <c r="A507" s="292"/>
      <c r="B507" s="293"/>
      <c r="C507" s="285">
        <f t="shared" si="85"/>
        <v>1</v>
      </c>
      <c r="D507" s="291"/>
      <c r="E507" s="285">
        <f t="shared" si="86"/>
        <v>1</v>
      </c>
      <c r="F507" s="291"/>
      <c r="G507" s="285">
        <f t="shared" si="87"/>
        <v>1</v>
      </c>
      <c r="H507" s="291"/>
      <c r="I507" s="285">
        <f t="shared" si="88"/>
        <v>1</v>
      </c>
      <c r="J507" s="291"/>
      <c r="K507" s="285">
        <f t="shared" si="89"/>
        <v>1</v>
      </c>
      <c r="L507" s="291"/>
      <c r="M507" s="285">
        <f t="shared" si="90"/>
        <v>1</v>
      </c>
      <c r="N507" s="291"/>
      <c r="O507" s="285">
        <f t="shared" si="91"/>
        <v>1</v>
      </c>
      <c r="P507" s="291"/>
      <c r="Q507" s="285">
        <f t="shared" si="92"/>
        <v>0</v>
      </c>
      <c r="R507" s="341">
        <f t="shared" si="93"/>
        <v>0</v>
      </c>
      <c r="S507" s="284">
        <f t="shared" si="94"/>
        <v>0</v>
      </c>
    </row>
    <row r="508" spans="1:19">
      <c r="A508" s="292"/>
      <c r="B508" s="293"/>
      <c r="C508" s="285">
        <f t="shared" si="85"/>
        <v>1</v>
      </c>
      <c r="D508" s="291"/>
      <c r="E508" s="285">
        <f t="shared" si="86"/>
        <v>1</v>
      </c>
      <c r="F508" s="291"/>
      <c r="G508" s="285">
        <f t="shared" si="87"/>
        <v>1</v>
      </c>
      <c r="H508" s="291"/>
      <c r="I508" s="285">
        <f t="shared" si="88"/>
        <v>1</v>
      </c>
      <c r="J508" s="291"/>
      <c r="K508" s="285">
        <f t="shared" si="89"/>
        <v>1</v>
      </c>
      <c r="L508" s="291"/>
      <c r="M508" s="285">
        <f t="shared" si="90"/>
        <v>1</v>
      </c>
      <c r="N508" s="291"/>
      <c r="O508" s="285">
        <f t="shared" si="91"/>
        <v>1</v>
      </c>
      <c r="P508" s="291"/>
      <c r="Q508" s="285">
        <f t="shared" si="92"/>
        <v>0</v>
      </c>
      <c r="R508" s="341">
        <f t="shared" si="93"/>
        <v>0</v>
      </c>
      <c r="S508" s="284">
        <f t="shared" si="94"/>
        <v>0</v>
      </c>
    </row>
    <row r="509" spans="1:19">
      <c r="A509" s="292"/>
      <c r="B509" s="293"/>
      <c r="C509" s="285">
        <f t="shared" si="85"/>
        <v>1</v>
      </c>
      <c r="D509" s="291"/>
      <c r="E509" s="285">
        <f t="shared" si="86"/>
        <v>1</v>
      </c>
      <c r="F509" s="291"/>
      <c r="G509" s="285">
        <f t="shared" si="87"/>
        <v>1</v>
      </c>
      <c r="H509" s="291"/>
      <c r="I509" s="285">
        <f t="shared" si="88"/>
        <v>1</v>
      </c>
      <c r="J509" s="291"/>
      <c r="K509" s="285">
        <f t="shared" si="89"/>
        <v>1</v>
      </c>
      <c r="L509" s="291"/>
      <c r="M509" s="285">
        <f t="shared" si="90"/>
        <v>1</v>
      </c>
      <c r="N509" s="291"/>
      <c r="O509" s="285">
        <f t="shared" si="91"/>
        <v>1</v>
      </c>
      <c r="P509" s="291"/>
      <c r="Q509" s="285">
        <f t="shared" si="92"/>
        <v>0</v>
      </c>
      <c r="R509" s="341">
        <f t="shared" si="93"/>
        <v>0</v>
      </c>
      <c r="S509" s="284">
        <f t="shared" si="94"/>
        <v>0</v>
      </c>
    </row>
    <row r="510" spans="1:19">
      <c r="A510" s="292"/>
      <c r="B510" s="293"/>
      <c r="C510" s="285">
        <f t="shared" si="85"/>
        <v>1</v>
      </c>
      <c r="D510" s="291"/>
      <c r="E510" s="285">
        <f t="shared" si="86"/>
        <v>1</v>
      </c>
      <c r="F510" s="291"/>
      <c r="G510" s="285">
        <f t="shared" si="87"/>
        <v>1</v>
      </c>
      <c r="H510" s="291"/>
      <c r="I510" s="285">
        <f t="shared" si="88"/>
        <v>1</v>
      </c>
      <c r="J510" s="291"/>
      <c r="K510" s="285">
        <f t="shared" si="89"/>
        <v>1</v>
      </c>
      <c r="L510" s="291"/>
      <c r="M510" s="285">
        <f t="shared" si="90"/>
        <v>1</v>
      </c>
      <c r="N510" s="291"/>
      <c r="O510" s="285">
        <f t="shared" si="91"/>
        <v>1</v>
      </c>
      <c r="P510" s="291"/>
      <c r="Q510" s="285">
        <f t="shared" si="92"/>
        <v>0</v>
      </c>
      <c r="R510" s="341">
        <f t="shared" si="93"/>
        <v>0</v>
      </c>
      <c r="S510" s="284">
        <f t="shared" si="94"/>
        <v>0</v>
      </c>
    </row>
    <row r="511" spans="1:19">
      <c r="A511" s="292"/>
      <c r="B511" s="293"/>
      <c r="C511" s="285">
        <f t="shared" si="85"/>
        <v>1</v>
      </c>
      <c r="D511" s="291"/>
      <c r="E511" s="285">
        <f t="shared" si="86"/>
        <v>1</v>
      </c>
      <c r="F511" s="291"/>
      <c r="G511" s="285">
        <f t="shared" si="87"/>
        <v>1</v>
      </c>
      <c r="H511" s="291"/>
      <c r="I511" s="285">
        <f t="shared" si="88"/>
        <v>1</v>
      </c>
      <c r="J511" s="291"/>
      <c r="K511" s="285">
        <f t="shared" si="89"/>
        <v>1</v>
      </c>
      <c r="L511" s="291"/>
      <c r="M511" s="285">
        <f t="shared" si="90"/>
        <v>1</v>
      </c>
      <c r="N511" s="291"/>
      <c r="O511" s="285">
        <f t="shared" si="91"/>
        <v>1</v>
      </c>
      <c r="P511" s="291"/>
      <c r="Q511" s="285">
        <f t="shared" si="92"/>
        <v>0</v>
      </c>
      <c r="R511" s="341">
        <f t="shared" si="93"/>
        <v>0</v>
      </c>
      <c r="S511" s="284">
        <f t="shared" si="94"/>
        <v>0</v>
      </c>
    </row>
    <row r="512" spans="1:19">
      <c r="A512" s="292"/>
      <c r="B512" s="293"/>
      <c r="C512" s="285">
        <f t="shared" si="85"/>
        <v>1</v>
      </c>
      <c r="D512" s="291"/>
      <c r="E512" s="285">
        <f t="shared" si="86"/>
        <v>1</v>
      </c>
      <c r="F512" s="291"/>
      <c r="G512" s="285">
        <f t="shared" si="87"/>
        <v>1</v>
      </c>
      <c r="H512" s="291"/>
      <c r="I512" s="285">
        <f t="shared" si="88"/>
        <v>1</v>
      </c>
      <c r="J512" s="291"/>
      <c r="K512" s="285">
        <f t="shared" si="89"/>
        <v>1</v>
      </c>
      <c r="L512" s="291"/>
      <c r="M512" s="285">
        <f t="shared" si="90"/>
        <v>1</v>
      </c>
      <c r="N512" s="291"/>
      <c r="O512" s="285">
        <f t="shared" si="91"/>
        <v>1</v>
      </c>
      <c r="P512" s="291"/>
      <c r="Q512" s="285">
        <f t="shared" si="92"/>
        <v>0</v>
      </c>
      <c r="R512" s="341">
        <f t="shared" si="93"/>
        <v>0</v>
      </c>
      <c r="S512" s="284">
        <f t="shared" si="94"/>
        <v>0</v>
      </c>
    </row>
    <row r="513" spans="1:19">
      <c r="A513" s="292"/>
      <c r="B513" s="293"/>
      <c r="C513" s="285">
        <f t="shared" si="85"/>
        <v>1</v>
      </c>
      <c r="D513" s="291"/>
      <c r="E513" s="285">
        <f t="shared" si="86"/>
        <v>1</v>
      </c>
      <c r="F513" s="291"/>
      <c r="G513" s="285">
        <f t="shared" si="87"/>
        <v>1</v>
      </c>
      <c r="H513" s="291"/>
      <c r="I513" s="285">
        <f t="shared" si="88"/>
        <v>1</v>
      </c>
      <c r="J513" s="291"/>
      <c r="K513" s="285">
        <f t="shared" si="89"/>
        <v>1</v>
      </c>
      <c r="L513" s="291"/>
      <c r="M513" s="285">
        <f t="shared" si="90"/>
        <v>1</v>
      </c>
      <c r="N513" s="291"/>
      <c r="O513" s="285">
        <f t="shared" si="91"/>
        <v>1</v>
      </c>
      <c r="P513" s="291"/>
      <c r="Q513" s="285">
        <f t="shared" si="92"/>
        <v>0</v>
      </c>
      <c r="R513" s="341">
        <f t="shared" si="93"/>
        <v>0</v>
      </c>
      <c r="S513" s="284">
        <f t="shared" si="94"/>
        <v>0</v>
      </c>
    </row>
    <row r="514" spans="1:19">
      <c r="A514" s="292"/>
      <c r="B514" s="293"/>
      <c r="C514" s="285">
        <f t="shared" si="85"/>
        <v>1</v>
      </c>
      <c r="D514" s="291"/>
      <c r="E514" s="285">
        <f t="shared" si="86"/>
        <v>1</v>
      </c>
      <c r="F514" s="291"/>
      <c r="G514" s="285">
        <f t="shared" si="87"/>
        <v>1</v>
      </c>
      <c r="H514" s="291"/>
      <c r="I514" s="285">
        <f t="shared" si="88"/>
        <v>1</v>
      </c>
      <c r="J514" s="291"/>
      <c r="K514" s="285">
        <f t="shared" si="89"/>
        <v>1</v>
      </c>
      <c r="L514" s="291"/>
      <c r="M514" s="285">
        <f t="shared" si="90"/>
        <v>1</v>
      </c>
      <c r="N514" s="291"/>
      <c r="O514" s="285">
        <f t="shared" si="91"/>
        <v>1</v>
      </c>
      <c r="P514" s="291"/>
      <c r="Q514" s="285">
        <f t="shared" si="92"/>
        <v>0</v>
      </c>
      <c r="R514" s="341">
        <f t="shared" si="93"/>
        <v>0</v>
      </c>
      <c r="S514" s="284">
        <f t="shared" si="94"/>
        <v>0</v>
      </c>
    </row>
    <row r="515" spans="1:19">
      <c r="A515" s="292"/>
      <c r="B515" s="293"/>
      <c r="C515" s="285">
        <f t="shared" si="85"/>
        <v>1</v>
      </c>
      <c r="D515" s="291"/>
      <c r="E515" s="285">
        <f t="shared" si="86"/>
        <v>1</v>
      </c>
      <c r="F515" s="291"/>
      <c r="G515" s="285">
        <f t="shared" si="87"/>
        <v>1</v>
      </c>
      <c r="H515" s="291"/>
      <c r="I515" s="285">
        <f t="shared" si="88"/>
        <v>1</v>
      </c>
      <c r="J515" s="291"/>
      <c r="K515" s="285">
        <f t="shared" si="89"/>
        <v>1</v>
      </c>
      <c r="L515" s="291"/>
      <c r="M515" s="285">
        <f t="shared" si="90"/>
        <v>1</v>
      </c>
      <c r="N515" s="291"/>
      <c r="O515" s="285">
        <f t="shared" si="91"/>
        <v>1</v>
      </c>
      <c r="P515" s="291"/>
      <c r="Q515" s="285">
        <f t="shared" si="92"/>
        <v>0</v>
      </c>
      <c r="R515" s="341">
        <f t="shared" si="93"/>
        <v>0</v>
      </c>
      <c r="S515" s="284">
        <f t="shared" si="94"/>
        <v>0</v>
      </c>
    </row>
    <row r="516" spans="1:19">
      <c r="A516" s="292"/>
      <c r="B516" s="293"/>
      <c r="C516" s="285">
        <f t="shared" si="85"/>
        <v>1</v>
      </c>
      <c r="D516" s="291"/>
      <c r="E516" s="285">
        <f t="shared" si="86"/>
        <v>1</v>
      </c>
      <c r="F516" s="291"/>
      <c r="G516" s="285">
        <f t="shared" si="87"/>
        <v>1</v>
      </c>
      <c r="H516" s="291"/>
      <c r="I516" s="285">
        <f t="shared" si="88"/>
        <v>1</v>
      </c>
      <c r="J516" s="291"/>
      <c r="K516" s="285">
        <f t="shared" si="89"/>
        <v>1</v>
      </c>
      <c r="L516" s="291"/>
      <c r="M516" s="285">
        <f t="shared" si="90"/>
        <v>1</v>
      </c>
      <c r="N516" s="291"/>
      <c r="O516" s="285">
        <f t="shared" si="91"/>
        <v>1</v>
      </c>
      <c r="P516" s="291"/>
      <c r="Q516" s="285">
        <f t="shared" si="92"/>
        <v>0</v>
      </c>
      <c r="R516" s="341">
        <f t="shared" si="93"/>
        <v>0</v>
      </c>
      <c r="S516" s="284">
        <f t="shared" si="94"/>
        <v>0</v>
      </c>
    </row>
    <row r="517" spans="1:19">
      <c r="A517" s="292"/>
      <c r="B517" s="293"/>
      <c r="C517" s="285">
        <f t="shared" si="85"/>
        <v>1</v>
      </c>
      <c r="D517" s="291"/>
      <c r="E517" s="285">
        <f t="shared" si="86"/>
        <v>1</v>
      </c>
      <c r="F517" s="291"/>
      <c r="G517" s="285">
        <f t="shared" si="87"/>
        <v>1</v>
      </c>
      <c r="H517" s="291"/>
      <c r="I517" s="285">
        <f t="shared" si="88"/>
        <v>1</v>
      </c>
      <c r="J517" s="291"/>
      <c r="K517" s="285">
        <f t="shared" si="89"/>
        <v>1</v>
      </c>
      <c r="L517" s="291"/>
      <c r="M517" s="285">
        <f t="shared" si="90"/>
        <v>1</v>
      </c>
      <c r="N517" s="291"/>
      <c r="O517" s="285">
        <f t="shared" si="91"/>
        <v>1</v>
      </c>
      <c r="P517" s="291"/>
      <c r="Q517" s="285">
        <f t="shared" si="92"/>
        <v>0</v>
      </c>
      <c r="R517" s="341">
        <f t="shared" si="93"/>
        <v>0</v>
      </c>
      <c r="S517" s="284">
        <f t="shared" si="94"/>
        <v>0</v>
      </c>
    </row>
    <row r="518" spans="1:19">
      <c r="A518" s="292"/>
      <c r="B518" s="293"/>
      <c r="C518" s="285">
        <f t="shared" si="85"/>
        <v>1</v>
      </c>
      <c r="D518" s="291"/>
      <c r="E518" s="285">
        <f t="shared" si="86"/>
        <v>1</v>
      </c>
      <c r="F518" s="291"/>
      <c r="G518" s="285">
        <f t="shared" si="87"/>
        <v>1</v>
      </c>
      <c r="H518" s="291"/>
      <c r="I518" s="285">
        <f t="shared" si="88"/>
        <v>1</v>
      </c>
      <c r="J518" s="291"/>
      <c r="K518" s="285">
        <f t="shared" si="89"/>
        <v>1</v>
      </c>
      <c r="L518" s="291"/>
      <c r="M518" s="285">
        <f t="shared" si="90"/>
        <v>1</v>
      </c>
      <c r="N518" s="291"/>
      <c r="O518" s="285">
        <f t="shared" si="91"/>
        <v>1</v>
      </c>
      <c r="P518" s="291"/>
      <c r="Q518" s="285">
        <f t="shared" si="92"/>
        <v>0</v>
      </c>
      <c r="R518" s="341">
        <f t="shared" si="93"/>
        <v>0</v>
      </c>
      <c r="S518" s="284">
        <f t="shared" si="94"/>
        <v>0</v>
      </c>
    </row>
    <row r="519" spans="1:19">
      <c r="A519" s="292"/>
      <c r="B519" s="293"/>
      <c r="C519" s="285">
        <f t="shared" si="85"/>
        <v>1</v>
      </c>
      <c r="D519" s="291"/>
      <c r="E519" s="285">
        <f t="shared" si="86"/>
        <v>1</v>
      </c>
      <c r="F519" s="291"/>
      <c r="G519" s="285">
        <f t="shared" si="87"/>
        <v>1</v>
      </c>
      <c r="H519" s="291"/>
      <c r="I519" s="285">
        <f t="shared" si="88"/>
        <v>1</v>
      </c>
      <c r="J519" s="291"/>
      <c r="K519" s="285">
        <f t="shared" si="89"/>
        <v>1</v>
      </c>
      <c r="L519" s="291"/>
      <c r="M519" s="285">
        <f t="shared" si="90"/>
        <v>1</v>
      </c>
      <c r="N519" s="291"/>
      <c r="O519" s="285">
        <f t="shared" si="91"/>
        <v>1</v>
      </c>
      <c r="P519" s="291"/>
      <c r="Q519" s="285">
        <f t="shared" si="92"/>
        <v>0</v>
      </c>
      <c r="R519" s="341">
        <f t="shared" si="93"/>
        <v>0</v>
      </c>
      <c r="S519" s="284">
        <f t="shared" si="94"/>
        <v>0</v>
      </c>
    </row>
    <row r="520" spans="1:19">
      <c r="A520" s="292"/>
      <c r="B520" s="293"/>
      <c r="C520" s="285">
        <f t="shared" si="85"/>
        <v>1</v>
      </c>
      <c r="D520" s="291"/>
      <c r="E520" s="285">
        <f t="shared" si="86"/>
        <v>1</v>
      </c>
      <c r="F520" s="291"/>
      <c r="G520" s="285">
        <f t="shared" si="87"/>
        <v>1</v>
      </c>
      <c r="H520" s="291"/>
      <c r="I520" s="285">
        <f t="shared" si="88"/>
        <v>1</v>
      </c>
      <c r="J520" s="291"/>
      <c r="K520" s="285">
        <f t="shared" si="89"/>
        <v>1</v>
      </c>
      <c r="L520" s="291"/>
      <c r="M520" s="285">
        <f t="shared" si="90"/>
        <v>1</v>
      </c>
      <c r="N520" s="291"/>
      <c r="O520" s="285">
        <f t="shared" si="91"/>
        <v>1</v>
      </c>
      <c r="P520" s="291"/>
      <c r="Q520" s="285">
        <f t="shared" si="92"/>
        <v>0</v>
      </c>
      <c r="R520" s="341">
        <f t="shared" si="93"/>
        <v>0</v>
      </c>
      <c r="S520" s="284">
        <f t="shared" si="94"/>
        <v>0</v>
      </c>
    </row>
    <row r="521" spans="1:19">
      <c r="A521" s="292"/>
      <c r="B521" s="293"/>
      <c r="C521" s="285">
        <f t="shared" si="85"/>
        <v>1</v>
      </c>
      <c r="D521" s="291"/>
      <c r="E521" s="285">
        <f t="shared" si="86"/>
        <v>1</v>
      </c>
      <c r="F521" s="291"/>
      <c r="G521" s="285">
        <f t="shared" si="87"/>
        <v>1</v>
      </c>
      <c r="H521" s="291"/>
      <c r="I521" s="285">
        <f t="shared" si="88"/>
        <v>1</v>
      </c>
      <c r="J521" s="291"/>
      <c r="K521" s="285">
        <f t="shared" si="89"/>
        <v>1</v>
      </c>
      <c r="L521" s="291"/>
      <c r="M521" s="285">
        <f t="shared" si="90"/>
        <v>1</v>
      </c>
      <c r="N521" s="291"/>
      <c r="O521" s="285">
        <f t="shared" si="91"/>
        <v>1</v>
      </c>
      <c r="P521" s="291"/>
      <c r="Q521" s="285">
        <f t="shared" si="92"/>
        <v>0</v>
      </c>
      <c r="R521" s="341">
        <f t="shared" si="93"/>
        <v>0</v>
      </c>
      <c r="S521" s="284">
        <f t="shared" si="94"/>
        <v>0</v>
      </c>
    </row>
    <row r="522" spans="1:19">
      <c r="A522" s="292"/>
      <c r="B522" s="293"/>
      <c r="C522" s="285">
        <f t="shared" si="85"/>
        <v>1</v>
      </c>
      <c r="D522" s="291"/>
      <c r="E522" s="285">
        <f t="shared" si="86"/>
        <v>1</v>
      </c>
      <c r="F522" s="291"/>
      <c r="G522" s="285">
        <f t="shared" si="87"/>
        <v>1</v>
      </c>
      <c r="H522" s="291"/>
      <c r="I522" s="285">
        <f t="shared" si="88"/>
        <v>1</v>
      </c>
      <c r="J522" s="291"/>
      <c r="K522" s="285">
        <f t="shared" si="89"/>
        <v>1</v>
      </c>
      <c r="L522" s="291"/>
      <c r="M522" s="285">
        <f t="shared" si="90"/>
        <v>1</v>
      </c>
      <c r="N522" s="291"/>
      <c r="O522" s="285">
        <f t="shared" si="91"/>
        <v>1</v>
      </c>
      <c r="P522" s="291"/>
      <c r="Q522" s="285">
        <f t="shared" si="92"/>
        <v>0</v>
      </c>
      <c r="R522" s="341">
        <f t="shared" si="93"/>
        <v>0</v>
      </c>
      <c r="S522" s="284">
        <f t="shared" si="94"/>
        <v>0</v>
      </c>
    </row>
    <row r="523" spans="1:19">
      <c r="A523" s="292"/>
      <c r="B523" s="293"/>
      <c r="C523" s="285">
        <f t="shared" si="85"/>
        <v>1</v>
      </c>
      <c r="D523" s="291"/>
      <c r="E523" s="285">
        <f t="shared" si="86"/>
        <v>1</v>
      </c>
      <c r="F523" s="291"/>
      <c r="G523" s="285">
        <f t="shared" si="87"/>
        <v>1</v>
      </c>
      <c r="H523" s="291"/>
      <c r="I523" s="285">
        <f t="shared" si="88"/>
        <v>1</v>
      </c>
      <c r="J523" s="291"/>
      <c r="K523" s="285">
        <f t="shared" si="89"/>
        <v>1</v>
      </c>
      <c r="L523" s="291"/>
      <c r="M523" s="285">
        <f t="shared" si="90"/>
        <v>1</v>
      </c>
      <c r="N523" s="291"/>
      <c r="O523" s="285">
        <f t="shared" si="91"/>
        <v>1</v>
      </c>
      <c r="P523" s="291"/>
      <c r="Q523" s="285">
        <f t="shared" si="92"/>
        <v>0</v>
      </c>
      <c r="R523" s="341">
        <f t="shared" si="93"/>
        <v>0</v>
      </c>
      <c r="S523" s="284">
        <f t="shared" si="94"/>
        <v>0</v>
      </c>
    </row>
    <row r="524" spans="1:19">
      <c r="A524" s="292"/>
      <c r="B524" s="293"/>
      <c r="C524" s="285">
        <f t="shared" si="85"/>
        <v>1</v>
      </c>
      <c r="D524" s="291"/>
      <c r="E524" s="285">
        <f t="shared" si="86"/>
        <v>1</v>
      </c>
      <c r="F524" s="291"/>
      <c r="G524" s="285">
        <f t="shared" si="87"/>
        <v>1</v>
      </c>
      <c r="H524" s="291"/>
      <c r="I524" s="285">
        <f t="shared" si="88"/>
        <v>1</v>
      </c>
      <c r="J524" s="291"/>
      <c r="K524" s="285">
        <f t="shared" si="89"/>
        <v>1</v>
      </c>
      <c r="L524" s="291"/>
      <c r="M524" s="285">
        <f t="shared" si="90"/>
        <v>1</v>
      </c>
      <c r="N524" s="291"/>
      <c r="O524" s="285">
        <f t="shared" si="91"/>
        <v>1</v>
      </c>
      <c r="P524" s="291"/>
      <c r="Q524" s="285">
        <f t="shared" si="92"/>
        <v>0</v>
      </c>
      <c r="R524" s="341">
        <f t="shared" si="93"/>
        <v>0</v>
      </c>
      <c r="S524" s="284">
        <f t="shared" si="94"/>
        <v>0</v>
      </c>
    </row>
  </sheetData>
  <sheetProtection password="C66D" sheet="1" objects="1" scenarios="1" formatCells="0" formatColumns="0" formatRows="0"/>
  <mergeCells count="2">
    <mergeCell ref="C1:S1"/>
    <mergeCell ref="C22:Q22"/>
  </mergeCells>
  <phoneticPr fontId="225" type="noConversion"/>
  <dataValidations disablePrompts="1"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69930555555555596" right="0.69930555555555596" top="0.75" bottom="0.75" header="0.3" footer="0.3"/>
  <legacy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A28" sqref="A28"/>
    </sheetView>
  </sheetViews>
  <sheetFormatPr defaultColWidth="9" defaultRowHeight="14.25"/>
  <cols>
    <col min="1" max="1" width="23.625" style="491" customWidth="1"/>
    <col min="2" max="2" width="12" style="491" customWidth="1"/>
    <col min="3" max="3" width="9" style="491"/>
    <col min="4" max="4" width="14.125" style="491" customWidth="1"/>
    <col min="5" max="5" width="9" style="491"/>
    <col min="6" max="6" width="12.875" style="491" customWidth="1"/>
    <col min="7" max="16384" width="9" style="491"/>
  </cols>
  <sheetData>
    <row r="1" spans="1:6" ht="21">
      <c r="A1" s="492" t="s">
        <v>1252</v>
      </c>
      <c r="B1" s="1618"/>
      <c r="C1" s="1618"/>
      <c r="D1" s="1618"/>
      <c r="E1" s="1619"/>
    </row>
    <row r="2" spans="1:6" ht="15.75">
      <c r="A2" s="1620" t="s">
        <v>895</v>
      </c>
      <c r="B2" s="1621">
        <f ca="1">SUMIF(B6:B13,"&lt;&gt;#ref!",B6:B13)</f>
        <v>8647</v>
      </c>
      <c r="C2" s="1622" t="s">
        <v>1253</v>
      </c>
      <c r="D2" s="1623" t="s">
        <v>1254</v>
      </c>
      <c r="E2" s="1624">
        <f>SUM(E6:E13)</f>
        <v>4322.1499999999996</v>
      </c>
    </row>
    <row r="3" spans="1:6" ht="15.75">
      <c r="A3" s="1620" t="s">
        <v>897</v>
      </c>
      <c r="B3" s="1621">
        <f ca="1">ROUND(B2*10000/E2,0)</f>
        <v>20006</v>
      </c>
      <c r="C3" s="1622" t="s">
        <v>1255</v>
      </c>
      <c r="D3" s="1625"/>
      <c r="E3" s="1626"/>
    </row>
    <row r="4" spans="1:6" ht="15.75">
      <c r="A4" s="1627"/>
      <c r="B4" s="1625"/>
      <c r="C4" s="1625"/>
      <c r="D4" s="1625"/>
      <c r="E4" s="1626"/>
    </row>
    <row r="5" spans="1:6" ht="15">
      <c r="A5" s="1628" t="s">
        <v>1256</v>
      </c>
      <c r="B5" s="3509" t="s">
        <v>1257</v>
      </c>
      <c r="C5" s="3509"/>
      <c r="D5" s="1629"/>
      <c r="E5" s="1630" t="s">
        <v>1258</v>
      </c>
      <c r="F5" s="499" t="s">
        <v>1259</v>
      </c>
    </row>
    <row r="6" spans="1:6">
      <c r="A6" s="1631" t="str">
        <f>'数据-取费表'!AN6</f>
        <v>收益法（一层）</v>
      </c>
      <c r="B6" s="499">
        <f ca="1">IF(F6="是",'数据-取费表'!AO6,0)</f>
        <v>8647</v>
      </c>
      <c r="C6" s="1622" t="s">
        <v>1253</v>
      </c>
      <c r="D6" s="1625"/>
      <c r="E6" s="1632">
        <f>IF(OR(A6=0,F6="否"),0,'数据-取费表'!K6+'数据-取费表'!S6)</f>
        <v>4322.1499999999996</v>
      </c>
      <c r="F6" s="1633" t="s">
        <v>1260</v>
      </c>
    </row>
    <row r="7" spans="1:6">
      <c r="A7" s="1631">
        <f>'数据-取费表'!AN7</f>
        <v>0</v>
      </c>
      <c r="B7" s="499" t="e">
        <f ca="1">IF(F7="是",'数据-取费表'!AO7,0)</f>
        <v>#REF!</v>
      </c>
      <c r="C7" s="1622" t="s">
        <v>1253</v>
      </c>
      <c r="D7" s="1625"/>
      <c r="E7" s="1632">
        <f>IF(OR(A7=0,F7="否"),0,'数据-取费表'!K7+'数据-取费表'!S7)</f>
        <v>0</v>
      </c>
      <c r="F7" s="1633" t="s">
        <v>1260</v>
      </c>
    </row>
    <row r="8" spans="1:6">
      <c r="A8" s="1631">
        <f>'数据-取费表'!AN8</f>
        <v>0</v>
      </c>
      <c r="B8" s="499" t="e">
        <f ca="1">IF(F8="是",'数据-取费表'!AO8,0)</f>
        <v>#REF!</v>
      </c>
      <c r="C8" s="1622" t="s">
        <v>1253</v>
      </c>
      <c r="D8" s="1625"/>
      <c r="E8" s="1632">
        <f>IF(OR(A8=0,F8="否"),0,'数据-取费表'!K8+'数据-取费表'!S8)</f>
        <v>0</v>
      </c>
      <c r="F8" s="1633" t="s">
        <v>1260</v>
      </c>
    </row>
    <row r="9" spans="1:6">
      <c r="A9" s="1631">
        <f>'数据-取费表'!AN9</f>
        <v>0</v>
      </c>
      <c r="B9" s="499" t="e">
        <f ca="1">IF(F9="是",'数据-取费表'!AO9,0)</f>
        <v>#REF!</v>
      </c>
      <c r="C9" s="1622" t="s">
        <v>1253</v>
      </c>
      <c r="D9" s="1625"/>
      <c r="E9" s="1632">
        <f>IF(OR(A9=0,F9="否"),0,'数据-取费表'!K9+'数据-取费表'!S9)</f>
        <v>0</v>
      </c>
      <c r="F9" s="1633" t="s">
        <v>1260</v>
      </c>
    </row>
    <row r="10" spans="1:6">
      <c r="A10" s="1631">
        <f>'数据-取费表'!AN10</f>
        <v>0</v>
      </c>
      <c r="B10" s="499" t="e">
        <f ca="1">IF(F10="是",'数据-取费表'!AO10,0)</f>
        <v>#REF!</v>
      </c>
      <c r="C10" s="1622" t="s">
        <v>1253</v>
      </c>
      <c r="D10" s="1625"/>
      <c r="E10" s="1632">
        <f>IF(OR(A10=0,F10="否"),0,'数据-取费表'!K10+'数据-取费表'!S10)</f>
        <v>0</v>
      </c>
      <c r="F10" s="1633" t="s">
        <v>1260</v>
      </c>
    </row>
    <row r="11" spans="1:6">
      <c r="A11" s="1631">
        <f>'数据-取费表'!AN11</f>
        <v>0</v>
      </c>
      <c r="B11" s="499" t="e">
        <f ca="1">IF(F11="是",'数据-取费表'!AO11,0)</f>
        <v>#REF!</v>
      </c>
      <c r="C11" s="1622" t="s">
        <v>1253</v>
      </c>
      <c r="D11" s="1625"/>
      <c r="E11" s="1632">
        <f>IF(OR(A11=0,F11="否"),0,'数据-取费表'!K11+'数据-取费表'!S11)</f>
        <v>0</v>
      </c>
      <c r="F11" s="1633" t="s">
        <v>1260</v>
      </c>
    </row>
    <row r="12" spans="1:6">
      <c r="A12" s="1631">
        <f>'数据-取费表'!AN12</f>
        <v>0</v>
      </c>
      <c r="B12" s="499" t="e">
        <f ca="1">IF(F12="是",'数据-取费表'!AO12,0)</f>
        <v>#REF!</v>
      </c>
      <c r="C12" s="1622" t="s">
        <v>1253</v>
      </c>
      <c r="D12" s="1625"/>
      <c r="E12" s="1632">
        <f>IF(OR(A12=0,F12="否"),0,'数据-取费表'!K12+'数据-取费表'!S12)</f>
        <v>0</v>
      </c>
      <c r="F12" s="1633" t="s">
        <v>1260</v>
      </c>
    </row>
    <row r="13" spans="1:6">
      <c r="A13" s="1634">
        <f>'数据-取费表'!AN13</f>
        <v>0</v>
      </c>
      <c r="B13" s="499" t="e">
        <f ca="1">IF(F13="是",'数据-取费表'!AO13,0)</f>
        <v>#REF!</v>
      </c>
      <c r="C13" s="1635" t="s">
        <v>1253</v>
      </c>
      <c r="D13" s="1636"/>
      <c r="E13" s="1632">
        <f>IF(OR(A13=0,F13="否"),0,'数据-取费表'!K13+'数据-取费表'!S13)</f>
        <v>0</v>
      </c>
      <c r="F13" s="1633" t="s">
        <v>1260</v>
      </c>
    </row>
  </sheetData>
  <sheetProtection password="C66D" sheet="1" objects="1" scenarios="1" formatCells="0"/>
  <mergeCells count="1">
    <mergeCell ref="B5:C5"/>
  </mergeCells>
  <phoneticPr fontId="225" type="noConversion"/>
  <dataValidations count="1">
    <dataValidation type="list" allowBlank="1" showInputMessage="1" showErrorMessage="1" sqref="F6:F13">
      <formula1>判定</formula1>
    </dataValidation>
  </dataValidations>
  <pageMargins left="0.69930555555555596" right="0.69930555555555596"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ColWidth="9" defaultRowHeight="13.5"/>
  <cols>
    <col min="1" max="1" width="10.5" customWidth="1"/>
    <col min="2" max="2" width="12.875" customWidth="1"/>
    <col min="3" max="3" width="8.75" customWidth="1"/>
  </cols>
  <sheetData>
    <row r="1" spans="1:9" ht="14.25">
      <c r="A1" s="3510" t="s">
        <v>1261</v>
      </c>
      <c r="B1" s="3511"/>
      <c r="C1" s="3512"/>
      <c r="D1" s="3513">
        <f>SUM(I10,I15,I20,I21,I23)</f>
        <v>0</v>
      </c>
      <c r="E1" s="3513"/>
      <c r="F1" s="3513"/>
      <c r="G1" s="3513"/>
      <c r="H1" s="3513"/>
      <c r="I1" s="3514"/>
    </row>
    <row r="2" spans="1:9">
      <c r="A2" s="3522" t="s">
        <v>1262</v>
      </c>
      <c r="B2" s="3515" t="s">
        <v>1263</v>
      </c>
      <c r="C2" s="3515"/>
      <c r="D2" s="1588" t="s">
        <v>1264</v>
      </c>
      <c r="E2" s="1588" t="s">
        <v>1265</v>
      </c>
      <c r="F2" s="1588" t="s">
        <v>1266</v>
      </c>
      <c r="G2" s="1588" t="s">
        <v>1267</v>
      </c>
      <c r="H2" s="1588" t="s">
        <v>1268</v>
      </c>
      <c r="I2" s="1612" t="s">
        <v>1269</v>
      </c>
    </row>
    <row r="3" spans="1:9">
      <c r="A3" s="3522"/>
      <c r="B3" s="3515" t="s">
        <v>1270</v>
      </c>
      <c r="C3" s="3515"/>
      <c r="D3" s="1589"/>
      <c r="E3" s="1588"/>
      <c r="F3" s="1590"/>
      <c r="G3" s="1590"/>
      <c r="H3" s="1591"/>
      <c r="I3" s="1613">
        <f>ROUND(D3*E3*F3*G3*H3/10000,0)</f>
        <v>0</v>
      </c>
    </row>
    <row r="4" spans="1:9">
      <c r="A4" s="3522"/>
      <c r="B4" s="3515" t="s">
        <v>1271</v>
      </c>
      <c r="C4" s="3515"/>
      <c r="D4" s="1589"/>
      <c r="E4" s="1588"/>
      <c r="F4" s="1590"/>
      <c r="G4" s="1590"/>
      <c r="H4" s="1591"/>
      <c r="I4" s="1613">
        <f t="shared" ref="I4:I9" si="0">ROUND(D4*E4*F4*G4*H4/10000,0)</f>
        <v>0</v>
      </c>
    </row>
    <row r="5" spans="1:9">
      <c r="A5" s="3522"/>
      <c r="B5" s="3515" t="s">
        <v>1272</v>
      </c>
      <c r="C5" s="3515"/>
      <c r="D5" s="1589"/>
      <c r="E5" s="1588"/>
      <c r="F5" s="1590"/>
      <c r="G5" s="1590"/>
      <c r="H5" s="1591"/>
      <c r="I5" s="1613">
        <f t="shared" si="0"/>
        <v>0</v>
      </c>
    </row>
    <row r="6" spans="1:9">
      <c r="A6" s="3522"/>
      <c r="B6" s="3515" t="s">
        <v>1273</v>
      </c>
      <c r="C6" s="3515"/>
      <c r="D6" s="1589"/>
      <c r="E6" s="1588"/>
      <c r="F6" s="1590"/>
      <c r="G6" s="1590"/>
      <c r="H6" s="1591"/>
      <c r="I6" s="1613">
        <f t="shared" si="0"/>
        <v>0</v>
      </c>
    </row>
    <row r="7" spans="1:9">
      <c r="A7" s="3522"/>
      <c r="B7" s="3515" t="s">
        <v>1274</v>
      </c>
      <c r="C7" s="3515"/>
      <c r="D7" s="1589"/>
      <c r="E7" s="1588"/>
      <c r="F7" s="1590"/>
      <c r="G7" s="1590"/>
      <c r="H7" s="1591"/>
      <c r="I7" s="1613">
        <f t="shared" si="0"/>
        <v>0</v>
      </c>
    </row>
    <row r="8" spans="1:9">
      <c r="A8" s="3522"/>
      <c r="B8" s="3515" t="s">
        <v>1275</v>
      </c>
      <c r="C8" s="3515"/>
      <c r="D8" s="1589"/>
      <c r="E8" s="1588"/>
      <c r="F8" s="1590"/>
      <c r="G8" s="1590"/>
      <c r="H8" s="1591"/>
      <c r="I8" s="1613">
        <f t="shared" si="0"/>
        <v>0</v>
      </c>
    </row>
    <row r="9" spans="1:9">
      <c r="A9" s="3522"/>
      <c r="B9" s="3515" t="s">
        <v>1276</v>
      </c>
      <c r="C9" s="3515"/>
      <c r="D9" s="1589"/>
      <c r="E9" s="1588"/>
      <c r="F9" s="1590"/>
      <c r="G9" s="1590"/>
      <c r="H9" s="1591"/>
      <c r="I9" s="1613">
        <f t="shared" si="0"/>
        <v>0</v>
      </c>
    </row>
    <row r="10" spans="1:9">
      <c r="A10" s="3522"/>
      <c r="B10" s="3516" t="s">
        <v>468</v>
      </c>
      <c r="C10" s="3516"/>
      <c r="D10" s="1592"/>
      <c r="E10" s="1592" t="e">
        <f>ROUND(D1*10000/D10/H9,0)</f>
        <v>#DIV/0!</v>
      </c>
      <c r="F10" s="1593"/>
      <c r="G10" s="1593"/>
      <c r="H10" s="1594"/>
      <c r="I10" s="1614">
        <f>SUM(I3:I9)</f>
        <v>0</v>
      </c>
    </row>
    <row r="11" spans="1:9" ht="14.25">
      <c r="A11" s="3522" t="s">
        <v>1277</v>
      </c>
      <c r="B11" s="3515" t="s">
        <v>1278</v>
      </c>
      <c r="C11" s="3515"/>
      <c r="D11" s="1589" t="s">
        <v>1279</v>
      </c>
      <c r="E11" s="1589" t="s">
        <v>1280</v>
      </c>
      <c r="F11" s="1590" t="s">
        <v>1281</v>
      </c>
      <c r="G11" s="1590" t="s">
        <v>1268</v>
      </c>
      <c r="H11" s="1595" t="s">
        <v>124</v>
      </c>
      <c r="I11" s="1612" t="s">
        <v>1269</v>
      </c>
    </row>
    <row r="12" spans="1:9">
      <c r="A12" s="3522"/>
      <c r="B12" s="3515" t="s">
        <v>1282</v>
      </c>
      <c r="C12" s="3515"/>
      <c r="D12" s="1589"/>
      <c r="E12" s="1589"/>
      <c r="F12" s="1590"/>
      <c r="G12" s="1591"/>
      <c r="H12" s="1596"/>
      <c r="I12" s="1612">
        <f>ROUND(D12*E12*F12*G12/10000,0)</f>
        <v>0</v>
      </c>
    </row>
    <row r="13" spans="1:9">
      <c r="A13" s="3522"/>
      <c r="B13" s="3515" t="s">
        <v>1283</v>
      </c>
      <c r="C13" s="3515"/>
      <c r="D13" s="1589"/>
      <c r="E13" s="1589"/>
      <c r="F13" s="1590"/>
      <c r="G13" s="1591"/>
      <c r="H13" s="1596"/>
      <c r="I13" s="1612">
        <f>ROUND(D13*E13*F13*G13/10000,0)</f>
        <v>0</v>
      </c>
    </row>
    <row r="14" spans="1:9">
      <c r="A14" s="3522"/>
      <c r="B14" s="3515" t="s">
        <v>1284</v>
      </c>
      <c r="C14" s="3515"/>
      <c r="D14" s="1589"/>
      <c r="E14" s="1589"/>
      <c r="F14" s="1590"/>
      <c r="G14" s="1591"/>
      <c r="H14" s="1596"/>
      <c r="I14" s="1612">
        <f>ROUND(D14*E14*F14*G14/10000,0)</f>
        <v>0</v>
      </c>
    </row>
    <row r="15" spans="1:9">
      <c r="A15" s="3522"/>
      <c r="B15" s="3516" t="s">
        <v>468</v>
      </c>
      <c r="C15" s="3516"/>
      <c r="D15" s="1592"/>
      <c r="E15" s="1592">
        <f>SUM(E12:E14)</f>
        <v>0</v>
      </c>
      <c r="F15" s="1593"/>
      <c r="G15" s="1591"/>
      <c r="H15" s="1596"/>
      <c r="I15" s="1615">
        <f>SUM(I12:I14)</f>
        <v>0</v>
      </c>
    </row>
    <row r="16" spans="1:9" ht="24">
      <c r="A16" s="3522" t="s">
        <v>1285</v>
      </c>
      <c r="B16" s="3515" t="s">
        <v>1286</v>
      </c>
      <c r="C16" s="3515"/>
      <c r="D16" s="1589" t="s">
        <v>1264</v>
      </c>
      <c r="E16" s="1597" t="s">
        <v>1287</v>
      </c>
      <c r="F16" s="1590" t="s">
        <v>1288</v>
      </c>
      <c r="G16" s="1591" t="s">
        <v>1268</v>
      </c>
      <c r="H16" s="1595" t="s">
        <v>124</v>
      </c>
      <c r="I16" s="1612" t="s">
        <v>1269</v>
      </c>
    </row>
    <row r="17" spans="1:9" ht="14.25">
      <c r="A17" s="3522"/>
      <c r="B17" s="3515" t="s">
        <v>1289</v>
      </c>
      <c r="C17" s="3515"/>
      <c r="D17" s="1589"/>
      <c r="E17" s="1589"/>
      <c r="F17" s="1590"/>
      <c r="G17" s="1591"/>
      <c r="H17" s="1598"/>
      <c r="I17" s="1616">
        <f>ROUND(D17*E17*F17*G17/10000,0)</f>
        <v>0</v>
      </c>
    </row>
    <row r="18" spans="1:9" ht="14.25">
      <c r="A18" s="3522"/>
      <c r="B18" s="3515" t="s">
        <v>1290</v>
      </c>
      <c r="C18" s="3515"/>
      <c r="D18" s="1589"/>
      <c r="E18" s="1589"/>
      <c r="F18" s="1590"/>
      <c r="G18" s="1591"/>
      <c r="H18" s="1598"/>
      <c r="I18" s="1616">
        <f>ROUND(D18*E18*F18*G18/10000,0)</f>
        <v>0</v>
      </c>
    </row>
    <row r="19" spans="1:9" ht="14.25">
      <c r="A19" s="3522"/>
      <c r="B19" s="3515" t="s">
        <v>1291</v>
      </c>
      <c r="C19" s="3515"/>
      <c r="D19" s="1589"/>
      <c r="E19" s="1589"/>
      <c r="F19" s="1590"/>
      <c r="G19" s="1591"/>
      <c r="H19" s="1598"/>
      <c r="I19" s="1616">
        <f>ROUND(D19*E19*F19*G19/10000,0)</f>
        <v>0</v>
      </c>
    </row>
    <row r="20" spans="1:9">
      <c r="A20" s="3522"/>
      <c r="B20" s="3516" t="s">
        <v>468</v>
      </c>
      <c r="C20" s="3516"/>
      <c r="D20" s="1592">
        <f>SUM(D17:D19)</f>
        <v>0</v>
      </c>
      <c r="E20" s="1592"/>
      <c r="F20" s="1593"/>
      <c r="G20" s="1591"/>
      <c r="H20" s="1596"/>
      <c r="I20" s="1615">
        <f>SUM(I17:I19)</f>
        <v>0</v>
      </c>
    </row>
    <row r="21" spans="1:9">
      <c r="A21" s="3522" t="s">
        <v>1292</v>
      </c>
      <c r="B21" s="3530"/>
      <c r="C21" s="3530"/>
      <c r="D21" s="3530"/>
      <c r="E21" s="3530"/>
      <c r="F21" s="3530"/>
      <c r="G21" s="3530"/>
      <c r="H21" s="1599">
        <v>0.1</v>
      </c>
      <c r="I21" s="1614">
        <f>ROUND(I10*H21,0)</f>
        <v>0</v>
      </c>
    </row>
    <row r="22" spans="1:9" ht="14.25">
      <c r="A22" s="3523" t="s">
        <v>1293</v>
      </c>
      <c r="B22" s="3524"/>
      <c r="C22" s="3525"/>
      <c r="D22" s="1600" t="s">
        <v>464</v>
      </c>
      <c r="E22" s="1600" t="s">
        <v>1294</v>
      </c>
      <c r="F22" s="1601" t="s">
        <v>1268</v>
      </c>
      <c r="G22" s="1601" t="s">
        <v>1295</v>
      </c>
      <c r="H22" s="1595" t="s">
        <v>124</v>
      </c>
      <c r="I22" s="1612" t="s">
        <v>1269</v>
      </c>
    </row>
    <row r="23" spans="1:9">
      <c r="A23" s="3526"/>
      <c r="B23" s="3527"/>
      <c r="C23" s="3528"/>
      <c r="D23" s="1602"/>
      <c r="E23" s="1602"/>
      <c r="F23" s="1602"/>
      <c r="G23" s="1603"/>
      <c r="H23" s="1604"/>
      <c r="I23" s="1617">
        <f>ROUND(E23*D23*F23*(1-G23)/10000,0)</f>
        <v>0</v>
      </c>
    </row>
    <row r="26" spans="1:9">
      <c r="A26" s="1605" t="s">
        <v>1296</v>
      </c>
      <c r="B26" s="1605"/>
      <c r="C26" s="1605"/>
      <c r="D26" s="1605"/>
      <c r="E26" s="3521">
        <f>C27-C30-C31-C32</f>
        <v>0</v>
      </c>
      <c r="F26" s="3521"/>
      <c r="G26" s="3521"/>
      <c r="H26" s="1606" t="s">
        <v>1297</v>
      </c>
    </row>
    <row r="27" spans="1:9">
      <c r="A27" s="1607">
        <v>1</v>
      </c>
      <c r="B27" s="1608" t="s">
        <v>1298</v>
      </c>
      <c r="C27" s="1608">
        <f>C28+C29</f>
        <v>0</v>
      </c>
      <c r="D27" s="1608"/>
      <c r="E27" s="3517"/>
      <c r="F27" s="3517"/>
      <c r="G27" s="3517"/>
    </row>
    <row r="28" spans="1:9">
      <c r="A28" s="1609" t="s">
        <v>1299</v>
      </c>
      <c r="B28" s="1608" t="s">
        <v>1300</v>
      </c>
      <c r="C28" s="1608"/>
      <c r="D28" s="1608"/>
      <c r="E28" s="3517"/>
      <c r="F28" s="3517"/>
      <c r="G28" s="3517"/>
    </row>
    <row r="29" spans="1:9">
      <c r="A29" s="1609" t="s">
        <v>1301</v>
      </c>
      <c r="B29" s="1608" t="s">
        <v>1302</v>
      </c>
      <c r="C29" s="1608"/>
      <c r="D29" s="1608"/>
      <c r="E29" s="1608" t="s">
        <v>1303</v>
      </c>
      <c r="F29" s="1608"/>
      <c r="G29" s="1608"/>
    </row>
    <row r="30" spans="1:9">
      <c r="A30" s="1607">
        <v>2</v>
      </c>
      <c r="B30" s="1608" t="s">
        <v>1304</v>
      </c>
      <c r="C30" s="1608">
        <f>C27*D30</f>
        <v>0</v>
      </c>
      <c r="D30" s="1610">
        <v>0.2</v>
      </c>
      <c r="E30" s="1608" t="s">
        <v>1305</v>
      </c>
      <c r="F30" s="1608"/>
      <c r="G30" s="1608"/>
    </row>
    <row r="31" spans="1:9">
      <c r="A31" s="1607">
        <v>3</v>
      </c>
      <c r="B31" s="1608" t="s">
        <v>1306</v>
      </c>
      <c r="C31" s="1608">
        <f>C25*D31</f>
        <v>0</v>
      </c>
      <c r="D31" s="1610">
        <v>0.15</v>
      </c>
      <c r="E31" s="1608" t="s">
        <v>1307</v>
      </c>
      <c r="F31" s="1608"/>
      <c r="G31" s="1608"/>
    </row>
    <row r="32" spans="1:9">
      <c r="A32" s="1607">
        <v>4</v>
      </c>
      <c r="B32" s="1608" t="s">
        <v>1308</v>
      </c>
      <c r="C32" s="1608">
        <f>C27*D32</f>
        <v>0</v>
      </c>
      <c r="D32" s="1610">
        <v>0.05</v>
      </c>
      <c r="E32" s="3529"/>
      <c r="F32" s="3529"/>
      <c r="G32" s="3529"/>
    </row>
    <row r="33" spans="1:7" hidden="1">
      <c r="A33" s="3518" t="s">
        <v>1309</v>
      </c>
      <c r="B33" s="3519"/>
      <c r="C33" s="3519"/>
      <c r="D33" s="3520"/>
      <c r="E33" s="3521"/>
      <c r="F33" s="3521"/>
      <c r="G33" s="3521"/>
    </row>
    <row r="34" spans="1:7" hidden="1">
      <c r="A34" s="1611">
        <v>1</v>
      </c>
      <c r="B34" s="1608" t="s">
        <v>1310</v>
      </c>
      <c r="C34" s="1608"/>
      <c r="D34" s="1608"/>
      <c r="E34" s="3517"/>
      <c r="F34" s="3517"/>
      <c r="G34" s="3517"/>
    </row>
    <row r="35" spans="1:7" hidden="1">
      <c r="A35" s="1611">
        <v>2</v>
      </c>
      <c r="B35" s="1608" t="s">
        <v>1311</v>
      </c>
      <c r="C35" s="1608"/>
      <c r="D35" s="1608"/>
      <c r="E35" s="3517"/>
      <c r="F35" s="3517"/>
      <c r="G35" s="3517"/>
    </row>
    <row r="36" spans="1:7" hidden="1">
      <c r="A36" s="1611">
        <v>3</v>
      </c>
      <c r="B36" s="1608" t="s">
        <v>1312</v>
      </c>
      <c r="C36" s="1608"/>
      <c r="D36" s="1608"/>
      <c r="E36" s="3517"/>
      <c r="F36" s="3517"/>
      <c r="G36" s="3517"/>
    </row>
    <row r="37" spans="1:7" hidden="1">
      <c r="A37" s="1611">
        <v>4</v>
      </c>
      <c r="B37" s="1608" t="s">
        <v>1313</v>
      </c>
      <c r="C37" s="1608"/>
      <c r="D37" s="1608"/>
      <c r="E37" s="3517"/>
      <c r="F37" s="3517"/>
      <c r="G37" s="3517"/>
    </row>
    <row r="38" spans="1:7" hidden="1">
      <c r="A38" s="3518" t="s">
        <v>1314</v>
      </c>
      <c r="B38" s="3519"/>
      <c r="C38" s="3519"/>
      <c r="D38" s="3520"/>
      <c r="E38" s="3521"/>
      <c r="F38" s="3521"/>
      <c r="G38" s="3521"/>
    </row>
  </sheetData>
  <mergeCells count="38">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 ref="E27:G27"/>
    <mergeCell ref="E28:G28"/>
    <mergeCell ref="B15:C15"/>
    <mergeCell ref="B16:C16"/>
    <mergeCell ref="B17:C17"/>
    <mergeCell ref="B18:C18"/>
    <mergeCell ref="B19:C19"/>
    <mergeCell ref="B10:C10"/>
    <mergeCell ref="B11:C11"/>
    <mergeCell ref="B12:C12"/>
    <mergeCell ref="B13:C13"/>
    <mergeCell ref="B14:C14"/>
    <mergeCell ref="B5:C5"/>
    <mergeCell ref="B6:C6"/>
    <mergeCell ref="B7:C7"/>
    <mergeCell ref="B8:C8"/>
    <mergeCell ref="B9:C9"/>
    <mergeCell ref="A1:C1"/>
    <mergeCell ref="D1:I1"/>
    <mergeCell ref="B2:C2"/>
    <mergeCell ref="B3:C3"/>
    <mergeCell ref="B4:C4"/>
  </mergeCells>
  <phoneticPr fontId="225" type="noConversion"/>
  <pageMargins left="0.69930555555555596" right="0.69930555555555596" top="0.75" bottom="0.75" header="0.3" footer="0.3"/>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872" customWidth="1"/>
    <col min="2" max="2" width="15.75" style="872" customWidth="1"/>
    <col min="3" max="3" width="15.125" style="872" customWidth="1"/>
    <col min="4" max="4" width="12.25" style="872" customWidth="1"/>
    <col min="5" max="5" width="14.375" style="872" customWidth="1"/>
    <col min="6" max="6" width="12.25" style="872" customWidth="1"/>
    <col min="7" max="7" width="14.5" style="872" customWidth="1"/>
    <col min="8" max="8" width="12.25" style="872" customWidth="1"/>
    <col min="9" max="9" width="14.5" style="872" customWidth="1"/>
    <col min="10" max="10" width="12.25" style="872" customWidth="1"/>
    <col min="11" max="11" width="12.25" style="873" customWidth="1"/>
    <col min="12" max="12" width="12.25" style="874" customWidth="1"/>
    <col min="13" max="15" width="12.25" style="872" customWidth="1"/>
    <col min="16" max="16" width="4.75" style="1491" customWidth="1"/>
    <col min="17" max="17" width="19.5" style="872" customWidth="1"/>
    <col min="18" max="22" width="6.125" style="872" customWidth="1"/>
    <col min="23" max="23" width="5.75" style="872" customWidth="1"/>
    <col min="24" max="24" width="4.25" style="872" customWidth="1"/>
    <col min="25" max="25" width="3.5" style="872" customWidth="1"/>
    <col min="26" max="26" width="19.75" style="872" customWidth="1"/>
    <col min="27" max="28" width="9.375" style="872" customWidth="1"/>
    <col min="29" max="16384" width="9" style="872"/>
  </cols>
  <sheetData>
    <row r="1" spans="1:29" s="1312" customFormat="1" ht="28.5" customHeight="1">
      <c r="A1" s="1313" t="s">
        <v>1315</v>
      </c>
      <c r="B1" s="1492" t="s">
        <v>1316</v>
      </c>
      <c r="C1" s="1372" t="s">
        <v>1317</v>
      </c>
      <c r="D1" s="1316"/>
      <c r="E1" s="1516"/>
      <c r="F1" s="1318" t="s">
        <v>1318</v>
      </c>
      <c r="G1" s="1319" t="s">
        <v>1319</v>
      </c>
      <c r="H1" s="1317"/>
      <c r="I1" s="1317"/>
      <c r="J1" s="1317"/>
      <c r="K1" s="1370"/>
      <c r="L1" s="1371"/>
      <c r="M1" s="1372"/>
      <c r="N1" s="1372"/>
      <c r="O1" s="1372"/>
      <c r="P1" s="1525"/>
      <c r="Q1" s="1315"/>
      <c r="R1" s="1315"/>
      <c r="S1" s="1315"/>
      <c r="T1" s="1315"/>
      <c r="U1" s="1315"/>
      <c r="V1" s="1315"/>
      <c r="W1" s="1315"/>
      <c r="X1" s="1315"/>
      <c r="Y1" s="1315"/>
      <c r="Z1" s="1315"/>
      <c r="AA1" s="1315"/>
      <c r="AB1" s="1315"/>
      <c r="AC1" s="1378"/>
    </row>
    <row r="2" spans="1:29" s="1515" customFormat="1" ht="28.5" customHeight="1">
      <c r="A2" s="1320" t="s">
        <v>895</v>
      </c>
      <c r="B2" s="1321" t="e">
        <f ca="1">IF(C2="——",ROUND(C49*D3/10000,0),ROUND(C49*D3/10000,0)-D2)</f>
        <v>#DIV/0!</v>
      </c>
      <c r="C2" s="1322"/>
      <c r="D2" s="1461" t="e">
        <f ca="1">SUMIF(INDIRECT("'"&amp;F2&amp;"'"&amp;"!A:A"),"承租人权益价值",INDIRECT("'"&amp;F2&amp;"'"&amp;"!c:c"))</f>
        <v>#REF!</v>
      </c>
      <c r="E2" s="1323" t="s">
        <v>896</v>
      </c>
      <c r="F2" s="1324"/>
      <c r="G2" s="1281"/>
      <c r="H2" s="1281"/>
      <c r="I2" s="1281"/>
      <c r="J2" s="1281"/>
      <c r="K2" s="1526"/>
      <c r="L2" s="1527"/>
      <c r="M2" s="1528"/>
      <c r="N2" s="1528"/>
      <c r="O2" s="1528"/>
      <c r="P2" s="1529"/>
      <c r="Q2" s="1543"/>
      <c r="R2" s="1543"/>
      <c r="S2" s="1543"/>
      <c r="T2" s="1543"/>
      <c r="U2" s="1543"/>
      <c r="V2" s="1543"/>
      <c r="W2" s="1543"/>
      <c r="X2" s="1543"/>
      <c r="Y2" s="1543"/>
      <c r="Z2" s="1543"/>
      <c r="AA2" s="1543"/>
      <c r="AB2" s="1543"/>
      <c r="AC2" s="1544"/>
    </row>
    <row r="3" spans="1:29" s="1515" customFormat="1" ht="28.5" customHeight="1">
      <c r="A3" s="147" t="s">
        <v>897</v>
      </c>
      <c r="B3" s="1326" t="e">
        <f ca="1">IF(C2="——",C49,ROUND(B2*10000/D3,0))</f>
        <v>#DIV/0!</v>
      </c>
      <c r="C3" s="1325" t="s">
        <v>1320</v>
      </c>
      <c r="D3" s="1326">
        <f>IF(D1="",'数据-汇总表'!E3,SUMIF('数据-汇总表'!$C19:$C33,D1,'数据-汇总表'!$E19:$E33))</f>
        <v>98873.18</v>
      </c>
      <c r="E3" s="1281"/>
      <c r="F3" s="1517"/>
      <c r="G3" s="1281"/>
      <c r="H3" s="1281"/>
      <c r="I3" s="1281"/>
      <c r="J3" s="1281"/>
      <c r="K3" s="1526"/>
      <c r="L3" s="1527"/>
      <c r="M3" s="1528"/>
      <c r="N3" s="1528"/>
      <c r="O3" s="1528"/>
      <c r="P3" s="1529"/>
      <c r="Q3" s="1543"/>
      <c r="R3" s="1543"/>
      <c r="S3" s="1543"/>
      <c r="T3" s="1543"/>
      <c r="U3" s="1543"/>
      <c r="V3" s="1543"/>
      <c r="W3" s="1543"/>
      <c r="X3" s="1543"/>
      <c r="Y3" s="1543"/>
      <c r="Z3" s="1543"/>
      <c r="AA3" s="1543"/>
      <c r="AB3" s="1543"/>
      <c r="AC3" s="1545"/>
    </row>
    <row r="4" spans="1:29" ht="15">
      <c r="A4" s="885" t="s">
        <v>1321</v>
      </c>
      <c r="B4" s="886"/>
      <c r="C4" s="3457" t="s">
        <v>1322</v>
      </c>
      <c r="D4" s="3458"/>
      <c r="E4" s="3459" t="s">
        <v>1323</v>
      </c>
      <c r="F4" s="3460"/>
      <c r="G4" s="3457" t="s">
        <v>1324</v>
      </c>
      <c r="H4" s="3458"/>
      <c r="I4" s="3457" t="s">
        <v>1325</v>
      </c>
      <c r="J4" s="3458"/>
      <c r="K4" s="1530" t="s">
        <v>1326</v>
      </c>
      <c r="L4" s="1028"/>
      <c r="M4" s="1029"/>
      <c r="N4" s="1029"/>
      <c r="O4" s="1029"/>
      <c r="P4" s="3487" t="s">
        <v>1327</v>
      </c>
      <c r="Q4" s="3488"/>
      <c r="R4" s="3493" t="s">
        <v>1323</v>
      </c>
      <c r="S4" s="3494"/>
      <c r="T4" s="3493" t="s">
        <v>1324</v>
      </c>
      <c r="U4" s="3494"/>
      <c r="V4" s="3481" t="s">
        <v>1325</v>
      </c>
      <c r="W4" s="3481"/>
      <c r="X4" s="1069"/>
      <c r="Y4" s="3493" t="s">
        <v>1327</v>
      </c>
      <c r="Z4" s="3494"/>
      <c r="AA4" s="3482" t="s">
        <v>1323</v>
      </c>
      <c r="AB4" s="3482" t="s">
        <v>1324</v>
      </c>
      <c r="AC4" s="3482" t="s">
        <v>1325</v>
      </c>
    </row>
    <row r="5" spans="1:29" ht="15">
      <c r="A5" s="887"/>
      <c r="B5" s="888"/>
      <c r="C5" s="3461" t="s">
        <v>1328</v>
      </c>
      <c r="D5" s="3462"/>
      <c r="E5" s="3531" t="s">
        <v>1329</v>
      </c>
      <c r="F5" s="3532"/>
      <c r="G5" s="3461" t="s">
        <v>1330</v>
      </c>
      <c r="H5" s="3462"/>
      <c r="I5" s="3461" t="s">
        <v>1331</v>
      </c>
      <c r="J5" s="3462"/>
      <c r="K5" s="1531"/>
      <c r="L5" s="1028"/>
      <c r="M5" s="1029"/>
      <c r="N5" s="1029"/>
      <c r="O5" s="1029"/>
      <c r="P5" s="3489"/>
      <c r="Q5" s="3490"/>
      <c r="R5" s="3495"/>
      <c r="S5" s="3496"/>
      <c r="T5" s="3495"/>
      <c r="U5" s="3496"/>
      <c r="V5" s="3481"/>
      <c r="W5" s="3481"/>
      <c r="X5" s="1069"/>
      <c r="Y5" s="3495"/>
      <c r="Z5" s="3496"/>
      <c r="AA5" s="3483"/>
      <c r="AB5" s="3483"/>
      <c r="AC5" s="3483"/>
    </row>
    <row r="6" spans="1:29" ht="15">
      <c r="A6" s="889"/>
      <c r="B6" s="890"/>
      <c r="C6" s="3464" t="s">
        <v>1332</v>
      </c>
      <c r="D6" s="3465"/>
      <c r="E6" s="3533" t="s">
        <v>1332</v>
      </c>
      <c r="F6" s="3534"/>
      <c r="G6" s="3464" t="s">
        <v>1332</v>
      </c>
      <c r="H6" s="3465"/>
      <c r="I6" s="3464" t="s">
        <v>1332</v>
      </c>
      <c r="J6" s="3465"/>
      <c r="K6" s="1531" t="s">
        <v>1333</v>
      </c>
      <c r="L6" s="1028"/>
      <c r="M6" s="1029"/>
      <c r="N6" s="1029"/>
      <c r="O6" s="1029"/>
      <c r="P6" s="3491"/>
      <c r="Q6" s="3492"/>
      <c r="R6" s="3495"/>
      <c r="S6" s="3496"/>
      <c r="T6" s="3497"/>
      <c r="U6" s="3498"/>
      <c r="V6" s="3481"/>
      <c r="W6" s="3481"/>
      <c r="X6" s="1069"/>
      <c r="Y6" s="3497"/>
      <c r="Z6" s="3498"/>
      <c r="AA6" s="3484"/>
      <c r="AB6" s="3484"/>
      <c r="AC6" s="3484"/>
    </row>
    <row r="7" spans="1:29" s="866" customFormat="1" ht="15">
      <c r="A7" s="891" t="s">
        <v>1334</v>
      </c>
      <c r="B7" s="892"/>
      <c r="C7" s="893">
        <f>'数据-取费表'!B2</f>
        <v>43361</v>
      </c>
      <c r="D7" s="894">
        <v>100</v>
      </c>
      <c r="E7" s="895"/>
      <c r="F7" s="896">
        <f>SUMIF(58:58,YEAR(E7)&amp;"-"&amp;MONTH(E7),59:59)</f>
        <v>0</v>
      </c>
      <c r="G7" s="895"/>
      <c r="H7" s="894">
        <f>SUMIF(58:58,YEAR(G7)&amp;"-"&amp;MONTH(G7),59:59)</f>
        <v>0</v>
      </c>
      <c r="I7" s="895"/>
      <c r="J7" s="894">
        <f>SUMIF(58:58,YEAR(I7)&amp;"-"&amp;MONTH(I7),59:59)</f>
        <v>0</v>
      </c>
      <c r="K7" s="1532"/>
      <c r="L7" s="1031"/>
      <c r="M7" s="1032"/>
      <c r="N7" s="1032"/>
      <c r="O7" s="1032"/>
      <c r="P7" s="3469" t="s">
        <v>1335</v>
      </c>
      <c r="Q7" s="3470"/>
      <c r="R7" s="1070" t="s">
        <v>1336</v>
      </c>
      <c r="S7" s="1071">
        <f t="shared" ref="S7:S15" si="0">F7</f>
        <v>0</v>
      </c>
      <c r="T7" s="1070" t="s">
        <v>1336</v>
      </c>
      <c r="U7" s="1071">
        <f t="shared" ref="U7:U15" si="1">H7</f>
        <v>0</v>
      </c>
      <c r="V7" s="1070" t="s">
        <v>1336</v>
      </c>
      <c r="W7" s="1071">
        <f t="shared" ref="W7:W15" si="2">J7</f>
        <v>0</v>
      </c>
      <c r="X7" s="1072"/>
      <c r="Y7" s="3469" t="s">
        <v>1335</v>
      </c>
      <c r="Z7" s="3499"/>
      <c r="AA7" s="1084" t="e">
        <f>D7/F7</f>
        <v>#DIV/0!</v>
      </c>
      <c r="AB7" s="1084" t="e">
        <f>D7/H7</f>
        <v>#DIV/0!</v>
      </c>
      <c r="AC7" s="1084" t="e">
        <f>D7/J7</f>
        <v>#DIV/0!</v>
      </c>
    </row>
    <row r="8" spans="1:29" s="866" customFormat="1" ht="15">
      <c r="A8" s="891" t="s">
        <v>1337</v>
      </c>
      <c r="B8" s="892"/>
      <c r="C8" s="898" t="s">
        <v>1338</v>
      </c>
      <c r="D8" s="894">
        <v>100</v>
      </c>
      <c r="E8" s="1518"/>
      <c r="F8" s="896">
        <f>SUMIF(61:61,E8,62:62)-SUMIF(61:61,C8,62:62)+100</f>
        <v>0</v>
      </c>
      <c r="G8" s="898"/>
      <c r="H8" s="894">
        <f>SUMIF(61:61,G8,62:62)-SUMIF(61:61,C8,62:62)+100</f>
        <v>0</v>
      </c>
      <c r="I8" s="1518"/>
      <c r="J8" s="894">
        <f>SUMIF(61:61,I8,62:62)-SUMIF(61:61,C8,62:62)+100</f>
        <v>0</v>
      </c>
      <c r="K8" s="1532"/>
      <c r="L8" s="1031"/>
      <c r="M8" s="1032"/>
      <c r="N8" s="1032"/>
      <c r="O8" s="1032"/>
      <c r="P8" s="3469" t="s">
        <v>1339</v>
      </c>
      <c r="Q8" s="3499"/>
      <c r="R8" s="1070" t="s">
        <v>1336</v>
      </c>
      <c r="S8" s="1071">
        <f t="shared" si="0"/>
        <v>0</v>
      </c>
      <c r="T8" s="1070" t="s">
        <v>1336</v>
      </c>
      <c r="U8" s="1071">
        <f t="shared" si="1"/>
        <v>0</v>
      </c>
      <c r="V8" s="1070" t="s">
        <v>1336</v>
      </c>
      <c r="W8" s="1071">
        <f t="shared" si="2"/>
        <v>0</v>
      </c>
      <c r="X8" s="1072"/>
      <c r="Y8" s="3469" t="s">
        <v>1339</v>
      </c>
      <c r="Z8" s="3499"/>
      <c r="AA8" s="1084" t="e">
        <f t="shared" ref="AA8:AA19" si="3">D8/F8</f>
        <v>#DIV/0!</v>
      </c>
      <c r="AB8" s="1084" t="e">
        <f t="shared" ref="AB8:AB19" si="4">D8/H8</f>
        <v>#DIV/0!</v>
      </c>
      <c r="AC8" s="1084" t="e">
        <f t="shared" ref="AC8:AC19" si="5">D8/J8</f>
        <v>#DIV/0!</v>
      </c>
    </row>
    <row r="9" spans="1:29" s="866" customFormat="1">
      <c r="A9" s="899" t="s">
        <v>1340</v>
      </c>
      <c r="B9" s="900" t="s">
        <v>346</v>
      </c>
      <c r="C9" s="1327"/>
      <c r="D9" s="902">
        <v>100</v>
      </c>
      <c r="E9" s="1396"/>
      <c r="F9" s="1329">
        <f>SUMIF(63:63,E9,64:64)-SUMIF(63:63,C9,64:64)+100</f>
        <v>100</v>
      </c>
      <c r="G9" s="1328"/>
      <c r="H9" s="902">
        <f>SUMIF(63:63,G9,64:64)-SUMIF(63:63,C9,64:64)+100</f>
        <v>100</v>
      </c>
      <c r="I9" s="1328"/>
      <c r="J9" s="902">
        <f>SUMIF(63:63,I9,64:64)-SUMIF(63:63,C9,64:64)+100</f>
        <v>100</v>
      </c>
      <c r="K9" s="1532"/>
      <c r="L9" s="1031"/>
      <c r="M9" s="1032"/>
      <c r="N9" s="1032"/>
      <c r="O9" s="1032"/>
      <c r="P9" s="3486" t="s">
        <v>1341</v>
      </c>
      <c r="Q9" s="1074" t="str">
        <f t="shared" ref="Q9:Q15" si="6">B9</f>
        <v>用途</v>
      </c>
      <c r="R9" s="1070" t="s">
        <v>1336</v>
      </c>
      <c r="S9" s="1071">
        <f t="shared" si="0"/>
        <v>100</v>
      </c>
      <c r="T9" s="1070" t="s">
        <v>1336</v>
      </c>
      <c r="U9" s="1071">
        <f t="shared" si="1"/>
        <v>100</v>
      </c>
      <c r="V9" s="1070" t="s">
        <v>1336</v>
      </c>
      <c r="W9" s="1071">
        <f t="shared" si="2"/>
        <v>100</v>
      </c>
      <c r="X9" s="1072"/>
      <c r="Y9" s="3245" t="s">
        <v>1342</v>
      </c>
      <c r="Z9" s="1085" t="str">
        <f t="shared" ref="Z9:Z15" si="7">Q9</f>
        <v>用途</v>
      </c>
      <c r="AA9" s="1084">
        <f t="shared" si="3"/>
        <v>1</v>
      </c>
      <c r="AB9" s="1084">
        <f t="shared" si="4"/>
        <v>1</v>
      </c>
      <c r="AC9" s="1084">
        <f t="shared" si="5"/>
        <v>1</v>
      </c>
    </row>
    <row r="10" spans="1:29" s="867" customFormat="1" ht="27">
      <c r="A10" s="903"/>
      <c r="B10" s="904" t="s">
        <v>1343</v>
      </c>
      <c r="C10" s="1330"/>
      <c r="D10" s="906">
        <v>100</v>
      </c>
      <c r="E10" s="1399"/>
      <c r="F10" s="1331">
        <f>SUMIF(65:65,E10,66:66)-SUMIF(65:65,C10,66:66)+100</f>
        <v>100</v>
      </c>
      <c r="G10" s="1330"/>
      <c r="H10" s="906">
        <f>SUMIF(65:65,G10,66:66)-SUMIF(65:65,C10,66:66)+100</f>
        <v>100</v>
      </c>
      <c r="I10" s="1330"/>
      <c r="J10" s="906">
        <f>SUMIF(65:65,I10,66:66)-SUMIF(65:65,C10,66:66)+100</f>
        <v>100</v>
      </c>
      <c r="K10" s="1533"/>
      <c r="L10" s="1035"/>
      <c r="M10" s="1036"/>
      <c r="N10" s="1036"/>
      <c r="O10" s="1036"/>
      <c r="P10" s="3486"/>
      <c r="Q10" s="1074" t="str">
        <f t="shared" si="6"/>
        <v>土地使用年限（年）</v>
      </c>
      <c r="R10" s="1070" t="s">
        <v>1336</v>
      </c>
      <c r="S10" s="1071">
        <f t="shared" si="0"/>
        <v>100</v>
      </c>
      <c r="T10" s="1070" t="s">
        <v>1336</v>
      </c>
      <c r="U10" s="1071">
        <f t="shared" si="1"/>
        <v>100</v>
      </c>
      <c r="V10" s="1070" t="s">
        <v>1336</v>
      </c>
      <c r="W10" s="1071">
        <f t="shared" si="2"/>
        <v>100</v>
      </c>
      <c r="X10" s="1072"/>
      <c r="Y10" s="3245"/>
      <c r="Z10" s="1085" t="str">
        <f t="shared" si="7"/>
        <v>土地使用年限（年）</v>
      </c>
      <c r="AA10" s="1084">
        <f t="shared" si="3"/>
        <v>1</v>
      </c>
      <c r="AB10" s="1084">
        <f t="shared" si="4"/>
        <v>1</v>
      </c>
      <c r="AC10" s="1084">
        <f t="shared" si="5"/>
        <v>1</v>
      </c>
    </row>
    <row r="11" spans="1:29" ht="15">
      <c r="A11" s="907"/>
      <c r="B11" s="904" t="s">
        <v>1344</v>
      </c>
      <c r="C11" s="908"/>
      <c r="D11" s="906">
        <v>100</v>
      </c>
      <c r="E11" s="909"/>
      <c r="F11" s="1331" t="e">
        <f>LOOKUP(E11,68:68,69:69)-LOOKUP(C11,68:68,69:69)+100</f>
        <v>#N/A</v>
      </c>
      <c r="G11" s="908"/>
      <c r="H11" s="906" t="e">
        <f>LOOKUP(G11,68:68,69:69)-LOOKUP(C11,68:68,69:69)+100</f>
        <v>#N/A</v>
      </c>
      <c r="I11" s="908"/>
      <c r="J11" s="906" t="e">
        <f>LOOKUP(I11,68:68,69:69)-LOOKUP(C11,68:68,69:69)+100</f>
        <v>#N/A</v>
      </c>
      <c r="K11" s="1533"/>
      <c r="L11" s="1039"/>
      <c r="M11" s="1029"/>
      <c r="N11" s="1029"/>
      <c r="O11" s="1029"/>
      <c r="P11" s="3486"/>
      <c r="Q11" s="1074" t="str">
        <f t="shared" si="6"/>
        <v>容积率</v>
      </c>
      <c r="R11" s="1070" t="s">
        <v>1336</v>
      </c>
      <c r="S11" s="1071" t="e">
        <f t="shared" si="0"/>
        <v>#N/A</v>
      </c>
      <c r="T11" s="1070" t="s">
        <v>1336</v>
      </c>
      <c r="U11" s="1071" t="e">
        <f t="shared" si="1"/>
        <v>#N/A</v>
      </c>
      <c r="V11" s="1070" t="s">
        <v>1336</v>
      </c>
      <c r="W11" s="1071" t="e">
        <f t="shared" si="2"/>
        <v>#N/A</v>
      </c>
      <c r="X11" s="1072"/>
      <c r="Y11" s="3245"/>
      <c r="Z11" s="1085" t="str">
        <f t="shared" si="7"/>
        <v>容积率</v>
      </c>
      <c r="AA11" s="1084" t="e">
        <f t="shared" si="3"/>
        <v>#N/A</v>
      </c>
      <c r="AB11" s="1084" t="e">
        <f t="shared" si="4"/>
        <v>#N/A</v>
      </c>
      <c r="AC11" s="1084" t="e">
        <f t="shared" si="5"/>
        <v>#N/A</v>
      </c>
    </row>
    <row r="12" spans="1:29" s="866" customFormat="1" ht="15">
      <c r="A12" s="910"/>
      <c r="B12" s="911">
        <v>111</v>
      </c>
      <c r="C12" s="905"/>
      <c r="D12" s="912">
        <v>100</v>
      </c>
      <c r="E12" s="905"/>
      <c r="F12" s="1331">
        <f>SUMIF(70:70,E12,71:71)-SUMIF(70:70,C12,71:71)+100</f>
        <v>100</v>
      </c>
      <c r="G12" s="905"/>
      <c r="H12" s="906">
        <f>SUMIF(70:70,G12,71:71)-SUMIF(70:70,C12,71:71)+100</f>
        <v>100</v>
      </c>
      <c r="I12" s="905"/>
      <c r="J12" s="906">
        <f>SUMIF(70:70,I12,71:71)-SUMIF(70:70,C12,71:71)+100</f>
        <v>100</v>
      </c>
      <c r="K12" s="1534"/>
      <c r="L12" s="1031"/>
      <c r="M12" s="1032"/>
      <c r="N12" s="1032"/>
      <c r="O12" s="1032"/>
      <c r="P12" s="3486"/>
      <c r="Q12" s="1074">
        <f t="shared" si="6"/>
        <v>111</v>
      </c>
      <c r="R12" s="1070" t="s">
        <v>1336</v>
      </c>
      <c r="S12" s="1071">
        <f t="shared" si="0"/>
        <v>100</v>
      </c>
      <c r="T12" s="1070" t="s">
        <v>1336</v>
      </c>
      <c r="U12" s="1071">
        <f t="shared" si="1"/>
        <v>100</v>
      </c>
      <c r="V12" s="1070" t="s">
        <v>1336</v>
      </c>
      <c r="W12" s="1071">
        <f t="shared" si="2"/>
        <v>100</v>
      </c>
      <c r="X12" s="1072"/>
      <c r="Y12" s="3245"/>
      <c r="Z12" s="1085">
        <f t="shared" si="7"/>
        <v>111</v>
      </c>
      <c r="AA12" s="1084">
        <f t="shared" si="3"/>
        <v>1</v>
      </c>
      <c r="AB12" s="1084">
        <f t="shared" si="4"/>
        <v>1</v>
      </c>
      <c r="AC12" s="1084">
        <f t="shared" si="5"/>
        <v>1</v>
      </c>
    </row>
    <row r="13" spans="1:29" ht="15">
      <c r="A13" s="907"/>
      <c r="B13" s="911">
        <v>111</v>
      </c>
      <c r="C13" s="915"/>
      <c r="D13" s="916">
        <v>100</v>
      </c>
      <c r="E13" s="915"/>
      <c r="F13" s="1331">
        <f>SUMIF(72:72,E13,73:73)-SUMIF(72:72,C13,73:73)+100</f>
        <v>100</v>
      </c>
      <c r="G13" s="915"/>
      <c r="H13" s="916">
        <f>SUMIF(72:72,G13,73:73)-SUMIF(72:72,C13,73:73)+100</f>
        <v>100</v>
      </c>
      <c r="I13" s="915"/>
      <c r="J13" s="916">
        <f>SUMIF(72:72,I13,73:73)-SUMIF(72:72,C13,73:73)+100</f>
        <v>100</v>
      </c>
      <c r="K13" s="1534"/>
      <c r="L13" s="1041"/>
      <c r="M13" s="1029"/>
      <c r="N13" s="1029"/>
      <c r="O13" s="1029"/>
      <c r="P13" s="3486"/>
      <c r="Q13" s="1074">
        <f t="shared" si="6"/>
        <v>111</v>
      </c>
      <c r="R13" s="1070" t="s">
        <v>1336</v>
      </c>
      <c r="S13" s="1071">
        <f t="shared" si="0"/>
        <v>100</v>
      </c>
      <c r="T13" s="1070" t="s">
        <v>1336</v>
      </c>
      <c r="U13" s="1071">
        <f t="shared" si="1"/>
        <v>100</v>
      </c>
      <c r="V13" s="1070" t="s">
        <v>1336</v>
      </c>
      <c r="W13" s="1071">
        <f t="shared" si="2"/>
        <v>100</v>
      </c>
      <c r="X13" s="1072"/>
      <c r="Y13" s="3245"/>
      <c r="Z13" s="1085">
        <f t="shared" si="7"/>
        <v>111</v>
      </c>
      <c r="AA13" s="1084">
        <f t="shared" si="3"/>
        <v>1</v>
      </c>
      <c r="AB13" s="1084">
        <f t="shared" si="4"/>
        <v>1</v>
      </c>
      <c r="AC13" s="1084">
        <f t="shared" si="5"/>
        <v>1</v>
      </c>
    </row>
    <row r="14" spans="1:29" ht="15">
      <c r="A14" s="917"/>
      <c r="B14" s="918">
        <v>111</v>
      </c>
      <c r="C14" s="919"/>
      <c r="D14" s="920">
        <v>100</v>
      </c>
      <c r="E14" s="919"/>
      <c r="F14" s="1351">
        <f>SUMIF(74:74,E14,75:75)-SUMIF(74:74,C14,75:75)+100</f>
        <v>100</v>
      </c>
      <c r="G14" s="919"/>
      <c r="H14" s="920">
        <f>SUMIF(74:74,G14,75:75)-SUMIF(74:74,C14,75:75)+100</f>
        <v>100</v>
      </c>
      <c r="I14" s="919"/>
      <c r="J14" s="920">
        <f>SUMIF(74:74,I14,75:75)-SUMIF(74:74,C14,75:75)+100</f>
        <v>100</v>
      </c>
      <c r="K14" s="1534"/>
      <c r="L14" s="1041"/>
      <c r="M14" s="1029"/>
      <c r="N14" s="1029"/>
      <c r="O14" s="1029"/>
      <c r="P14" s="3486"/>
      <c r="Q14" s="1074">
        <f t="shared" si="6"/>
        <v>111</v>
      </c>
      <c r="R14" s="1070" t="s">
        <v>1336</v>
      </c>
      <c r="S14" s="1071">
        <f t="shared" si="0"/>
        <v>100</v>
      </c>
      <c r="T14" s="1070" t="s">
        <v>1336</v>
      </c>
      <c r="U14" s="1071">
        <f t="shared" si="1"/>
        <v>100</v>
      </c>
      <c r="V14" s="1070" t="s">
        <v>1336</v>
      </c>
      <c r="W14" s="1071">
        <f t="shared" si="2"/>
        <v>100</v>
      </c>
      <c r="X14" s="1072"/>
      <c r="Y14" s="3245"/>
      <c r="Z14" s="1085">
        <f t="shared" si="7"/>
        <v>111</v>
      </c>
      <c r="AA14" s="1084">
        <f t="shared" si="3"/>
        <v>1</v>
      </c>
      <c r="AB14" s="1084">
        <f t="shared" si="4"/>
        <v>1</v>
      </c>
      <c r="AC14" s="1084">
        <f t="shared" si="5"/>
        <v>1</v>
      </c>
    </row>
    <row r="15" spans="1:29" ht="99.75">
      <c r="A15" s="921" t="s">
        <v>1345</v>
      </c>
      <c r="B15" s="1284" t="s">
        <v>642</v>
      </c>
      <c r="C15" s="1285" t="str">
        <f>估价对象房地状况!C3</f>
        <v>估价对象周边居住用地比例、居住小区规模和社区发展完善程度，综合评价居住社区成熟度一般</v>
      </c>
      <c r="D15" s="924">
        <v>100</v>
      </c>
      <c r="E15" s="1042"/>
      <c r="F15" s="924">
        <f>SUMIF(76:76,E16,77:77)-SUMIF(76:76,C16,77:77)+100</f>
        <v>100</v>
      </c>
      <c r="G15" s="925"/>
      <c r="H15" s="924">
        <f>SUMIF(76:76,G16,77:77)-SUMIF(76:76,C16,77:77)+100</f>
        <v>100</v>
      </c>
      <c r="I15" s="925"/>
      <c r="J15" s="924">
        <f>SUMIF(76:76,I16,77:77)-SUMIF(76:76,C16,77:77)+100</f>
        <v>100</v>
      </c>
      <c r="K15" s="1535"/>
      <c r="L15" s="1041"/>
      <c r="M15" s="1029"/>
      <c r="N15" s="1029"/>
      <c r="O15" s="1029"/>
      <c r="P15" s="3536" t="s">
        <v>1346</v>
      </c>
      <c r="Q15" s="652" t="str">
        <f t="shared" si="6"/>
        <v>居住社区成熟度</v>
      </c>
      <c r="R15" s="1075" t="s">
        <v>1336</v>
      </c>
      <c r="S15" s="1076">
        <f t="shared" si="0"/>
        <v>100</v>
      </c>
      <c r="T15" s="1075" t="s">
        <v>1336</v>
      </c>
      <c r="U15" s="1076">
        <f t="shared" si="1"/>
        <v>100</v>
      </c>
      <c r="V15" s="1075" t="s">
        <v>1336</v>
      </c>
      <c r="W15" s="1076">
        <f t="shared" si="2"/>
        <v>100</v>
      </c>
      <c r="X15" s="1069"/>
      <c r="Y15" s="3473" t="s">
        <v>1346</v>
      </c>
      <c r="Z15" s="1061" t="str">
        <f t="shared" si="7"/>
        <v>居住社区成熟度</v>
      </c>
      <c r="AA15" s="1086">
        <f t="shared" si="3"/>
        <v>1</v>
      </c>
      <c r="AB15" s="1086">
        <f t="shared" si="4"/>
        <v>1</v>
      </c>
      <c r="AC15" s="1086">
        <f t="shared" si="5"/>
        <v>1</v>
      </c>
    </row>
    <row r="16" spans="1:29" ht="15">
      <c r="A16" s="907"/>
      <c r="B16" s="1286"/>
      <c r="C16" s="927"/>
      <c r="D16" s="928"/>
      <c r="E16" s="1044"/>
      <c r="F16" s="928"/>
      <c r="G16" s="936"/>
      <c r="H16" s="930"/>
      <c r="I16" s="936"/>
      <c r="J16" s="928"/>
      <c r="K16" s="1536"/>
      <c r="L16" s="1041"/>
      <c r="M16" s="1029"/>
      <c r="N16" s="1029"/>
      <c r="O16" s="1029"/>
      <c r="P16" s="3537"/>
      <c r="Q16" s="652"/>
      <c r="R16" s="1075"/>
      <c r="S16" s="1076"/>
      <c r="T16" s="1075"/>
      <c r="U16" s="1076"/>
      <c r="V16" s="1075"/>
      <c r="W16" s="1076"/>
      <c r="X16" s="1069"/>
      <c r="Y16" s="3474"/>
      <c r="Z16" s="1061"/>
      <c r="AA16" s="1086">
        <v>1</v>
      </c>
      <c r="AB16" s="1086">
        <v>1</v>
      </c>
      <c r="AC16" s="1086">
        <v>1</v>
      </c>
    </row>
    <row r="17" spans="1:29" ht="85.5">
      <c r="A17" s="907"/>
      <c r="B17" s="1287" t="s">
        <v>648</v>
      </c>
      <c r="C17" s="932" t="str">
        <f>估价对象房地状况!C6</f>
        <v>估价对象周边道路状况、公共交通通达情况、停车便捷程度，综合评价交通便捷度较好</v>
      </c>
      <c r="D17" s="930">
        <v>100</v>
      </c>
      <c r="E17" s="1043"/>
      <c r="F17" s="930">
        <f>SUMIF(78:78,E18,79:79)-SUMIF(78:78,C18,79:79)+100</f>
        <v>100</v>
      </c>
      <c r="G17" s="933"/>
      <c r="H17" s="934">
        <f>SUMIF(78:78,G18,79:79)-SUMIF(78:78,C18,79:79)+100</f>
        <v>100</v>
      </c>
      <c r="I17" s="933"/>
      <c r="J17" s="934">
        <f>SUMIF(78:78,I18,79:79)-SUMIF(78:78,C18,79:79)+100</f>
        <v>100</v>
      </c>
      <c r="K17" s="1535"/>
      <c r="L17" s="1041"/>
      <c r="M17" s="1029"/>
      <c r="N17" s="1029"/>
      <c r="O17" s="1029"/>
      <c r="P17" s="3537"/>
      <c r="Q17" s="652" t="str">
        <f>B17</f>
        <v>交通便捷度</v>
      </c>
      <c r="R17" s="1075" t="s">
        <v>1336</v>
      </c>
      <c r="S17" s="1076">
        <f>F17</f>
        <v>100</v>
      </c>
      <c r="T17" s="1075" t="s">
        <v>1336</v>
      </c>
      <c r="U17" s="1076">
        <f>H17</f>
        <v>100</v>
      </c>
      <c r="V17" s="1075" t="s">
        <v>1336</v>
      </c>
      <c r="W17" s="1076">
        <f>J17</f>
        <v>100</v>
      </c>
      <c r="X17" s="1069"/>
      <c r="Y17" s="3474"/>
      <c r="Z17" s="1061" t="str">
        <f>Q17</f>
        <v>交通便捷度</v>
      </c>
      <c r="AA17" s="1086">
        <f t="shared" si="3"/>
        <v>1</v>
      </c>
      <c r="AB17" s="1086">
        <f t="shared" si="4"/>
        <v>1</v>
      </c>
      <c r="AC17" s="1086">
        <f t="shared" si="5"/>
        <v>1</v>
      </c>
    </row>
    <row r="18" spans="1:29" ht="15">
      <c r="A18" s="907"/>
      <c r="B18" s="955"/>
      <c r="C18" s="1288"/>
      <c r="D18" s="930"/>
      <c r="E18" s="1297"/>
      <c r="F18" s="930"/>
      <c r="G18" s="1289"/>
      <c r="H18" s="928"/>
      <c r="I18" s="1289"/>
      <c r="J18" s="928"/>
      <c r="K18" s="1536"/>
      <c r="L18" s="1041"/>
      <c r="M18" s="1029"/>
      <c r="N18" s="1029"/>
      <c r="O18" s="1029"/>
      <c r="P18" s="3537"/>
      <c r="Q18" s="652"/>
      <c r="R18" s="1075"/>
      <c r="S18" s="1076"/>
      <c r="T18" s="1075"/>
      <c r="U18" s="1076"/>
      <c r="V18" s="1075"/>
      <c r="W18" s="1076"/>
      <c r="X18" s="1069"/>
      <c r="Y18" s="3474"/>
      <c r="Z18" s="1061"/>
      <c r="AA18" s="1086">
        <v>1</v>
      </c>
      <c r="AB18" s="1086">
        <v>1</v>
      </c>
      <c r="AC18" s="1086">
        <v>1</v>
      </c>
    </row>
    <row r="19" spans="1:29" ht="42.75">
      <c r="A19" s="907"/>
      <c r="B19" s="1287" t="s">
        <v>652</v>
      </c>
      <c r="C19" s="932" t="str">
        <f>估价对象房地状况!C7</f>
        <v>估价对象所在区域公共配套设施齐备情况</v>
      </c>
      <c r="D19" s="934">
        <v>100</v>
      </c>
      <c r="E19" s="1298"/>
      <c r="F19" s="934">
        <f>SUMIF(80:80,E20,81:81)-SUMIF(80:80,C20,81:81)+100</f>
        <v>100</v>
      </c>
      <c r="G19" s="1290"/>
      <c r="H19" s="930">
        <f>SUMIF(80:80,G20,81:81)-SUMIF(80:80,C20,81:81)+100</f>
        <v>100</v>
      </c>
      <c r="I19" s="1290"/>
      <c r="J19" s="930">
        <f>SUMIF(80:80,I20,81:81)-SUMIF(80:80,C20,81:81)+100</f>
        <v>100</v>
      </c>
      <c r="K19" s="1535"/>
      <c r="L19" s="1041"/>
      <c r="M19" s="1029"/>
      <c r="N19" s="1029"/>
      <c r="O19" s="1029"/>
      <c r="P19" s="3537"/>
      <c r="Q19" s="652" t="str">
        <f>B19</f>
        <v>公共配套设施</v>
      </c>
      <c r="R19" s="1075" t="s">
        <v>1336</v>
      </c>
      <c r="S19" s="1076">
        <f>F19</f>
        <v>100</v>
      </c>
      <c r="T19" s="1075" t="s">
        <v>1336</v>
      </c>
      <c r="U19" s="1076">
        <f>H19</f>
        <v>100</v>
      </c>
      <c r="V19" s="1075" t="s">
        <v>1336</v>
      </c>
      <c r="W19" s="1076">
        <f>J19</f>
        <v>100</v>
      </c>
      <c r="X19" s="1069"/>
      <c r="Y19" s="3474"/>
      <c r="Z19" s="1061" t="str">
        <f>Q19</f>
        <v>公共配套设施</v>
      </c>
      <c r="AA19" s="1086">
        <f t="shared" si="3"/>
        <v>1</v>
      </c>
      <c r="AB19" s="1086">
        <f t="shared" si="4"/>
        <v>1</v>
      </c>
      <c r="AC19" s="1086">
        <f t="shared" si="5"/>
        <v>1</v>
      </c>
    </row>
    <row r="20" spans="1:29" ht="15">
      <c r="A20" s="907"/>
      <c r="B20" s="955"/>
      <c r="C20" s="927"/>
      <c r="D20" s="928"/>
      <c r="E20" s="1044"/>
      <c r="F20" s="928"/>
      <c r="G20" s="936"/>
      <c r="H20" s="928"/>
      <c r="I20" s="936"/>
      <c r="J20" s="928"/>
      <c r="K20" s="1536"/>
      <c r="L20" s="1041"/>
      <c r="M20" s="1029"/>
      <c r="N20" s="1029"/>
      <c r="O20" s="1029"/>
      <c r="P20" s="3537"/>
      <c r="Q20" s="652"/>
      <c r="R20" s="1075"/>
      <c r="S20" s="1076"/>
      <c r="T20" s="1075"/>
      <c r="U20" s="1076"/>
      <c r="V20" s="1075"/>
      <c r="W20" s="1076"/>
      <c r="X20" s="1069"/>
      <c r="Y20" s="3474"/>
      <c r="Z20" s="1061"/>
      <c r="AA20" s="1086">
        <v>1</v>
      </c>
      <c r="AB20" s="1086">
        <v>1</v>
      </c>
      <c r="AC20" s="1086">
        <v>1</v>
      </c>
    </row>
    <row r="21" spans="1:29" ht="28.5">
      <c r="A21" s="907"/>
      <c r="B21" s="1291" t="s">
        <v>654</v>
      </c>
      <c r="C21" s="932" t="str">
        <f>估价对象房地状况!C8</f>
        <v>估价对象所在区域基础设施水平</v>
      </c>
      <c r="D21" s="930">
        <v>100</v>
      </c>
      <c r="E21" s="1298"/>
      <c r="F21" s="934">
        <f>SUMIF(82:82,E22,83:83)-SUMIF(82:82,C22,83:83)+100</f>
        <v>100</v>
      </c>
      <c r="G21" s="1290"/>
      <c r="H21" s="930">
        <f>SUMIF(82:82,G22,83:83)-SUMIF(82:82,C22,83:83)+100</f>
        <v>100</v>
      </c>
      <c r="I21" s="1290"/>
      <c r="J21" s="930">
        <f>SUMIF(82:82,I22,83:83)-SUMIF(82:82,C22,83:83)+100</f>
        <v>100</v>
      </c>
      <c r="K21" s="1535"/>
      <c r="L21" s="1041"/>
      <c r="M21" s="1029"/>
      <c r="N21" s="1029"/>
      <c r="O21" s="1029"/>
      <c r="P21" s="3537"/>
      <c r="Q21" s="652" t="str">
        <f>B21</f>
        <v>基础设施水平</v>
      </c>
      <c r="R21" s="1075" t="s">
        <v>1336</v>
      </c>
      <c r="S21" s="1076">
        <f>F21</f>
        <v>100</v>
      </c>
      <c r="T21" s="1075" t="s">
        <v>1336</v>
      </c>
      <c r="U21" s="1076">
        <f>H21</f>
        <v>100</v>
      </c>
      <c r="V21" s="1075" t="s">
        <v>1336</v>
      </c>
      <c r="W21" s="1076">
        <f>J21</f>
        <v>100</v>
      </c>
      <c r="X21" s="1069"/>
      <c r="Y21" s="3474"/>
      <c r="Z21" s="1061" t="str">
        <f>Q21</f>
        <v>基础设施水平</v>
      </c>
      <c r="AA21" s="1086">
        <f t="shared" ref="AA21" si="8">D21/F21</f>
        <v>1</v>
      </c>
      <c r="AB21" s="1086">
        <f t="shared" ref="AB21" si="9">D21/H21</f>
        <v>1</v>
      </c>
      <c r="AC21" s="1086">
        <f t="shared" ref="AC21" si="10">D21/J21</f>
        <v>1</v>
      </c>
    </row>
    <row r="22" spans="1:29" ht="15">
      <c r="A22" s="907"/>
      <c r="B22" s="1291"/>
      <c r="C22" s="1288"/>
      <c r="D22" s="928"/>
      <c r="E22" s="927"/>
      <c r="F22" s="928"/>
      <c r="G22" s="929"/>
      <c r="H22" s="928"/>
      <c r="I22" s="927"/>
      <c r="J22" s="928"/>
      <c r="K22" s="1537"/>
      <c r="L22" s="1041"/>
      <c r="M22" s="1029"/>
      <c r="N22" s="1029"/>
      <c r="O22" s="1029"/>
      <c r="P22" s="3537"/>
      <c r="Q22" s="652"/>
      <c r="R22" s="1075"/>
      <c r="S22" s="1076"/>
      <c r="T22" s="1075"/>
      <c r="U22" s="1076"/>
      <c r="V22" s="1075"/>
      <c r="W22" s="1076"/>
      <c r="X22" s="1069"/>
      <c r="Y22" s="3474"/>
      <c r="Z22" s="1061"/>
      <c r="AA22" s="1086">
        <v>1</v>
      </c>
      <c r="AB22" s="1086">
        <v>1</v>
      </c>
      <c r="AC22" s="1086">
        <v>1</v>
      </c>
    </row>
    <row r="23" spans="1:29" ht="57">
      <c r="A23" s="907"/>
      <c r="B23" s="1287" t="s">
        <v>658</v>
      </c>
      <c r="C23" s="932" t="str">
        <f>估价对象房地状况!C9</f>
        <v>区域自然环境：；人文环境；综合评价环境状况一般</v>
      </c>
      <c r="D23" s="930">
        <v>100</v>
      </c>
      <c r="E23" s="1043"/>
      <c r="F23" s="930">
        <f>SUMIF(84:84,E24,85:85)-SUMIF(84:84,C24,85:85)+100</f>
        <v>100</v>
      </c>
      <c r="G23" s="933"/>
      <c r="H23" s="930">
        <f>SUMIF(84:84,G24,85:85)-SUMIF(84:84,C24,85:85)+100</f>
        <v>100</v>
      </c>
      <c r="I23" s="933"/>
      <c r="J23" s="930">
        <f>SUMIF(84:84,I24,85:85)-SUMIF(84:84,C24,85:85)+100</f>
        <v>100</v>
      </c>
      <c r="K23" s="1535"/>
      <c r="L23" s="1041"/>
      <c r="M23" s="1029"/>
      <c r="N23" s="1029"/>
      <c r="O23" s="1029"/>
      <c r="P23" s="3537"/>
      <c r="Q23" s="652" t="str">
        <f>B23</f>
        <v>自然及人文环境</v>
      </c>
      <c r="R23" s="1075" t="s">
        <v>1336</v>
      </c>
      <c r="S23" s="1076">
        <f>F23</f>
        <v>100</v>
      </c>
      <c r="T23" s="1075" t="s">
        <v>1336</v>
      </c>
      <c r="U23" s="1076">
        <f>H23</f>
        <v>100</v>
      </c>
      <c r="V23" s="1075" t="s">
        <v>1336</v>
      </c>
      <c r="W23" s="1076">
        <f>J23</f>
        <v>100</v>
      </c>
      <c r="X23" s="1069"/>
      <c r="Y23" s="3474"/>
      <c r="Z23" s="1061" t="str">
        <f>Q23</f>
        <v>自然及人文环境</v>
      </c>
      <c r="AA23" s="1086">
        <f>D23/F23</f>
        <v>1</v>
      </c>
      <c r="AB23" s="1086">
        <f>D23/H23</f>
        <v>1</v>
      </c>
      <c r="AC23" s="1086">
        <f>D23/J23</f>
        <v>1</v>
      </c>
    </row>
    <row r="24" spans="1:29" ht="15">
      <c r="A24" s="907"/>
      <c r="B24" s="955"/>
      <c r="C24" s="927"/>
      <c r="D24" s="928"/>
      <c r="E24" s="1044"/>
      <c r="F24" s="928"/>
      <c r="G24" s="936"/>
      <c r="H24" s="928"/>
      <c r="I24" s="936"/>
      <c r="J24" s="928"/>
      <c r="K24" s="1536"/>
      <c r="L24" s="1041"/>
      <c r="M24" s="1029"/>
      <c r="N24" s="1029"/>
      <c r="O24" s="1029"/>
      <c r="P24" s="3537"/>
      <c r="Q24" s="652"/>
      <c r="R24" s="1075"/>
      <c r="S24" s="1076"/>
      <c r="T24" s="1075"/>
      <c r="U24" s="1076"/>
      <c r="V24" s="1075"/>
      <c r="W24" s="1076"/>
      <c r="X24" s="1069"/>
      <c r="Y24" s="3474"/>
      <c r="Z24" s="1061"/>
      <c r="AA24" s="1086">
        <v>1</v>
      </c>
      <c r="AB24" s="1086">
        <v>1</v>
      </c>
      <c r="AC24" s="1086">
        <v>1</v>
      </c>
    </row>
    <row r="25" spans="1:29" ht="15">
      <c r="A25" s="907"/>
      <c r="B25" s="904" t="s">
        <v>1347</v>
      </c>
      <c r="C25" s="1348"/>
      <c r="D25" s="916">
        <v>100</v>
      </c>
      <c r="E25" s="959"/>
      <c r="F25" s="916">
        <f>SUMIF(86:86,E25,87:87)-SUMIF(86:86,C25,87:87)+100</f>
        <v>100</v>
      </c>
      <c r="G25" s="1519"/>
      <c r="H25" s="916">
        <f>SUMIF(86:86,G25,87:87)-SUMIF(86:86,C25,87:87)+100</f>
        <v>100</v>
      </c>
      <c r="I25" s="1519"/>
      <c r="J25" s="916">
        <f>SUMIF(86:86,I25,87:87)-SUMIF(86:86,C25,87:87)+100</f>
        <v>100</v>
      </c>
      <c r="K25" s="1533"/>
      <c r="L25" s="1041"/>
      <c r="M25" s="1029"/>
      <c r="N25" s="1029"/>
      <c r="O25" s="1029"/>
      <c r="P25" s="3537"/>
      <c r="Q25" s="652" t="str">
        <f t="shared" ref="Q25:Q46" si="11">B25</f>
        <v>楼层-1</v>
      </c>
      <c r="R25" s="1075" t="s">
        <v>1336</v>
      </c>
      <c r="S25" s="1076">
        <f t="shared" ref="S25:S46" si="12">F25</f>
        <v>100</v>
      </c>
      <c r="T25" s="1075" t="s">
        <v>1336</v>
      </c>
      <c r="U25" s="1076">
        <f t="shared" ref="U25:U46" si="13">H25</f>
        <v>100</v>
      </c>
      <c r="V25" s="1075" t="s">
        <v>1336</v>
      </c>
      <c r="W25" s="1076">
        <f t="shared" ref="W25:W46" si="14">J25</f>
        <v>100</v>
      </c>
      <c r="X25" s="1069"/>
      <c r="Y25" s="3474"/>
      <c r="Z25" s="1061" t="str">
        <f>Q25</f>
        <v>楼层-1</v>
      </c>
      <c r="AA25" s="1086">
        <f t="shared" ref="AA25:AA46" si="15">D25/F25</f>
        <v>1</v>
      </c>
      <c r="AB25" s="1086">
        <f t="shared" ref="AB25:AB46" si="16">D25/H25</f>
        <v>1</v>
      </c>
      <c r="AC25" s="1086">
        <f t="shared" ref="AC25:AC46" si="17">D25/J25</f>
        <v>1</v>
      </c>
    </row>
    <row r="26" spans="1:29" ht="15">
      <c r="A26" s="907"/>
      <c r="B26" s="904" t="s">
        <v>1348</v>
      </c>
      <c r="C26" s="1348"/>
      <c r="D26" s="916">
        <v>100</v>
      </c>
      <c r="E26" s="959"/>
      <c r="F26" s="916">
        <f>SUMIF(88:88,E26,89:89)-SUMIF(88:88,C26,89:89)+100</f>
        <v>100</v>
      </c>
      <c r="G26" s="1519"/>
      <c r="H26" s="916">
        <f>SUMIF(88:88,G26,89:89)-SUMIF(88:88,C26,89:89)+100</f>
        <v>100</v>
      </c>
      <c r="I26" s="1519"/>
      <c r="J26" s="916">
        <f>SUMIF(88:88,I26,89:89)-SUMIF(88:88,C26,89:89)+100</f>
        <v>100</v>
      </c>
      <c r="K26" s="1533"/>
      <c r="L26" s="1041"/>
      <c r="M26" s="1029"/>
      <c r="N26" s="1029"/>
      <c r="O26" s="1029"/>
      <c r="P26" s="3537"/>
      <c r="Q26" s="652" t="str">
        <f t="shared" si="11"/>
        <v>朝向</v>
      </c>
      <c r="R26" s="1075" t="s">
        <v>1336</v>
      </c>
      <c r="S26" s="1076">
        <f t="shared" si="12"/>
        <v>100</v>
      </c>
      <c r="T26" s="1075" t="s">
        <v>1336</v>
      </c>
      <c r="U26" s="1076">
        <f t="shared" si="13"/>
        <v>100</v>
      </c>
      <c r="V26" s="1075" t="s">
        <v>1336</v>
      </c>
      <c r="W26" s="1076">
        <f t="shared" si="14"/>
        <v>100</v>
      </c>
      <c r="X26" s="1069"/>
      <c r="Y26" s="3474"/>
      <c r="Z26" s="1061" t="str">
        <f>Q26</f>
        <v>朝向</v>
      </c>
      <c r="AA26" s="1086">
        <f t="shared" si="15"/>
        <v>1</v>
      </c>
      <c r="AB26" s="1086">
        <f t="shared" si="16"/>
        <v>1</v>
      </c>
      <c r="AC26" s="1086">
        <f t="shared" si="17"/>
        <v>1</v>
      </c>
    </row>
    <row r="27" spans="1:29" s="866" customFormat="1" ht="15">
      <c r="A27" s="910"/>
      <c r="B27" s="1292">
        <v>111</v>
      </c>
      <c r="C27" s="905"/>
      <c r="D27" s="1458">
        <v>100</v>
      </c>
      <c r="E27" s="1282"/>
      <c r="F27" s="1458">
        <f>SUMIF(90:90,E27,91:91)-SUMIF(90:90,C27,91:91)+100</f>
        <v>100</v>
      </c>
      <c r="G27" s="1283"/>
      <c r="H27" s="1458">
        <f>SUMIF(90:90,G27,91:91)-SUMIF(90:90,C27,91:91)+100</f>
        <v>100</v>
      </c>
      <c r="I27" s="1283"/>
      <c r="J27" s="1458">
        <f>SUMIF(90:90,I27,91:91)-SUMIF(90:90,C27,91:91)+100</f>
        <v>100</v>
      </c>
      <c r="K27" s="1534"/>
      <c r="L27" s="1031"/>
      <c r="M27" s="1032"/>
      <c r="N27" s="1032"/>
      <c r="O27" s="1032"/>
      <c r="P27" s="3537"/>
      <c r="Q27" s="1074">
        <f t="shared" si="11"/>
        <v>111</v>
      </c>
      <c r="R27" s="1070" t="s">
        <v>1336</v>
      </c>
      <c r="S27" s="1071">
        <f t="shared" si="12"/>
        <v>100</v>
      </c>
      <c r="T27" s="1070" t="s">
        <v>1336</v>
      </c>
      <c r="U27" s="1071">
        <f t="shared" si="13"/>
        <v>100</v>
      </c>
      <c r="V27" s="1070" t="s">
        <v>1336</v>
      </c>
      <c r="W27" s="1071">
        <f t="shared" si="14"/>
        <v>100</v>
      </c>
      <c r="X27" s="1072"/>
      <c r="Y27" s="3474"/>
      <c r="Z27" s="1085">
        <f>Q27</f>
        <v>111</v>
      </c>
      <c r="AA27" s="1086">
        <f t="shared" si="15"/>
        <v>1</v>
      </c>
      <c r="AB27" s="1086">
        <f t="shared" si="16"/>
        <v>1</v>
      </c>
      <c r="AC27" s="1086">
        <f t="shared" si="17"/>
        <v>1</v>
      </c>
    </row>
    <row r="28" spans="1:29" ht="15">
      <c r="A28" s="907"/>
      <c r="B28" s="1292">
        <v>111</v>
      </c>
      <c r="C28" s="915"/>
      <c r="D28" s="916">
        <v>100</v>
      </c>
      <c r="E28" s="915"/>
      <c r="F28" s="916">
        <f>SUMIF(92:92,E28,93:93)-SUMIF(92:92,C28,93:93)+100</f>
        <v>100</v>
      </c>
      <c r="G28" s="1467"/>
      <c r="H28" s="916">
        <f>SUMIF(92:92,G28,93:93)-SUMIF(92:92,C28,93:93)+100</f>
        <v>100</v>
      </c>
      <c r="I28" s="915"/>
      <c r="J28" s="916">
        <f>SUMIF(92:92,I28,93:93)-SUMIF(92:92,C28,93:93)+100</f>
        <v>100</v>
      </c>
      <c r="K28" s="1534"/>
      <c r="L28" s="1041"/>
      <c r="M28" s="1029"/>
      <c r="N28" s="1029"/>
      <c r="O28" s="1029"/>
      <c r="P28" s="3537"/>
      <c r="Q28" s="652">
        <f t="shared" si="11"/>
        <v>111</v>
      </c>
      <c r="R28" s="1075" t="s">
        <v>1336</v>
      </c>
      <c r="S28" s="1076">
        <f t="shared" si="12"/>
        <v>100</v>
      </c>
      <c r="T28" s="1075" t="s">
        <v>1336</v>
      </c>
      <c r="U28" s="1076">
        <f t="shared" si="13"/>
        <v>100</v>
      </c>
      <c r="V28" s="1075" t="s">
        <v>1336</v>
      </c>
      <c r="W28" s="1076">
        <f t="shared" si="14"/>
        <v>100</v>
      </c>
      <c r="X28" s="1069"/>
      <c r="Y28" s="3474"/>
      <c r="Z28" s="1061">
        <f t="shared" ref="Z28:Z46" si="18">Q28</f>
        <v>111</v>
      </c>
      <c r="AA28" s="1086">
        <f t="shared" si="15"/>
        <v>1</v>
      </c>
      <c r="AB28" s="1086">
        <f t="shared" si="16"/>
        <v>1</v>
      </c>
      <c r="AC28" s="1086">
        <f t="shared" si="17"/>
        <v>1</v>
      </c>
    </row>
    <row r="29" spans="1:29" ht="15">
      <c r="A29" s="907"/>
      <c r="B29" s="1292">
        <v>111</v>
      </c>
      <c r="C29" s="915"/>
      <c r="D29" s="916">
        <v>100</v>
      </c>
      <c r="E29" s="915"/>
      <c r="F29" s="916">
        <f>SUMIF(94:94,E29,95:95)-SUMIF(94:94,C29,95:95)+100</f>
        <v>100</v>
      </c>
      <c r="G29" s="1467"/>
      <c r="H29" s="916">
        <f>SUMIF(94:94,G29,95:95)-SUMIF(94:94,C29,95:95)+100</f>
        <v>100</v>
      </c>
      <c r="I29" s="915"/>
      <c r="J29" s="916">
        <f>SUMIF(94:94,I29,95:95)-SUMIF(94:94,C29,95:95)+100</f>
        <v>100</v>
      </c>
      <c r="K29" s="1534"/>
      <c r="L29" s="1041"/>
      <c r="M29" s="1029"/>
      <c r="N29" s="1029"/>
      <c r="O29" s="1029"/>
      <c r="P29" s="3537"/>
      <c r="Q29" s="652">
        <f t="shared" si="11"/>
        <v>111</v>
      </c>
      <c r="R29" s="1075" t="s">
        <v>1336</v>
      </c>
      <c r="S29" s="1076">
        <f t="shared" si="12"/>
        <v>100</v>
      </c>
      <c r="T29" s="1075" t="s">
        <v>1336</v>
      </c>
      <c r="U29" s="1076">
        <f t="shared" si="13"/>
        <v>100</v>
      </c>
      <c r="V29" s="1075" t="s">
        <v>1336</v>
      </c>
      <c r="W29" s="1076">
        <f t="shared" si="14"/>
        <v>100</v>
      </c>
      <c r="X29" s="1069"/>
      <c r="Y29" s="3474"/>
      <c r="Z29" s="1061">
        <f t="shared" si="18"/>
        <v>111</v>
      </c>
      <c r="AA29" s="1086">
        <f t="shared" si="15"/>
        <v>1</v>
      </c>
      <c r="AB29" s="1086">
        <f t="shared" si="16"/>
        <v>1</v>
      </c>
      <c r="AC29" s="1086">
        <f t="shared" si="17"/>
        <v>1</v>
      </c>
    </row>
    <row r="30" spans="1:29" ht="15">
      <c r="A30" s="907"/>
      <c r="B30" s="1292">
        <v>111</v>
      </c>
      <c r="C30" s="915"/>
      <c r="D30" s="916">
        <v>100</v>
      </c>
      <c r="E30" s="915"/>
      <c r="F30" s="916">
        <f>SUMIF(96:96,E30,97:97)-SUMIF(96:96,C30,97:97)+100</f>
        <v>100</v>
      </c>
      <c r="G30" s="1467"/>
      <c r="H30" s="916">
        <f>SUMIF(96:96,G30,97:97)-SUMIF(96:96,C30,97:97)+100</f>
        <v>100</v>
      </c>
      <c r="I30" s="915"/>
      <c r="J30" s="916">
        <f>SUMIF(96:96,I30,97:97)-SUMIF(96:96,C30,97:97)+100</f>
        <v>100</v>
      </c>
      <c r="K30" s="1534"/>
      <c r="L30" s="1041"/>
      <c r="M30" s="1029"/>
      <c r="N30" s="1029"/>
      <c r="O30" s="1029"/>
      <c r="P30" s="3537"/>
      <c r="Q30" s="652">
        <f t="shared" si="11"/>
        <v>111</v>
      </c>
      <c r="R30" s="1075" t="s">
        <v>1336</v>
      </c>
      <c r="S30" s="1076">
        <f t="shared" si="12"/>
        <v>100</v>
      </c>
      <c r="T30" s="1075" t="s">
        <v>1336</v>
      </c>
      <c r="U30" s="1076">
        <f t="shared" si="13"/>
        <v>100</v>
      </c>
      <c r="V30" s="1075" t="s">
        <v>1336</v>
      </c>
      <c r="W30" s="1076">
        <f t="shared" si="14"/>
        <v>100</v>
      </c>
      <c r="X30" s="1069"/>
      <c r="Y30" s="3474"/>
      <c r="Z30" s="1061">
        <f t="shared" si="18"/>
        <v>111</v>
      </c>
      <c r="AA30" s="1086">
        <f t="shared" si="15"/>
        <v>1</v>
      </c>
      <c r="AB30" s="1086">
        <f t="shared" si="16"/>
        <v>1</v>
      </c>
      <c r="AC30" s="1086">
        <f t="shared" si="17"/>
        <v>1</v>
      </c>
    </row>
    <row r="31" spans="1:29" ht="15">
      <c r="A31" s="917"/>
      <c r="B31" s="1292">
        <v>111</v>
      </c>
      <c r="C31" s="919"/>
      <c r="D31" s="920">
        <v>100</v>
      </c>
      <c r="E31" s="919"/>
      <c r="F31" s="920">
        <f>SUMIF(98:98,E31,99:99)-SUMIF(98:98,C31,99:99)+100</f>
        <v>100</v>
      </c>
      <c r="G31" s="1470"/>
      <c r="H31" s="920">
        <f>SUMIF(98:98,G31,99:99)-SUMIF(98:98,C31,99:99)+100</f>
        <v>100</v>
      </c>
      <c r="I31" s="919"/>
      <c r="J31" s="920">
        <f>SUMIF(98:98,I31,99:99)-SUMIF(98:98,C31,99:99)+100</f>
        <v>100</v>
      </c>
      <c r="K31" s="1534"/>
      <c r="L31" s="1041"/>
      <c r="M31" s="1029"/>
      <c r="N31" s="1029"/>
      <c r="O31" s="1029"/>
      <c r="P31" s="3537"/>
      <c r="Q31" s="652">
        <f t="shared" si="11"/>
        <v>111</v>
      </c>
      <c r="R31" s="1075" t="s">
        <v>1336</v>
      </c>
      <c r="S31" s="1076">
        <f t="shared" si="12"/>
        <v>100</v>
      </c>
      <c r="T31" s="1075" t="s">
        <v>1336</v>
      </c>
      <c r="U31" s="1076">
        <f t="shared" si="13"/>
        <v>100</v>
      </c>
      <c r="V31" s="1075" t="s">
        <v>1336</v>
      </c>
      <c r="W31" s="1076">
        <f t="shared" si="14"/>
        <v>100</v>
      </c>
      <c r="X31" s="1069"/>
      <c r="Y31" s="3474"/>
      <c r="Z31" s="1061">
        <f t="shared" si="18"/>
        <v>111</v>
      </c>
      <c r="AA31" s="1086">
        <f t="shared" si="15"/>
        <v>1</v>
      </c>
      <c r="AB31" s="1086">
        <f t="shared" si="16"/>
        <v>1</v>
      </c>
      <c r="AC31" s="1086">
        <f t="shared" si="17"/>
        <v>1</v>
      </c>
    </row>
    <row r="32" spans="1:29" ht="15">
      <c r="A32" s="921" t="s">
        <v>1349</v>
      </c>
      <c r="B32" s="900" t="s">
        <v>1350</v>
      </c>
      <c r="C32" s="1494"/>
      <c r="D32" s="957">
        <v>100</v>
      </c>
      <c r="E32" s="1520"/>
      <c r="F32" s="1338">
        <f>SUMIF(100:100,E32,101:101)-SUMIF(100:100,C32,101:101)+100</f>
        <v>100</v>
      </c>
      <c r="G32" s="1494"/>
      <c r="H32" s="957">
        <f>SUMIF(100:100,G32,101:101)-SUMIF(100:100,C32,101:101)+100</f>
        <v>100</v>
      </c>
      <c r="I32" s="1520"/>
      <c r="J32" s="916">
        <f>SUMIF(100:100,I32,101:101)-SUMIF(100:100,C32,101:101)+100</f>
        <v>100</v>
      </c>
      <c r="K32" s="1533"/>
      <c r="L32" s="1041"/>
      <c r="M32" s="1029"/>
      <c r="N32" s="1029"/>
      <c r="O32" s="1029"/>
      <c r="P32" s="3538" t="s">
        <v>1351</v>
      </c>
      <c r="Q32" s="652" t="str">
        <f t="shared" si="11"/>
        <v>建筑类型</v>
      </c>
      <c r="R32" s="1075" t="s">
        <v>1336</v>
      </c>
      <c r="S32" s="1076">
        <f t="shared" si="12"/>
        <v>100</v>
      </c>
      <c r="T32" s="1075" t="s">
        <v>1336</v>
      </c>
      <c r="U32" s="1076">
        <f t="shared" si="13"/>
        <v>100</v>
      </c>
      <c r="V32" s="1075" t="s">
        <v>1336</v>
      </c>
      <c r="W32" s="1076">
        <f t="shared" si="14"/>
        <v>100</v>
      </c>
      <c r="X32" s="1069"/>
      <c r="Y32" s="3476" t="s">
        <v>1351</v>
      </c>
      <c r="Z32" s="1061" t="str">
        <f t="shared" si="18"/>
        <v>建筑类型</v>
      </c>
      <c r="AA32" s="1086">
        <f t="shared" si="15"/>
        <v>1</v>
      </c>
      <c r="AB32" s="1086">
        <f t="shared" si="16"/>
        <v>1</v>
      </c>
      <c r="AC32" s="1086">
        <f t="shared" si="17"/>
        <v>1</v>
      </c>
    </row>
    <row r="33" spans="1:29" s="868" customFormat="1" ht="15">
      <c r="A33" s="963"/>
      <c r="B33" s="904" t="s">
        <v>1352</v>
      </c>
      <c r="C33" s="1332"/>
      <c r="D33" s="906">
        <v>100</v>
      </c>
      <c r="E33" s="909"/>
      <c r="F33" s="1331" t="e">
        <f>LOOKUP(E33,103:103,104:104)-LOOKUP(C33,103:103,104:104)+100</f>
        <v>#N/A</v>
      </c>
      <c r="G33" s="908"/>
      <c r="H33" s="906" t="e">
        <f>LOOKUP(G33,103:103,104:104)-LOOKUP(C33,103:103,104:104)+100</f>
        <v>#N/A</v>
      </c>
      <c r="I33" s="909"/>
      <c r="J33" s="906" t="e">
        <f>LOOKUP(I33,103:103,104:104)-LOOKUP(C33,103:103,104:104)+100</f>
        <v>#N/A</v>
      </c>
      <c r="K33" s="1534"/>
      <c r="L33" s="1039"/>
      <c r="M33" s="1048"/>
      <c r="N33" s="1048"/>
      <c r="O33" s="1048"/>
      <c r="P33" s="3539"/>
      <c r="Q33" s="1377" t="str">
        <f t="shared" si="11"/>
        <v>项目建筑规模</v>
      </c>
      <c r="R33" s="1077" t="s">
        <v>1336</v>
      </c>
      <c r="S33" s="1078" t="e">
        <f t="shared" si="12"/>
        <v>#N/A</v>
      </c>
      <c r="T33" s="1077" t="s">
        <v>1336</v>
      </c>
      <c r="U33" s="1078" t="e">
        <f t="shared" si="13"/>
        <v>#N/A</v>
      </c>
      <c r="V33" s="1077" t="s">
        <v>1336</v>
      </c>
      <c r="W33" s="1078" t="e">
        <f t="shared" si="14"/>
        <v>#N/A</v>
      </c>
      <c r="X33" s="1079"/>
      <c r="Y33" s="3476"/>
      <c r="Z33" s="1087" t="str">
        <f t="shared" si="18"/>
        <v>项目建筑规模</v>
      </c>
      <c r="AA33" s="1086" t="e">
        <f t="shared" si="15"/>
        <v>#N/A</v>
      </c>
      <c r="AB33" s="1086" t="e">
        <f t="shared" si="16"/>
        <v>#N/A</v>
      </c>
      <c r="AC33" s="1086" t="e">
        <f t="shared" si="17"/>
        <v>#N/A</v>
      </c>
    </row>
    <row r="34" spans="1:29" ht="15">
      <c r="A34" s="958"/>
      <c r="B34" s="904" t="s">
        <v>1353</v>
      </c>
      <c r="C34" s="1495"/>
      <c r="D34" s="916">
        <v>100</v>
      </c>
      <c r="E34" s="1521"/>
      <c r="F34" s="1338">
        <f>SUMIF(105:105,E34,106:106)-SUMIF(105:105,C34,106:106)+100</f>
        <v>100</v>
      </c>
      <c r="G34" s="1495"/>
      <c r="H34" s="916">
        <f>SUMIF(105:105,G34,106:106)-SUMIF(105:105,C34,106:106)+100</f>
        <v>100</v>
      </c>
      <c r="I34" s="1521"/>
      <c r="J34" s="916">
        <f>SUMIF(105:105,I34,106:106)-SUMIF(105:105,C34,106:106)+100</f>
        <v>100</v>
      </c>
      <c r="K34" s="1533"/>
      <c r="L34" s="1041"/>
      <c r="M34" s="1029"/>
      <c r="N34" s="1029"/>
      <c r="O34" s="1029"/>
      <c r="P34" s="3539"/>
      <c r="Q34" s="652" t="str">
        <f t="shared" si="11"/>
        <v>建筑结构</v>
      </c>
      <c r="R34" s="1075" t="s">
        <v>1336</v>
      </c>
      <c r="S34" s="1076">
        <f t="shared" si="12"/>
        <v>100</v>
      </c>
      <c r="T34" s="1075" t="s">
        <v>1336</v>
      </c>
      <c r="U34" s="1076">
        <f t="shared" si="13"/>
        <v>100</v>
      </c>
      <c r="V34" s="1075" t="s">
        <v>1336</v>
      </c>
      <c r="W34" s="1076">
        <f t="shared" si="14"/>
        <v>100</v>
      </c>
      <c r="X34" s="1069"/>
      <c r="Y34" s="3476"/>
      <c r="Z34" s="1061" t="str">
        <f t="shared" si="18"/>
        <v>建筑结构</v>
      </c>
      <c r="AA34" s="1086">
        <f t="shared" si="15"/>
        <v>1</v>
      </c>
      <c r="AB34" s="1086">
        <f t="shared" si="16"/>
        <v>1</v>
      </c>
      <c r="AC34" s="1086">
        <f t="shared" si="17"/>
        <v>1</v>
      </c>
    </row>
    <row r="35" spans="1:29" ht="15">
      <c r="A35" s="958"/>
      <c r="B35" s="904" t="s">
        <v>1354</v>
      </c>
      <c r="C35" s="959"/>
      <c r="D35" s="916">
        <v>100</v>
      </c>
      <c r="E35" s="1519"/>
      <c r="F35" s="1338">
        <f>SUMIF(107:107,E35,108:108)-SUMIF(107:107,C35,108:108)+100</f>
        <v>100</v>
      </c>
      <c r="G35" s="959"/>
      <c r="H35" s="916">
        <f>SUMIF(107:107,G35,108:108)-SUMIF(107:107,C35,108:108)+100</f>
        <v>100</v>
      </c>
      <c r="I35" s="1519"/>
      <c r="J35" s="916">
        <f>SUMIF(107:107,I35,108:108)-SUMIF(107:107,C35,108:108)+100</f>
        <v>100</v>
      </c>
      <c r="K35" s="1533"/>
      <c r="L35" s="1041"/>
      <c r="M35" s="1029"/>
      <c r="N35" s="1029"/>
      <c r="O35" s="1029"/>
      <c r="P35" s="3539"/>
      <c r="Q35" s="652" t="str">
        <f t="shared" si="11"/>
        <v>建筑品质</v>
      </c>
      <c r="R35" s="1075" t="s">
        <v>1336</v>
      </c>
      <c r="S35" s="1076">
        <f t="shared" si="12"/>
        <v>100</v>
      </c>
      <c r="T35" s="1075" t="s">
        <v>1336</v>
      </c>
      <c r="U35" s="1076">
        <f t="shared" si="13"/>
        <v>100</v>
      </c>
      <c r="V35" s="1075" t="s">
        <v>1336</v>
      </c>
      <c r="W35" s="1076">
        <f t="shared" si="14"/>
        <v>100</v>
      </c>
      <c r="X35" s="1069"/>
      <c r="Y35" s="3476"/>
      <c r="Z35" s="1061" t="str">
        <f t="shared" si="18"/>
        <v>建筑品质</v>
      </c>
      <c r="AA35" s="1086">
        <f t="shared" si="15"/>
        <v>1</v>
      </c>
      <c r="AB35" s="1086">
        <f t="shared" si="16"/>
        <v>1</v>
      </c>
      <c r="AC35" s="1086">
        <f t="shared" si="17"/>
        <v>1</v>
      </c>
    </row>
    <row r="36" spans="1:29" ht="15">
      <c r="A36" s="958"/>
      <c r="B36" s="904" t="s">
        <v>1355</v>
      </c>
      <c r="C36" s="959"/>
      <c r="D36" s="916">
        <v>100</v>
      </c>
      <c r="E36" s="1519"/>
      <c r="F36" s="1338">
        <f>SUMIF(109:109,E36,110:110)-SUMIF(109:109,C36,110:110)+100</f>
        <v>100</v>
      </c>
      <c r="G36" s="959"/>
      <c r="H36" s="916">
        <f>SUMIF(109:109,G36,110:110)-SUMIF(109:109,C36,110:110)+100</f>
        <v>100</v>
      </c>
      <c r="I36" s="1519"/>
      <c r="J36" s="916">
        <f>SUMIF(109:109,I36,110:110)-SUMIF(109:109,C36,110:110)+100</f>
        <v>100</v>
      </c>
      <c r="K36" s="1533"/>
      <c r="L36" s="1041"/>
      <c r="M36" s="1029"/>
      <c r="N36" s="1029"/>
      <c r="O36" s="1029"/>
      <c r="P36" s="3539"/>
      <c r="Q36" s="652" t="str">
        <f t="shared" si="11"/>
        <v>公共部分装修</v>
      </c>
      <c r="R36" s="1075" t="s">
        <v>1336</v>
      </c>
      <c r="S36" s="1076">
        <f t="shared" si="12"/>
        <v>100</v>
      </c>
      <c r="T36" s="1075" t="s">
        <v>1336</v>
      </c>
      <c r="U36" s="1076">
        <f t="shared" si="13"/>
        <v>100</v>
      </c>
      <c r="V36" s="1075" t="s">
        <v>1336</v>
      </c>
      <c r="W36" s="1076">
        <f t="shared" si="14"/>
        <v>100</v>
      </c>
      <c r="X36" s="1069"/>
      <c r="Y36" s="3476"/>
      <c r="Z36" s="1061" t="str">
        <f t="shared" si="18"/>
        <v>公共部分装修</v>
      </c>
      <c r="AA36" s="1086">
        <f t="shared" si="15"/>
        <v>1</v>
      </c>
      <c r="AB36" s="1086">
        <f t="shared" si="16"/>
        <v>1</v>
      </c>
      <c r="AC36" s="1086">
        <f t="shared" si="17"/>
        <v>1</v>
      </c>
    </row>
    <row r="37" spans="1:29" s="866" customFormat="1" ht="15">
      <c r="A37" s="960"/>
      <c r="B37" s="904" t="s">
        <v>557</v>
      </c>
      <c r="C37" s="1345"/>
      <c r="D37" s="906">
        <v>100</v>
      </c>
      <c r="E37" s="1345"/>
      <c r="F37" s="1331" t="e">
        <f>LOOKUP(E37,112:112,113:113)-LOOKUP(C37,112:112,113:113)+100</f>
        <v>#N/A</v>
      </c>
      <c r="G37" s="1347"/>
      <c r="H37" s="906" t="e">
        <f>LOOKUP(G37,112:112,113:113)-LOOKUP(C37,112:112,113:113)+100</f>
        <v>#N/A</v>
      </c>
      <c r="I37" s="1346"/>
      <c r="J37" s="906" t="e">
        <f>LOOKUP(I37,112:112,113:113)-LOOKUP(C37,112:112,113:113)+100</f>
        <v>#N/A</v>
      </c>
      <c r="K37" s="1533"/>
      <c r="L37" s="1031"/>
      <c r="M37" s="1032"/>
      <c r="N37" s="1032"/>
      <c r="O37" s="1032"/>
      <c r="P37" s="3539"/>
      <c r="Q37" s="1074" t="str">
        <f t="shared" si="11"/>
        <v>成新度</v>
      </c>
      <c r="R37" s="1070" t="s">
        <v>1336</v>
      </c>
      <c r="S37" s="1071" t="e">
        <f t="shared" si="12"/>
        <v>#N/A</v>
      </c>
      <c r="T37" s="1070" t="s">
        <v>1336</v>
      </c>
      <c r="U37" s="1071" t="e">
        <f t="shared" si="13"/>
        <v>#N/A</v>
      </c>
      <c r="V37" s="1070" t="s">
        <v>1336</v>
      </c>
      <c r="W37" s="1071" t="e">
        <f t="shared" si="14"/>
        <v>#N/A</v>
      </c>
      <c r="X37" s="1072"/>
      <c r="Y37" s="3476"/>
      <c r="Z37" s="1085" t="str">
        <f t="shared" si="18"/>
        <v>成新度</v>
      </c>
      <c r="AA37" s="1084" t="e">
        <f t="shared" si="15"/>
        <v>#N/A</v>
      </c>
      <c r="AB37" s="1084" t="e">
        <f t="shared" si="16"/>
        <v>#N/A</v>
      </c>
      <c r="AC37" s="1084" t="e">
        <f t="shared" si="17"/>
        <v>#N/A</v>
      </c>
    </row>
    <row r="38" spans="1:29" ht="15">
      <c r="A38" s="958"/>
      <c r="B38" s="904" t="s">
        <v>1356</v>
      </c>
      <c r="C38" s="959"/>
      <c r="D38" s="916">
        <v>100</v>
      </c>
      <c r="E38" s="1519"/>
      <c r="F38" s="1338">
        <f>SUMIF(114:114,E38,115:115)-SUMIF(114:114,C38,115:115)+100</f>
        <v>100</v>
      </c>
      <c r="G38" s="959"/>
      <c r="H38" s="916">
        <f>SUMIF(114:114,G38,115:115)-SUMIF(114:114,C38,115:115)+100</f>
        <v>100</v>
      </c>
      <c r="I38" s="1519"/>
      <c r="J38" s="916">
        <f>SUMIF(114:114,I38,115:115)-SUMIF(114:114,C38,115:115)+100</f>
        <v>100</v>
      </c>
      <c r="K38" s="1533"/>
      <c r="L38" s="1041"/>
      <c r="M38" s="1029"/>
      <c r="N38" s="1029"/>
      <c r="O38" s="1029"/>
      <c r="P38" s="3539" t="s">
        <v>1351</v>
      </c>
      <c r="Q38" s="652" t="str">
        <f t="shared" si="11"/>
        <v>物业管理</v>
      </c>
      <c r="R38" s="1075" t="s">
        <v>1336</v>
      </c>
      <c r="S38" s="1076">
        <f t="shared" si="12"/>
        <v>100</v>
      </c>
      <c r="T38" s="1075" t="s">
        <v>1336</v>
      </c>
      <c r="U38" s="1076">
        <f t="shared" si="13"/>
        <v>100</v>
      </c>
      <c r="V38" s="1075" t="s">
        <v>1336</v>
      </c>
      <c r="W38" s="1076">
        <f t="shared" si="14"/>
        <v>100</v>
      </c>
      <c r="X38" s="1069"/>
      <c r="Y38" s="3476" t="s">
        <v>1351</v>
      </c>
      <c r="Z38" s="1061" t="str">
        <f t="shared" si="18"/>
        <v>物业管理</v>
      </c>
      <c r="AA38" s="1086">
        <f t="shared" si="15"/>
        <v>1</v>
      </c>
      <c r="AB38" s="1086">
        <f t="shared" si="16"/>
        <v>1</v>
      </c>
      <c r="AC38" s="1086">
        <f t="shared" si="17"/>
        <v>1</v>
      </c>
    </row>
    <row r="39" spans="1:29" ht="15">
      <c r="A39" s="958"/>
      <c r="B39" s="904" t="s">
        <v>1357</v>
      </c>
      <c r="C39" s="959"/>
      <c r="D39" s="916">
        <v>100</v>
      </c>
      <c r="E39" s="1519"/>
      <c r="F39" s="1338">
        <f>SUMIF(116:116,E39,117:117)-SUMIF(116:116,C39,117:117)+100</f>
        <v>100</v>
      </c>
      <c r="G39" s="959"/>
      <c r="H39" s="916">
        <f>SUMIF(116:116,G39,117:117)-SUMIF(116:116,C39,117:117)+100</f>
        <v>100</v>
      </c>
      <c r="I39" s="1519"/>
      <c r="J39" s="916">
        <f>SUMIF(116:116,I39,117:117)-SUMIF(116:116,C39,117:117)+100</f>
        <v>100</v>
      </c>
      <c r="K39" s="1533"/>
      <c r="L39" s="1041"/>
      <c r="M39" s="1029"/>
      <c r="N39" s="1029"/>
      <c r="O39" s="1029"/>
      <c r="P39" s="3539"/>
      <c r="Q39" s="652" t="str">
        <f t="shared" si="11"/>
        <v>市政基础设施</v>
      </c>
      <c r="R39" s="1075" t="s">
        <v>1336</v>
      </c>
      <c r="S39" s="1076">
        <f t="shared" si="12"/>
        <v>100</v>
      </c>
      <c r="T39" s="1075" t="s">
        <v>1336</v>
      </c>
      <c r="U39" s="1076">
        <f t="shared" si="13"/>
        <v>100</v>
      </c>
      <c r="V39" s="1075" t="s">
        <v>1336</v>
      </c>
      <c r="W39" s="1076">
        <f t="shared" si="14"/>
        <v>100</v>
      </c>
      <c r="X39" s="1069"/>
      <c r="Y39" s="3476"/>
      <c r="Z39" s="1061" t="str">
        <f t="shared" si="18"/>
        <v>市政基础设施</v>
      </c>
      <c r="AA39" s="1086">
        <f t="shared" si="15"/>
        <v>1</v>
      </c>
      <c r="AB39" s="1086">
        <f t="shared" si="16"/>
        <v>1</v>
      </c>
      <c r="AC39" s="1086">
        <f t="shared" si="17"/>
        <v>1</v>
      </c>
    </row>
    <row r="40" spans="1:29" ht="15">
      <c r="A40" s="958"/>
      <c r="B40" s="904" t="s">
        <v>1358</v>
      </c>
      <c r="C40" s="959"/>
      <c r="D40" s="916">
        <v>100</v>
      </c>
      <c r="E40" s="1519"/>
      <c r="F40" s="1338">
        <f>SUMIF(118:118,E40,119:119)-SUMIF(118:118,C40,119:119)+100</f>
        <v>100</v>
      </c>
      <c r="G40" s="959"/>
      <c r="H40" s="916">
        <f>SUMIF(118:118,G40,119:119)-SUMIF(118:118,C40,119:119)+100</f>
        <v>100</v>
      </c>
      <c r="I40" s="1519"/>
      <c r="J40" s="916">
        <f>SUMIF(118:118,I40,119:119)-SUMIF(118:118,C40,119:119)+100</f>
        <v>100</v>
      </c>
      <c r="K40" s="1533"/>
      <c r="L40" s="1041"/>
      <c r="M40" s="1029"/>
      <c r="N40" s="1029"/>
      <c r="O40" s="1029"/>
      <c r="P40" s="3539"/>
      <c r="Q40" s="652" t="str">
        <f t="shared" si="11"/>
        <v>房型</v>
      </c>
      <c r="R40" s="1075" t="s">
        <v>1336</v>
      </c>
      <c r="S40" s="1076">
        <f t="shared" si="12"/>
        <v>100</v>
      </c>
      <c r="T40" s="1075" t="s">
        <v>1336</v>
      </c>
      <c r="U40" s="1076">
        <f t="shared" si="13"/>
        <v>100</v>
      </c>
      <c r="V40" s="1075" t="s">
        <v>1336</v>
      </c>
      <c r="W40" s="1076">
        <f t="shared" si="14"/>
        <v>100</v>
      </c>
      <c r="X40" s="1069"/>
      <c r="Y40" s="3476"/>
      <c r="Z40" s="1061" t="str">
        <f t="shared" si="18"/>
        <v>房型</v>
      </c>
      <c r="AA40" s="1086">
        <f t="shared" si="15"/>
        <v>1</v>
      </c>
      <c r="AB40" s="1086">
        <f t="shared" si="16"/>
        <v>1</v>
      </c>
      <c r="AC40" s="1086">
        <f t="shared" si="17"/>
        <v>1</v>
      </c>
    </row>
    <row r="41" spans="1:29" s="868" customFormat="1" ht="28.5">
      <c r="A41" s="963"/>
      <c r="B41" s="904" t="s">
        <v>1359</v>
      </c>
      <c r="C41" s="1332"/>
      <c r="D41" s="906">
        <v>100</v>
      </c>
      <c r="E41" s="909"/>
      <c r="F41" s="1331">
        <f>SUMIF(120:120,E41,121:121)-SUMIF(120:120,C41,121:121)+100</f>
        <v>100</v>
      </c>
      <c r="G41" s="908"/>
      <c r="H41" s="906">
        <f>SUMIF(120:120,G41,121:121)-SUMIF(120:120,C41,121:121)+100</f>
        <v>100</v>
      </c>
      <c r="I41" s="947"/>
      <c r="J41" s="916">
        <f>SUMIF(120:120,I41,121:121)-SUMIF(120:120,C41,121:121)+100</f>
        <v>100</v>
      </c>
      <c r="K41" s="1534"/>
      <c r="L41" s="1039"/>
      <c r="M41" s="1048"/>
      <c r="N41" s="1048"/>
      <c r="O41" s="1048"/>
      <c r="P41" s="3539"/>
      <c r="Q41" s="1377" t="str">
        <f t="shared" si="11"/>
        <v>单套/主力户型建筑面积</v>
      </c>
      <c r="R41" s="1077" t="s">
        <v>1336</v>
      </c>
      <c r="S41" s="1078">
        <f t="shared" si="12"/>
        <v>100</v>
      </c>
      <c r="T41" s="1077" t="s">
        <v>1336</v>
      </c>
      <c r="U41" s="1078">
        <f t="shared" si="13"/>
        <v>100</v>
      </c>
      <c r="V41" s="1077" t="s">
        <v>1336</v>
      </c>
      <c r="W41" s="1078">
        <f t="shared" si="14"/>
        <v>100</v>
      </c>
      <c r="X41" s="1079"/>
      <c r="Y41" s="3476"/>
      <c r="Z41" s="1087" t="str">
        <f t="shared" si="18"/>
        <v>单套/主力户型建筑面积</v>
      </c>
      <c r="AA41" s="1086">
        <f t="shared" si="15"/>
        <v>1</v>
      </c>
      <c r="AB41" s="1086">
        <f t="shared" si="16"/>
        <v>1</v>
      </c>
      <c r="AC41" s="1086">
        <f t="shared" si="17"/>
        <v>1</v>
      </c>
    </row>
    <row r="42" spans="1:29" ht="15">
      <c r="A42" s="958"/>
      <c r="B42" s="904" t="s">
        <v>1360</v>
      </c>
      <c r="C42" s="959"/>
      <c r="D42" s="916">
        <v>100</v>
      </c>
      <c r="E42" s="1519"/>
      <c r="F42" s="1338">
        <f>SUMIF(122:122,E42,123:123)-SUMIF(122:122,C42,123:123)+100</f>
        <v>100</v>
      </c>
      <c r="G42" s="959"/>
      <c r="H42" s="916">
        <f>SUMIF(122:122,G42,123:123)-SUMIF(122:122,C42,123:123)+100</f>
        <v>100</v>
      </c>
      <c r="I42" s="1519"/>
      <c r="J42" s="916">
        <f>SUMIF(122:122,I42,123:123)-SUMIF(122:122,C42,123:123)+100</f>
        <v>100</v>
      </c>
      <c r="K42" s="1533"/>
      <c r="L42" s="1041"/>
      <c r="M42" s="1029"/>
      <c r="N42" s="1029"/>
      <c r="O42" s="1029"/>
      <c r="P42" s="3539"/>
      <c r="Q42" s="652" t="str">
        <f t="shared" si="11"/>
        <v>内部装修</v>
      </c>
      <c r="R42" s="1075" t="s">
        <v>1336</v>
      </c>
      <c r="S42" s="1076">
        <f t="shared" si="12"/>
        <v>100</v>
      </c>
      <c r="T42" s="1075" t="s">
        <v>1336</v>
      </c>
      <c r="U42" s="1076">
        <f t="shared" si="13"/>
        <v>100</v>
      </c>
      <c r="V42" s="1075" t="s">
        <v>1336</v>
      </c>
      <c r="W42" s="1076">
        <f t="shared" si="14"/>
        <v>100</v>
      </c>
      <c r="X42" s="1069"/>
      <c r="Y42" s="3476"/>
      <c r="Z42" s="1061" t="str">
        <f t="shared" si="18"/>
        <v>内部装修</v>
      </c>
      <c r="AA42" s="1086">
        <f t="shared" si="15"/>
        <v>1</v>
      </c>
      <c r="AB42" s="1086">
        <f t="shared" si="16"/>
        <v>1</v>
      </c>
      <c r="AC42" s="1086">
        <f t="shared" si="17"/>
        <v>1</v>
      </c>
    </row>
    <row r="43" spans="1:29" ht="15">
      <c r="A43" s="958"/>
      <c r="B43" s="904" t="s">
        <v>1361</v>
      </c>
      <c r="C43" s="959"/>
      <c r="D43" s="916">
        <v>100</v>
      </c>
      <c r="E43" s="1519"/>
      <c r="F43" s="1338">
        <f>SUMIF(124:124,E43,125:125)-SUMIF(124:124,C43,125:125)+100</f>
        <v>100</v>
      </c>
      <c r="G43" s="959"/>
      <c r="H43" s="916">
        <f>SUMIF(124:124,G43,125:125)-SUMIF(124:124,C43,125:125)+100</f>
        <v>100</v>
      </c>
      <c r="I43" s="1519"/>
      <c r="J43" s="916">
        <f>SUMIF(124:124,I43,125:125)-SUMIF(124:124,C43,125:125)+100</f>
        <v>100</v>
      </c>
      <c r="K43" s="1533"/>
      <c r="L43" s="1041"/>
      <c r="M43" s="1029"/>
      <c r="N43" s="1029"/>
      <c r="O43" s="1029"/>
      <c r="P43" s="3539"/>
      <c r="Q43" s="652" t="str">
        <f t="shared" si="11"/>
        <v>内部装修维护情况</v>
      </c>
      <c r="R43" s="1075" t="s">
        <v>1336</v>
      </c>
      <c r="S43" s="1076">
        <f t="shared" si="12"/>
        <v>100</v>
      </c>
      <c r="T43" s="1075" t="s">
        <v>1336</v>
      </c>
      <c r="U43" s="1076">
        <f t="shared" si="13"/>
        <v>100</v>
      </c>
      <c r="V43" s="1075" t="s">
        <v>1336</v>
      </c>
      <c r="W43" s="1076">
        <f t="shared" si="14"/>
        <v>100</v>
      </c>
      <c r="X43" s="1069"/>
      <c r="Y43" s="3476"/>
      <c r="Z43" s="1061" t="str">
        <f t="shared" si="18"/>
        <v>内部装修维护情况</v>
      </c>
      <c r="AA43" s="1086">
        <f t="shared" si="15"/>
        <v>1</v>
      </c>
      <c r="AB43" s="1086">
        <f t="shared" si="16"/>
        <v>1</v>
      </c>
      <c r="AC43" s="1086">
        <f t="shared" si="17"/>
        <v>1</v>
      </c>
    </row>
    <row r="44" spans="1:29" s="866" customFormat="1" ht="15">
      <c r="A44" s="960"/>
      <c r="B44" s="1292">
        <v>111</v>
      </c>
      <c r="C44" s="1332"/>
      <c r="D44" s="906">
        <v>100</v>
      </c>
      <c r="E44" s="1332"/>
      <c r="F44" s="1331">
        <f>SUMIF(126:126,E44,127:127)-SUMIF(126:126,C44,127:127)+100</f>
        <v>100</v>
      </c>
      <c r="G44" s="1332"/>
      <c r="H44" s="906">
        <f>SUMIF(126:126,G44,127:127)-SUMIF(126:126,C44,127:127)+100</f>
        <v>100</v>
      </c>
      <c r="I44" s="1332"/>
      <c r="J44" s="906">
        <f>SUMIF(126:126,I44,127:127)-SUMIF(126:126,C44,127:127)+100</f>
        <v>100</v>
      </c>
      <c r="K44" s="1534"/>
      <c r="L44" s="1031"/>
      <c r="M44" s="1032"/>
      <c r="N44" s="1032"/>
      <c r="O44" s="1032"/>
      <c r="P44" s="3539"/>
      <c r="Q44" s="1074">
        <f t="shared" si="11"/>
        <v>111</v>
      </c>
      <c r="R44" s="1070" t="s">
        <v>1336</v>
      </c>
      <c r="S44" s="1071">
        <f t="shared" si="12"/>
        <v>100</v>
      </c>
      <c r="T44" s="1070" t="s">
        <v>1336</v>
      </c>
      <c r="U44" s="1071">
        <f t="shared" si="13"/>
        <v>100</v>
      </c>
      <c r="V44" s="1070" t="s">
        <v>1336</v>
      </c>
      <c r="W44" s="1071">
        <f t="shared" si="14"/>
        <v>100</v>
      </c>
      <c r="X44" s="1072"/>
      <c r="Y44" s="3476"/>
      <c r="Z44" s="1085">
        <f t="shared" si="18"/>
        <v>111</v>
      </c>
      <c r="AA44" s="1084">
        <f t="shared" si="15"/>
        <v>1</v>
      </c>
      <c r="AB44" s="1084">
        <f t="shared" si="16"/>
        <v>1</v>
      </c>
      <c r="AC44" s="1084">
        <f t="shared" si="17"/>
        <v>1</v>
      </c>
    </row>
    <row r="45" spans="1:29" ht="15">
      <c r="A45" s="958"/>
      <c r="B45" s="1292">
        <v>111</v>
      </c>
      <c r="C45" s="915"/>
      <c r="D45" s="916">
        <v>100</v>
      </c>
      <c r="E45" s="915"/>
      <c r="F45" s="1338">
        <f>SUMIF(128:128,E45,129:129)-SUMIF(128:128,C45,129:129)+100</f>
        <v>100</v>
      </c>
      <c r="G45" s="915"/>
      <c r="H45" s="916">
        <f>SUMIF(128:128,G45,129:129)-SUMIF(128:128,C45,129:129)+100</f>
        <v>100</v>
      </c>
      <c r="I45" s="915"/>
      <c r="J45" s="916">
        <f>SUMIF(128:128,I45,129:129)-SUMIF(128:128,C45,129:129)+100</f>
        <v>100</v>
      </c>
      <c r="K45" s="1534"/>
      <c r="L45" s="1041"/>
      <c r="M45" s="1029"/>
      <c r="N45" s="1029"/>
      <c r="O45" s="1029"/>
      <c r="P45" s="3539"/>
      <c r="Q45" s="652">
        <f t="shared" si="11"/>
        <v>111</v>
      </c>
      <c r="R45" s="1075" t="s">
        <v>1336</v>
      </c>
      <c r="S45" s="1076">
        <f t="shared" si="12"/>
        <v>100</v>
      </c>
      <c r="T45" s="1075" t="s">
        <v>1336</v>
      </c>
      <c r="U45" s="1076">
        <f t="shared" si="13"/>
        <v>100</v>
      </c>
      <c r="V45" s="1075" t="s">
        <v>1336</v>
      </c>
      <c r="W45" s="1076">
        <f t="shared" si="14"/>
        <v>100</v>
      </c>
      <c r="X45" s="1069"/>
      <c r="Y45" s="3476"/>
      <c r="Z45" s="1061">
        <f t="shared" si="18"/>
        <v>111</v>
      </c>
      <c r="AA45" s="1086">
        <f t="shared" si="15"/>
        <v>1</v>
      </c>
      <c r="AB45" s="1086">
        <f t="shared" si="16"/>
        <v>1</v>
      </c>
      <c r="AC45" s="1086">
        <f t="shared" si="17"/>
        <v>1</v>
      </c>
    </row>
    <row r="46" spans="1:29" ht="15">
      <c r="A46" s="1350"/>
      <c r="B46" s="918">
        <v>111</v>
      </c>
      <c r="C46" s="919"/>
      <c r="D46" s="920">
        <v>100</v>
      </c>
      <c r="E46" s="919"/>
      <c r="F46" s="1351">
        <f>SUMIF(130:130,E46,131:131)-SUMIF(130:130,C46,131:131)+100</f>
        <v>100</v>
      </c>
      <c r="G46" s="919"/>
      <c r="H46" s="920">
        <f>SUMIF(130:130,G46,131:131)-SUMIF(130:130,C46,131:131)+100</f>
        <v>100</v>
      </c>
      <c r="I46" s="919"/>
      <c r="J46" s="920">
        <f>SUMIF(130:130,I46,131:131)-SUMIF(130:130,C46,131:131)+100</f>
        <v>100</v>
      </c>
      <c r="K46" s="1534"/>
      <c r="L46" s="1041"/>
      <c r="M46" s="1029"/>
      <c r="N46" s="1029"/>
      <c r="O46" s="1029"/>
      <c r="P46" s="3540"/>
      <c r="Q46" s="652">
        <f t="shared" si="11"/>
        <v>111</v>
      </c>
      <c r="R46" s="1075" t="s">
        <v>1336</v>
      </c>
      <c r="S46" s="1076">
        <f t="shared" si="12"/>
        <v>100</v>
      </c>
      <c r="T46" s="1075" t="s">
        <v>1336</v>
      </c>
      <c r="U46" s="1076">
        <f t="shared" si="13"/>
        <v>100</v>
      </c>
      <c r="V46" s="1075" t="s">
        <v>1336</v>
      </c>
      <c r="W46" s="1076">
        <f t="shared" si="14"/>
        <v>100</v>
      </c>
      <c r="X46" s="1069"/>
      <c r="Y46" s="3541"/>
      <c r="Z46" s="1061">
        <f t="shared" si="18"/>
        <v>111</v>
      </c>
      <c r="AA46" s="1086">
        <f t="shared" si="15"/>
        <v>1</v>
      </c>
      <c r="AB46" s="1086">
        <f t="shared" si="16"/>
        <v>1</v>
      </c>
      <c r="AC46" s="1086">
        <f t="shared" si="17"/>
        <v>1</v>
      </c>
    </row>
    <row r="47" spans="1:29" ht="15">
      <c r="A47" s="965" t="s">
        <v>1362</v>
      </c>
      <c r="B47" s="1352"/>
      <c r="C47" s="1353" t="s">
        <v>124</v>
      </c>
      <c r="D47" s="1354"/>
      <c r="E47" s="1355"/>
      <c r="F47" s="1356"/>
      <c r="G47" s="1357"/>
      <c r="H47" s="1358"/>
      <c r="I47" s="1355"/>
      <c r="J47" s="1358"/>
      <c r="K47" s="1538"/>
      <c r="L47" s="1053"/>
      <c r="M47" s="982"/>
      <c r="N47" s="1029"/>
      <c r="O47" s="982"/>
      <c r="P47" s="3472" t="str">
        <f>A47</f>
        <v>成交单价（元/平方米）</v>
      </c>
      <c r="Q47" s="3472"/>
      <c r="R47" s="3535">
        <f>E47</f>
        <v>0</v>
      </c>
      <c r="S47" s="3535"/>
      <c r="T47" s="3535">
        <f>G47</f>
        <v>0</v>
      </c>
      <c r="U47" s="3535"/>
      <c r="V47" s="3535">
        <f>I47</f>
        <v>0</v>
      </c>
      <c r="W47" s="3535"/>
      <c r="X47" s="1017"/>
      <c r="Y47" s="1088"/>
      <c r="Z47" s="1017"/>
      <c r="AA47" s="1017"/>
      <c r="AB47" s="1017"/>
      <c r="AC47" s="1017"/>
    </row>
    <row r="48" spans="1:29" ht="15">
      <c r="A48" s="973" t="s">
        <v>1363</v>
      </c>
      <c r="B48" s="1359"/>
      <c r="C48" s="1360" t="e">
        <f>R49</f>
        <v>#DIV/0!</v>
      </c>
      <c r="D48" s="1361"/>
      <c r="E48" s="1362" t="e">
        <f>R48</f>
        <v>#DIV/0!</v>
      </c>
      <c r="F48" s="1362"/>
      <c r="G48" s="1360" t="e">
        <f>T48</f>
        <v>#DIV/0!</v>
      </c>
      <c r="H48" s="1361"/>
      <c r="I48" s="1362" t="e">
        <f>V48</f>
        <v>#DIV/0!</v>
      </c>
      <c r="J48" s="1361"/>
      <c r="K48" s="1539"/>
      <c r="L48" s="1053"/>
      <c r="M48" s="982"/>
      <c r="N48" s="982"/>
      <c r="O48" s="982"/>
      <c r="P48" s="3472" t="str">
        <f>A48</f>
        <v>比较价值（元/平方米）</v>
      </c>
      <c r="Q48" s="3472"/>
      <c r="R48" s="3535" t="e">
        <f>IF(F1="售价",ROUND(PRODUCT(R47,AA7:AA46),0),ROUND(PRODUCT(R47,AA7:AA46),1))</f>
        <v>#DIV/0!</v>
      </c>
      <c r="S48" s="3535"/>
      <c r="T48" s="3535" t="e">
        <f>IF(F1="售价",ROUND(PRODUCT(T47,AB7:AB46),0),ROUND(PRODUCT(T47,AB7:AB46),1))</f>
        <v>#DIV/0!</v>
      </c>
      <c r="U48" s="3535"/>
      <c r="V48" s="3535" t="e">
        <f>IF(F1="售价",ROUND(PRODUCT(V47,AC7:AC46),0),ROUND(PRODUCT(V47,AC7:AC46),1))</f>
        <v>#DIV/0!</v>
      </c>
      <c r="W48" s="3535"/>
      <c r="X48" s="1017"/>
      <c r="Y48" s="1017"/>
      <c r="Z48" s="1017"/>
      <c r="AA48" s="1017"/>
      <c r="AB48" s="1017"/>
      <c r="AC48" s="1017"/>
    </row>
    <row r="49" spans="1:29" ht="15">
      <c r="A49" s="979" t="s">
        <v>1364</v>
      </c>
      <c r="B49" s="980"/>
      <c r="C49" s="1522" t="e">
        <f>R49</f>
        <v>#DIV/0!</v>
      </c>
      <c r="D49" s="1363"/>
      <c r="E49" s="1363"/>
      <c r="F49" s="1363"/>
      <c r="G49" s="1363"/>
      <c r="H49" s="1363"/>
      <c r="I49" s="1363"/>
      <c r="J49" s="1363"/>
      <c r="K49" s="1540"/>
      <c r="L49" s="1053"/>
      <c r="M49" s="982"/>
      <c r="N49" s="982"/>
      <c r="O49" s="982"/>
      <c r="P49" s="3478" t="str">
        <f>A49</f>
        <v>估价对象XX用房的比较价值（楼面单价，元/平方米）</v>
      </c>
      <c r="Q49" s="3479"/>
      <c r="R49" s="3542" t="e">
        <f>IF(F1="售价",ROUND(AVERAGE(R48:V48),0),ROUND(AVERAGE(R48:V48),1))</f>
        <v>#DIV/0!</v>
      </c>
      <c r="S49" s="3542"/>
      <c r="T49" s="3542"/>
      <c r="U49" s="3542"/>
      <c r="V49" s="3542"/>
      <c r="W49" s="3542"/>
      <c r="X49" s="1017"/>
      <c r="Y49" s="1017"/>
      <c r="Z49" s="1017"/>
      <c r="AA49" s="1017"/>
      <c r="AB49" s="1017"/>
      <c r="AC49" s="1017"/>
    </row>
    <row r="50" spans="1:29">
      <c r="A50" s="982"/>
      <c r="B50" s="982"/>
      <c r="C50" s="982"/>
      <c r="D50" s="982"/>
      <c r="E50" s="982"/>
      <c r="F50" s="982"/>
      <c r="G50" s="983"/>
      <c r="H50" s="982"/>
      <c r="I50" s="982"/>
      <c r="J50" s="982"/>
      <c r="K50" s="1057"/>
      <c r="L50" s="1058"/>
      <c r="M50" s="982"/>
      <c r="N50" s="982"/>
      <c r="O50" s="982"/>
    </row>
    <row r="51" spans="1:29">
      <c r="A51" s="982"/>
      <c r="B51" s="982"/>
      <c r="C51" s="982"/>
      <c r="D51" s="982"/>
      <c r="E51" s="982"/>
      <c r="F51" s="982"/>
      <c r="G51" s="982"/>
      <c r="H51" s="982"/>
      <c r="I51" s="982"/>
      <c r="J51" s="982"/>
      <c r="K51" s="1057"/>
      <c r="L51" s="1058"/>
      <c r="M51" s="982"/>
      <c r="N51" s="982"/>
      <c r="O51" s="982"/>
    </row>
    <row r="52" spans="1:29" ht="13.5" customHeight="1">
      <c r="A52" s="982"/>
      <c r="B52" s="982"/>
      <c r="C52" s="984" t="s">
        <v>1365</v>
      </c>
      <c r="D52" s="692"/>
      <c r="E52" s="985" t="e">
        <f>IF(E47&lt;E48,E48/E47-1,E47/E48-1)</f>
        <v>#DIV/0!</v>
      </c>
      <c r="F52" s="986" t="e">
        <f>IF(OR(E52&gt;=0.3,E52&lt;=-0.3),"超过30%","")</f>
        <v>#DIV/0!</v>
      </c>
      <c r="G52" s="985" t="e">
        <f>IF(G47&lt;G48,G48/G47-1,G47/G48-1)</f>
        <v>#DIV/0!</v>
      </c>
      <c r="H52" s="986" t="e">
        <f>IF(OR(G52&gt;=0.3,G52&lt;=-0.3),"超过30%","")</f>
        <v>#DIV/0!</v>
      </c>
      <c r="I52" s="985" t="e">
        <f>IF(I47&lt;I48,I48/I47-1,I47/I48-1)</f>
        <v>#DIV/0!</v>
      </c>
      <c r="J52" s="986" t="e">
        <f>IF(OR(I52&gt;=0.3,I52&lt;=-0.3),"超过30%","")</f>
        <v>#DIV/0!</v>
      </c>
      <c r="K52" s="1057"/>
      <c r="L52" s="1058"/>
      <c r="M52" s="982"/>
      <c r="N52" s="982"/>
      <c r="O52" s="982"/>
    </row>
    <row r="53" spans="1:29" ht="13.5" customHeight="1">
      <c r="A53" s="982"/>
      <c r="B53" s="982"/>
      <c r="C53" s="984" t="s">
        <v>1366</v>
      </c>
      <c r="D53" s="691"/>
      <c r="E53" s="985" t="e">
        <f>IF(E48&lt;G48,G48/E48-1,E48/G48-1)</f>
        <v>#DIV/0!</v>
      </c>
      <c r="F53" s="986" t="e">
        <f>IF(OR(E53&gt;=0.2,E53&lt;=-0.2),"超过20%","")</f>
        <v>#DIV/0!</v>
      </c>
      <c r="G53" s="985" t="e">
        <f>IF(G48&lt;I48,I48/G48-1,G48/I48-1)</f>
        <v>#DIV/0!</v>
      </c>
      <c r="H53" s="986" t="e">
        <f>IF(OR(G53&gt;=0.2,G53&lt;=-0.2),"超过20%","")</f>
        <v>#DIV/0!</v>
      </c>
      <c r="I53" s="985" t="e">
        <f>IF(I48&lt;E48,E48/I48-1,I48/E48-1)</f>
        <v>#DIV/0!</v>
      </c>
      <c r="J53" s="986" t="e">
        <f>IF(OR(I53&gt;=0.2,I53&lt;=-0.2),"超过20%","")</f>
        <v>#DIV/0!</v>
      </c>
      <c r="K53" s="1057"/>
      <c r="L53" s="1058"/>
      <c r="M53" s="982"/>
      <c r="N53" s="982"/>
      <c r="O53" s="982"/>
    </row>
    <row r="54" spans="1:29" s="869" customFormat="1" ht="13.5" customHeight="1">
      <c r="A54" s="987"/>
      <c r="B54" s="987"/>
      <c r="C54" s="984" t="s">
        <v>1367</v>
      </c>
      <c r="D54" s="691"/>
      <c r="E54" s="985" t="e">
        <f>IF(E47&lt;G47,G47/E47-1,E47/G47-1)</f>
        <v>#DIV/0!</v>
      </c>
      <c r="F54" s="986" t="e">
        <f>IF(OR(E54&gt;=0.3,E54&lt;=-0.3),"超过30%","")</f>
        <v>#DIV/0!</v>
      </c>
      <c r="G54" s="985" t="e">
        <f>IF(G47&lt;I47,I47/G47-1,G47/I47-1)</f>
        <v>#DIV/0!</v>
      </c>
      <c r="H54" s="986" t="e">
        <f>IF(OR(G54&gt;=0.3,G54&lt;=-0.3),"超过30%","")</f>
        <v>#DIV/0!</v>
      </c>
      <c r="I54" s="985" t="e">
        <f>IF(I47&lt;E47,E47/I47-1,I47/E47-1)</f>
        <v>#DIV/0!</v>
      </c>
      <c r="J54" s="986" t="e">
        <f>IF(OR(I54&gt;=0.3,I54&lt;=-0.3),"超过30%","")</f>
        <v>#DIV/0!</v>
      </c>
      <c r="K54" s="1059"/>
      <c r="L54" s="1060"/>
      <c r="M54" s="987"/>
      <c r="N54" s="987"/>
      <c r="O54" s="987"/>
      <c r="P54" s="1541"/>
    </row>
    <row r="55" spans="1:29" s="869" customFormat="1">
      <c r="A55" s="987"/>
      <c r="B55" s="988"/>
      <c r="C55" s="1014"/>
      <c r="D55" s="987"/>
      <c r="E55" s="987"/>
      <c r="F55" s="987"/>
      <c r="G55" s="987"/>
      <c r="H55" s="987"/>
      <c r="I55" s="987"/>
      <c r="J55" s="987"/>
      <c r="K55" s="1059"/>
      <c r="L55" s="1060"/>
      <c r="M55" s="987"/>
      <c r="N55" s="987"/>
      <c r="O55" s="987"/>
      <c r="P55" s="1541"/>
    </row>
    <row r="56" spans="1:29">
      <c r="A56" s="982"/>
      <c r="B56" s="988"/>
      <c r="C56" s="1014"/>
      <c r="D56" s="982"/>
      <c r="E56" s="982"/>
      <c r="F56" s="982"/>
      <c r="G56" s="982"/>
      <c r="H56" s="982"/>
      <c r="I56" s="982"/>
      <c r="J56" s="982"/>
      <c r="K56" s="1057"/>
      <c r="L56" s="1058"/>
      <c r="M56" s="982"/>
      <c r="N56" s="982"/>
      <c r="O56" s="982"/>
    </row>
    <row r="57" spans="1:29" ht="21">
      <c r="A57" s="1016" t="s">
        <v>1368</v>
      </c>
      <c r="B57" s="1017"/>
      <c r="C57" s="1018"/>
      <c r="D57" s="1018"/>
      <c r="E57" s="1018"/>
      <c r="F57" s="1019"/>
      <c r="G57" s="1019"/>
      <c r="H57" s="1018"/>
      <c r="I57" s="1018"/>
      <c r="J57" s="1018"/>
      <c r="K57" s="1309"/>
      <c r="L57" s="1310"/>
      <c r="M57" s="1067"/>
      <c r="N57" s="1067"/>
      <c r="O57" s="1067"/>
      <c r="P57" s="1542"/>
      <c r="Q57" s="1080"/>
    </row>
    <row r="58" spans="1:29" s="871" customFormat="1" ht="15">
      <c r="A58" s="1364" t="s">
        <v>1334</v>
      </c>
      <c r="B58" s="1365"/>
      <c r="C58" s="1523" t="str">
        <f>YEAR(C7)&amp;"-"&amp;MONTH(C7)</f>
        <v>2018-9</v>
      </c>
      <c r="D58" s="1367">
        <f>EDATE(C58,-1)</f>
        <v>43313</v>
      </c>
      <c r="E58" s="1367">
        <f>EDATE(D58,-1)</f>
        <v>43282</v>
      </c>
      <c r="F58" s="1367">
        <f t="shared" ref="F58:O58" si="19">EDATE(E58,-1)</f>
        <v>43252</v>
      </c>
      <c r="G58" s="1367">
        <f t="shared" si="19"/>
        <v>43221</v>
      </c>
      <c r="H58" s="1367">
        <f t="shared" si="19"/>
        <v>43191</v>
      </c>
      <c r="I58" s="1367">
        <f t="shared" si="19"/>
        <v>43160</v>
      </c>
      <c r="J58" s="1367">
        <f t="shared" si="19"/>
        <v>43132</v>
      </c>
      <c r="K58" s="1367">
        <f t="shared" si="19"/>
        <v>43101</v>
      </c>
      <c r="L58" s="1367">
        <f t="shared" si="19"/>
        <v>43070</v>
      </c>
      <c r="M58" s="1367">
        <f t="shared" si="19"/>
        <v>43040</v>
      </c>
      <c r="N58" s="1367">
        <f t="shared" si="19"/>
        <v>43009</v>
      </c>
      <c r="O58" s="1367">
        <f t="shared" si="19"/>
        <v>42979</v>
      </c>
      <c r="P58" s="1502"/>
    </row>
    <row r="59" spans="1:29" s="866" customFormat="1" ht="15">
      <c r="A59" s="1368"/>
      <c r="B59" s="1524"/>
      <c r="C59" s="1369">
        <v>100</v>
      </c>
      <c r="D59" s="1471"/>
      <c r="E59" s="1104"/>
      <c r="F59" s="1104"/>
      <c r="G59" s="1104"/>
      <c r="H59" s="1104"/>
      <c r="I59" s="1104"/>
      <c r="J59" s="1104"/>
      <c r="K59" s="1104"/>
      <c r="L59" s="1104"/>
      <c r="M59" s="1376"/>
      <c r="N59" s="1104"/>
      <c r="O59" s="1376"/>
      <c r="P59" s="1503"/>
    </row>
    <row r="60" spans="1:29" s="866" customFormat="1" ht="15">
      <c r="A60" s="1095" t="s">
        <v>1369</v>
      </c>
      <c r="B60" s="1096"/>
      <c r="C60" s="1097"/>
      <c r="D60" s="1098"/>
      <c r="E60" s="1098"/>
      <c r="F60" s="1098"/>
      <c r="G60" s="1098"/>
      <c r="H60" s="1098"/>
      <c r="I60" s="1098"/>
      <c r="J60" s="1098"/>
      <c r="K60" s="1098"/>
      <c r="L60" s="1098"/>
      <c r="M60" s="1146"/>
      <c r="N60" s="1098"/>
      <c r="O60" s="1146"/>
      <c r="P60" s="1503"/>
      <c r="Q60" s="1080"/>
    </row>
    <row r="61" spans="1:29" s="866" customFormat="1" ht="15">
      <c r="A61" s="1099" t="s">
        <v>1337</v>
      </c>
      <c r="B61" s="1100"/>
      <c r="C61" s="1101" t="s">
        <v>1338</v>
      </c>
      <c r="D61" s="1102"/>
      <c r="E61" s="1102"/>
      <c r="F61" s="1102"/>
      <c r="G61" s="1102"/>
      <c r="H61" s="1102"/>
      <c r="I61" s="1102"/>
      <c r="J61" s="1102"/>
      <c r="K61" s="1102"/>
      <c r="L61" s="1148"/>
      <c r="M61" s="1149"/>
      <c r="N61" s="1150"/>
      <c r="O61" s="1150"/>
      <c r="P61" s="1504"/>
      <c r="Q61" s="1080"/>
    </row>
    <row r="62" spans="1:29" s="866" customFormat="1" ht="15">
      <c r="A62" s="1099"/>
      <c r="B62" s="1100"/>
      <c r="C62" s="1471">
        <v>100</v>
      </c>
      <c r="D62" s="1104"/>
      <c r="E62" s="1104"/>
      <c r="F62" s="1104"/>
      <c r="G62" s="1104"/>
      <c r="H62" s="1104"/>
      <c r="I62" s="1104"/>
      <c r="J62" s="1104"/>
      <c r="K62" s="1104"/>
      <c r="L62" s="1104"/>
      <c r="M62" s="1152"/>
      <c r="N62" s="1150"/>
      <c r="O62" s="1150"/>
      <c r="P62" s="1503"/>
      <c r="Q62" s="1080"/>
    </row>
    <row r="63" spans="1:29">
      <c r="A63" s="1105" t="s">
        <v>1370</v>
      </c>
      <c r="B63" s="1106" t="s">
        <v>346</v>
      </c>
      <c r="C63" s="1128">
        <f>C9</f>
        <v>0</v>
      </c>
      <c r="D63" s="1050"/>
      <c r="E63" s="1050"/>
      <c r="F63" s="1050"/>
      <c r="G63" s="1050"/>
      <c r="H63" s="1050"/>
      <c r="I63" s="1050"/>
      <c r="J63" s="1050"/>
      <c r="K63" s="1153"/>
      <c r="L63" s="1154"/>
      <c r="M63" s="1155"/>
      <c r="N63" s="1156"/>
      <c r="O63" s="1156"/>
      <c r="P63" s="1505"/>
      <c r="Q63" s="1080"/>
    </row>
    <row r="64" spans="1:29" ht="15">
      <c r="A64" s="1107"/>
      <c r="B64" s="1108"/>
      <c r="C64" s="1109">
        <v>100</v>
      </c>
      <c r="D64" s="1109"/>
      <c r="E64" s="1109"/>
      <c r="F64" s="1109"/>
      <c r="G64" s="1109"/>
      <c r="H64" s="1109"/>
      <c r="I64" s="1109"/>
      <c r="J64" s="1109"/>
      <c r="K64" s="1109"/>
      <c r="L64" s="1109"/>
      <c r="M64" s="1158"/>
      <c r="N64" s="1159"/>
      <c r="O64" s="1159"/>
      <c r="P64" s="1505"/>
      <c r="Q64" s="1080"/>
    </row>
    <row r="65" spans="1:17" ht="27">
      <c r="A65" s="1107"/>
      <c r="B65" s="1110" t="s">
        <v>1343</v>
      </c>
      <c r="C65" s="1111" t="s">
        <v>1371</v>
      </c>
      <c r="D65" s="1111" t="s">
        <v>1372</v>
      </c>
      <c r="E65" s="1111" t="s">
        <v>1373</v>
      </c>
      <c r="F65" s="1111" t="s">
        <v>1374</v>
      </c>
      <c r="G65" s="1111" t="s">
        <v>1375</v>
      </c>
      <c r="H65" s="1111" t="s">
        <v>1376</v>
      </c>
      <c r="I65" s="1111" t="s">
        <v>1377</v>
      </c>
      <c r="J65" s="1111"/>
      <c r="K65" s="1160"/>
      <c r="L65" s="1161"/>
      <c r="M65" s="1162"/>
      <c r="N65" s="1156"/>
      <c r="O65" s="1156"/>
      <c r="P65" s="1505"/>
      <c r="Q65" s="1080"/>
    </row>
    <row r="66" spans="1:17" ht="15">
      <c r="A66" s="1107"/>
      <c r="B66" s="1112"/>
      <c r="C66" s="1113">
        <v>100</v>
      </c>
      <c r="D66" s="1113">
        <f t="shared" ref="D66:I66" si="20">C66-$K10</f>
        <v>100</v>
      </c>
      <c r="E66" s="1113">
        <f t="shared" si="20"/>
        <v>100</v>
      </c>
      <c r="F66" s="1113">
        <f t="shared" si="20"/>
        <v>100</v>
      </c>
      <c r="G66" s="1113">
        <f t="shared" si="20"/>
        <v>100</v>
      </c>
      <c r="H66" s="1113">
        <f t="shared" si="20"/>
        <v>100</v>
      </c>
      <c r="I66" s="1113">
        <f t="shared" si="20"/>
        <v>100</v>
      </c>
      <c r="J66" s="1113"/>
      <c r="K66" s="1113"/>
      <c r="L66" s="1113"/>
      <c r="M66" s="1163"/>
      <c r="N66" s="1159"/>
      <c r="O66" s="1159"/>
      <c r="P66" s="1505"/>
      <c r="Q66" s="1080"/>
    </row>
    <row r="67" spans="1:17" ht="15">
      <c r="A67" s="1107"/>
      <c r="B67" s="1114" t="s">
        <v>1344</v>
      </c>
      <c r="C67" s="1115" t="str">
        <f>C68&amp;"（含）"&amp;"-"&amp;D68</f>
        <v>（含）-</v>
      </c>
      <c r="D67" s="1115" t="str">
        <f t="shared" ref="D67:L67" si="21">D68&amp;"（含）"&amp;"-"&amp;E68</f>
        <v>（含）-</v>
      </c>
      <c r="E67" s="1115" t="str">
        <f t="shared" si="21"/>
        <v>（含）-</v>
      </c>
      <c r="F67" s="1115" t="str">
        <f t="shared" si="21"/>
        <v>（含）-</v>
      </c>
      <c r="G67" s="1115" t="str">
        <f t="shared" si="21"/>
        <v>（含）-</v>
      </c>
      <c r="H67" s="1115" t="str">
        <f t="shared" si="21"/>
        <v>（含）-</v>
      </c>
      <c r="I67" s="1115" t="str">
        <f t="shared" si="21"/>
        <v>（含）-</v>
      </c>
      <c r="J67" s="1115" t="str">
        <f t="shared" si="21"/>
        <v>（含）-</v>
      </c>
      <c r="K67" s="1115" t="str">
        <f t="shared" si="21"/>
        <v>（含）-</v>
      </c>
      <c r="L67" s="1115" t="str">
        <f t="shared" si="21"/>
        <v>（含）-</v>
      </c>
      <c r="M67" s="928" t="str">
        <f>M68&amp;"（含）"&amp;"-"&amp;P68</f>
        <v>（含）-</v>
      </c>
      <c r="N67" s="1159"/>
      <c r="O67" s="1159"/>
      <c r="P67" s="1505"/>
      <c r="Q67" s="1080"/>
    </row>
    <row r="68" spans="1:17" ht="15">
      <c r="A68" s="1107"/>
      <c r="B68" s="1116"/>
      <c r="C68" s="913"/>
      <c r="D68" s="913"/>
      <c r="E68" s="913"/>
      <c r="F68" s="913"/>
      <c r="G68" s="913"/>
      <c r="H68" s="913"/>
      <c r="I68" s="913"/>
      <c r="J68" s="913"/>
      <c r="K68" s="1164"/>
      <c r="L68" s="1165"/>
      <c r="M68" s="1166"/>
      <c r="N68" s="1156"/>
      <c r="O68" s="1156"/>
      <c r="P68" s="1505"/>
      <c r="Q68" s="1080"/>
    </row>
    <row r="69" spans="1:17" ht="15">
      <c r="A69" s="1107"/>
      <c r="B69" s="1108"/>
      <c r="C69" s="1113">
        <v>100</v>
      </c>
      <c r="D69" s="1113">
        <f t="shared" ref="D69:M69" si="22">C69-$K11</f>
        <v>100</v>
      </c>
      <c r="E69" s="1113">
        <f t="shared" si="22"/>
        <v>100</v>
      </c>
      <c r="F69" s="1113">
        <f t="shared" si="22"/>
        <v>100</v>
      </c>
      <c r="G69" s="1113">
        <f t="shared" si="22"/>
        <v>100</v>
      </c>
      <c r="H69" s="1113">
        <f t="shared" si="22"/>
        <v>100</v>
      </c>
      <c r="I69" s="1113">
        <f t="shared" si="22"/>
        <v>100</v>
      </c>
      <c r="J69" s="1113">
        <f t="shared" si="22"/>
        <v>100</v>
      </c>
      <c r="K69" s="1113">
        <f t="shared" si="22"/>
        <v>100</v>
      </c>
      <c r="L69" s="1113">
        <f t="shared" si="22"/>
        <v>100</v>
      </c>
      <c r="M69" s="1163">
        <f t="shared" si="22"/>
        <v>100</v>
      </c>
      <c r="N69" s="1159"/>
      <c r="O69" s="1159"/>
      <c r="P69" s="1505"/>
      <c r="Q69" s="1080"/>
    </row>
    <row r="70" spans="1:17" s="868" customFormat="1" ht="15">
      <c r="A70" s="1117"/>
      <c r="B70" s="1110">
        <f>B12</f>
        <v>111</v>
      </c>
      <c r="C70" s="1118"/>
      <c r="D70" s="1118"/>
      <c r="E70" s="1118"/>
      <c r="F70" s="1118"/>
      <c r="G70" s="1118"/>
      <c r="H70" s="1119"/>
      <c r="I70" s="1119"/>
      <c r="J70" s="1119"/>
      <c r="K70" s="1119"/>
      <c r="L70" s="1167"/>
      <c r="M70" s="1168"/>
      <c r="N70" s="1169"/>
      <c r="O70" s="1169"/>
      <c r="P70" s="1511"/>
      <c r="Q70" s="1200"/>
    </row>
    <row r="71" spans="1:17" s="868" customFormat="1" ht="15">
      <c r="A71" s="1117"/>
      <c r="B71" s="1112"/>
      <c r="C71" s="1120"/>
      <c r="D71" s="1109"/>
      <c r="E71" s="1109"/>
      <c r="F71" s="1109"/>
      <c r="G71" s="1109"/>
      <c r="H71" s="1109"/>
      <c r="I71" s="1109"/>
      <c r="J71" s="1109"/>
      <c r="K71" s="1109"/>
      <c r="L71" s="1109"/>
      <c r="M71" s="1158"/>
      <c r="N71" s="1159"/>
      <c r="O71" s="1159"/>
      <c r="P71" s="1511"/>
      <c r="Q71" s="1200"/>
    </row>
    <row r="72" spans="1:17" s="868" customFormat="1" ht="15">
      <c r="A72" s="1117"/>
      <c r="B72" s="1110">
        <f>B13</f>
        <v>111</v>
      </c>
      <c r="C72" s="1118"/>
      <c r="D72" s="1118"/>
      <c r="E72" s="1118"/>
      <c r="F72" s="1118"/>
      <c r="G72" s="1118"/>
      <c r="H72" s="1119"/>
      <c r="I72" s="1119"/>
      <c r="J72" s="1119"/>
      <c r="K72" s="1119"/>
      <c r="L72" s="1167"/>
      <c r="M72" s="1168"/>
      <c r="N72" s="1169"/>
      <c r="O72" s="1169"/>
      <c r="P72" s="1512"/>
      <c r="Q72" s="1201"/>
    </row>
    <row r="73" spans="1:17" s="868" customFormat="1" ht="15">
      <c r="A73" s="1117"/>
      <c r="B73" s="1112"/>
      <c r="C73" s="1120"/>
      <c r="D73" s="1120"/>
      <c r="E73" s="1120"/>
      <c r="F73" s="1120"/>
      <c r="G73" s="1120"/>
      <c r="H73" s="1121"/>
      <c r="I73" s="1121"/>
      <c r="J73" s="1121"/>
      <c r="K73" s="1121"/>
      <c r="L73" s="1121"/>
      <c r="M73" s="1172"/>
      <c r="N73" s="1169"/>
      <c r="O73" s="1169"/>
      <c r="P73" s="1511"/>
      <c r="Q73" s="1200"/>
    </row>
    <row r="74" spans="1:17" s="868" customFormat="1" ht="15">
      <c r="A74" s="1117"/>
      <c r="B74" s="1114">
        <f>B14</f>
        <v>111</v>
      </c>
      <c r="C74" s="1118"/>
      <c r="D74" s="1118"/>
      <c r="E74" s="1118"/>
      <c r="F74" s="1118"/>
      <c r="G74" s="1102"/>
      <c r="H74" s="1122"/>
      <c r="I74" s="1122"/>
      <c r="J74" s="1122"/>
      <c r="K74" s="1122"/>
      <c r="L74" s="1173"/>
      <c r="M74" s="1174"/>
      <c r="N74" s="1169"/>
      <c r="O74" s="1169"/>
      <c r="P74" s="1513"/>
      <c r="Q74" s="1200"/>
    </row>
    <row r="75" spans="1:17" s="868" customFormat="1" ht="15">
      <c r="A75" s="1123"/>
      <c r="B75" s="1124"/>
      <c r="C75" s="1125"/>
      <c r="D75" s="1125"/>
      <c r="E75" s="1125"/>
      <c r="F75" s="1125"/>
      <c r="G75" s="1125"/>
      <c r="H75" s="1126"/>
      <c r="I75" s="1126"/>
      <c r="J75" s="1126"/>
      <c r="K75" s="1126"/>
      <c r="L75" s="1126"/>
      <c r="M75" s="1176"/>
      <c r="N75" s="1169"/>
      <c r="O75" s="1169"/>
      <c r="P75" s="1511"/>
      <c r="Q75" s="1200"/>
    </row>
    <row r="76" spans="1:17">
      <c r="A76" s="1105" t="s">
        <v>1345</v>
      </c>
      <c r="B76" s="1106" t="s">
        <v>642</v>
      </c>
      <c r="C76" s="1127" t="s">
        <v>1378</v>
      </c>
      <c r="D76" s="1127" t="s">
        <v>1379</v>
      </c>
      <c r="E76" s="1127" t="s">
        <v>1380</v>
      </c>
      <c r="F76" s="1127" t="s">
        <v>1381</v>
      </c>
      <c r="G76" s="1127" t="s">
        <v>1382</v>
      </c>
      <c r="H76" s="1128"/>
      <c r="I76" s="1128"/>
      <c r="J76" s="1128"/>
      <c r="K76" s="1177"/>
      <c r="L76" s="1178"/>
      <c r="M76" s="1179"/>
      <c r="N76" s="1156"/>
      <c r="O76" s="1156"/>
      <c r="P76" s="1514"/>
      <c r="Q76" s="1080"/>
    </row>
    <row r="77" spans="1:17" ht="15">
      <c r="A77" s="1107"/>
      <c r="B77" s="1112"/>
      <c r="C77" s="1113">
        <v>100</v>
      </c>
      <c r="D77" s="1113">
        <f>C77-$K15</f>
        <v>100</v>
      </c>
      <c r="E77" s="1113">
        <f>D77-$K15</f>
        <v>100</v>
      </c>
      <c r="F77" s="1113">
        <f>E77-$K15</f>
        <v>100</v>
      </c>
      <c r="G77" s="1113">
        <f>F77-$K15</f>
        <v>100</v>
      </c>
      <c r="H77" s="1113"/>
      <c r="I77" s="1113"/>
      <c r="J77" s="1113"/>
      <c r="K77" s="1113"/>
      <c r="L77" s="1113"/>
      <c r="M77" s="1163"/>
      <c r="N77" s="1159"/>
      <c r="O77" s="1159"/>
      <c r="P77" s="1505"/>
      <c r="Q77" s="1080"/>
    </row>
    <row r="78" spans="1:17" ht="15">
      <c r="A78" s="1107"/>
      <c r="B78" s="1110" t="s">
        <v>648</v>
      </c>
      <c r="C78" s="1129" t="s">
        <v>1378</v>
      </c>
      <c r="D78" s="1129" t="s">
        <v>1379</v>
      </c>
      <c r="E78" s="1129" t="s">
        <v>1380</v>
      </c>
      <c r="F78" s="1129" t="s">
        <v>1381</v>
      </c>
      <c r="G78" s="1129" t="s">
        <v>1382</v>
      </c>
      <c r="H78" s="1111"/>
      <c r="I78" s="1111"/>
      <c r="J78" s="1111"/>
      <c r="K78" s="1160"/>
      <c r="L78" s="1161"/>
      <c r="M78" s="1162"/>
      <c r="N78" s="1156"/>
      <c r="O78" s="1156"/>
      <c r="P78" s="1505"/>
      <c r="Q78" s="1080"/>
    </row>
    <row r="79" spans="1:17" ht="15">
      <c r="A79" s="1107"/>
      <c r="B79" s="1112"/>
      <c r="C79" s="1113">
        <v>100</v>
      </c>
      <c r="D79" s="1113">
        <f>C79-$K17</f>
        <v>100</v>
      </c>
      <c r="E79" s="1113">
        <f>D79-$K17</f>
        <v>100</v>
      </c>
      <c r="F79" s="1113">
        <f>E79-$K17</f>
        <v>100</v>
      </c>
      <c r="G79" s="1113">
        <f>F79-$K17</f>
        <v>100</v>
      </c>
      <c r="H79" s="1113"/>
      <c r="I79" s="1113"/>
      <c r="J79" s="1113"/>
      <c r="K79" s="1113"/>
      <c r="L79" s="1113"/>
      <c r="M79" s="1163"/>
      <c r="N79" s="1159"/>
      <c r="O79" s="1159"/>
      <c r="P79" s="1505"/>
      <c r="Q79" s="1080"/>
    </row>
    <row r="80" spans="1:17" ht="15">
      <c r="A80" s="1107"/>
      <c r="B80" s="1110" t="s">
        <v>652</v>
      </c>
      <c r="C80" s="1129" t="s">
        <v>1378</v>
      </c>
      <c r="D80" s="1129" t="s">
        <v>1379</v>
      </c>
      <c r="E80" s="1129" t="s">
        <v>1380</v>
      </c>
      <c r="F80" s="1129" t="s">
        <v>1381</v>
      </c>
      <c r="G80" s="1129" t="s">
        <v>1382</v>
      </c>
      <c r="H80" s="1111"/>
      <c r="I80" s="1111"/>
      <c r="J80" s="1111"/>
      <c r="K80" s="1160"/>
      <c r="L80" s="1161"/>
      <c r="M80" s="1162"/>
      <c r="N80" s="1156"/>
      <c r="O80" s="1156"/>
      <c r="P80" s="1505"/>
      <c r="Q80" s="1080"/>
    </row>
    <row r="81" spans="1:17" ht="15">
      <c r="A81" s="1107"/>
      <c r="B81" s="1112"/>
      <c r="C81" s="1113">
        <v>100</v>
      </c>
      <c r="D81" s="1113">
        <f>C81-$K19</f>
        <v>100</v>
      </c>
      <c r="E81" s="1113">
        <f>D81-$K19</f>
        <v>100</v>
      </c>
      <c r="F81" s="1113">
        <f>E81-$K19</f>
        <v>100</v>
      </c>
      <c r="G81" s="1113">
        <f>F81-$K19</f>
        <v>100</v>
      </c>
      <c r="H81" s="1113"/>
      <c r="I81" s="1113"/>
      <c r="J81" s="1113"/>
      <c r="K81" s="1113"/>
      <c r="L81" s="1113"/>
      <c r="M81" s="1163"/>
      <c r="N81" s="1159"/>
      <c r="O81" s="1159"/>
      <c r="P81" s="1505"/>
      <c r="Q81" s="1080"/>
    </row>
    <row r="82" spans="1:17" ht="15">
      <c r="A82" s="1107"/>
      <c r="B82" s="1114" t="s">
        <v>654</v>
      </c>
      <c r="C82" s="1111" t="s">
        <v>1383</v>
      </c>
      <c r="D82" s="1111" t="s">
        <v>1384</v>
      </c>
      <c r="E82" s="1111" t="s">
        <v>1385</v>
      </c>
      <c r="F82" s="1111" t="s">
        <v>1386</v>
      </c>
      <c r="G82" s="1111" t="s">
        <v>1387</v>
      </c>
      <c r="H82" s="1111"/>
      <c r="I82" s="1111"/>
      <c r="J82" s="1111"/>
      <c r="K82" s="1111"/>
      <c r="L82" s="1111"/>
      <c r="M82" s="1381"/>
      <c r="N82" s="1159"/>
      <c r="O82" s="1159"/>
      <c r="P82" s="1505"/>
      <c r="Q82" s="1080"/>
    </row>
    <row r="83" spans="1:17" ht="15">
      <c r="A83" s="1107"/>
      <c r="B83" s="1114"/>
      <c r="C83" s="1134">
        <v>100</v>
      </c>
      <c r="D83" s="1134">
        <f>C83-$K21</f>
        <v>100</v>
      </c>
      <c r="E83" s="1134">
        <f t="shared" ref="E83:G83" si="23">D83-$K21</f>
        <v>100</v>
      </c>
      <c r="F83" s="1134">
        <f t="shared" si="23"/>
        <v>100</v>
      </c>
      <c r="G83" s="1134">
        <f t="shared" si="23"/>
        <v>100</v>
      </c>
      <c r="H83" s="1134"/>
      <c r="I83" s="1134"/>
      <c r="J83" s="1134"/>
      <c r="K83" s="1134"/>
      <c r="L83" s="1134"/>
      <c r="M83" s="930"/>
      <c r="N83" s="1159"/>
      <c r="O83" s="1159"/>
      <c r="P83" s="1505"/>
      <c r="Q83" s="1080"/>
    </row>
    <row r="84" spans="1:17" ht="15">
      <c r="A84" s="1107"/>
      <c r="B84" s="1110" t="s">
        <v>658</v>
      </c>
      <c r="C84" s="1129" t="s">
        <v>1378</v>
      </c>
      <c r="D84" s="1129" t="s">
        <v>1379</v>
      </c>
      <c r="E84" s="1129" t="s">
        <v>1380</v>
      </c>
      <c r="F84" s="1129" t="s">
        <v>1381</v>
      </c>
      <c r="G84" s="1129" t="s">
        <v>1382</v>
      </c>
      <c r="H84" s="1111"/>
      <c r="I84" s="1111"/>
      <c r="J84" s="1111"/>
      <c r="K84" s="1160"/>
      <c r="L84" s="1161"/>
      <c r="M84" s="1162"/>
      <c r="N84" s="1156"/>
      <c r="O84" s="1156"/>
      <c r="P84" s="1505"/>
      <c r="Q84" s="1080"/>
    </row>
    <row r="85" spans="1:17" ht="15">
      <c r="A85" s="1107"/>
      <c r="B85" s="1112"/>
      <c r="C85" s="1113">
        <v>100</v>
      </c>
      <c r="D85" s="1113">
        <f>C85-$K23</f>
        <v>100</v>
      </c>
      <c r="E85" s="1113">
        <f>D85-$K23</f>
        <v>100</v>
      </c>
      <c r="F85" s="1113">
        <f>E85-$K23</f>
        <v>100</v>
      </c>
      <c r="G85" s="1113">
        <f>F85-$K23</f>
        <v>100</v>
      </c>
      <c r="H85" s="1113"/>
      <c r="I85" s="1113"/>
      <c r="J85" s="1113"/>
      <c r="K85" s="1113"/>
      <c r="L85" s="1113"/>
      <c r="M85" s="1163"/>
      <c r="N85" s="1159"/>
      <c r="O85" s="1159"/>
      <c r="P85" s="1505"/>
      <c r="Q85" s="1080"/>
    </row>
    <row r="86" spans="1:17" s="866" customFormat="1" ht="15">
      <c r="A86" s="1130"/>
      <c r="B86" s="1110" t="s">
        <v>1347</v>
      </c>
      <c r="C86" s="1118"/>
      <c r="D86" s="1118"/>
      <c r="E86" s="1118"/>
      <c r="F86" s="1118"/>
      <c r="G86" s="1118"/>
      <c r="H86" s="1118"/>
      <c r="I86" s="1118"/>
      <c r="J86" s="1118"/>
      <c r="K86" s="1118"/>
      <c r="L86" s="1382"/>
      <c r="M86" s="1383"/>
      <c r="N86" s="1150"/>
      <c r="O86" s="1150"/>
      <c r="P86" s="1505"/>
      <c r="Q86" s="1080"/>
    </row>
    <row r="87" spans="1:17" s="866" customFormat="1" ht="15">
      <c r="A87" s="1130"/>
      <c r="B87" s="1112"/>
      <c r="C87" s="1131">
        <v>100</v>
      </c>
      <c r="D87" s="1113">
        <f t="shared" ref="D87:M87" si="24">$C$87-($C$86-D86)*$K$25</f>
        <v>100</v>
      </c>
      <c r="E87" s="1113">
        <f t="shared" si="24"/>
        <v>100</v>
      </c>
      <c r="F87" s="1113">
        <f t="shared" si="24"/>
        <v>100</v>
      </c>
      <c r="G87" s="1113">
        <f t="shared" si="24"/>
        <v>100</v>
      </c>
      <c r="H87" s="1113">
        <f t="shared" si="24"/>
        <v>100</v>
      </c>
      <c r="I87" s="1113">
        <f t="shared" si="24"/>
        <v>100</v>
      </c>
      <c r="J87" s="1113">
        <f t="shared" si="24"/>
        <v>100</v>
      </c>
      <c r="K87" s="1113">
        <f t="shared" si="24"/>
        <v>100</v>
      </c>
      <c r="L87" s="1113">
        <f t="shared" si="24"/>
        <v>100</v>
      </c>
      <c r="M87" s="1113">
        <f t="shared" si="24"/>
        <v>100</v>
      </c>
      <c r="N87" s="1159"/>
      <c r="O87" s="1159"/>
      <c r="P87" s="1505"/>
      <c r="Q87" s="1080"/>
    </row>
    <row r="88" spans="1:17" s="866" customFormat="1" ht="15">
      <c r="A88" s="1130"/>
      <c r="B88" s="1110" t="s">
        <v>1348</v>
      </c>
      <c r="C88" s="1118"/>
      <c r="D88" s="1118"/>
      <c r="E88" s="1118"/>
      <c r="F88" s="1483"/>
      <c r="G88" s="1118"/>
      <c r="H88" s="1118"/>
      <c r="I88" s="1118"/>
      <c r="J88" s="1118"/>
      <c r="K88" s="1118"/>
      <c r="L88" s="1118"/>
      <c r="M88" s="1383"/>
      <c r="N88" s="1150"/>
      <c r="O88" s="1150"/>
      <c r="P88" s="1505"/>
      <c r="Q88" s="1080"/>
    </row>
    <row r="89" spans="1:17" s="866" customFormat="1" ht="15">
      <c r="A89" s="1130"/>
      <c r="B89" s="1112"/>
      <c r="C89" s="1131">
        <v>100</v>
      </c>
      <c r="D89" s="1113">
        <f t="shared" ref="D89:M89" si="25">C89-$K26</f>
        <v>100</v>
      </c>
      <c r="E89" s="1113">
        <f t="shared" si="25"/>
        <v>100</v>
      </c>
      <c r="F89" s="1113">
        <f t="shared" si="25"/>
        <v>100</v>
      </c>
      <c r="G89" s="1113">
        <f t="shared" si="25"/>
        <v>100</v>
      </c>
      <c r="H89" s="1113">
        <f t="shared" si="25"/>
        <v>100</v>
      </c>
      <c r="I89" s="1113">
        <f t="shared" si="25"/>
        <v>100</v>
      </c>
      <c r="J89" s="1113">
        <f t="shared" si="25"/>
        <v>100</v>
      </c>
      <c r="K89" s="1113">
        <f t="shared" si="25"/>
        <v>100</v>
      </c>
      <c r="L89" s="1113">
        <f t="shared" si="25"/>
        <v>100</v>
      </c>
      <c r="M89" s="1113">
        <f t="shared" si="25"/>
        <v>100</v>
      </c>
      <c r="N89" s="1159"/>
      <c r="O89" s="1159"/>
      <c r="P89" s="1505"/>
      <c r="Q89" s="1080"/>
    </row>
    <row r="90" spans="1:17" s="868" customFormat="1" ht="15">
      <c r="A90" s="1117"/>
      <c r="B90" s="1110">
        <f>B27</f>
        <v>111</v>
      </c>
      <c r="C90" s="1118"/>
      <c r="D90" s="1118"/>
      <c r="E90" s="1118"/>
      <c r="F90" s="1118"/>
      <c r="G90" s="1118"/>
      <c r="H90" s="1119"/>
      <c r="I90" s="1119"/>
      <c r="J90" s="1119"/>
      <c r="K90" s="1119"/>
      <c r="L90" s="1167"/>
      <c r="M90" s="1168"/>
      <c r="N90" s="1169"/>
      <c r="O90" s="1169"/>
      <c r="P90" s="1511"/>
      <c r="Q90" s="1200"/>
    </row>
    <row r="91" spans="1:17" s="868" customFormat="1" ht="15">
      <c r="A91" s="1117"/>
      <c r="B91" s="1112"/>
      <c r="C91" s="1120"/>
      <c r="D91" s="1120"/>
      <c r="E91" s="1120"/>
      <c r="F91" s="1120"/>
      <c r="G91" s="1120"/>
      <c r="H91" s="1121"/>
      <c r="I91" s="1121"/>
      <c r="J91" s="1121"/>
      <c r="K91" s="1121"/>
      <c r="L91" s="1121"/>
      <c r="M91" s="1172"/>
      <c r="N91" s="1169"/>
      <c r="O91" s="1169"/>
      <c r="P91" s="1511"/>
      <c r="Q91" s="1200"/>
    </row>
    <row r="92" spans="1:17" ht="15">
      <c r="A92" s="1107"/>
      <c r="B92" s="1110">
        <f>B28</f>
        <v>111</v>
      </c>
      <c r="C92" s="1118"/>
      <c r="D92" s="1118"/>
      <c r="E92" s="1118"/>
      <c r="F92" s="1118"/>
      <c r="G92" s="1135"/>
      <c r="H92" s="1135"/>
      <c r="I92" s="1135"/>
      <c r="J92" s="1135"/>
      <c r="K92" s="1187"/>
      <c r="L92" s="1188"/>
      <c r="M92" s="1189"/>
      <c r="N92" s="1156"/>
      <c r="O92" s="1156"/>
      <c r="P92" s="1505"/>
      <c r="Q92" s="1080"/>
    </row>
    <row r="93" spans="1:17" ht="15">
      <c r="A93" s="1107"/>
      <c r="B93" s="1112"/>
      <c r="C93" s="1120"/>
      <c r="D93" s="1109"/>
      <c r="E93" s="1109"/>
      <c r="F93" s="1109"/>
      <c r="G93" s="1109"/>
      <c r="H93" s="1109"/>
      <c r="I93" s="1109"/>
      <c r="J93" s="1109"/>
      <c r="K93" s="1109"/>
      <c r="L93" s="1109"/>
      <c r="M93" s="1158"/>
      <c r="N93" s="1159"/>
      <c r="O93" s="1159"/>
      <c r="P93" s="1505"/>
      <c r="Q93" s="1080"/>
    </row>
    <row r="94" spans="1:17" ht="15">
      <c r="A94" s="1107"/>
      <c r="B94" s="1110">
        <f>B29</f>
        <v>111</v>
      </c>
      <c r="C94" s="1118"/>
      <c r="D94" s="1118"/>
      <c r="E94" s="1118"/>
      <c r="F94" s="1118"/>
      <c r="G94" s="1135"/>
      <c r="H94" s="1135"/>
      <c r="I94" s="1135"/>
      <c r="J94" s="1135"/>
      <c r="K94" s="1187"/>
      <c r="L94" s="1188"/>
      <c r="M94" s="1189"/>
      <c r="N94" s="1156"/>
      <c r="O94" s="1156"/>
      <c r="P94" s="1505"/>
      <c r="Q94" s="1080"/>
    </row>
    <row r="95" spans="1:17" ht="15">
      <c r="A95" s="1107"/>
      <c r="B95" s="1112"/>
      <c r="C95" s="1120"/>
      <c r="D95" s="1120"/>
      <c r="E95" s="1120"/>
      <c r="F95" s="1120"/>
      <c r="G95" s="1109"/>
      <c r="H95" s="1109"/>
      <c r="I95" s="1109"/>
      <c r="J95" s="1109"/>
      <c r="K95" s="1109"/>
      <c r="L95" s="1109"/>
      <c r="M95" s="1158"/>
      <c r="N95" s="1159"/>
      <c r="O95" s="1159"/>
      <c r="P95" s="1505"/>
      <c r="Q95" s="1080"/>
    </row>
    <row r="96" spans="1:17" ht="15">
      <c r="A96" s="1107"/>
      <c r="B96" s="1110">
        <f>B30</f>
        <v>111</v>
      </c>
      <c r="C96" s="1118"/>
      <c r="D96" s="1118"/>
      <c r="E96" s="1118"/>
      <c r="F96" s="1118"/>
      <c r="G96" s="1135"/>
      <c r="H96" s="1135"/>
      <c r="I96" s="1135"/>
      <c r="J96" s="1135"/>
      <c r="K96" s="1187"/>
      <c r="L96" s="1188"/>
      <c r="M96" s="1189"/>
      <c r="N96" s="1156"/>
      <c r="O96" s="1156"/>
      <c r="P96" s="1505"/>
      <c r="Q96" s="1080"/>
    </row>
    <row r="97" spans="1:17" ht="15">
      <c r="A97" s="1107"/>
      <c r="B97" s="1112"/>
      <c r="C97" s="1125"/>
      <c r="D97" s="1125"/>
      <c r="E97" s="1125"/>
      <c r="F97" s="1125"/>
      <c r="G97" s="1109"/>
      <c r="H97" s="1109"/>
      <c r="I97" s="1109"/>
      <c r="J97" s="1109"/>
      <c r="K97" s="1109"/>
      <c r="L97" s="1109"/>
      <c r="M97" s="1158"/>
      <c r="N97" s="1159"/>
      <c r="O97" s="1159"/>
      <c r="P97" s="1505"/>
      <c r="Q97" s="1080"/>
    </row>
    <row r="98" spans="1:17" ht="15">
      <c r="A98" s="1107"/>
      <c r="B98" s="1114">
        <f>B31</f>
        <v>111</v>
      </c>
      <c r="C98" s="1136"/>
      <c r="D98" s="1136"/>
      <c r="E98" s="1136"/>
      <c r="F98" s="1136"/>
      <c r="G98" s="1136"/>
      <c r="H98" s="1136"/>
      <c r="I98" s="1136"/>
      <c r="J98" s="1136"/>
      <c r="K98" s="1190"/>
      <c r="L98" s="1191"/>
      <c r="M98" s="1192"/>
      <c r="N98" s="1156"/>
      <c r="O98" s="1156"/>
      <c r="P98" s="1505"/>
      <c r="Q98" s="1080"/>
    </row>
    <row r="99" spans="1:17" ht="15">
      <c r="A99" s="1460"/>
      <c r="B99" s="1124"/>
      <c r="C99" s="1137"/>
      <c r="D99" s="1137"/>
      <c r="E99" s="1137"/>
      <c r="F99" s="1137"/>
      <c r="G99" s="1137"/>
      <c r="H99" s="1137"/>
      <c r="I99" s="1137"/>
      <c r="J99" s="1137"/>
      <c r="K99" s="1137"/>
      <c r="L99" s="1137"/>
      <c r="M99" s="1193"/>
      <c r="N99" s="1159"/>
      <c r="O99" s="1159"/>
      <c r="P99" s="1505"/>
      <c r="Q99" s="1080"/>
    </row>
    <row r="100" spans="1:17">
      <c r="A100" s="1105" t="s">
        <v>1349</v>
      </c>
      <c r="B100" s="1106" t="s">
        <v>1350</v>
      </c>
      <c r="C100" s="1050"/>
      <c r="D100" s="1050"/>
      <c r="E100" s="1050"/>
      <c r="F100" s="1050"/>
      <c r="G100" s="1050"/>
      <c r="H100" s="1050"/>
      <c r="I100" s="1050"/>
      <c r="J100" s="1050"/>
      <c r="K100" s="1153"/>
      <c r="L100" s="1154"/>
      <c r="M100" s="1155"/>
      <c r="N100" s="1156"/>
      <c r="O100" s="1156"/>
      <c r="P100" s="1505"/>
      <c r="Q100" s="1080"/>
    </row>
    <row r="101" spans="1:17" ht="15">
      <c r="A101" s="1107"/>
      <c r="B101" s="1112"/>
      <c r="C101" s="1113">
        <v>100</v>
      </c>
      <c r="D101" s="1113">
        <f t="shared" ref="D101:M101" si="26">C101-$K32</f>
        <v>100</v>
      </c>
      <c r="E101" s="1113">
        <f t="shared" si="26"/>
        <v>100</v>
      </c>
      <c r="F101" s="1113">
        <f t="shared" si="26"/>
        <v>100</v>
      </c>
      <c r="G101" s="1113">
        <f t="shared" si="26"/>
        <v>100</v>
      </c>
      <c r="H101" s="1113">
        <f t="shared" si="26"/>
        <v>100</v>
      </c>
      <c r="I101" s="1113">
        <f t="shared" si="26"/>
        <v>100</v>
      </c>
      <c r="J101" s="1113">
        <f t="shared" si="26"/>
        <v>100</v>
      </c>
      <c r="K101" s="1113">
        <f t="shared" si="26"/>
        <v>100</v>
      </c>
      <c r="L101" s="1113">
        <f t="shared" si="26"/>
        <v>100</v>
      </c>
      <c r="M101" s="1113">
        <f t="shared" si="26"/>
        <v>100</v>
      </c>
      <c r="N101" s="1159"/>
      <c r="O101" s="1159"/>
      <c r="P101" s="1505"/>
      <c r="Q101" s="1080"/>
    </row>
    <row r="102" spans="1:17" ht="15">
      <c r="A102" s="1107"/>
      <c r="B102" s="1110" t="s">
        <v>1352</v>
      </c>
      <c r="C102" s="1129" t="str">
        <f>C103&amp;"(含)"&amp;"-"&amp;D103</f>
        <v>(含)-</v>
      </c>
      <c r="D102" s="1129" t="str">
        <f t="shared" ref="D102:L102" si="27">D103&amp;"(含)"&amp;"-"&amp;E103</f>
        <v>(含)-</v>
      </c>
      <c r="E102" s="1129" t="str">
        <f t="shared" si="27"/>
        <v>(含)-</v>
      </c>
      <c r="F102" s="1129" t="str">
        <f t="shared" si="27"/>
        <v>(含)-</v>
      </c>
      <c r="G102" s="1129" t="str">
        <f t="shared" si="27"/>
        <v>(含)-</v>
      </c>
      <c r="H102" s="1129" t="str">
        <f t="shared" si="27"/>
        <v>(含)-</v>
      </c>
      <c r="I102" s="1129" t="str">
        <f t="shared" si="27"/>
        <v>(含)-</v>
      </c>
      <c r="J102" s="1129" t="str">
        <f t="shared" si="27"/>
        <v>(含)-</v>
      </c>
      <c r="K102" s="1129" t="str">
        <f t="shared" si="27"/>
        <v>(含)-</v>
      </c>
      <c r="L102" s="1129" t="str">
        <f t="shared" si="27"/>
        <v>(含)-</v>
      </c>
      <c r="M102" s="1129" t="str">
        <f>M103&amp;"(含)"&amp;"-"&amp;P103</f>
        <v>(含)-</v>
      </c>
      <c r="N102" s="1150"/>
      <c r="O102" s="1150"/>
      <c r="P102" s="1505"/>
      <c r="Q102" s="1080"/>
    </row>
    <row r="103" spans="1:17" s="868" customFormat="1">
      <c r="A103" s="1138"/>
      <c r="B103" s="1139"/>
      <c r="C103" s="1094"/>
      <c r="D103" s="1094"/>
      <c r="E103" s="1094"/>
      <c r="F103" s="1094"/>
      <c r="G103" s="1094"/>
      <c r="H103" s="1094"/>
      <c r="I103" s="1094"/>
      <c r="J103" s="1194"/>
      <c r="K103" s="1194"/>
      <c r="L103" s="1195"/>
      <c r="M103" s="1196"/>
      <c r="N103" s="1169"/>
      <c r="O103" s="1169"/>
      <c r="P103" s="1511"/>
      <c r="Q103" s="1200"/>
    </row>
    <row r="104" spans="1:17" s="868" customFormat="1" ht="15">
      <c r="A104" s="1117"/>
      <c r="B104" s="1112"/>
      <c r="C104" s="1120"/>
      <c r="D104" s="1109"/>
      <c r="E104" s="1109"/>
      <c r="F104" s="1109"/>
      <c r="G104" s="1109"/>
      <c r="H104" s="1109"/>
      <c r="I104" s="1109"/>
      <c r="J104" s="1109"/>
      <c r="K104" s="1109"/>
      <c r="L104" s="1109"/>
      <c r="M104" s="1109"/>
      <c r="N104" s="1159"/>
      <c r="O104" s="1159"/>
      <c r="P104" s="1511"/>
      <c r="Q104" s="1200"/>
    </row>
    <row r="105" spans="1:17">
      <c r="A105" s="1141"/>
      <c r="B105" s="1110" t="s">
        <v>1353</v>
      </c>
      <c r="C105" s="1118"/>
      <c r="D105" s="1118"/>
      <c r="E105" s="1135"/>
      <c r="F105" s="1135"/>
      <c r="G105" s="1135"/>
      <c r="H105" s="1135"/>
      <c r="I105" s="1135"/>
      <c r="J105" s="1135"/>
      <c r="K105" s="1187"/>
      <c r="L105" s="1188"/>
      <c r="M105" s="1189"/>
      <c r="N105" s="1156"/>
      <c r="O105" s="1156"/>
      <c r="P105" s="1505"/>
      <c r="Q105" s="1080"/>
    </row>
    <row r="106" spans="1:17" ht="15">
      <c r="A106" s="1107"/>
      <c r="B106" s="1112"/>
      <c r="C106" s="1113">
        <v>100</v>
      </c>
      <c r="D106" s="1113">
        <f t="shared" ref="D106:M106" si="28">C106-$K34</f>
        <v>100</v>
      </c>
      <c r="E106" s="1113">
        <f t="shared" si="28"/>
        <v>100</v>
      </c>
      <c r="F106" s="1113">
        <f t="shared" si="28"/>
        <v>100</v>
      </c>
      <c r="G106" s="1113">
        <f t="shared" si="28"/>
        <v>100</v>
      </c>
      <c r="H106" s="1113">
        <f t="shared" si="28"/>
        <v>100</v>
      </c>
      <c r="I106" s="1113">
        <f t="shared" si="28"/>
        <v>100</v>
      </c>
      <c r="J106" s="1113">
        <f t="shared" si="28"/>
        <v>100</v>
      </c>
      <c r="K106" s="1113">
        <f t="shared" si="28"/>
        <v>100</v>
      </c>
      <c r="L106" s="1113">
        <f t="shared" si="28"/>
        <v>100</v>
      </c>
      <c r="M106" s="1113">
        <f t="shared" si="28"/>
        <v>100</v>
      </c>
      <c r="N106" s="1159"/>
      <c r="O106" s="1159"/>
      <c r="P106" s="1505"/>
      <c r="Q106" s="1080"/>
    </row>
    <row r="107" spans="1:17">
      <c r="A107" s="1141"/>
      <c r="B107" s="1110" t="s">
        <v>1354</v>
      </c>
      <c r="C107" s="1135"/>
      <c r="D107" s="1135"/>
      <c r="E107" s="1135"/>
      <c r="F107" s="1135"/>
      <c r="G107" s="1135"/>
      <c r="H107" s="1135"/>
      <c r="I107" s="1135"/>
      <c r="J107" s="1135"/>
      <c r="K107" s="1187"/>
      <c r="L107" s="1188"/>
      <c r="M107" s="1189"/>
      <c r="N107" s="1156"/>
      <c r="O107" s="1156"/>
      <c r="P107" s="1505"/>
      <c r="Q107" s="1080"/>
    </row>
    <row r="108" spans="1:17" ht="15">
      <c r="A108" s="1107"/>
      <c r="B108" s="1112"/>
      <c r="C108" s="1113">
        <v>100</v>
      </c>
      <c r="D108" s="1113">
        <f t="shared" ref="D108:M108" si="29">C108-$K35</f>
        <v>100</v>
      </c>
      <c r="E108" s="1113">
        <f t="shared" si="29"/>
        <v>100</v>
      </c>
      <c r="F108" s="1113">
        <f t="shared" si="29"/>
        <v>100</v>
      </c>
      <c r="G108" s="1113">
        <f t="shared" si="29"/>
        <v>100</v>
      </c>
      <c r="H108" s="1113">
        <f t="shared" si="29"/>
        <v>100</v>
      </c>
      <c r="I108" s="1113">
        <f t="shared" si="29"/>
        <v>100</v>
      </c>
      <c r="J108" s="1113">
        <f t="shared" si="29"/>
        <v>100</v>
      </c>
      <c r="K108" s="1113">
        <f t="shared" si="29"/>
        <v>100</v>
      </c>
      <c r="L108" s="1113">
        <f t="shared" si="29"/>
        <v>100</v>
      </c>
      <c r="M108" s="1113">
        <f t="shared" si="29"/>
        <v>100</v>
      </c>
      <c r="N108" s="1159"/>
      <c r="O108" s="1159"/>
      <c r="P108" s="1505"/>
      <c r="Q108" s="1080"/>
    </row>
    <row r="109" spans="1:17">
      <c r="A109" s="1141"/>
      <c r="B109" s="1110" t="s">
        <v>1355</v>
      </c>
      <c r="C109" s="1118"/>
      <c r="D109" s="1118"/>
      <c r="E109" s="1118"/>
      <c r="F109" s="1135"/>
      <c r="G109" s="1135"/>
      <c r="H109" s="1135"/>
      <c r="I109" s="1135"/>
      <c r="J109" s="1135"/>
      <c r="K109" s="1187"/>
      <c r="L109" s="1188"/>
      <c r="M109" s="1189"/>
      <c r="N109" s="1156"/>
      <c r="O109" s="1156"/>
      <c r="P109" s="1505"/>
      <c r="Q109" s="1080"/>
    </row>
    <row r="110" spans="1:17" ht="15">
      <c r="A110" s="1107"/>
      <c r="B110" s="1112"/>
      <c r="C110" s="1113">
        <v>100</v>
      </c>
      <c r="D110" s="1113">
        <f t="shared" ref="D110:M110" si="30">C110-$K36</f>
        <v>100</v>
      </c>
      <c r="E110" s="1113">
        <f t="shared" si="30"/>
        <v>100</v>
      </c>
      <c r="F110" s="1113">
        <f t="shared" si="30"/>
        <v>100</v>
      </c>
      <c r="G110" s="1113">
        <f t="shared" si="30"/>
        <v>100</v>
      </c>
      <c r="H110" s="1113">
        <f t="shared" si="30"/>
        <v>100</v>
      </c>
      <c r="I110" s="1113">
        <f t="shared" si="30"/>
        <v>100</v>
      </c>
      <c r="J110" s="1113">
        <f t="shared" si="30"/>
        <v>100</v>
      </c>
      <c r="K110" s="1113">
        <f t="shared" si="30"/>
        <v>100</v>
      </c>
      <c r="L110" s="1113">
        <f t="shared" si="30"/>
        <v>100</v>
      </c>
      <c r="M110" s="1113">
        <f t="shared" si="30"/>
        <v>100</v>
      </c>
      <c r="N110" s="1159"/>
      <c r="O110" s="1159"/>
      <c r="P110" s="1505"/>
      <c r="Q110" s="1080"/>
    </row>
    <row r="111" spans="1:17" s="868" customFormat="1">
      <c r="A111" s="1138"/>
      <c r="B111" s="1110" t="s">
        <v>557</v>
      </c>
      <c r="C111" s="1129" t="str">
        <f>C112&amp;"(含)"&amp;"-"&amp;D112</f>
        <v>0.5(含)-0.6</v>
      </c>
      <c r="D111" s="1129" t="str">
        <f>D112&amp;"(含)"&amp;"-"&amp;E112</f>
        <v>0.6(含)-0.7</v>
      </c>
      <c r="E111" s="1129" t="str">
        <f>E112&amp;"(含)"&amp;"-"&amp;F112</f>
        <v>0.7(含)-0.8</v>
      </c>
      <c r="F111" s="1129" t="str">
        <f>F112&amp;"(含)"&amp;"-"&amp;G112</f>
        <v>0.8(含)-0.9</v>
      </c>
      <c r="G111" s="1129" t="str">
        <f>G112&amp;"(含)"&amp;"-"&amp;ROUND(H112,0)&amp;"(含)"</f>
        <v>0.9(含)-1(含)</v>
      </c>
      <c r="H111" s="1129" t="str">
        <f>ROUND(H112,0)&amp;"(含)"&amp;"-"&amp;I112</f>
        <v>1(含)-</v>
      </c>
      <c r="I111" s="1129"/>
      <c r="J111" s="1132"/>
      <c r="K111" s="1132"/>
      <c r="L111" s="1183"/>
      <c r="M111" s="1184"/>
      <c r="N111" s="1169"/>
      <c r="O111" s="1169"/>
      <c r="P111" s="1511"/>
      <c r="Q111" s="1200"/>
    </row>
    <row r="112" spans="1:17" s="868" customFormat="1">
      <c r="A112" s="1138"/>
      <c r="B112" s="1114"/>
      <c r="C112" s="801">
        <v>0.5</v>
      </c>
      <c r="D112" s="801">
        <v>0.6</v>
      </c>
      <c r="E112" s="801">
        <v>0.7</v>
      </c>
      <c r="F112" s="801">
        <v>0.8</v>
      </c>
      <c r="G112" s="801">
        <v>0.9</v>
      </c>
      <c r="H112" s="801">
        <v>1.0001</v>
      </c>
      <c r="I112" s="801"/>
      <c r="J112" s="1546"/>
      <c r="K112" s="1546"/>
      <c r="L112" s="1547"/>
      <c r="M112" s="1548"/>
      <c r="N112" s="1169"/>
      <c r="O112" s="1169"/>
      <c r="P112" s="1511"/>
      <c r="Q112" s="1200"/>
    </row>
    <row r="113" spans="1:17" s="868" customFormat="1" ht="15">
      <c r="A113" s="1117"/>
      <c r="B113" s="1112"/>
      <c r="C113" s="1131">
        <v>100</v>
      </c>
      <c r="D113" s="1113">
        <f>C113+$K37</f>
        <v>100</v>
      </c>
      <c r="E113" s="1113">
        <f>D113+$K37</f>
        <v>100</v>
      </c>
      <c r="F113" s="1113">
        <f>E113+$K37</f>
        <v>100</v>
      </c>
      <c r="G113" s="1113">
        <f>F113+$K37</f>
        <v>100</v>
      </c>
      <c r="H113" s="1113">
        <f>G113+$K37</f>
        <v>100</v>
      </c>
      <c r="I113" s="1131"/>
      <c r="J113" s="1133"/>
      <c r="K113" s="1133"/>
      <c r="L113" s="1133"/>
      <c r="M113" s="1185"/>
      <c r="N113" s="1169"/>
      <c r="O113" s="1169"/>
      <c r="P113" s="1511"/>
      <c r="Q113" s="1200"/>
    </row>
    <row r="114" spans="1:17">
      <c r="A114" s="1141"/>
      <c r="B114" s="1110" t="s">
        <v>1356</v>
      </c>
      <c r="C114" s="1118"/>
      <c r="D114" s="1118"/>
      <c r="E114" s="1135"/>
      <c r="F114" s="1135"/>
      <c r="G114" s="1135"/>
      <c r="H114" s="1135"/>
      <c r="I114" s="1135"/>
      <c r="J114" s="1135"/>
      <c r="K114" s="1187"/>
      <c r="L114" s="1188"/>
      <c r="M114" s="1189"/>
      <c r="N114" s="1156"/>
      <c r="O114" s="1156"/>
      <c r="P114" s="1505"/>
      <c r="Q114" s="1080"/>
    </row>
    <row r="115" spans="1:17" ht="15">
      <c r="A115" s="1107"/>
      <c r="B115" s="1112"/>
      <c r="C115" s="1113">
        <v>100</v>
      </c>
      <c r="D115" s="1113">
        <f t="shared" ref="D115:M115" si="31">C115-$K38</f>
        <v>100</v>
      </c>
      <c r="E115" s="1113">
        <f t="shared" si="31"/>
        <v>100</v>
      </c>
      <c r="F115" s="1113">
        <f t="shared" si="31"/>
        <v>100</v>
      </c>
      <c r="G115" s="1113">
        <f t="shared" si="31"/>
        <v>100</v>
      </c>
      <c r="H115" s="1113">
        <f t="shared" si="31"/>
        <v>100</v>
      </c>
      <c r="I115" s="1113">
        <f t="shared" si="31"/>
        <v>100</v>
      </c>
      <c r="J115" s="1113">
        <f t="shared" si="31"/>
        <v>100</v>
      </c>
      <c r="K115" s="1113">
        <f t="shared" si="31"/>
        <v>100</v>
      </c>
      <c r="L115" s="1113">
        <f t="shared" si="31"/>
        <v>100</v>
      </c>
      <c r="M115" s="1113">
        <f t="shared" si="31"/>
        <v>100</v>
      </c>
      <c r="N115" s="1159"/>
      <c r="O115" s="1159"/>
      <c r="P115" s="1505"/>
      <c r="Q115" s="1080"/>
    </row>
    <row r="116" spans="1:17">
      <c r="A116" s="1141"/>
      <c r="B116" s="1110" t="s">
        <v>1357</v>
      </c>
      <c r="C116" s="1118"/>
      <c r="D116" s="1118"/>
      <c r="E116" s="1118"/>
      <c r="F116" s="1118"/>
      <c r="G116" s="1118"/>
      <c r="H116" s="1135"/>
      <c r="I116" s="1135"/>
      <c r="J116" s="1135"/>
      <c r="K116" s="1187"/>
      <c r="L116" s="1188"/>
      <c r="M116" s="1189"/>
      <c r="N116" s="1156"/>
      <c r="O116" s="1156"/>
      <c r="P116" s="1505"/>
      <c r="Q116" s="1080"/>
    </row>
    <row r="117" spans="1:17" ht="15">
      <c r="A117" s="1107"/>
      <c r="B117" s="1112"/>
      <c r="C117" s="1113">
        <v>100</v>
      </c>
      <c r="D117" s="1113">
        <f>C117-$K39</f>
        <v>100</v>
      </c>
      <c r="E117" s="1113">
        <f>D117-$K39</f>
        <v>100</v>
      </c>
      <c r="F117" s="1113">
        <f>E117-$K39</f>
        <v>100</v>
      </c>
      <c r="G117" s="1113">
        <f>F117-$K39</f>
        <v>100</v>
      </c>
      <c r="H117" s="1113"/>
      <c r="I117" s="1113"/>
      <c r="J117" s="1113"/>
      <c r="K117" s="1113"/>
      <c r="L117" s="1113"/>
      <c r="M117" s="1163"/>
      <c r="N117" s="1159"/>
      <c r="O117" s="1159"/>
      <c r="P117" s="1505"/>
      <c r="Q117" s="1080"/>
    </row>
    <row r="118" spans="1:17">
      <c r="A118" s="1141"/>
      <c r="B118" s="1110" t="s">
        <v>1358</v>
      </c>
      <c r="C118" s="1135"/>
      <c r="D118" s="1135"/>
      <c r="E118" s="1135"/>
      <c r="F118" s="1135"/>
      <c r="G118" s="1135"/>
      <c r="H118" s="1135"/>
      <c r="I118" s="1135"/>
      <c r="J118" s="1135"/>
      <c r="K118" s="1187"/>
      <c r="L118" s="1188"/>
      <c r="M118" s="1189"/>
      <c r="N118" s="1156"/>
      <c r="O118" s="1156"/>
      <c r="P118" s="1505"/>
      <c r="Q118" s="1080"/>
    </row>
    <row r="119" spans="1:17" ht="15">
      <c r="A119" s="1107"/>
      <c r="B119" s="1112"/>
      <c r="C119" s="1113">
        <v>100</v>
      </c>
      <c r="D119" s="1113">
        <f t="shared" ref="D119:M119" si="32">C119-$K40</f>
        <v>100</v>
      </c>
      <c r="E119" s="1113">
        <f t="shared" si="32"/>
        <v>100</v>
      </c>
      <c r="F119" s="1113">
        <f t="shared" si="32"/>
        <v>100</v>
      </c>
      <c r="G119" s="1113">
        <f t="shared" si="32"/>
        <v>100</v>
      </c>
      <c r="H119" s="1113">
        <f t="shared" si="32"/>
        <v>100</v>
      </c>
      <c r="I119" s="1113">
        <f t="shared" si="32"/>
        <v>100</v>
      </c>
      <c r="J119" s="1113">
        <f t="shared" si="32"/>
        <v>100</v>
      </c>
      <c r="K119" s="1113">
        <f t="shared" si="32"/>
        <v>100</v>
      </c>
      <c r="L119" s="1113">
        <f t="shared" si="32"/>
        <v>100</v>
      </c>
      <c r="M119" s="1113">
        <f t="shared" si="32"/>
        <v>100</v>
      </c>
      <c r="N119" s="1159"/>
      <c r="O119" s="1159"/>
      <c r="P119" s="1505"/>
      <c r="Q119" s="1080"/>
    </row>
    <row r="120" spans="1:17" s="868" customFormat="1" ht="27.75">
      <c r="A120" s="1138"/>
      <c r="B120" s="1110" t="s">
        <v>1359</v>
      </c>
      <c r="C120" s="1118"/>
      <c r="D120" s="1118"/>
      <c r="E120" s="1118"/>
      <c r="F120" s="1118"/>
      <c r="G120" s="1118"/>
      <c r="H120" s="1118"/>
      <c r="I120" s="1118"/>
      <c r="J120" s="1118"/>
      <c r="K120" s="1118"/>
      <c r="L120" s="1382"/>
      <c r="M120" s="1383"/>
      <c r="N120" s="1169"/>
      <c r="O120" s="1169"/>
      <c r="P120" s="1511"/>
      <c r="Q120" s="1200"/>
    </row>
    <row r="121" spans="1:17" s="868" customFormat="1" ht="15">
      <c r="A121" s="1117"/>
      <c r="B121" s="1108"/>
      <c r="C121" s="1120"/>
      <c r="D121" s="1109"/>
      <c r="E121" s="1109"/>
      <c r="F121" s="1109"/>
      <c r="G121" s="1109"/>
      <c r="H121" s="1109"/>
      <c r="I121" s="1109"/>
      <c r="J121" s="1109"/>
      <c r="K121" s="1109"/>
      <c r="L121" s="1109"/>
      <c r="M121" s="1109"/>
      <c r="N121" s="1169"/>
      <c r="O121" s="1169"/>
      <c r="P121" s="1511"/>
      <c r="Q121" s="1200"/>
    </row>
    <row r="122" spans="1:17">
      <c r="A122" s="1141"/>
      <c r="B122" s="1110" t="s">
        <v>1360</v>
      </c>
      <c r="C122" s="1118"/>
      <c r="D122" s="1118"/>
      <c r="E122" s="1118"/>
      <c r="F122" s="1135"/>
      <c r="G122" s="1135"/>
      <c r="H122" s="1135"/>
      <c r="I122" s="1135"/>
      <c r="J122" s="1135"/>
      <c r="K122" s="1187"/>
      <c r="L122" s="1188"/>
      <c r="M122" s="1189"/>
      <c r="N122" s="1156"/>
      <c r="O122" s="1156"/>
      <c r="P122" s="1505"/>
      <c r="Q122" s="1080"/>
    </row>
    <row r="123" spans="1:17" ht="15">
      <c r="A123" s="1107"/>
      <c r="B123" s="1112"/>
      <c r="C123" s="1113">
        <v>100</v>
      </c>
      <c r="D123" s="1113">
        <f t="shared" ref="D123:M123" si="33">C123-$K42</f>
        <v>100</v>
      </c>
      <c r="E123" s="1113">
        <f t="shared" si="33"/>
        <v>100</v>
      </c>
      <c r="F123" s="1113">
        <f t="shared" si="33"/>
        <v>100</v>
      </c>
      <c r="G123" s="1113">
        <f t="shared" si="33"/>
        <v>100</v>
      </c>
      <c r="H123" s="1113">
        <f t="shared" si="33"/>
        <v>100</v>
      </c>
      <c r="I123" s="1113">
        <f t="shared" si="33"/>
        <v>100</v>
      </c>
      <c r="J123" s="1113">
        <f t="shared" si="33"/>
        <v>100</v>
      </c>
      <c r="K123" s="1113">
        <f t="shared" si="33"/>
        <v>100</v>
      </c>
      <c r="L123" s="1113">
        <f t="shared" si="33"/>
        <v>100</v>
      </c>
      <c r="M123" s="1113">
        <f t="shared" si="33"/>
        <v>100</v>
      </c>
      <c r="N123" s="1159"/>
      <c r="O123" s="1159"/>
      <c r="P123" s="1505"/>
      <c r="Q123" s="1080"/>
    </row>
    <row r="124" spans="1:17">
      <c r="A124" s="1141"/>
      <c r="B124" s="1110" t="s">
        <v>1361</v>
      </c>
      <c r="C124" s="1129" t="s">
        <v>1378</v>
      </c>
      <c r="D124" s="1129" t="s">
        <v>1379</v>
      </c>
      <c r="E124" s="1129" t="s">
        <v>1380</v>
      </c>
      <c r="F124" s="1129" t="s">
        <v>1381</v>
      </c>
      <c r="G124" s="1129" t="s">
        <v>1382</v>
      </c>
      <c r="H124" s="1111"/>
      <c r="I124" s="1111"/>
      <c r="J124" s="1111"/>
      <c r="K124" s="1160"/>
      <c r="L124" s="1161"/>
      <c r="M124" s="1162"/>
      <c r="N124" s="1156"/>
      <c r="O124" s="1156"/>
      <c r="P124" s="1511"/>
      <c r="Q124" s="1080"/>
    </row>
    <row r="125" spans="1:17" ht="15">
      <c r="A125" s="1107"/>
      <c r="B125" s="1112"/>
      <c r="C125" s="1113">
        <v>100</v>
      </c>
      <c r="D125" s="1113">
        <f>C125-$K43</f>
        <v>100</v>
      </c>
      <c r="E125" s="1113">
        <f>D125-$K43</f>
        <v>100</v>
      </c>
      <c r="F125" s="1113">
        <f>E125-$K43</f>
        <v>100</v>
      </c>
      <c r="G125" s="1113">
        <f>F125-$K43</f>
        <v>100</v>
      </c>
      <c r="H125" s="1113"/>
      <c r="I125" s="1113"/>
      <c r="J125" s="1113"/>
      <c r="K125" s="1113"/>
      <c r="L125" s="1113"/>
      <c r="M125" s="1163"/>
      <c r="N125" s="1159"/>
      <c r="O125" s="1159"/>
      <c r="P125" s="1505"/>
      <c r="Q125" s="1080"/>
    </row>
    <row r="126" spans="1:17" s="868" customFormat="1">
      <c r="A126" s="1138"/>
      <c r="B126" s="1110">
        <f>B44</f>
        <v>111</v>
      </c>
      <c r="C126" s="1118"/>
      <c r="D126" s="1118"/>
      <c r="E126" s="1118"/>
      <c r="F126" s="1118"/>
      <c r="G126" s="1118"/>
      <c r="H126" s="1119"/>
      <c r="I126" s="1119"/>
      <c r="J126" s="1119"/>
      <c r="K126" s="1119"/>
      <c r="L126" s="1167"/>
      <c r="M126" s="1168"/>
      <c r="N126" s="1169"/>
      <c r="O126" s="1169"/>
      <c r="P126" s="1511"/>
      <c r="Q126" s="1200"/>
    </row>
    <row r="127" spans="1:17" s="868" customFormat="1" ht="15">
      <c r="A127" s="1117"/>
      <c r="B127" s="1112"/>
      <c r="C127" s="1120"/>
      <c r="D127" s="1109"/>
      <c r="E127" s="1109"/>
      <c r="F127" s="1109"/>
      <c r="G127" s="1120"/>
      <c r="H127" s="1121"/>
      <c r="I127" s="1121"/>
      <c r="J127" s="1121"/>
      <c r="K127" s="1121"/>
      <c r="L127" s="1121"/>
      <c r="M127" s="1172"/>
      <c r="N127" s="1169"/>
      <c r="O127" s="1169"/>
      <c r="P127" s="1511"/>
      <c r="Q127" s="1200"/>
    </row>
    <row r="128" spans="1:17">
      <c r="A128" s="1141"/>
      <c r="B128" s="1110">
        <f>B45</f>
        <v>111</v>
      </c>
      <c r="C128" s="1118"/>
      <c r="D128" s="1118"/>
      <c r="E128" s="1118"/>
      <c r="F128" s="1118"/>
      <c r="G128" s="1135"/>
      <c r="H128" s="1135"/>
      <c r="I128" s="1135"/>
      <c r="J128" s="1135"/>
      <c r="K128" s="1187"/>
      <c r="L128" s="1188"/>
      <c r="M128" s="1189"/>
      <c r="N128" s="1156"/>
      <c r="O128" s="1156"/>
      <c r="P128" s="1505"/>
      <c r="Q128" s="1080"/>
    </row>
    <row r="129" spans="1:17" ht="15">
      <c r="A129" s="1107"/>
      <c r="B129" s="1112"/>
      <c r="C129" s="1120"/>
      <c r="D129" s="1120"/>
      <c r="E129" s="1120"/>
      <c r="F129" s="1120"/>
      <c r="G129" s="1109"/>
      <c r="H129" s="1109"/>
      <c r="I129" s="1109"/>
      <c r="J129" s="1109"/>
      <c r="K129" s="1109"/>
      <c r="L129" s="1109"/>
      <c r="M129" s="1158"/>
      <c r="N129" s="1159"/>
      <c r="O129" s="1159"/>
      <c r="P129" s="1505"/>
      <c r="Q129" s="1080"/>
    </row>
    <row r="130" spans="1:17">
      <c r="A130" s="1141"/>
      <c r="B130" s="1114">
        <f>B46</f>
        <v>111</v>
      </c>
      <c r="C130" s="1118"/>
      <c r="D130" s="1118"/>
      <c r="E130" s="1118"/>
      <c r="F130" s="1118"/>
      <c r="G130" s="1136"/>
      <c r="H130" s="1136"/>
      <c r="I130" s="1136"/>
      <c r="J130" s="1136"/>
      <c r="K130" s="1102"/>
      <c r="L130" s="1148"/>
      <c r="M130" s="1192"/>
      <c r="N130" s="1156"/>
      <c r="O130" s="1156"/>
      <c r="P130" s="1505"/>
      <c r="Q130" s="1080"/>
    </row>
    <row r="131" spans="1:17" ht="15">
      <c r="A131" s="1460"/>
      <c r="B131" s="1124"/>
      <c r="C131" s="1125"/>
      <c r="D131" s="1125"/>
      <c r="E131" s="1125"/>
      <c r="F131" s="1125"/>
      <c r="G131" s="1137"/>
      <c r="H131" s="1137"/>
      <c r="I131" s="1137"/>
      <c r="J131" s="1137"/>
      <c r="K131" s="1137"/>
      <c r="L131" s="1137"/>
      <c r="M131" s="1193"/>
      <c r="N131" s="1159"/>
      <c r="O131" s="1159"/>
      <c r="P131" s="1505"/>
      <c r="Q131" s="1080"/>
    </row>
    <row r="136" spans="1:17">
      <c r="B136" s="1549" t="s">
        <v>1388</v>
      </c>
    </row>
    <row r="137" spans="1:17" ht="15">
      <c r="B137" s="1550" t="s">
        <v>1389</v>
      </c>
      <c r="C137" s="1551"/>
      <c r="D137" s="1551"/>
      <c r="E137" s="1551"/>
      <c r="F137" s="1551"/>
      <c r="G137" s="1552"/>
      <c r="H137" s="1553"/>
      <c r="I137" s="1576" t="s">
        <v>1390</v>
      </c>
      <c r="J137" s="1551"/>
      <c r="K137" s="1577"/>
    </row>
    <row r="138" spans="1:17" ht="15">
      <c r="B138" s="1554"/>
      <c r="C138" s="1555" t="s">
        <v>1391</v>
      </c>
      <c r="D138" s="1555" t="s">
        <v>1392</v>
      </c>
      <c r="E138" s="1556" t="s">
        <v>1393</v>
      </c>
      <c r="F138" s="1557" t="s">
        <v>1394</v>
      </c>
      <c r="G138" s="1555" t="s">
        <v>1392</v>
      </c>
      <c r="H138" s="1558" t="s">
        <v>1393</v>
      </c>
      <c r="I138" s="1578"/>
      <c r="J138" s="1555" t="s">
        <v>1395</v>
      </c>
      <c r="K138" s="1558" t="s">
        <v>1396</v>
      </c>
    </row>
    <row r="139" spans="1:17" ht="15">
      <c r="B139" s="1559">
        <v>6</v>
      </c>
      <c r="C139" s="1560">
        <v>96</v>
      </c>
      <c r="D139" s="1561" t="s">
        <v>1397</v>
      </c>
      <c r="E139" s="1562">
        <v>100</v>
      </c>
      <c r="F139" s="1563">
        <v>102.5</v>
      </c>
      <c r="G139" s="1561" t="s">
        <v>1397</v>
      </c>
      <c r="H139" s="1564">
        <v>105</v>
      </c>
      <c r="I139" s="1579" t="s">
        <v>1398</v>
      </c>
      <c r="J139" s="1560">
        <v>20</v>
      </c>
      <c r="K139" s="1580">
        <f>C145/(J139-2)</f>
        <v>4.0555555555555596E-3</v>
      </c>
    </row>
    <row r="140" spans="1:17" ht="15">
      <c r="B140" s="1565">
        <v>5</v>
      </c>
      <c r="C140" s="1566">
        <v>100</v>
      </c>
      <c r="D140" s="1566"/>
      <c r="E140" s="1567"/>
      <c r="F140" s="1568">
        <v>102</v>
      </c>
      <c r="G140" s="1566"/>
      <c r="H140" s="1569"/>
      <c r="I140" s="1581" t="s">
        <v>1399</v>
      </c>
      <c r="J140" s="221">
        <f>ROUNDUP((J139-1)/2,0)</f>
        <v>10</v>
      </c>
      <c r="K140" s="1582">
        <v>100</v>
      </c>
    </row>
    <row r="141" spans="1:17" ht="15">
      <c r="B141" s="1565">
        <v>4</v>
      </c>
      <c r="C141" s="1566">
        <v>102</v>
      </c>
      <c r="D141" s="1566"/>
      <c r="E141" s="1567"/>
      <c r="F141" s="1568">
        <v>101.5</v>
      </c>
      <c r="G141" s="1566"/>
      <c r="H141" s="1569"/>
      <c r="I141" s="1581" t="s">
        <v>1400</v>
      </c>
      <c r="J141" s="221">
        <v>1</v>
      </c>
      <c r="K141" s="1583">
        <f>ROUND(100+(J141-J140)*K139*100,1)</f>
        <v>96.4</v>
      </c>
    </row>
    <row r="142" spans="1:17" ht="15">
      <c r="B142" s="1565">
        <v>3</v>
      </c>
      <c r="C142" s="1566">
        <v>103</v>
      </c>
      <c r="D142" s="1566"/>
      <c r="E142" s="1567"/>
      <c r="F142" s="1568">
        <v>101</v>
      </c>
      <c r="G142" s="1566"/>
      <c r="H142" s="1569"/>
      <c r="I142" s="1581" t="s">
        <v>1401</v>
      </c>
      <c r="J142" s="221">
        <f>J139</f>
        <v>20</v>
      </c>
      <c r="K142" s="1584">
        <v>95</v>
      </c>
    </row>
    <row r="143" spans="1:17" ht="15">
      <c r="B143" s="1565">
        <v>2</v>
      </c>
      <c r="C143" s="1566">
        <v>100</v>
      </c>
      <c r="D143" s="1566"/>
      <c r="E143" s="1567"/>
      <c r="F143" s="1568">
        <v>100.5</v>
      </c>
      <c r="G143" s="1566"/>
      <c r="H143" s="1569"/>
      <c r="I143" s="1581" t="s">
        <v>1402</v>
      </c>
      <c r="J143" s="1566">
        <v>15</v>
      </c>
      <c r="K143" s="1583">
        <f>ROUND(100+(J143-J140)*K139*100,1)</f>
        <v>102</v>
      </c>
    </row>
    <row r="144" spans="1:17" ht="15">
      <c r="B144" s="1565">
        <v>1</v>
      </c>
      <c r="C144" s="1566">
        <v>98</v>
      </c>
      <c r="D144" s="1570" t="s">
        <v>1403</v>
      </c>
      <c r="E144" s="1567">
        <v>102</v>
      </c>
      <c r="F144" s="1571">
        <v>100</v>
      </c>
      <c r="G144" s="1570" t="s">
        <v>1403</v>
      </c>
      <c r="H144" s="1569">
        <v>105</v>
      </c>
      <c r="I144" s="1581" t="s">
        <v>1402</v>
      </c>
      <c r="J144" s="1566">
        <v>18</v>
      </c>
      <c r="K144" s="1583">
        <f>ROUND(100+(J144-J140)*K139*100,1)</f>
        <v>103.2</v>
      </c>
    </row>
    <row r="145" spans="2:11" ht="15">
      <c r="B145" s="1572" t="s">
        <v>1404</v>
      </c>
      <c r="C145" s="1573">
        <f>ROUND(MAX(C139:C144)/MIN(C139:C144)-1,3)</f>
        <v>7.2999999999999995E-2</v>
      </c>
      <c r="D145" s="1574"/>
      <c r="E145" s="1574"/>
      <c r="F145" s="1575" t="s">
        <v>1405</v>
      </c>
      <c r="G145" s="1479"/>
      <c r="H145" s="1482"/>
      <c r="I145" s="1585" t="s">
        <v>1402</v>
      </c>
      <c r="J145" s="1586">
        <v>8</v>
      </c>
      <c r="K145" s="1587">
        <f>ROUND(100+(J145-J140)*K139*100,1)</f>
        <v>99.2</v>
      </c>
    </row>
    <row r="147" spans="2:11">
      <c r="B147" s="1549" t="s">
        <v>1406</v>
      </c>
    </row>
    <row r="148" spans="2:11">
      <c r="B148" s="1549" t="s">
        <v>1407</v>
      </c>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E52">
    <cfRule type="expression" dxfId="108" priority="10" stopIfTrue="1">
      <formula>$F$52="超过30%"</formula>
    </cfRule>
  </conditionalFormatting>
  <conditionalFormatting sqref="G52">
    <cfRule type="expression" dxfId="107" priority="5" stopIfTrue="1">
      <formula>$H$52="超过30%"</formula>
    </cfRule>
  </conditionalFormatting>
  <conditionalFormatting sqref="I52">
    <cfRule type="expression" dxfId="106" priority="3" stopIfTrue="1">
      <formula>$J$52="超过30%"</formula>
    </cfRule>
  </conditionalFormatting>
  <conditionalFormatting sqref="E53">
    <cfRule type="expression" dxfId="105" priority="7" stopIfTrue="1">
      <formula>$F$53="超过20%"</formula>
    </cfRule>
  </conditionalFormatting>
  <conditionalFormatting sqref="G53">
    <cfRule type="expression" dxfId="104" priority="4" stopIfTrue="1">
      <formula>$H$53="超过20%"</formula>
    </cfRule>
  </conditionalFormatting>
  <conditionalFormatting sqref="I53">
    <cfRule type="expression" dxfId="103" priority="2" stopIfTrue="1">
      <formula>$J$53="超过20%"</formula>
    </cfRule>
  </conditionalFormatting>
  <conditionalFormatting sqref="E54">
    <cfRule type="expression" dxfId="102" priority="6" stopIfTrue="1">
      <formula>$F$54="超过30%"</formula>
    </cfRule>
  </conditionalFormatting>
  <conditionalFormatting sqref="F54">
    <cfRule type="containsText" dxfId="101" priority="12" stopIfTrue="1" operator="containsText" text="超过">
      <formula>NOT(ISERROR(SEARCH("超过",F54)))</formula>
    </cfRule>
  </conditionalFormatting>
  <conditionalFormatting sqref="G54">
    <cfRule type="expression" dxfId="100" priority="8" stopIfTrue="1">
      <formula>$H$54="超过30%"</formula>
    </cfRule>
  </conditionalFormatting>
  <conditionalFormatting sqref="H54">
    <cfRule type="containsText" dxfId="99" priority="13" stopIfTrue="1" operator="containsText" text="超过">
      <formula>NOT(ISERROR(SEARCH("超过",H54)))</formula>
    </cfRule>
  </conditionalFormatting>
  <conditionalFormatting sqref="I54">
    <cfRule type="expression" dxfId="98" priority="1" stopIfTrue="1">
      <formula>$J$54="超过30%"</formula>
    </cfRule>
  </conditionalFormatting>
  <conditionalFormatting sqref="J54">
    <cfRule type="containsText" dxfId="97" priority="14" stopIfTrue="1" operator="containsText" text="超过">
      <formula>NOT(ISERROR(SEARCH("超过",J54)))</formula>
    </cfRule>
  </conditionalFormatting>
  <conditionalFormatting sqref="F52 H52 J52">
    <cfRule type="containsText" dxfId="96" priority="15" stopIfTrue="1" operator="containsText" text="超过">
      <formula>NOT(ISERROR(SEARCH("超过",F52)))</formula>
    </cfRule>
  </conditionalFormatting>
  <conditionalFormatting sqref="F53 H53 J53">
    <cfRule type="containsText" dxfId="95" priority="11" stopIfTrue="1" operator="containsText" text="超过">
      <formula>NOT(ISERROR(SEARCH("超过",F53)))</formula>
    </cfRule>
  </conditionalFormatting>
  <dataValidations count="23">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33333333333304" right="0.70833333333333304" top="1.0625" bottom="0.94444444444444398" header="0.31458333333333299" footer="0.31458333333333299"/>
  <pageSetup paperSize="9" scale="43" fitToHeight="0" orientation="landscape"/>
  <legacy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zoomScale="90" zoomScaleNormal="90" workbookViewId="0">
      <selection activeCell="F3" sqref="F3"/>
    </sheetView>
  </sheetViews>
  <sheetFormatPr defaultColWidth="9" defaultRowHeight="14.25"/>
  <cols>
    <col min="1" max="1" width="10.5" style="872" customWidth="1"/>
    <col min="2" max="2" width="15.75" style="872" customWidth="1"/>
    <col min="3" max="3" width="15.125" style="872" customWidth="1"/>
    <col min="4" max="4" width="12.25" style="872" customWidth="1"/>
    <col min="5" max="5" width="14.375" style="872" customWidth="1"/>
    <col min="6" max="6" width="12.25" style="872" customWidth="1"/>
    <col min="7" max="7" width="14.5" style="872" customWidth="1"/>
    <col min="8" max="8" width="12.25" style="872" customWidth="1"/>
    <col min="9" max="9" width="14.5" style="872" customWidth="1"/>
    <col min="10" max="10" width="12.25" style="872" customWidth="1"/>
    <col min="11" max="11" width="12.25" style="873" customWidth="1"/>
    <col min="12" max="12" width="12.25" style="874" customWidth="1"/>
    <col min="13" max="15" width="12.25" style="872" customWidth="1"/>
    <col min="16" max="16" width="4.75" style="1491" customWidth="1"/>
    <col min="17" max="17" width="19.5" style="872" customWidth="1"/>
    <col min="18" max="22" width="6.125" style="872" customWidth="1"/>
    <col min="23" max="23" width="5.75" style="872" customWidth="1"/>
    <col min="24" max="24" width="4.25" style="872" customWidth="1"/>
    <col min="25" max="25" width="3.5" style="872" customWidth="1"/>
    <col min="26" max="26" width="19.75" style="872" customWidth="1"/>
    <col min="27" max="28" width="9.375" style="872" customWidth="1"/>
    <col min="29" max="16384" width="9" style="872"/>
  </cols>
  <sheetData>
    <row r="1" spans="1:29" s="1312" customFormat="1" ht="28.5" customHeight="1">
      <c r="A1" s="1313" t="s">
        <v>1315</v>
      </c>
      <c r="B1" s="1492" t="s">
        <v>1408</v>
      </c>
      <c r="C1" s="1372" t="s">
        <v>1317</v>
      </c>
      <c r="D1" s="1316"/>
      <c r="E1" s="1493"/>
      <c r="F1" s="1318"/>
      <c r="G1" s="1319" t="s">
        <v>1319</v>
      </c>
      <c r="H1" s="1317"/>
      <c r="I1" s="1317"/>
      <c r="J1" s="1317"/>
      <c r="K1" s="1370"/>
      <c r="L1" s="1371"/>
      <c r="M1" s="1372"/>
      <c r="N1" s="1372"/>
      <c r="O1" s="1372"/>
      <c r="P1" s="1498"/>
      <c r="Q1" s="1506"/>
      <c r="R1" s="1506"/>
      <c r="S1" s="1506"/>
      <c r="T1" s="1506"/>
      <c r="U1" s="1506"/>
      <c r="V1" s="1506"/>
      <c r="W1" s="1506"/>
      <c r="X1" s="1506"/>
      <c r="Y1" s="1506"/>
      <c r="Z1" s="1506"/>
      <c r="AA1" s="1506"/>
      <c r="AB1" s="1506"/>
      <c r="AC1" s="1508"/>
    </row>
    <row r="2" spans="1:29" s="865" customFormat="1" ht="28.5" customHeight="1">
      <c r="A2" s="1320" t="s">
        <v>895</v>
      </c>
      <c r="B2" s="1321" t="e">
        <f ca="1">IF(C2="——",ROUND(C49*D3/10000,0),ROUND(C49*D3/10000,0)-D2)</f>
        <v>#DIV/0!</v>
      </c>
      <c r="C2" s="1322"/>
      <c r="D2" s="1461" t="e">
        <f ca="1">SUMIF(INDIRECT("'"&amp;F2&amp;"'"&amp;"!A:A"),"承租人权益价值",INDIRECT("'"&amp;F2&amp;"'"&amp;"!c:c"))</f>
        <v>#REF!</v>
      </c>
      <c r="E2" s="1323" t="s">
        <v>896</v>
      </c>
      <c r="F2" s="1324"/>
      <c r="G2" s="881"/>
      <c r="H2" s="881"/>
      <c r="I2" s="881"/>
      <c r="J2" s="881"/>
      <c r="K2" s="881"/>
      <c r="L2" s="1025"/>
      <c r="M2" s="1026"/>
      <c r="N2" s="1026"/>
      <c r="O2" s="1026"/>
      <c r="P2" s="1499"/>
      <c r="Q2" s="1026"/>
      <c r="R2" s="1026"/>
      <c r="S2" s="1026"/>
      <c r="T2" s="1026"/>
      <c r="U2" s="1026"/>
      <c r="V2" s="1026"/>
      <c r="W2" s="1026"/>
      <c r="X2" s="1026"/>
      <c r="Y2" s="1026"/>
      <c r="Z2" s="1026"/>
      <c r="AA2" s="1026"/>
      <c r="AB2" s="1026"/>
      <c r="AC2" s="1509"/>
    </row>
    <row r="3" spans="1:29" s="865" customFormat="1" ht="28.5" customHeight="1">
      <c r="A3" s="147" t="s">
        <v>897</v>
      </c>
      <c r="B3" s="883" t="e">
        <f ca="1">IF(C2="——",C49,ROUND(B2*10000/D3,0))</f>
        <v>#DIV/0!</v>
      </c>
      <c r="C3" s="1325" t="s">
        <v>1320</v>
      </c>
      <c r="D3" s="1326">
        <f>IF(D1="",'数据-汇总表'!E3,SUMIF('数据-汇总表'!$C19:$C33,D1,'数据-汇总表'!$E19:$E33))</f>
        <v>98873.18</v>
      </c>
      <c r="E3" s="1462"/>
      <c r="F3" s="882"/>
      <c r="G3" s="881"/>
      <c r="H3" s="881"/>
      <c r="I3" s="881"/>
      <c r="J3" s="881"/>
      <c r="K3" s="1024"/>
      <c r="L3" s="1025"/>
      <c r="M3" s="1026"/>
      <c r="N3" s="1026"/>
      <c r="O3" s="1026"/>
      <c r="P3" s="1499"/>
      <c r="Q3" s="1026"/>
      <c r="R3" s="1026"/>
      <c r="S3" s="1026"/>
      <c r="T3" s="1026"/>
      <c r="U3" s="1026"/>
      <c r="V3" s="1026"/>
      <c r="W3" s="1026"/>
      <c r="X3" s="1026"/>
      <c r="Y3" s="1026"/>
      <c r="Z3" s="1026"/>
      <c r="AA3" s="1026"/>
      <c r="AB3" s="1026"/>
      <c r="AC3" s="1462"/>
    </row>
    <row r="4" spans="1:29" ht="15">
      <c r="A4" s="885" t="s">
        <v>1321</v>
      </c>
      <c r="B4" s="886"/>
      <c r="C4" s="3457" t="s">
        <v>1322</v>
      </c>
      <c r="D4" s="3458"/>
      <c r="E4" s="3459" t="s">
        <v>1323</v>
      </c>
      <c r="F4" s="3460"/>
      <c r="G4" s="3457" t="s">
        <v>1324</v>
      </c>
      <c r="H4" s="3458"/>
      <c r="I4" s="3457" t="s">
        <v>1325</v>
      </c>
      <c r="J4" s="3458"/>
      <c r="K4" s="1027" t="s">
        <v>1326</v>
      </c>
      <c r="L4" s="1028"/>
      <c r="M4" s="1029"/>
      <c r="N4" s="1029"/>
      <c r="O4" s="1029"/>
      <c r="P4" s="3487" t="s">
        <v>1327</v>
      </c>
      <c r="Q4" s="3488"/>
      <c r="R4" s="3493" t="s">
        <v>1323</v>
      </c>
      <c r="S4" s="3494"/>
      <c r="T4" s="3493" t="s">
        <v>1324</v>
      </c>
      <c r="U4" s="3494"/>
      <c r="V4" s="3481" t="s">
        <v>1325</v>
      </c>
      <c r="W4" s="3481"/>
      <c r="X4" s="1069"/>
      <c r="Y4" s="3493" t="s">
        <v>1327</v>
      </c>
      <c r="Z4" s="3494"/>
      <c r="AA4" s="3482" t="s">
        <v>1323</v>
      </c>
      <c r="AB4" s="3481" t="s">
        <v>1324</v>
      </c>
      <c r="AC4" s="3482" t="s">
        <v>1325</v>
      </c>
    </row>
    <row r="5" spans="1:29" ht="15">
      <c r="A5" s="887"/>
      <c r="B5" s="888"/>
      <c r="C5" s="3461" t="s">
        <v>1328</v>
      </c>
      <c r="D5" s="3462"/>
      <c r="E5" s="3531" t="s">
        <v>1329</v>
      </c>
      <c r="F5" s="3532"/>
      <c r="G5" s="3461" t="s">
        <v>1330</v>
      </c>
      <c r="H5" s="3462"/>
      <c r="I5" s="3461" t="s">
        <v>1331</v>
      </c>
      <c r="J5" s="3462"/>
      <c r="K5" s="1027"/>
      <c r="L5" s="1028"/>
      <c r="M5" s="1029"/>
      <c r="N5" s="1029"/>
      <c r="O5" s="1029"/>
      <c r="P5" s="3489"/>
      <c r="Q5" s="3490"/>
      <c r="R5" s="3495"/>
      <c r="S5" s="3496"/>
      <c r="T5" s="3495"/>
      <c r="U5" s="3496"/>
      <c r="V5" s="3481"/>
      <c r="W5" s="3481"/>
      <c r="X5" s="1069"/>
      <c r="Y5" s="3495"/>
      <c r="Z5" s="3496"/>
      <c r="AA5" s="3483"/>
      <c r="AB5" s="3481"/>
      <c r="AC5" s="3483"/>
    </row>
    <row r="6" spans="1:29" ht="15">
      <c r="A6" s="889"/>
      <c r="B6" s="890"/>
      <c r="C6" s="3464" t="s">
        <v>1332</v>
      </c>
      <c r="D6" s="3465"/>
      <c r="E6" s="3533" t="s">
        <v>1332</v>
      </c>
      <c r="F6" s="3534"/>
      <c r="G6" s="3464" t="s">
        <v>1332</v>
      </c>
      <c r="H6" s="3465"/>
      <c r="I6" s="3464" t="s">
        <v>1332</v>
      </c>
      <c r="J6" s="3465"/>
      <c r="K6" s="1027" t="s">
        <v>1333</v>
      </c>
      <c r="L6" s="1028"/>
      <c r="M6" s="1029"/>
      <c r="N6" s="1029"/>
      <c r="O6" s="1029"/>
      <c r="P6" s="3491"/>
      <c r="Q6" s="3492"/>
      <c r="R6" s="3495"/>
      <c r="S6" s="3496"/>
      <c r="T6" s="3497"/>
      <c r="U6" s="3498"/>
      <c r="V6" s="3481"/>
      <c r="W6" s="3481"/>
      <c r="X6" s="1069"/>
      <c r="Y6" s="3497"/>
      <c r="Z6" s="3498"/>
      <c r="AA6" s="3484"/>
      <c r="AB6" s="3481"/>
      <c r="AC6" s="3484"/>
    </row>
    <row r="7" spans="1:29" s="866" customFormat="1" ht="15">
      <c r="A7" s="891" t="s">
        <v>1334</v>
      </c>
      <c r="B7" s="892"/>
      <c r="C7" s="893">
        <f>'数据-取费表'!B2</f>
        <v>43361</v>
      </c>
      <c r="D7" s="894">
        <v>100</v>
      </c>
      <c r="E7" s="895"/>
      <c r="F7" s="896">
        <f>SUMIF(58:58,YEAR(E7)&amp;"-"&amp;MONTH(E7),59:59)</f>
        <v>0</v>
      </c>
      <c r="G7" s="895"/>
      <c r="H7" s="894">
        <f>SUMIF(58:58,YEAR(G7)&amp;"-"&amp;MONTH(G7),59:59)</f>
        <v>0</v>
      </c>
      <c r="I7" s="895"/>
      <c r="J7" s="894">
        <f>SUMIF(58:58,YEAR(I7)&amp;"-"&amp;MONTH(I7),59:59)</f>
        <v>0</v>
      </c>
      <c r="K7" s="1030"/>
      <c r="L7" s="1031"/>
      <c r="M7" s="1032"/>
      <c r="N7" s="1032"/>
      <c r="O7" s="1032"/>
      <c r="P7" s="3469" t="s">
        <v>1335</v>
      </c>
      <c r="Q7" s="3470"/>
      <c r="R7" s="1070" t="s">
        <v>1336</v>
      </c>
      <c r="S7" s="1071">
        <f t="shared" ref="S7:S15" si="0">F7</f>
        <v>0</v>
      </c>
      <c r="T7" s="1070" t="s">
        <v>1336</v>
      </c>
      <c r="U7" s="1071">
        <f t="shared" ref="U7:U15" si="1">H7</f>
        <v>0</v>
      </c>
      <c r="V7" s="1070" t="s">
        <v>1336</v>
      </c>
      <c r="W7" s="1071">
        <f t="shared" ref="W7:W15" si="2">J7</f>
        <v>0</v>
      </c>
      <c r="X7" s="1072"/>
      <c r="Y7" s="3469" t="s">
        <v>1335</v>
      </c>
      <c r="Z7" s="3499"/>
      <c r="AA7" s="1084" t="e">
        <f>D7/F7</f>
        <v>#DIV/0!</v>
      </c>
      <c r="AB7" s="1084" t="e">
        <f>D7/H7</f>
        <v>#DIV/0!</v>
      </c>
      <c r="AC7" s="1084" t="e">
        <f>D7/J7</f>
        <v>#DIV/0!</v>
      </c>
    </row>
    <row r="8" spans="1:29" s="866" customFormat="1" ht="15">
      <c r="A8" s="891" t="s">
        <v>1337</v>
      </c>
      <c r="B8" s="892"/>
      <c r="C8" s="898" t="s">
        <v>1338</v>
      </c>
      <c r="D8" s="894">
        <v>100</v>
      </c>
      <c r="E8" s="898"/>
      <c r="F8" s="896">
        <f>SUMIF(61:61,E8,62:62)-SUMIF(61:61,C8,62:62)+100</f>
        <v>0</v>
      </c>
      <c r="G8" s="898"/>
      <c r="H8" s="894">
        <f>SUMIF(61:61,G8,62:62)-SUMIF(61:61,C8,62:62)+100</f>
        <v>0</v>
      </c>
      <c r="I8" s="898"/>
      <c r="J8" s="894">
        <f>SUMIF(61:61,I8,62:62)-SUMIF(61:61,C8,62:62)+100</f>
        <v>0</v>
      </c>
      <c r="K8" s="1030"/>
      <c r="L8" s="1031"/>
      <c r="M8" s="1032"/>
      <c r="N8" s="1032"/>
      <c r="O8" s="1032"/>
      <c r="P8" s="3469" t="s">
        <v>1339</v>
      </c>
      <c r="Q8" s="3499"/>
      <c r="R8" s="1070" t="s">
        <v>1336</v>
      </c>
      <c r="S8" s="1071">
        <f t="shared" si="0"/>
        <v>0</v>
      </c>
      <c r="T8" s="1070" t="s">
        <v>1336</v>
      </c>
      <c r="U8" s="1071">
        <f t="shared" si="1"/>
        <v>0</v>
      </c>
      <c r="V8" s="1070" t="s">
        <v>1336</v>
      </c>
      <c r="W8" s="1071">
        <f t="shared" si="2"/>
        <v>0</v>
      </c>
      <c r="X8" s="1072"/>
      <c r="Y8" s="3469" t="s">
        <v>1339</v>
      </c>
      <c r="Z8" s="3499"/>
      <c r="AA8" s="1084" t="e">
        <f t="shared" ref="AA8:AA46" si="3">D8/F8</f>
        <v>#DIV/0!</v>
      </c>
      <c r="AB8" s="1084" t="e">
        <f t="shared" ref="AB8:AB46" si="4">D8/H8</f>
        <v>#DIV/0!</v>
      </c>
      <c r="AC8" s="1084" t="e">
        <f t="shared" ref="AC8:AC46" si="5">D8/J8</f>
        <v>#DIV/0!</v>
      </c>
    </row>
    <row r="9" spans="1:29" s="866" customFormat="1">
      <c r="A9" s="899" t="s">
        <v>1340</v>
      </c>
      <c r="B9" s="900" t="s">
        <v>346</v>
      </c>
      <c r="C9" s="1327"/>
      <c r="D9" s="902">
        <v>100</v>
      </c>
      <c r="E9" s="1396"/>
      <c r="F9" s="1329">
        <f>SUMIF(63:63,E9,64:64)-SUMIF(63:63,C9,64:64)+100</f>
        <v>100</v>
      </c>
      <c r="G9" s="1396"/>
      <c r="H9" s="902">
        <f>SUMIF(63:63,G9,64:64)-SUMIF(63:63,C9,64:64)+100</f>
        <v>100</v>
      </c>
      <c r="I9" s="1396"/>
      <c r="J9" s="902">
        <f>SUMIF(63:63,I9,64:64)-SUMIF(63:63,C9,64:64)+100</f>
        <v>100</v>
      </c>
      <c r="K9" s="1030"/>
      <c r="L9" s="1031"/>
      <c r="M9" s="1032"/>
      <c r="N9" s="1032"/>
      <c r="O9" s="1032"/>
      <c r="P9" s="3486" t="s">
        <v>1341</v>
      </c>
      <c r="Q9" s="1074" t="str">
        <f t="shared" ref="Q9:Q15" si="6">B9</f>
        <v>用途</v>
      </c>
      <c r="R9" s="1070" t="s">
        <v>1336</v>
      </c>
      <c r="S9" s="1071">
        <f t="shared" si="0"/>
        <v>100</v>
      </c>
      <c r="T9" s="1070" t="s">
        <v>1336</v>
      </c>
      <c r="U9" s="1071">
        <f t="shared" si="1"/>
        <v>100</v>
      </c>
      <c r="V9" s="1070" t="s">
        <v>1336</v>
      </c>
      <c r="W9" s="1071">
        <f t="shared" si="2"/>
        <v>100</v>
      </c>
      <c r="X9" s="1072"/>
      <c r="Y9" s="3245" t="s">
        <v>1342</v>
      </c>
      <c r="Z9" s="1085" t="str">
        <f t="shared" ref="Z9:Z15" si="7">Q9</f>
        <v>用途</v>
      </c>
      <c r="AA9" s="1084">
        <f t="shared" si="3"/>
        <v>1</v>
      </c>
      <c r="AB9" s="1084">
        <f t="shared" si="4"/>
        <v>1</v>
      </c>
      <c r="AC9" s="1084">
        <f t="shared" si="5"/>
        <v>1</v>
      </c>
    </row>
    <row r="10" spans="1:29" s="867" customFormat="1" ht="27">
      <c r="A10" s="903"/>
      <c r="B10" s="904" t="s">
        <v>1343</v>
      </c>
      <c r="C10" s="1330"/>
      <c r="D10" s="906">
        <v>100</v>
      </c>
      <c r="E10" s="1399"/>
      <c r="F10" s="1331">
        <f>SUMIF(65:65,E10,66:66)-SUMIF(65:65,C10,66:66)+100</f>
        <v>100</v>
      </c>
      <c r="G10" s="1330"/>
      <c r="H10" s="906">
        <f>SUMIF(65:65,G10,66:66)-SUMIF(65:65,C10,66:66)+100</f>
        <v>100</v>
      </c>
      <c r="I10" s="1330"/>
      <c r="J10" s="906">
        <f>SUMIF(65:65,I10,66:66)-SUMIF(65:65,C10,66:66)+100</f>
        <v>100</v>
      </c>
      <c r="K10" s="1047"/>
      <c r="L10" s="1035"/>
      <c r="M10" s="1036"/>
      <c r="N10" s="1036"/>
      <c r="O10" s="1036"/>
      <c r="P10" s="3486"/>
      <c r="Q10" s="1074" t="str">
        <f t="shared" si="6"/>
        <v>土地使用年限（年）</v>
      </c>
      <c r="R10" s="1070" t="s">
        <v>1336</v>
      </c>
      <c r="S10" s="1071">
        <f t="shared" si="0"/>
        <v>100</v>
      </c>
      <c r="T10" s="1070" t="s">
        <v>1336</v>
      </c>
      <c r="U10" s="1071">
        <f t="shared" si="1"/>
        <v>100</v>
      </c>
      <c r="V10" s="1070" t="s">
        <v>1336</v>
      </c>
      <c r="W10" s="1071">
        <f t="shared" si="2"/>
        <v>100</v>
      </c>
      <c r="X10" s="1072"/>
      <c r="Y10" s="3245"/>
      <c r="Z10" s="1085" t="str">
        <f t="shared" si="7"/>
        <v>土地使用年限（年）</v>
      </c>
      <c r="AA10" s="1084">
        <f t="shared" si="3"/>
        <v>1</v>
      </c>
      <c r="AB10" s="1084">
        <f t="shared" si="4"/>
        <v>1</v>
      </c>
      <c r="AC10" s="1084">
        <f t="shared" si="5"/>
        <v>1</v>
      </c>
    </row>
    <row r="11" spans="1:29" ht="15">
      <c r="A11" s="907"/>
      <c r="B11" s="904" t="s">
        <v>1344</v>
      </c>
      <c r="C11" s="908"/>
      <c r="D11" s="906">
        <v>100</v>
      </c>
      <c r="E11" s="909"/>
      <c r="F11" s="1331" t="e">
        <f>LOOKUP(E11,68:68,69:69)-LOOKUP(C11,68:68,69:69)+100</f>
        <v>#N/A</v>
      </c>
      <c r="G11" s="908"/>
      <c r="H11" s="906" t="e">
        <f>LOOKUP(G11,68:68,69:69)-LOOKUP(C11,68:68,69:69)+100</f>
        <v>#N/A</v>
      </c>
      <c r="I11" s="908"/>
      <c r="J11" s="906" t="e">
        <f>LOOKUP(I11,68:68,69:69)-LOOKUP(C11,68:68,69:69)+100</f>
        <v>#N/A</v>
      </c>
      <c r="K11" s="1047"/>
      <c r="L11" s="1039"/>
      <c r="M11" s="1029"/>
      <c r="N11" s="1029"/>
      <c r="O11" s="1029"/>
      <c r="P11" s="3486"/>
      <c r="Q11" s="1074" t="str">
        <f t="shared" si="6"/>
        <v>容积率</v>
      </c>
      <c r="R11" s="1070" t="s">
        <v>1336</v>
      </c>
      <c r="S11" s="1071" t="e">
        <f t="shared" si="0"/>
        <v>#N/A</v>
      </c>
      <c r="T11" s="1070" t="s">
        <v>1336</v>
      </c>
      <c r="U11" s="1071" t="e">
        <f t="shared" si="1"/>
        <v>#N/A</v>
      </c>
      <c r="V11" s="1070" t="s">
        <v>1336</v>
      </c>
      <c r="W11" s="1071" t="e">
        <f t="shared" si="2"/>
        <v>#N/A</v>
      </c>
      <c r="X11" s="1072"/>
      <c r="Y11" s="3245"/>
      <c r="Z11" s="1085" t="str">
        <f t="shared" si="7"/>
        <v>容积率</v>
      </c>
      <c r="AA11" s="1084" t="e">
        <f t="shared" si="3"/>
        <v>#N/A</v>
      </c>
      <c r="AB11" s="1084" t="e">
        <f t="shared" si="4"/>
        <v>#N/A</v>
      </c>
      <c r="AC11" s="1084" t="e">
        <f t="shared" si="5"/>
        <v>#N/A</v>
      </c>
    </row>
    <row r="12" spans="1:29" s="866" customFormat="1" ht="15">
      <c r="A12" s="910"/>
      <c r="B12" s="911">
        <v>111</v>
      </c>
      <c r="C12" s="905"/>
      <c r="D12" s="912">
        <v>100</v>
      </c>
      <c r="E12" s="915"/>
      <c r="F12" s="1331">
        <f>SUMIF(70:70,E12,71:71)-SUMIF(70:70,C12,71:71)+100</f>
        <v>100</v>
      </c>
      <c r="G12" s="915"/>
      <c r="H12" s="906">
        <f>SUMIF(70:70,G12,71:71)-SUMIF(70:70,C12,71:71)+100</f>
        <v>100</v>
      </c>
      <c r="I12" s="915"/>
      <c r="J12" s="906">
        <f>SUMIF(70:70,I12,71:71)-SUMIF(70:70,C12,71:71)+100</f>
        <v>100</v>
      </c>
      <c r="K12" s="1046"/>
      <c r="L12" s="1031"/>
      <c r="M12" s="1032"/>
      <c r="N12" s="1032"/>
      <c r="O12" s="1032"/>
      <c r="P12" s="3486"/>
      <c r="Q12" s="1074">
        <f t="shared" si="6"/>
        <v>111</v>
      </c>
      <c r="R12" s="1070" t="s">
        <v>1336</v>
      </c>
      <c r="S12" s="1071">
        <f t="shared" si="0"/>
        <v>100</v>
      </c>
      <c r="T12" s="1070" t="s">
        <v>1336</v>
      </c>
      <c r="U12" s="1071">
        <f t="shared" si="1"/>
        <v>100</v>
      </c>
      <c r="V12" s="1070" t="s">
        <v>1336</v>
      </c>
      <c r="W12" s="1071">
        <f t="shared" si="2"/>
        <v>100</v>
      </c>
      <c r="X12" s="1072"/>
      <c r="Y12" s="3245"/>
      <c r="Z12" s="1085">
        <f t="shared" si="7"/>
        <v>111</v>
      </c>
      <c r="AA12" s="1084">
        <f t="shared" si="3"/>
        <v>1</v>
      </c>
      <c r="AB12" s="1084">
        <f t="shared" si="4"/>
        <v>1</v>
      </c>
      <c r="AC12" s="1084">
        <f t="shared" si="5"/>
        <v>1</v>
      </c>
    </row>
    <row r="13" spans="1:29" ht="15">
      <c r="A13" s="907"/>
      <c r="B13" s="911">
        <v>111</v>
      </c>
      <c r="C13" s="915"/>
      <c r="D13" s="916">
        <v>100</v>
      </c>
      <c r="E13" s="915"/>
      <c r="F13" s="1331">
        <f>SUMIF(72:72,E13,73:73)-SUMIF(72:72,C13,73:73)+100</f>
        <v>100</v>
      </c>
      <c r="G13" s="915"/>
      <c r="H13" s="916">
        <f>SUMIF(72:72,G13,73:73)-SUMIF(72:72,C13,73:73)+100</f>
        <v>100</v>
      </c>
      <c r="I13" s="915"/>
      <c r="J13" s="916">
        <f>SUMIF(72:72,I13,73:73)-SUMIF(72:72,C13,73:73)+100</f>
        <v>100</v>
      </c>
      <c r="K13" s="1046"/>
      <c r="L13" s="1041"/>
      <c r="M13" s="1029"/>
      <c r="N13" s="1029"/>
      <c r="O13" s="1029"/>
      <c r="P13" s="3486"/>
      <c r="Q13" s="1074">
        <f t="shared" si="6"/>
        <v>111</v>
      </c>
      <c r="R13" s="1070" t="s">
        <v>1336</v>
      </c>
      <c r="S13" s="1071">
        <f t="shared" si="0"/>
        <v>100</v>
      </c>
      <c r="T13" s="1070" t="s">
        <v>1336</v>
      </c>
      <c r="U13" s="1071">
        <f t="shared" si="1"/>
        <v>100</v>
      </c>
      <c r="V13" s="1070" t="s">
        <v>1336</v>
      </c>
      <c r="W13" s="1071">
        <f t="shared" si="2"/>
        <v>100</v>
      </c>
      <c r="X13" s="1072"/>
      <c r="Y13" s="3245"/>
      <c r="Z13" s="1085">
        <f t="shared" si="7"/>
        <v>111</v>
      </c>
      <c r="AA13" s="1084">
        <f t="shared" si="3"/>
        <v>1</v>
      </c>
      <c r="AB13" s="1084">
        <f t="shared" si="4"/>
        <v>1</v>
      </c>
      <c r="AC13" s="1084">
        <f t="shared" si="5"/>
        <v>1</v>
      </c>
    </row>
    <row r="14" spans="1:29" ht="15">
      <c r="A14" s="917"/>
      <c r="B14" s="918">
        <v>111</v>
      </c>
      <c r="C14" s="919"/>
      <c r="D14" s="920">
        <v>100</v>
      </c>
      <c r="E14" s="915"/>
      <c r="F14" s="1351">
        <f>SUMIF(74:74,E14,75:75)-SUMIF(74:74,C14,75:75)+100</f>
        <v>100</v>
      </c>
      <c r="G14" s="915"/>
      <c r="H14" s="920">
        <f>SUMIF(74:74,G14,75:75)-SUMIF(74:74,C14,75:75)+100</f>
        <v>100</v>
      </c>
      <c r="I14" s="915"/>
      <c r="J14" s="920">
        <f>SUMIF(74:74,I14,75:75)-SUMIF(74:74,C14,75:75)+100</f>
        <v>100</v>
      </c>
      <c r="K14" s="1046"/>
      <c r="L14" s="1041"/>
      <c r="M14" s="1029"/>
      <c r="N14" s="1029"/>
      <c r="O14" s="1029"/>
      <c r="P14" s="3486"/>
      <c r="Q14" s="1074">
        <f t="shared" si="6"/>
        <v>111</v>
      </c>
      <c r="R14" s="1070" t="s">
        <v>1336</v>
      </c>
      <c r="S14" s="1071">
        <f t="shared" si="0"/>
        <v>100</v>
      </c>
      <c r="T14" s="1070" t="s">
        <v>1336</v>
      </c>
      <c r="U14" s="1071">
        <f t="shared" si="1"/>
        <v>100</v>
      </c>
      <c r="V14" s="1070" t="s">
        <v>1336</v>
      </c>
      <c r="W14" s="1071">
        <f t="shared" si="2"/>
        <v>100</v>
      </c>
      <c r="X14" s="1072"/>
      <c r="Y14" s="3245"/>
      <c r="Z14" s="1085">
        <f t="shared" si="7"/>
        <v>111</v>
      </c>
      <c r="AA14" s="1084">
        <f t="shared" si="3"/>
        <v>1</v>
      </c>
      <c r="AB14" s="1084">
        <f t="shared" si="4"/>
        <v>1</v>
      </c>
      <c r="AC14" s="1084">
        <f t="shared" si="5"/>
        <v>1</v>
      </c>
    </row>
    <row r="15" spans="1:29" ht="71.25">
      <c r="A15" s="921" t="s">
        <v>1345</v>
      </c>
      <c r="B15" s="1284" t="s">
        <v>646</v>
      </c>
      <c r="C15" s="1285" t="str">
        <f>估价对象房地状况!C4</f>
        <v>估价对象位于XX商圈，周边商业氛围成熟，人流量大，商业繁华度好</v>
      </c>
      <c r="D15" s="924">
        <v>100</v>
      </c>
      <c r="E15" s="925"/>
      <c r="F15" s="1334">
        <f>SUMIF(76:76,E16,77:77)-SUMIF(76:76,C16,77:77)+100</f>
        <v>100</v>
      </c>
      <c r="G15" s="1042"/>
      <c r="H15" s="924">
        <f>SUMIF(76:76,G16,77:77)-SUMIF(76:76,C16,77:77)+100</f>
        <v>100</v>
      </c>
      <c r="I15" s="925"/>
      <c r="J15" s="924">
        <f>SUMIF(76:76,I16,77:77)-SUMIF(76:76,C16,77:77)+100</f>
        <v>100</v>
      </c>
      <c r="K15" s="1373"/>
      <c r="L15" s="1041"/>
      <c r="M15" s="1029"/>
      <c r="N15" s="1029"/>
      <c r="O15" s="1029"/>
      <c r="P15" s="3536" t="s">
        <v>1346</v>
      </c>
      <c r="Q15" s="652" t="str">
        <f t="shared" si="6"/>
        <v>商业繁华度</v>
      </c>
      <c r="R15" s="1075" t="s">
        <v>1336</v>
      </c>
      <c r="S15" s="1076">
        <f t="shared" si="0"/>
        <v>100</v>
      </c>
      <c r="T15" s="1075" t="s">
        <v>1336</v>
      </c>
      <c r="U15" s="1076">
        <f t="shared" si="1"/>
        <v>100</v>
      </c>
      <c r="V15" s="1075" t="s">
        <v>1336</v>
      </c>
      <c r="W15" s="1076">
        <f t="shared" si="2"/>
        <v>100</v>
      </c>
      <c r="X15" s="1069"/>
      <c r="Y15" s="3473" t="s">
        <v>1346</v>
      </c>
      <c r="Z15" s="1061" t="str">
        <f t="shared" si="7"/>
        <v>商业繁华度</v>
      </c>
      <c r="AA15" s="1086">
        <f t="shared" si="3"/>
        <v>1</v>
      </c>
      <c r="AB15" s="1086">
        <f t="shared" si="4"/>
        <v>1</v>
      </c>
      <c r="AC15" s="1086">
        <f t="shared" si="5"/>
        <v>1</v>
      </c>
    </row>
    <row r="16" spans="1:29" ht="15">
      <c r="A16" s="907"/>
      <c r="B16" s="1286"/>
      <c r="C16" s="927"/>
      <c r="D16" s="928"/>
      <c r="E16" s="927"/>
      <c r="F16" s="1335"/>
      <c r="G16" s="927"/>
      <c r="H16" s="930"/>
      <c r="I16" s="927"/>
      <c r="J16" s="928"/>
      <c r="K16" s="1374"/>
      <c r="L16" s="1041"/>
      <c r="M16" s="1029"/>
      <c r="N16" s="1029"/>
      <c r="O16" s="1029"/>
      <c r="P16" s="3537"/>
      <c r="Q16" s="652"/>
      <c r="R16" s="1075"/>
      <c r="S16" s="1076"/>
      <c r="T16" s="1075"/>
      <c r="U16" s="1076"/>
      <c r="V16" s="1075"/>
      <c r="W16" s="1076"/>
      <c r="X16" s="1069"/>
      <c r="Y16" s="3474"/>
      <c r="Z16" s="1061"/>
      <c r="AA16" s="1086">
        <v>1</v>
      </c>
      <c r="AB16" s="1086">
        <v>1</v>
      </c>
      <c r="AC16" s="1086">
        <v>1</v>
      </c>
    </row>
    <row r="17" spans="1:29" ht="85.5">
      <c r="A17" s="907"/>
      <c r="B17" s="1287" t="s">
        <v>648</v>
      </c>
      <c r="C17" s="932" t="str">
        <f>估价对象房地状况!C6</f>
        <v>估价对象周边道路状况、公共交通通达情况、停车便捷程度，综合评价交通便捷度较好</v>
      </c>
      <c r="D17" s="930">
        <v>100</v>
      </c>
      <c r="E17" s="933"/>
      <c r="F17" s="1337">
        <f>SUMIF(78:78,E18,79:79)-SUMIF(78:78,C18,79:79)+100</f>
        <v>100</v>
      </c>
      <c r="G17" s="1043"/>
      <c r="H17" s="934">
        <f>SUMIF(78:78,G18,79:79)-SUMIF(78:78,C18,79:79)+100</f>
        <v>100</v>
      </c>
      <c r="I17" s="933"/>
      <c r="J17" s="934">
        <f>SUMIF(78:78,I18,79:79)-SUMIF(78:78,C18,79:79)+100</f>
        <v>100</v>
      </c>
      <c r="K17" s="1373"/>
      <c r="L17" s="1041"/>
      <c r="M17" s="1029"/>
      <c r="N17" s="1029"/>
      <c r="O17" s="1029"/>
      <c r="P17" s="3537"/>
      <c r="Q17" s="652" t="str">
        <f>B17</f>
        <v>交通便捷度</v>
      </c>
      <c r="R17" s="1075" t="s">
        <v>1336</v>
      </c>
      <c r="S17" s="1076">
        <f>F17</f>
        <v>100</v>
      </c>
      <c r="T17" s="1075" t="s">
        <v>1336</v>
      </c>
      <c r="U17" s="1076">
        <f>H17</f>
        <v>100</v>
      </c>
      <c r="V17" s="1075" t="s">
        <v>1336</v>
      </c>
      <c r="W17" s="1076">
        <f>J17</f>
        <v>100</v>
      </c>
      <c r="X17" s="1069"/>
      <c r="Y17" s="3474"/>
      <c r="Z17" s="1061" t="str">
        <f>Q17</f>
        <v>交通便捷度</v>
      </c>
      <c r="AA17" s="1086">
        <f t="shared" si="3"/>
        <v>1</v>
      </c>
      <c r="AB17" s="1086">
        <f t="shared" si="4"/>
        <v>1</v>
      </c>
      <c r="AC17" s="1086">
        <f t="shared" si="5"/>
        <v>1</v>
      </c>
    </row>
    <row r="18" spans="1:29" ht="15">
      <c r="A18" s="907"/>
      <c r="B18" s="955"/>
      <c r="C18" s="1288"/>
      <c r="D18" s="930"/>
      <c r="E18" s="1289"/>
      <c r="F18" s="1337"/>
      <c r="G18" s="1297"/>
      <c r="H18" s="928"/>
      <c r="I18" s="1289"/>
      <c r="J18" s="928"/>
      <c r="K18" s="1374"/>
      <c r="L18" s="1041"/>
      <c r="M18" s="1029"/>
      <c r="N18" s="1029"/>
      <c r="O18" s="1029"/>
      <c r="P18" s="3537"/>
      <c r="Q18" s="652"/>
      <c r="R18" s="1075"/>
      <c r="S18" s="1076"/>
      <c r="T18" s="1075"/>
      <c r="U18" s="1076"/>
      <c r="V18" s="1075"/>
      <c r="W18" s="1076"/>
      <c r="X18" s="1069"/>
      <c r="Y18" s="3474"/>
      <c r="Z18" s="1061"/>
      <c r="AA18" s="1086">
        <v>1</v>
      </c>
      <c r="AB18" s="1086">
        <v>1</v>
      </c>
      <c r="AC18" s="1086">
        <v>1</v>
      </c>
    </row>
    <row r="19" spans="1:29" ht="42.75">
      <c r="A19" s="907"/>
      <c r="B19" s="1287" t="s">
        <v>652</v>
      </c>
      <c r="C19" s="932" t="str">
        <f>估价对象房地状况!C7</f>
        <v>估价对象所在区域公共配套设施齐备情况</v>
      </c>
      <c r="D19" s="934">
        <v>100</v>
      </c>
      <c r="E19" s="1290"/>
      <c r="F19" s="1336">
        <f>SUMIF(80:80,E20,81:81)-SUMIF(80:80,C20,81:81)+100</f>
        <v>100</v>
      </c>
      <c r="G19" s="1298"/>
      <c r="H19" s="930">
        <f>SUMIF(80:80,G20,81:81)-SUMIF(80:80,C20,81:81)+100</f>
        <v>100</v>
      </c>
      <c r="I19" s="1290"/>
      <c r="J19" s="930">
        <f>SUMIF(80:80,I20,81:81)-SUMIF(80:80,C20,81:81)+100</f>
        <v>100</v>
      </c>
      <c r="K19" s="1373"/>
      <c r="L19" s="1041"/>
      <c r="M19" s="1029"/>
      <c r="N19" s="1029"/>
      <c r="O19" s="1029"/>
      <c r="P19" s="3537"/>
      <c r="Q19" s="652" t="str">
        <f>B19</f>
        <v>公共配套设施</v>
      </c>
      <c r="R19" s="1075" t="s">
        <v>1336</v>
      </c>
      <c r="S19" s="1076">
        <f>F19</f>
        <v>100</v>
      </c>
      <c r="T19" s="1075" t="s">
        <v>1336</v>
      </c>
      <c r="U19" s="1076">
        <f>H19</f>
        <v>100</v>
      </c>
      <c r="V19" s="1075" t="s">
        <v>1336</v>
      </c>
      <c r="W19" s="1076">
        <f>J19</f>
        <v>100</v>
      </c>
      <c r="X19" s="1069"/>
      <c r="Y19" s="3474"/>
      <c r="Z19" s="1061" t="str">
        <f>Q19</f>
        <v>公共配套设施</v>
      </c>
      <c r="AA19" s="1086">
        <f t="shared" si="3"/>
        <v>1</v>
      </c>
      <c r="AB19" s="1086">
        <f t="shared" si="4"/>
        <v>1</v>
      </c>
      <c r="AC19" s="1086">
        <f t="shared" si="5"/>
        <v>1</v>
      </c>
    </row>
    <row r="20" spans="1:29" ht="15">
      <c r="A20" s="907"/>
      <c r="B20" s="955"/>
      <c r="C20" s="927"/>
      <c r="D20" s="928"/>
      <c r="E20" s="936"/>
      <c r="F20" s="1335"/>
      <c r="G20" s="1044"/>
      <c r="H20" s="928"/>
      <c r="I20" s="936"/>
      <c r="J20" s="928"/>
      <c r="K20" s="1374"/>
      <c r="L20" s="1041"/>
      <c r="M20" s="1029"/>
      <c r="N20" s="1029"/>
      <c r="O20" s="1029"/>
      <c r="P20" s="3537"/>
      <c r="Q20" s="652"/>
      <c r="R20" s="1075"/>
      <c r="S20" s="1076"/>
      <c r="T20" s="1075"/>
      <c r="U20" s="1076"/>
      <c r="V20" s="1075"/>
      <c r="W20" s="1076"/>
      <c r="X20" s="1069"/>
      <c r="Y20" s="3474"/>
      <c r="Z20" s="1061"/>
      <c r="AA20" s="1086">
        <v>1</v>
      </c>
      <c r="AB20" s="1086">
        <v>1</v>
      </c>
      <c r="AC20" s="1086">
        <v>1</v>
      </c>
    </row>
    <row r="21" spans="1:29" ht="28.5">
      <c r="A21" s="907"/>
      <c r="B21" s="1291" t="s">
        <v>654</v>
      </c>
      <c r="C21" s="932" t="str">
        <f>估价对象房地状况!C8</f>
        <v>估价对象所在区域基础设施水平</v>
      </c>
      <c r="D21" s="934">
        <v>100</v>
      </c>
      <c r="E21" s="1290"/>
      <c r="F21" s="1336">
        <f>SUMIF(82:82,E22,83:83)-SUMIF(82:82,C22,83:83)+100</f>
        <v>100</v>
      </c>
      <c r="G21" s="1298"/>
      <c r="H21" s="930">
        <f>SUMIF(82:82,G22,83:83)-SUMIF(82:82,C22,83:83)+100</f>
        <v>100</v>
      </c>
      <c r="I21" s="1290"/>
      <c r="J21" s="930">
        <f>SUMIF(82:82,I22,83:83)-SUMIF(82:82,C22,83:83)+100</f>
        <v>100</v>
      </c>
      <c r="K21" s="1373"/>
      <c r="L21" s="1041"/>
      <c r="M21" s="1029"/>
      <c r="N21" s="1029"/>
      <c r="O21" s="1029"/>
      <c r="P21" s="3537"/>
      <c r="Q21" s="652" t="str">
        <f>B21</f>
        <v>基础设施水平</v>
      </c>
      <c r="R21" s="1075" t="s">
        <v>1336</v>
      </c>
      <c r="S21" s="1076">
        <f>F21</f>
        <v>100</v>
      </c>
      <c r="T21" s="1075" t="s">
        <v>1336</v>
      </c>
      <c r="U21" s="1076">
        <f>H21</f>
        <v>100</v>
      </c>
      <c r="V21" s="1075" t="s">
        <v>1336</v>
      </c>
      <c r="W21" s="1076">
        <f>J21</f>
        <v>100</v>
      </c>
      <c r="X21" s="1069"/>
      <c r="Y21" s="3474"/>
      <c r="Z21" s="1061" t="str">
        <f>Q21</f>
        <v>基础设施水平</v>
      </c>
      <c r="AA21" s="1086">
        <f t="shared" ref="AA21" si="8">D21/F21</f>
        <v>1</v>
      </c>
      <c r="AB21" s="1086">
        <f t="shared" ref="AB21" si="9">D21/H21</f>
        <v>1</v>
      </c>
      <c r="AC21" s="1086">
        <f t="shared" ref="AC21" si="10">D21/J21</f>
        <v>1</v>
      </c>
    </row>
    <row r="22" spans="1:29" ht="15">
      <c r="A22" s="907"/>
      <c r="B22" s="1291"/>
      <c r="C22" s="1288"/>
      <c r="D22" s="928"/>
      <c r="E22" s="927"/>
      <c r="F22" s="1335"/>
      <c r="G22" s="927"/>
      <c r="H22" s="928"/>
      <c r="I22" s="927"/>
      <c r="J22" s="928"/>
      <c r="K22" s="1375"/>
      <c r="L22" s="1041"/>
      <c r="M22" s="1029"/>
      <c r="N22" s="1029"/>
      <c r="O22" s="1029"/>
      <c r="P22" s="3537"/>
      <c r="Q22" s="652"/>
      <c r="R22" s="1075"/>
      <c r="S22" s="1076"/>
      <c r="T22" s="1075"/>
      <c r="U22" s="1076"/>
      <c r="V22" s="1075"/>
      <c r="W22" s="1076"/>
      <c r="X22" s="1069"/>
      <c r="Y22" s="3474"/>
      <c r="Z22" s="1061"/>
      <c r="AA22" s="1086">
        <v>1</v>
      </c>
      <c r="AB22" s="1086">
        <v>1</v>
      </c>
      <c r="AC22" s="1086">
        <v>1</v>
      </c>
    </row>
    <row r="23" spans="1:29" ht="57">
      <c r="A23" s="907"/>
      <c r="B23" s="1287" t="s">
        <v>658</v>
      </c>
      <c r="C23" s="650" t="str">
        <f>估价对象房地状况!C9</f>
        <v>区域自然环境：；人文环境；综合评价环境状况一般</v>
      </c>
      <c r="D23" s="930">
        <v>100</v>
      </c>
      <c r="E23" s="933"/>
      <c r="F23" s="1337">
        <f>SUMIF(84:84,E24,85:85)-SUMIF(84:84,C24,85:85)+100</f>
        <v>100</v>
      </c>
      <c r="G23" s="1043"/>
      <c r="H23" s="930">
        <f>SUMIF(84:84,G24,85:85)-SUMIF(84:84,C24,85:85)+100</f>
        <v>100</v>
      </c>
      <c r="I23" s="933"/>
      <c r="J23" s="930">
        <f>SUMIF(84:84,I24,85:85)-SUMIF(84:84,C24,85:85)+100</f>
        <v>100</v>
      </c>
      <c r="K23" s="1373"/>
      <c r="L23" s="1041"/>
      <c r="M23" s="1029"/>
      <c r="N23" s="1029"/>
      <c r="O23" s="1029"/>
      <c r="P23" s="3537"/>
      <c r="Q23" s="652" t="str">
        <f>B23</f>
        <v>自然及人文环境</v>
      </c>
      <c r="R23" s="1075" t="s">
        <v>1336</v>
      </c>
      <c r="S23" s="1076">
        <f>F23</f>
        <v>100</v>
      </c>
      <c r="T23" s="1075" t="s">
        <v>1336</v>
      </c>
      <c r="U23" s="1076">
        <f>H23</f>
        <v>100</v>
      </c>
      <c r="V23" s="1075" t="s">
        <v>1336</v>
      </c>
      <c r="W23" s="1076">
        <f>J23</f>
        <v>100</v>
      </c>
      <c r="X23" s="1069"/>
      <c r="Y23" s="3474"/>
      <c r="Z23" s="1061" t="str">
        <f>Q23</f>
        <v>自然及人文环境</v>
      </c>
      <c r="AA23" s="1086">
        <f t="shared" si="3"/>
        <v>1</v>
      </c>
      <c r="AB23" s="1086">
        <f t="shared" si="4"/>
        <v>1</v>
      </c>
      <c r="AC23" s="1086">
        <f t="shared" si="5"/>
        <v>1</v>
      </c>
    </row>
    <row r="24" spans="1:29" ht="15">
      <c r="A24" s="907"/>
      <c r="B24" s="955"/>
      <c r="C24" s="927"/>
      <c r="D24" s="928"/>
      <c r="E24" s="936"/>
      <c r="F24" s="1335"/>
      <c r="G24" s="1044"/>
      <c r="H24" s="928"/>
      <c r="I24" s="936"/>
      <c r="J24" s="928"/>
      <c r="K24" s="1374"/>
      <c r="L24" s="1041"/>
      <c r="M24" s="1029"/>
      <c r="N24" s="1029"/>
      <c r="O24" s="1029"/>
      <c r="P24" s="3537"/>
      <c r="Q24" s="652"/>
      <c r="R24" s="1075"/>
      <c r="S24" s="1076"/>
      <c r="T24" s="1075"/>
      <c r="U24" s="1076"/>
      <c r="V24" s="1075"/>
      <c r="W24" s="1076"/>
      <c r="X24" s="1069"/>
      <c r="Y24" s="3474"/>
      <c r="Z24" s="1061"/>
      <c r="AA24" s="1086">
        <v>1</v>
      </c>
      <c r="AB24" s="1086">
        <v>1</v>
      </c>
      <c r="AC24" s="1086">
        <v>1</v>
      </c>
    </row>
    <row r="25" spans="1:29" ht="15">
      <c r="A25" s="907"/>
      <c r="B25" s="904" t="s">
        <v>664</v>
      </c>
      <c r="C25" s="941"/>
      <c r="D25" s="916">
        <v>100</v>
      </c>
      <c r="E25" s="941"/>
      <c r="F25" s="1338">
        <f>SUMIF(86:86,E25,87:87)-SUMIF(86:86,C25,87:87)+100</f>
        <v>100</v>
      </c>
      <c r="G25" s="941"/>
      <c r="H25" s="916">
        <f>SUMIF(86:86,G25,87:87)-SUMIF(86:86,C25,87:87)+100</f>
        <v>100</v>
      </c>
      <c r="I25" s="941"/>
      <c r="J25" s="916">
        <f>SUMIF(86:86,I25,87:87)-SUMIF(86:86,C25,87:87)+100</f>
        <v>100</v>
      </c>
      <c r="K25" s="1047"/>
      <c r="L25" s="1041"/>
      <c r="M25" s="1029"/>
      <c r="N25" s="1029"/>
      <c r="O25" s="1029"/>
      <c r="P25" s="3537"/>
      <c r="Q25" s="652" t="str">
        <f t="shared" ref="Q25:Q46" si="11">B25</f>
        <v>临街状况</v>
      </c>
      <c r="R25" s="1075" t="s">
        <v>1336</v>
      </c>
      <c r="S25" s="1076">
        <f>F25</f>
        <v>100</v>
      </c>
      <c r="T25" s="1075" t="s">
        <v>1336</v>
      </c>
      <c r="U25" s="1076">
        <f>H25</f>
        <v>100</v>
      </c>
      <c r="V25" s="1075" t="s">
        <v>1336</v>
      </c>
      <c r="W25" s="1076">
        <f>J25</f>
        <v>100</v>
      </c>
      <c r="X25" s="1069"/>
      <c r="Y25" s="3474"/>
      <c r="Z25" s="1061" t="str">
        <f>Q25</f>
        <v>临街状况</v>
      </c>
      <c r="AA25" s="1086">
        <f t="shared" si="3"/>
        <v>1</v>
      </c>
      <c r="AB25" s="1086">
        <f t="shared" si="4"/>
        <v>1</v>
      </c>
      <c r="AC25" s="1086">
        <f t="shared" si="5"/>
        <v>1</v>
      </c>
    </row>
    <row r="26" spans="1:29" ht="15">
      <c r="A26" s="907"/>
      <c r="B26" s="1292" t="s">
        <v>1409</v>
      </c>
      <c r="C26" s="915"/>
      <c r="D26" s="916">
        <v>100</v>
      </c>
      <c r="E26" s="915"/>
      <c r="F26" s="1338">
        <f>SUMIF(88:88,E26,89:89)-SUMIF(88:88,C26,89:89)+100</f>
        <v>100</v>
      </c>
      <c r="G26" s="915"/>
      <c r="H26" s="916">
        <f>SUMIF(88:88,G26,89:89)-SUMIF(88:88,C26,89:89)+100</f>
        <v>100</v>
      </c>
      <c r="I26" s="915"/>
      <c r="J26" s="916">
        <f>SUMIF(88:88,I26,89:89)-SUMIF(88:88,C26,89:89)+100</f>
        <v>100</v>
      </c>
      <c r="K26" s="1046"/>
      <c r="L26" s="1041"/>
      <c r="M26" s="1029"/>
      <c r="N26" s="1029"/>
      <c r="O26" s="1029"/>
      <c r="P26" s="3537"/>
      <c r="Q26" s="652" t="str">
        <f t="shared" si="11"/>
        <v>平面位置/可视性</v>
      </c>
      <c r="R26" s="1075" t="s">
        <v>1336</v>
      </c>
      <c r="S26" s="1076">
        <f>F26</f>
        <v>100</v>
      </c>
      <c r="T26" s="1075" t="s">
        <v>1336</v>
      </c>
      <c r="U26" s="1076">
        <f>H26</f>
        <v>100</v>
      </c>
      <c r="V26" s="1075" t="s">
        <v>1336</v>
      </c>
      <c r="W26" s="1076">
        <f>J26</f>
        <v>100</v>
      </c>
      <c r="X26" s="1069"/>
      <c r="Y26" s="3474"/>
      <c r="Z26" s="1061" t="str">
        <f>Q26</f>
        <v>平面位置/可视性</v>
      </c>
      <c r="AA26" s="1086">
        <f t="shared" si="3"/>
        <v>1</v>
      </c>
      <c r="AB26" s="1086">
        <f t="shared" si="4"/>
        <v>1</v>
      </c>
      <c r="AC26" s="1086">
        <f t="shared" si="5"/>
        <v>1</v>
      </c>
    </row>
    <row r="27" spans="1:29" s="866" customFormat="1" ht="15">
      <c r="A27" s="910"/>
      <c r="B27" s="1287" t="s">
        <v>1410</v>
      </c>
      <c r="C27" s="1469"/>
      <c r="D27" s="1458">
        <v>100</v>
      </c>
      <c r="E27" s="1469"/>
      <c r="F27" s="1459">
        <f>SUMIF(90:90,E27,91:91)-SUMIF(90:90,C27,91:91)+100</f>
        <v>100</v>
      </c>
      <c r="G27" s="1469"/>
      <c r="H27" s="1458">
        <f>SUMIF(90:90,G27,91:91)-SUMIF(90:90,C27,91:91)+100</f>
        <v>100</v>
      </c>
      <c r="I27" s="1469"/>
      <c r="J27" s="1458">
        <f>SUMIF(90:90,I27,91:91)-SUMIF(90:90,C27,91:91)+100</f>
        <v>100</v>
      </c>
      <c r="K27" s="1047"/>
      <c r="L27" s="1031"/>
      <c r="M27" s="1032"/>
      <c r="N27" s="1032"/>
      <c r="O27" s="1032"/>
      <c r="P27" s="3537"/>
      <c r="Q27" s="1074" t="str">
        <f t="shared" si="11"/>
        <v>人流量</v>
      </c>
      <c r="R27" s="1070" t="s">
        <v>1336</v>
      </c>
      <c r="S27" s="1071">
        <f>F27</f>
        <v>100</v>
      </c>
      <c r="T27" s="1070" t="s">
        <v>1336</v>
      </c>
      <c r="U27" s="1071">
        <f>H27</f>
        <v>100</v>
      </c>
      <c r="V27" s="1070" t="s">
        <v>1336</v>
      </c>
      <c r="W27" s="1071">
        <f>J27</f>
        <v>100</v>
      </c>
      <c r="X27" s="1072"/>
      <c r="Y27" s="3474"/>
      <c r="Z27" s="1085" t="str">
        <f>Q27</f>
        <v>人流量</v>
      </c>
      <c r="AA27" s="1086">
        <f t="shared" si="3"/>
        <v>1</v>
      </c>
      <c r="AB27" s="1086">
        <f t="shared" si="4"/>
        <v>1</v>
      </c>
      <c r="AC27" s="1086">
        <f t="shared" si="5"/>
        <v>1</v>
      </c>
    </row>
    <row r="28" spans="1:29" ht="15">
      <c r="A28" s="907"/>
      <c r="B28" s="904" t="s">
        <v>1411</v>
      </c>
      <c r="C28" s="941"/>
      <c r="D28" s="916">
        <v>100</v>
      </c>
      <c r="E28" s="941"/>
      <c r="F28" s="1338">
        <f>SUMIF(92:92,E28,93:93)-SUMIF(92:92,C28,93:93)+100</f>
        <v>100</v>
      </c>
      <c r="G28" s="941"/>
      <c r="H28" s="916">
        <f>SUMIF(92:92,G28,93:93)-SUMIF(92:92,C28,93:93)+100</f>
        <v>100</v>
      </c>
      <c r="I28" s="941"/>
      <c r="J28" s="916">
        <f>SUMIF(92:92,I28,93:93)-SUMIF(92:92,C28,93:93)+100</f>
        <v>100</v>
      </c>
      <c r="K28" s="1046"/>
      <c r="L28" s="1041"/>
      <c r="M28" s="1029"/>
      <c r="N28" s="1029"/>
      <c r="O28" s="1029"/>
      <c r="P28" s="3537"/>
      <c r="Q28" s="652" t="str">
        <f t="shared" si="11"/>
        <v>楼层</v>
      </c>
      <c r="R28" s="1075" t="s">
        <v>1336</v>
      </c>
      <c r="S28" s="1076">
        <f t="shared" ref="S28:S46" si="12">F28</f>
        <v>100</v>
      </c>
      <c r="T28" s="1075" t="s">
        <v>1336</v>
      </c>
      <c r="U28" s="1076">
        <f t="shared" ref="U28:U46" si="13">H28</f>
        <v>100</v>
      </c>
      <c r="V28" s="1075" t="s">
        <v>1336</v>
      </c>
      <c r="W28" s="1076">
        <f t="shared" ref="W28:W46" si="14">J28</f>
        <v>100</v>
      </c>
      <c r="X28" s="1069"/>
      <c r="Y28" s="3474"/>
      <c r="Z28" s="1061" t="str">
        <f t="shared" ref="Z28:Z46" si="15">Q28</f>
        <v>楼层</v>
      </c>
      <c r="AA28" s="1086">
        <f t="shared" si="3"/>
        <v>1</v>
      </c>
      <c r="AB28" s="1086">
        <f t="shared" si="4"/>
        <v>1</v>
      </c>
      <c r="AC28" s="1086">
        <f t="shared" si="5"/>
        <v>1</v>
      </c>
    </row>
    <row r="29" spans="1:29" ht="15">
      <c r="A29" s="907"/>
      <c r="B29" s="1292">
        <v>111</v>
      </c>
      <c r="C29" s="915"/>
      <c r="D29" s="916">
        <v>100</v>
      </c>
      <c r="E29" s="915"/>
      <c r="F29" s="1338">
        <f>SUMIF(94:94,E29,95:95)-SUMIF(94:94,C29,95:95)+100</f>
        <v>100</v>
      </c>
      <c r="G29" s="915"/>
      <c r="H29" s="916">
        <f>SUMIF(94:94,G29,95:95)-SUMIF(94:94,C29,95:95)+100</f>
        <v>100</v>
      </c>
      <c r="I29" s="915"/>
      <c r="J29" s="916">
        <f>SUMIF(94:94,I29,95:95)-SUMIF(94:94,C29,95:95)+100</f>
        <v>100</v>
      </c>
      <c r="K29" s="1046"/>
      <c r="L29" s="1041"/>
      <c r="M29" s="1029"/>
      <c r="N29" s="1029"/>
      <c r="O29" s="1029"/>
      <c r="P29" s="3537"/>
      <c r="Q29" s="652">
        <f t="shared" si="11"/>
        <v>111</v>
      </c>
      <c r="R29" s="1075" t="s">
        <v>1336</v>
      </c>
      <c r="S29" s="1076">
        <f t="shared" si="12"/>
        <v>100</v>
      </c>
      <c r="T29" s="1075" t="s">
        <v>1336</v>
      </c>
      <c r="U29" s="1076">
        <f t="shared" si="13"/>
        <v>100</v>
      </c>
      <c r="V29" s="1075" t="s">
        <v>1336</v>
      </c>
      <c r="W29" s="1076">
        <f t="shared" si="14"/>
        <v>100</v>
      </c>
      <c r="X29" s="1069"/>
      <c r="Y29" s="3474"/>
      <c r="Z29" s="1061">
        <f t="shared" si="15"/>
        <v>111</v>
      </c>
      <c r="AA29" s="1086">
        <f t="shared" si="3"/>
        <v>1</v>
      </c>
      <c r="AB29" s="1086">
        <f t="shared" si="4"/>
        <v>1</v>
      </c>
      <c r="AC29" s="1086">
        <f t="shared" si="5"/>
        <v>1</v>
      </c>
    </row>
    <row r="30" spans="1:29" ht="15">
      <c r="A30" s="907"/>
      <c r="B30" s="1292">
        <v>111</v>
      </c>
      <c r="C30" s="915"/>
      <c r="D30" s="916">
        <v>100</v>
      </c>
      <c r="E30" s="915"/>
      <c r="F30" s="1338">
        <f>SUMIF(96:96,E30,97:97)-SUMIF(96:96,C30,97:97)+100</f>
        <v>100</v>
      </c>
      <c r="G30" s="915"/>
      <c r="H30" s="916">
        <f>SUMIF(96:96,G30,97:97)-SUMIF(96:96,C30,97:97)+100</f>
        <v>100</v>
      </c>
      <c r="I30" s="915"/>
      <c r="J30" s="916">
        <f>SUMIF(96:96,I30,97:97)-SUMIF(96:96,C30,97:97)+100</f>
        <v>100</v>
      </c>
      <c r="K30" s="1046"/>
      <c r="L30" s="1041"/>
      <c r="M30" s="1029"/>
      <c r="N30" s="1029"/>
      <c r="O30" s="1029"/>
      <c r="P30" s="3537"/>
      <c r="Q30" s="652">
        <f t="shared" si="11"/>
        <v>111</v>
      </c>
      <c r="R30" s="1075" t="s">
        <v>1336</v>
      </c>
      <c r="S30" s="1076">
        <f t="shared" si="12"/>
        <v>100</v>
      </c>
      <c r="T30" s="1075" t="s">
        <v>1336</v>
      </c>
      <c r="U30" s="1076">
        <f t="shared" si="13"/>
        <v>100</v>
      </c>
      <c r="V30" s="1075" t="s">
        <v>1336</v>
      </c>
      <c r="W30" s="1076">
        <f t="shared" si="14"/>
        <v>100</v>
      </c>
      <c r="X30" s="1069"/>
      <c r="Y30" s="3474"/>
      <c r="Z30" s="1061">
        <f t="shared" si="15"/>
        <v>111</v>
      </c>
      <c r="AA30" s="1086">
        <f t="shared" si="3"/>
        <v>1</v>
      </c>
      <c r="AB30" s="1086">
        <f t="shared" si="4"/>
        <v>1</v>
      </c>
      <c r="AC30" s="1086">
        <f t="shared" si="5"/>
        <v>1</v>
      </c>
    </row>
    <row r="31" spans="1:29" ht="15">
      <c r="A31" s="917"/>
      <c r="B31" s="1292">
        <v>111</v>
      </c>
      <c r="C31" s="919"/>
      <c r="D31" s="920">
        <v>100</v>
      </c>
      <c r="E31" s="915"/>
      <c r="F31" s="1351">
        <f>SUMIF(98:98,E31,99:99)-SUMIF(98:98,C31,99:99)+100</f>
        <v>100</v>
      </c>
      <c r="G31" s="915"/>
      <c r="H31" s="920">
        <f>SUMIF(98:98,G31,99:99)-SUMIF(98:98,C31,99:99)+100</f>
        <v>100</v>
      </c>
      <c r="I31" s="915"/>
      <c r="J31" s="920">
        <f>SUMIF(98:98,I31,99:99)-SUMIF(98:98,C31,99:99)+100</f>
        <v>100</v>
      </c>
      <c r="K31" s="1046"/>
      <c r="L31" s="1041"/>
      <c r="M31" s="1029"/>
      <c r="N31" s="1029"/>
      <c r="O31" s="1029"/>
      <c r="P31" s="3537"/>
      <c r="Q31" s="652">
        <f t="shared" si="11"/>
        <v>111</v>
      </c>
      <c r="R31" s="1075" t="s">
        <v>1336</v>
      </c>
      <c r="S31" s="1076">
        <f t="shared" si="12"/>
        <v>100</v>
      </c>
      <c r="T31" s="1075" t="s">
        <v>1336</v>
      </c>
      <c r="U31" s="1076">
        <f t="shared" si="13"/>
        <v>100</v>
      </c>
      <c r="V31" s="1075" t="s">
        <v>1336</v>
      </c>
      <c r="W31" s="1076">
        <f t="shared" si="14"/>
        <v>100</v>
      </c>
      <c r="X31" s="1069"/>
      <c r="Y31" s="3474"/>
      <c r="Z31" s="1061">
        <f t="shared" si="15"/>
        <v>111</v>
      </c>
      <c r="AA31" s="1086">
        <f t="shared" si="3"/>
        <v>1</v>
      </c>
      <c r="AB31" s="1086">
        <f t="shared" si="4"/>
        <v>1</v>
      </c>
      <c r="AC31" s="1086">
        <f t="shared" si="5"/>
        <v>1</v>
      </c>
    </row>
    <row r="32" spans="1:29" ht="15">
      <c r="A32" s="921" t="s">
        <v>1349</v>
      </c>
      <c r="B32" s="900" t="s">
        <v>1412</v>
      </c>
      <c r="C32" s="1494"/>
      <c r="D32" s="957">
        <v>100</v>
      </c>
      <c r="E32" s="1494"/>
      <c r="F32" s="1338">
        <f>SUMIF(100:100,E32,101:101)-SUMIF(100:100,C32,101:101)+100</f>
        <v>100</v>
      </c>
      <c r="G32" s="1494"/>
      <c r="H32" s="916">
        <f>SUMIF(100:100,G32,101:101)-SUMIF(100:100,C32,101:101)+100</f>
        <v>100</v>
      </c>
      <c r="I32" s="1494"/>
      <c r="J32" s="957">
        <f>SUMIF(100:100,I32,101:101)-SUMIF(100:100,C32,101:101)+100</f>
        <v>100</v>
      </c>
      <c r="K32" s="1047"/>
      <c r="L32" s="1041"/>
      <c r="M32" s="1029"/>
      <c r="N32" s="1029"/>
      <c r="O32" s="1029"/>
      <c r="P32" s="3538" t="s">
        <v>1351</v>
      </c>
      <c r="Q32" s="652" t="str">
        <f t="shared" si="11"/>
        <v>商业类型</v>
      </c>
      <c r="R32" s="1075" t="s">
        <v>1336</v>
      </c>
      <c r="S32" s="1076">
        <f t="shared" si="12"/>
        <v>100</v>
      </c>
      <c r="T32" s="1075" t="s">
        <v>1336</v>
      </c>
      <c r="U32" s="1076">
        <f t="shared" si="13"/>
        <v>100</v>
      </c>
      <c r="V32" s="1075" t="s">
        <v>1336</v>
      </c>
      <c r="W32" s="1076">
        <f t="shared" si="14"/>
        <v>100</v>
      </c>
      <c r="X32" s="1069"/>
      <c r="Y32" s="3476" t="s">
        <v>1351</v>
      </c>
      <c r="Z32" s="1061" t="str">
        <f t="shared" si="15"/>
        <v>商业类型</v>
      </c>
      <c r="AA32" s="1086">
        <f t="shared" si="3"/>
        <v>1</v>
      </c>
      <c r="AB32" s="1086">
        <f t="shared" si="4"/>
        <v>1</v>
      </c>
      <c r="AC32" s="1086">
        <f t="shared" si="5"/>
        <v>1</v>
      </c>
    </row>
    <row r="33" spans="1:29" s="868" customFormat="1" ht="15">
      <c r="A33" s="963"/>
      <c r="B33" s="904" t="s">
        <v>1352</v>
      </c>
      <c r="C33" s="1332"/>
      <c r="D33" s="906">
        <v>100</v>
      </c>
      <c r="E33" s="909"/>
      <c r="F33" s="1331" t="e">
        <f>LOOKUP(E33,103:103,104:104)-LOOKUP(C33,103:103,104:104)+100</f>
        <v>#N/A</v>
      </c>
      <c r="G33" s="908"/>
      <c r="H33" s="906" t="e">
        <f>LOOKUP(G33,103:103,104:104)-LOOKUP(C33,103:103,104:104)+100</f>
        <v>#N/A</v>
      </c>
      <c r="I33" s="908"/>
      <c r="J33" s="906" t="e">
        <f>LOOKUP(I33,103:103,104:104)-LOOKUP(C33,103:103,104:104)+100</f>
        <v>#N/A</v>
      </c>
      <c r="K33" s="1046"/>
      <c r="L33" s="1039"/>
      <c r="M33" s="1048"/>
      <c r="N33" s="1048"/>
      <c r="O33" s="1048"/>
      <c r="P33" s="3539"/>
      <c r="Q33" s="1377" t="str">
        <f t="shared" si="11"/>
        <v>项目建筑规模</v>
      </c>
      <c r="R33" s="1077" t="s">
        <v>1336</v>
      </c>
      <c r="S33" s="1078" t="e">
        <f t="shared" si="12"/>
        <v>#N/A</v>
      </c>
      <c r="T33" s="1077" t="s">
        <v>1336</v>
      </c>
      <c r="U33" s="1078" t="e">
        <f t="shared" si="13"/>
        <v>#N/A</v>
      </c>
      <c r="V33" s="1077" t="s">
        <v>1336</v>
      </c>
      <c r="W33" s="1078" t="e">
        <f t="shared" si="14"/>
        <v>#N/A</v>
      </c>
      <c r="X33" s="1079"/>
      <c r="Y33" s="3476"/>
      <c r="Z33" s="1087" t="str">
        <f t="shared" si="15"/>
        <v>项目建筑规模</v>
      </c>
      <c r="AA33" s="1086" t="e">
        <f t="shared" si="3"/>
        <v>#N/A</v>
      </c>
      <c r="AB33" s="1086" t="e">
        <f t="shared" si="4"/>
        <v>#N/A</v>
      </c>
      <c r="AC33" s="1086" t="e">
        <f t="shared" si="5"/>
        <v>#N/A</v>
      </c>
    </row>
    <row r="34" spans="1:29" ht="15">
      <c r="A34" s="958"/>
      <c r="B34" s="904" t="s">
        <v>1353</v>
      </c>
      <c r="C34" s="1495"/>
      <c r="D34" s="916">
        <v>100</v>
      </c>
      <c r="E34" s="1495"/>
      <c r="F34" s="1338">
        <f>SUMIF(105:105,E34,106:106)-SUMIF(105:105,C34,106:106)+100</f>
        <v>100</v>
      </c>
      <c r="G34" s="1495"/>
      <c r="H34" s="916">
        <f>SUMIF(105:105,G34,106:106)-SUMIF(105:105,C34,106:106)+100</f>
        <v>100</v>
      </c>
      <c r="I34" s="1495"/>
      <c r="J34" s="916">
        <f>SUMIF(105:105,I34,106:106)-SUMIF(105:105,C34,106:106)+100</f>
        <v>100</v>
      </c>
      <c r="K34" s="1047"/>
      <c r="L34" s="1041"/>
      <c r="M34" s="1029"/>
      <c r="N34" s="1029"/>
      <c r="O34" s="1029"/>
      <c r="P34" s="3539"/>
      <c r="Q34" s="652" t="str">
        <f t="shared" si="11"/>
        <v>建筑结构</v>
      </c>
      <c r="R34" s="1075" t="s">
        <v>1336</v>
      </c>
      <c r="S34" s="1076">
        <f t="shared" si="12"/>
        <v>100</v>
      </c>
      <c r="T34" s="1075" t="s">
        <v>1336</v>
      </c>
      <c r="U34" s="1076">
        <f t="shared" si="13"/>
        <v>100</v>
      </c>
      <c r="V34" s="1075" t="s">
        <v>1336</v>
      </c>
      <c r="W34" s="1076">
        <f t="shared" si="14"/>
        <v>100</v>
      </c>
      <c r="X34" s="1069"/>
      <c r="Y34" s="3476"/>
      <c r="Z34" s="1061" t="str">
        <f t="shared" si="15"/>
        <v>建筑结构</v>
      </c>
      <c r="AA34" s="1086">
        <f t="shared" si="3"/>
        <v>1</v>
      </c>
      <c r="AB34" s="1086">
        <f t="shared" si="4"/>
        <v>1</v>
      </c>
      <c r="AC34" s="1086">
        <f t="shared" si="5"/>
        <v>1</v>
      </c>
    </row>
    <row r="35" spans="1:29" ht="15">
      <c r="A35" s="958"/>
      <c r="B35" s="904" t="s">
        <v>1355</v>
      </c>
      <c r="C35" s="959"/>
      <c r="D35" s="916">
        <v>100</v>
      </c>
      <c r="E35" s="959"/>
      <c r="F35" s="1338">
        <f>SUMIF(107:107,E35,108:108)-SUMIF(107:107,C35,108:108)+100</f>
        <v>100</v>
      </c>
      <c r="G35" s="959"/>
      <c r="H35" s="916">
        <f>SUMIF(107:107,G35,108:108)-SUMIF(107:107,C35,108:108)+100</f>
        <v>100</v>
      </c>
      <c r="I35" s="959"/>
      <c r="J35" s="916">
        <f>SUMIF(107:107,I35,108:108)-SUMIF(107:107,C35,108:108)+100</f>
        <v>100</v>
      </c>
      <c r="K35" s="1047"/>
      <c r="L35" s="1041"/>
      <c r="M35" s="1029"/>
      <c r="N35" s="1029"/>
      <c r="O35" s="1029"/>
      <c r="P35" s="3539"/>
      <c r="Q35" s="652" t="str">
        <f t="shared" si="11"/>
        <v>公共部分装修</v>
      </c>
      <c r="R35" s="1075" t="s">
        <v>1336</v>
      </c>
      <c r="S35" s="1076">
        <f t="shared" si="12"/>
        <v>100</v>
      </c>
      <c r="T35" s="1075" t="s">
        <v>1336</v>
      </c>
      <c r="U35" s="1076">
        <f t="shared" si="13"/>
        <v>100</v>
      </c>
      <c r="V35" s="1075" t="s">
        <v>1336</v>
      </c>
      <c r="W35" s="1076">
        <f t="shared" si="14"/>
        <v>100</v>
      </c>
      <c r="X35" s="1069"/>
      <c r="Y35" s="3476"/>
      <c r="Z35" s="1061" t="str">
        <f t="shared" si="15"/>
        <v>公共部分装修</v>
      </c>
      <c r="AA35" s="1086">
        <f t="shared" si="3"/>
        <v>1</v>
      </c>
      <c r="AB35" s="1086">
        <f t="shared" si="4"/>
        <v>1</v>
      </c>
      <c r="AC35" s="1086">
        <f t="shared" si="5"/>
        <v>1</v>
      </c>
    </row>
    <row r="36" spans="1:29" ht="15">
      <c r="A36" s="958"/>
      <c r="B36" s="904" t="s">
        <v>557</v>
      </c>
      <c r="C36" s="1345"/>
      <c r="D36" s="916">
        <v>100</v>
      </c>
      <c r="E36" s="1345"/>
      <c r="F36" s="1338" t="e">
        <f>LOOKUP(E36,110:110,111:111)-LOOKUP(C36,110:110,111:111)+100</f>
        <v>#N/A</v>
      </c>
      <c r="G36" s="1345"/>
      <c r="H36" s="1338" t="e">
        <f>LOOKUP(G36,110:110,111:111)-LOOKUP(C36,110:110,111:111)+100</f>
        <v>#N/A</v>
      </c>
      <c r="I36" s="1345"/>
      <c r="J36" s="916" t="e">
        <f>LOOKUP(I36,110:110,111:111)-LOOKUP(C36,110:110,111:111)+100</f>
        <v>#N/A</v>
      </c>
      <c r="K36" s="1047"/>
      <c r="L36" s="1041"/>
      <c r="M36" s="1029"/>
      <c r="N36" s="1029"/>
      <c r="O36" s="1029"/>
      <c r="P36" s="3539"/>
      <c r="Q36" s="652" t="str">
        <f t="shared" si="11"/>
        <v>成新度</v>
      </c>
      <c r="R36" s="1075" t="s">
        <v>1336</v>
      </c>
      <c r="S36" s="1076" t="e">
        <f t="shared" si="12"/>
        <v>#N/A</v>
      </c>
      <c r="T36" s="1075" t="s">
        <v>1336</v>
      </c>
      <c r="U36" s="1076" t="e">
        <f t="shared" si="13"/>
        <v>#N/A</v>
      </c>
      <c r="V36" s="1075" t="s">
        <v>1336</v>
      </c>
      <c r="W36" s="1076" t="e">
        <f t="shared" si="14"/>
        <v>#N/A</v>
      </c>
      <c r="X36" s="1069"/>
      <c r="Y36" s="3476"/>
      <c r="Z36" s="1061" t="str">
        <f t="shared" si="15"/>
        <v>成新度</v>
      </c>
      <c r="AA36" s="1086" t="e">
        <f t="shared" si="3"/>
        <v>#N/A</v>
      </c>
      <c r="AB36" s="1086" t="e">
        <f t="shared" si="4"/>
        <v>#N/A</v>
      </c>
      <c r="AC36" s="1086" t="e">
        <f t="shared" si="5"/>
        <v>#N/A</v>
      </c>
    </row>
    <row r="37" spans="1:29" s="866" customFormat="1" ht="15">
      <c r="A37" s="960"/>
      <c r="B37" s="904" t="s">
        <v>1357</v>
      </c>
      <c r="C37" s="959"/>
      <c r="D37" s="906">
        <v>100</v>
      </c>
      <c r="E37" s="959"/>
      <c r="F37" s="1338">
        <f>SUMIF(112:112,E37,113:113)-SUMIF(112:112,C37,113:113)+100</f>
        <v>100</v>
      </c>
      <c r="G37" s="959"/>
      <c r="H37" s="916">
        <f>SUMIF(112:112,G37,113:113)-SUMIF(112:112,C37,113:113)+100</f>
        <v>100</v>
      </c>
      <c r="I37" s="959"/>
      <c r="J37" s="916">
        <f>SUMIF(112:112,I37,113:113)-SUMIF(112:112,C37,113:113)+100</f>
        <v>100</v>
      </c>
      <c r="K37" s="1047"/>
      <c r="L37" s="1031"/>
      <c r="M37" s="1032"/>
      <c r="N37" s="1032"/>
      <c r="O37" s="1032"/>
      <c r="P37" s="3539"/>
      <c r="Q37" s="1074" t="str">
        <f t="shared" si="11"/>
        <v>市政基础设施</v>
      </c>
      <c r="R37" s="1070" t="s">
        <v>1336</v>
      </c>
      <c r="S37" s="1071">
        <f t="shared" si="12"/>
        <v>100</v>
      </c>
      <c r="T37" s="1070" t="s">
        <v>1336</v>
      </c>
      <c r="U37" s="1071">
        <f t="shared" si="13"/>
        <v>100</v>
      </c>
      <c r="V37" s="1070" t="s">
        <v>1336</v>
      </c>
      <c r="W37" s="1071">
        <f t="shared" si="14"/>
        <v>100</v>
      </c>
      <c r="X37" s="1072"/>
      <c r="Y37" s="3476"/>
      <c r="Z37" s="1085" t="str">
        <f t="shared" si="15"/>
        <v>市政基础设施</v>
      </c>
      <c r="AA37" s="1084">
        <f t="shared" si="3"/>
        <v>1</v>
      </c>
      <c r="AB37" s="1084">
        <f t="shared" si="4"/>
        <v>1</v>
      </c>
      <c r="AC37" s="1084">
        <f t="shared" si="5"/>
        <v>1</v>
      </c>
    </row>
    <row r="38" spans="1:29" ht="15">
      <c r="A38" s="958"/>
      <c r="B38" s="904" t="s">
        <v>1413</v>
      </c>
      <c r="C38" s="959"/>
      <c r="D38" s="916">
        <v>100</v>
      </c>
      <c r="E38" s="959"/>
      <c r="F38" s="1338">
        <f>SUMIF(114:114,E38,115:115)-SUMIF(114:114,C38,115:115)+100</f>
        <v>100</v>
      </c>
      <c r="G38" s="959"/>
      <c r="H38" s="916">
        <f>SUMIF(114:114,G38,115:115)-SUMIF(114:114,C38,115:115)+100</f>
        <v>100</v>
      </c>
      <c r="I38" s="959"/>
      <c r="J38" s="916">
        <f>SUMIF(114:114,I38,115:115)-SUMIF(114:114,C38,115:115)+100</f>
        <v>100</v>
      </c>
      <c r="K38" s="1047"/>
      <c r="L38" s="1041"/>
      <c r="M38" s="1029"/>
      <c r="N38" s="1029"/>
      <c r="O38" s="1029"/>
      <c r="P38" s="3539" t="s">
        <v>1351</v>
      </c>
      <c r="Q38" s="652" t="str">
        <f t="shared" si="11"/>
        <v>业态</v>
      </c>
      <c r="R38" s="1075" t="s">
        <v>1336</v>
      </c>
      <c r="S38" s="1076">
        <f t="shared" si="12"/>
        <v>100</v>
      </c>
      <c r="T38" s="1075" t="s">
        <v>1336</v>
      </c>
      <c r="U38" s="1076">
        <f t="shared" si="13"/>
        <v>100</v>
      </c>
      <c r="V38" s="1075" t="s">
        <v>1336</v>
      </c>
      <c r="W38" s="1076">
        <f t="shared" si="14"/>
        <v>100</v>
      </c>
      <c r="X38" s="1069"/>
      <c r="Y38" s="3476" t="s">
        <v>1351</v>
      </c>
      <c r="Z38" s="1061" t="str">
        <f t="shared" si="15"/>
        <v>业态</v>
      </c>
      <c r="AA38" s="1086">
        <f t="shared" si="3"/>
        <v>1</v>
      </c>
      <c r="AB38" s="1086">
        <f t="shared" si="4"/>
        <v>1</v>
      </c>
      <c r="AC38" s="1086">
        <f t="shared" si="5"/>
        <v>1</v>
      </c>
    </row>
    <row r="39" spans="1:29" ht="15">
      <c r="A39" s="958"/>
      <c r="B39" s="904" t="s">
        <v>1414</v>
      </c>
      <c r="C39" s="959"/>
      <c r="D39" s="916">
        <v>100</v>
      </c>
      <c r="E39" s="959"/>
      <c r="F39" s="1338">
        <f>SUMIF(116:116,E39,117:117)-SUMIF(116:116,C39,117:117)+100</f>
        <v>100</v>
      </c>
      <c r="G39" s="959"/>
      <c r="H39" s="916">
        <f>SUMIF(116:116,G39,117:117)-SUMIF(116:116,C39,117:117)+100</f>
        <v>100</v>
      </c>
      <c r="I39" s="959"/>
      <c r="J39" s="916">
        <f>SUMIF(116:116,I39,117:117)-SUMIF(116:116,C39,117:117)+100</f>
        <v>100</v>
      </c>
      <c r="K39" s="1047"/>
      <c r="L39" s="1041"/>
      <c r="M39" s="1029"/>
      <c r="N39" s="1029"/>
      <c r="O39" s="1029"/>
      <c r="P39" s="3539"/>
      <c r="Q39" s="652" t="str">
        <f t="shared" si="11"/>
        <v>层高</v>
      </c>
      <c r="R39" s="1075" t="s">
        <v>1336</v>
      </c>
      <c r="S39" s="1076">
        <f t="shared" si="12"/>
        <v>100</v>
      </c>
      <c r="T39" s="1075" t="s">
        <v>1336</v>
      </c>
      <c r="U39" s="1076">
        <f t="shared" si="13"/>
        <v>100</v>
      </c>
      <c r="V39" s="1075" t="s">
        <v>1336</v>
      </c>
      <c r="W39" s="1076">
        <f t="shared" si="14"/>
        <v>100</v>
      </c>
      <c r="X39" s="1069"/>
      <c r="Y39" s="3476"/>
      <c r="Z39" s="1061" t="str">
        <f t="shared" si="15"/>
        <v>层高</v>
      </c>
      <c r="AA39" s="1086">
        <f t="shared" si="3"/>
        <v>1</v>
      </c>
      <c r="AB39" s="1086">
        <f t="shared" si="4"/>
        <v>1</v>
      </c>
      <c r="AC39" s="1086">
        <f t="shared" si="5"/>
        <v>1</v>
      </c>
    </row>
    <row r="40" spans="1:29" ht="15">
      <c r="A40" s="958"/>
      <c r="B40" s="904" t="s">
        <v>1415</v>
      </c>
      <c r="C40" s="1496"/>
      <c r="D40" s="916">
        <v>100</v>
      </c>
      <c r="E40" s="1497"/>
      <c r="F40" s="1338">
        <f>SUMIF(118:118,E40,119:119)-SUMIF(118:118,C40,119:119)+100</f>
        <v>100</v>
      </c>
      <c r="G40" s="1497"/>
      <c r="H40" s="916">
        <f>SUMIF(118:118,G40,119:119)-SUMIF(118:118,C40,119:119)+100</f>
        <v>100</v>
      </c>
      <c r="I40" s="1497"/>
      <c r="J40" s="916">
        <f>SUMIF(118:118,I40,119:119)-SUMIF(118:118,C40,119:119)+100</f>
        <v>100</v>
      </c>
      <c r="K40" s="1046"/>
      <c r="L40" s="1041"/>
      <c r="M40" s="1029"/>
      <c r="N40" s="1029"/>
      <c r="O40" s="1029"/>
      <c r="P40" s="3539"/>
      <c r="Q40" s="652" t="str">
        <f t="shared" si="11"/>
        <v>单套建筑面积</v>
      </c>
      <c r="R40" s="1075" t="s">
        <v>1336</v>
      </c>
      <c r="S40" s="1076">
        <f t="shared" si="12"/>
        <v>100</v>
      </c>
      <c r="T40" s="1075" t="s">
        <v>1336</v>
      </c>
      <c r="U40" s="1076">
        <f t="shared" si="13"/>
        <v>100</v>
      </c>
      <c r="V40" s="1075" t="s">
        <v>1336</v>
      </c>
      <c r="W40" s="1076">
        <f t="shared" si="14"/>
        <v>100</v>
      </c>
      <c r="X40" s="1069"/>
      <c r="Y40" s="3476"/>
      <c r="Z40" s="1061" t="str">
        <f t="shared" si="15"/>
        <v>单套建筑面积</v>
      </c>
      <c r="AA40" s="1086">
        <f t="shared" si="3"/>
        <v>1</v>
      </c>
      <c r="AB40" s="1086">
        <f t="shared" si="4"/>
        <v>1</v>
      </c>
      <c r="AC40" s="1086">
        <f t="shared" si="5"/>
        <v>1</v>
      </c>
    </row>
    <row r="41" spans="1:29" s="868" customFormat="1" ht="15">
      <c r="A41" s="963"/>
      <c r="B41" s="1056" t="s">
        <v>1416</v>
      </c>
      <c r="C41" s="941"/>
      <c r="D41" s="916">
        <v>100</v>
      </c>
      <c r="E41" s="941"/>
      <c r="F41" s="1338">
        <f>SUMIF(120:120,E41,121:121)-SUMIF(120:120,C41,121:121)+100</f>
        <v>100</v>
      </c>
      <c r="G41" s="941"/>
      <c r="H41" s="916">
        <f>SUMIF(120:120,G41,121:121)-SUMIF(120:120,C41,121:121)+100</f>
        <v>100</v>
      </c>
      <c r="I41" s="941"/>
      <c r="J41" s="916">
        <f>SUMIF(120:120,I41,121:121)-SUMIF(120:120,C41,121:121)+100</f>
        <v>100</v>
      </c>
      <c r="K41" s="1047"/>
      <c r="L41" s="1039"/>
      <c r="M41" s="1048"/>
      <c r="N41" s="1048"/>
      <c r="O41" s="1048"/>
      <c r="P41" s="3539"/>
      <c r="Q41" s="1377" t="str">
        <f t="shared" si="11"/>
        <v>进深比</v>
      </c>
      <c r="R41" s="1077" t="s">
        <v>1336</v>
      </c>
      <c r="S41" s="1078">
        <f t="shared" si="12"/>
        <v>100</v>
      </c>
      <c r="T41" s="1077" t="s">
        <v>1336</v>
      </c>
      <c r="U41" s="1078">
        <f t="shared" si="13"/>
        <v>100</v>
      </c>
      <c r="V41" s="1077" t="s">
        <v>1336</v>
      </c>
      <c r="W41" s="1078">
        <f t="shared" si="14"/>
        <v>100</v>
      </c>
      <c r="X41" s="1079"/>
      <c r="Y41" s="3476"/>
      <c r="Z41" s="1087" t="str">
        <f t="shared" si="15"/>
        <v>进深比</v>
      </c>
      <c r="AA41" s="1086">
        <f t="shared" si="3"/>
        <v>1</v>
      </c>
      <c r="AB41" s="1086">
        <f t="shared" si="4"/>
        <v>1</v>
      </c>
      <c r="AC41" s="1086">
        <f t="shared" si="5"/>
        <v>1</v>
      </c>
    </row>
    <row r="42" spans="1:29" ht="15">
      <c r="A42" s="958"/>
      <c r="B42" s="904" t="s">
        <v>1360</v>
      </c>
      <c r="C42" s="959"/>
      <c r="D42" s="916">
        <v>100</v>
      </c>
      <c r="E42" s="959"/>
      <c r="F42" s="1338">
        <f>SUMIF(122:122,E42,123:123)-SUMIF(122:122,C42,123:123)+100</f>
        <v>100</v>
      </c>
      <c r="G42" s="959"/>
      <c r="H42" s="916">
        <f>SUMIF(122:122,G42,123:123)-SUMIF(122:122,C42,123:123)+100</f>
        <v>100</v>
      </c>
      <c r="I42" s="959"/>
      <c r="J42" s="916">
        <f>SUMIF(122:122,I42,123:123)-SUMIF(122:122,C42,123:123)+100</f>
        <v>100</v>
      </c>
      <c r="K42" s="1047"/>
      <c r="L42" s="1041"/>
      <c r="M42" s="1029"/>
      <c r="N42" s="1029"/>
      <c r="O42" s="1029"/>
      <c r="P42" s="3539"/>
      <c r="Q42" s="652" t="str">
        <f t="shared" si="11"/>
        <v>内部装修</v>
      </c>
      <c r="R42" s="1075" t="s">
        <v>1336</v>
      </c>
      <c r="S42" s="1076">
        <f t="shared" si="12"/>
        <v>100</v>
      </c>
      <c r="T42" s="1075" t="s">
        <v>1336</v>
      </c>
      <c r="U42" s="1076">
        <f t="shared" si="13"/>
        <v>100</v>
      </c>
      <c r="V42" s="1075" t="s">
        <v>1336</v>
      </c>
      <c r="W42" s="1076">
        <f t="shared" si="14"/>
        <v>100</v>
      </c>
      <c r="X42" s="1069"/>
      <c r="Y42" s="3476"/>
      <c r="Z42" s="1061" t="str">
        <f t="shared" si="15"/>
        <v>内部装修</v>
      </c>
      <c r="AA42" s="1086">
        <f t="shared" si="3"/>
        <v>1</v>
      </c>
      <c r="AB42" s="1086">
        <f t="shared" si="4"/>
        <v>1</v>
      </c>
      <c r="AC42" s="1086">
        <f t="shared" si="5"/>
        <v>1</v>
      </c>
    </row>
    <row r="43" spans="1:29" ht="15">
      <c r="A43" s="958"/>
      <c r="B43" s="904" t="s">
        <v>1361</v>
      </c>
      <c r="C43" s="959"/>
      <c r="D43" s="916">
        <v>100</v>
      </c>
      <c r="E43" s="959"/>
      <c r="F43" s="1338">
        <f>SUMIF(124:124,E43,125:125)-SUMIF(124:124,C43,125:125)+100</f>
        <v>100</v>
      </c>
      <c r="G43" s="959"/>
      <c r="H43" s="916">
        <f>SUMIF(124:124,G43,125:125)-SUMIF(124:124,C43,125:125)+100</f>
        <v>100</v>
      </c>
      <c r="I43" s="959"/>
      <c r="J43" s="916">
        <f>SUMIF(124:124,I43,125:125)-SUMIF(124:124,C43,125:125)+100</f>
        <v>100</v>
      </c>
      <c r="K43" s="1047"/>
      <c r="L43" s="1041"/>
      <c r="M43" s="1029"/>
      <c r="N43" s="1029"/>
      <c r="O43" s="1029"/>
      <c r="P43" s="3539"/>
      <c r="Q43" s="652" t="str">
        <f t="shared" si="11"/>
        <v>内部装修维护情况</v>
      </c>
      <c r="R43" s="1075" t="s">
        <v>1336</v>
      </c>
      <c r="S43" s="1076">
        <f t="shared" si="12"/>
        <v>100</v>
      </c>
      <c r="T43" s="1075" t="s">
        <v>1336</v>
      </c>
      <c r="U43" s="1076">
        <f t="shared" si="13"/>
        <v>100</v>
      </c>
      <c r="V43" s="1075" t="s">
        <v>1336</v>
      </c>
      <c r="W43" s="1076">
        <f t="shared" si="14"/>
        <v>100</v>
      </c>
      <c r="X43" s="1069"/>
      <c r="Y43" s="3476"/>
      <c r="Z43" s="1061" t="str">
        <f t="shared" si="15"/>
        <v>内部装修维护情况</v>
      </c>
      <c r="AA43" s="1086">
        <f t="shared" si="3"/>
        <v>1</v>
      </c>
      <c r="AB43" s="1086">
        <f t="shared" si="4"/>
        <v>1</v>
      </c>
      <c r="AC43" s="1086">
        <f t="shared" si="5"/>
        <v>1</v>
      </c>
    </row>
    <row r="44" spans="1:29" s="866" customFormat="1" ht="15">
      <c r="A44" s="960"/>
      <c r="B44" s="1292">
        <v>111</v>
      </c>
      <c r="C44" s="1332"/>
      <c r="D44" s="906">
        <v>100</v>
      </c>
      <c r="E44" s="915"/>
      <c r="F44" s="1331">
        <f>SUMIF(126:126,E44,127:127)-SUMIF(126:126,C44,127:127)+100</f>
        <v>100</v>
      </c>
      <c r="G44" s="915"/>
      <c r="H44" s="906">
        <f>SUMIF(126:126,G44,127:127)-SUMIF(126:126,C44,127:127)+100</f>
        <v>100</v>
      </c>
      <c r="I44" s="915"/>
      <c r="J44" s="906">
        <f>SUMIF(126:126,I44,127:127)-SUMIF(126:126,C44,127:127)+100</f>
        <v>100</v>
      </c>
      <c r="K44" s="1046"/>
      <c r="L44" s="1031"/>
      <c r="M44" s="1032"/>
      <c r="N44" s="1032"/>
      <c r="O44" s="1032"/>
      <c r="P44" s="3539"/>
      <c r="Q44" s="1074">
        <f t="shared" si="11"/>
        <v>111</v>
      </c>
      <c r="R44" s="1070" t="s">
        <v>1336</v>
      </c>
      <c r="S44" s="1071">
        <f t="shared" si="12"/>
        <v>100</v>
      </c>
      <c r="T44" s="1070" t="s">
        <v>1336</v>
      </c>
      <c r="U44" s="1071">
        <f t="shared" si="13"/>
        <v>100</v>
      </c>
      <c r="V44" s="1070" t="s">
        <v>1336</v>
      </c>
      <c r="W44" s="1071">
        <f t="shared" si="14"/>
        <v>100</v>
      </c>
      <c r="X44" s="1072"/>
      <c r="Y44" s="3476"/>
      <c r="Z44" s="1085">
        <f t="shared" si="15"/>
        <v>111</v>
      </c>
      <c r="AA44" s="1084">
        <f t="shared" si="3"/>
        <v>1</v>
      </c>
      <c r="AB44" s="1084">
        <f t="shared" si="4"/>
        <v>1</v>
      </c>
      <c r="AC44" s="1084">
        <f t="shared" si="5"/>
        <v>1</v>
      </c>
    </row>
    <row r="45" spans="1:29" ht="15">
      <c r="A45" s="958"/>
      <c r="B45" s="1292">
        <v>111</v>
      </c>
      <c r="C45" s="915"/>
      <c r="D45" s="916">
        <v>100</v>
      </c>
      <c r="E45" s="915"/>
      <c r="F45" s="1338">
        <f>SUMIF(128:128,E45,129:129)-SUMIF(128:128,C45,129:129)+100</f>
        <v>100</v>
      </c>
      <c r="G45" s="915"/>
      <c r="H45" s="916">
        <f>SUMIF(128:128,G45,129:129)-SUMIF(128:128,C45,129:129)+100</f>
        <v>100</v>
      </c>
      <c r="I45" s="915"/>
      <c r="J45" s="916">
        <f>SUMIF(128:128,I45,129:129)-SUMIF(128:128,C45,129:129)+100</f>
        <v>100</v>
      </c>
      <c r="K45" s="1046"/>
      <c r="L45" s="1041"/>
      <c r="M45" s="1029"/>
      <c r="N45" s="1029"/>
      <c r="O45" s="1029"/>
      <c r="P45" s="3539"/>
      <c r="Q45" s="652">
        <f t="shared" si="11"/>
        <v>111</v>
      </c>
      <c r="R45" s="1075" t="s">
        <v>1336</v>
      </c>
      <c r="S45" s="1076">
        <f t="shared" si="12"/>
        <v>100</v>
      </c>
      <c r="T45" s="1075" t="s">
        <v>1336</v>
      </c>
      <c r="U45" s="1076">
        <f t="shared" si="13"/>
        <v>100</v>
      </c>
      <c r="V45" s="1075" t="s">
        <v>1336</v>
      </c>
      <c r="W45" s="1076">
        <f t="shared" si="14"/>
        <v>100</v>
      </c>
      <c r="X45" s="1069"/>
      <c r="Y45" s="3476"/>
      <c r="Z45" s="1061">
        <f t="shared" si="15"/>
        <v>111</v>
      </c>
      <c r="AA45" s="1086">
        <f t="shared" si="3"/>
        <v>1</v>
      </c>
      <c r="AB45" s="1086">
        <f t="shared" si="4"/>
        <v>1</v>
      </c>
      <c r="AC45" s="1086">
        <f t="shared" si="5"/>
        <v>1</v>
      </c>
    </row>
    <row r="46" spans="1:29" ht="15">
      <c r="A46" s="1350"/>
      <c r="B46" s="918">
        <v>111</v>
      </c>
      <c r="C46" s="919"/>
      <c r="D46" s="920">
        <v>100</v>
      </c>
      <c r="E46" s="915"/>
      <c r="F46" s="1351">
        <f>SUMIF(130:130,E46,131:131)-SUMIF(130:130,C46,131:131)+100</f>
        <v>100</v>
      </c>
      <c r="G46" s="915"/>
      <c r="H46" s="920">
        <f>SUMIF(130:130,G46,131:131)-SUMIF(130:130,C46,131:131)+100</f>
        <v>100</v>
      </c>
      <c r="I46" s="915"/>
      <c r="J46" s="920">
        <f>SUMIF(130:130,I46,131:131)-SUMIF(130:130,C46,131:131)+100</f>
        <v>100</v>
      </c>
      <c r="K46" s="1046"/>
      <c r="L46" s="1041"/>
      <c r="M46" s="1029"/>
      <c r="N46" s="1029"/>
      <c r="O46" s="1029"/>
      <c r="P46" s="3540"/>
      <c r="Q46" s="652">
        <f t="shared" si="11"/>
        <v>111</v>
      </c>
      <c r="R46" s="1075" t="s">
        <v>1336</v>
      </c>
      <c r="S46" s="1076">
        <f t="shared" si="12"/>
        <v>100</v>
      </c>
      <c r="T46" s="1075" t="s">
        <v>1336</v>
      </c>
      <c r="U46" s="1076">
        <f t="shared" si="13"/>
        <v>100</v>
      </c>
      <c r="V46" s="1075" t="s">
        <v>1336</v>
      </c>
      <c r="W46" s="1076">
        <f t="shared" si="14"/>
        <v>100</v>
      </c>
      <c r="X46" s="1069"/>
      <c r="Y46" s="3541"/>
      <c r="Z46" s="1061">
        <f t="shared" si="15"/>
        <v>111</v>
      </c>
      <c r="AA46" s="1086">
        <f t="shared" si="3"/>
        <v>1</v>
      </c>
      <c r="AB46" s="1086">
        <f t="shared" si="4"/>
        <v>1</v>
      </c>
      <c r="AC46" s="1086">
        <f t="shared" si="5"/>
        <v>1</v>
      </c>
    </row>
    <row r="47" spans="1:29" ht="15">
      <c r="A47" s="965" t="s">
        <v>1362</v>
      </c>
      <c r="B47" s="1352"/>
      <c r="C47" s="1353" t="s">
        <v>124</v>
      </c>
      <c r="D47" s="1354"/>
      <c r="E47" s="1355"/>
      <c r="F47" s="1356"/>
      <c r="G47" s="1357"/>
      <c r="H47" s="1358"/>
      <c r="I47" s="1355"/>
      <c r="J47" s="1358"/>
      <c r="K47" s="1052"/>
      <c r="L47" s="1053"/>
      <c r="M47" s="982"/>
      <c r="N47" s="1029"/>
      <c r="O47" s="982"/>
      <c r="P47" s="3472" t="str">
        <f>A47</f>
        <v>成交单价（元/平方米）</v>
      </c>
      <c r="Q47" s="3472"/>
      <c r="R47" s="3481">
        <f>E47</f>
        <v>0</v>
      </c>
      <c r="S47" s="3481"/>
      <c r="T47" s="3481">
        <f>G47</f>
        <v>0</v>
      </c>
      <c r="U47" s="3481"/>
      <c r="V47" s="3481">
        <f>I47</f>
        <v>0</v>
      </c>
      <c r="W47" s="3481"/>
      <c r="X47" s="1017"/>
      <c r="Y47" s="1088"/>
      <c r="Z47" s="1017"/>
      <c r="AA47" s="1017"/>
      <c r="AB47" s="1017"/>
      <c r="AC47" s="1017"/>
    </row>
    <row r="48" spans="1:29" ht="15">
      <c r="A48" s="973" t="s">
        <v>1363</v>
      </c>
      <c r="B48" s="1359"/>
      <c r="C48" s="1360" t="e">
        <f>R49</f>
        <v>#DIV/0!</v>
      </c>
      <c r="D48" s="1361"/>
      <c r="E48" s="1362" t="e">
        <f>R48</f>
        <v>#DIV/0!</v>
      </c>
      <c r="F48" s="1362"/>
      <c r="G48" s="1360" t="e">
        <f>T48</f>
        <v>#DIV/0!</v>
      </c>
      <c r="H48" s="1361"/>
      <c r="I48" s="1362" t="e">
        <f>V48</f>
        <v>#DIV/0!</v>
      </c>
      <c r="J48" s="1361"/>
      <c r="K48" s="1054"/>
      <c r="L48" s="1053"/>
      <c r="M48" s="982"/>
      <c r="N48" s="1029"/>
      <c r="O48" s="982"/>
      <c r="P48" s="3472" t="str">
        <f>A48</f>
        <v>比较价值（元/平方米）</v>
      </c>
      <c r="Q48" s="3472"/>
      <c r="R48" s="3535" t="e">
        <f>IF(F1="售价",ROUND(PRODUCT(R47,AA7:AA46),0),ROUND(PRODUCT(R47,AA7:AA46),1))</f>
        <v>#DIV/0!</v>
      </c>
      <c r="S48" s="3535"/>
      <c r="T48" s="3535" t="e">
        <f>IF(F1="售价",ROUND(PRODUCT(T47,AB7:AB46),0),ROUND(PRODUCT(T47,AB7:AB46),1))</f>
        <v>#DIV/0!</v>
      </c>
      <c r="U48" s="3535"/>
      <c r="V48" s="3535" t="e">
        <f>IF(F1="售价",ROUND(PRODUCT(V47,AC7:AC46),0),ROUND(PRODUCT(V47,AC7:AC46),1))</f>
        <v>#DIV/0!</v>
      </c>
      <c r="W48" s="3535"/>
      <c r="X48" s="1017"/>
      <c r="Y48" s="1017"/>
      <c r="Z48" s="1017"/>
      <c r="AA48" s="1017"/>
      <c r="AB48" s="1017"/>
      <c r="AC48" s="1017"/>
    </row>
    <row r="49" spans="1:29" ht="15">
      <c r="A49" s="979" t="s">
        <v>1364</v>
      </c>
      <c r="B49" s="980"/>
      <c r="C49" s="1363" t="e">
        <f>R49</f>
        <v>#DIV/0!</v>
      </c>
      <c r="D49" s="1363"/>
      <c r="E49" s="1363"/>
      <c r="F49" s="1363"/>
      <c r="G49" s="1363"/>
      <c r="H49" s="1363"/>
      <c r="I49" s="1363"/>
      <c r="J49" s="1363"/>
      <c r="K49" s="1055"/>
      <c r="L49" s="1053"/>
      <c r="M49" s="982"/>
      <c r="N49" s="1029"/>
      <c r="O49" s="982"/>
      <c r="P49" s="3478" t="str">
        <f>A49</f>
        <v>估价对象XX用房的比较价值（楼面单价，元/平方米）</v>
      </c>
      <c r="Q49" s="3479"/>
      <c r="R49" s="3542" t="e">
        <f>IF(F1="售价",ROUND(AVERAGE(R48:V48),0),ROUND(AVERAGE(R48:V48),1))</f>
        <v>#DIV/0!</v>
      </c>
      <c r="S49" s="3542"/>
      <c r="T49" s="3542"/>
      <c r="U49" s="3542"/>
      <c r="V49" s="3542"/>
      <c r="W49" s="3542"/>
      <c r="X49" s="1017"/>
      <c r="Y49" s="1017"/>
      <c r="Z49" s="1017"/>
      <c r="AA49" s="1017"/>
      <c r="AB49" s="1017"/>
      <c r="AC49" s="1017"/>
    </row>
    <row r="50" spans="1:29">
      <c r="A50" s="982"/>
      <c r="B50" s="982"/>
      <c r="C50" s="982"/>
      <c r="D50" s="982"/>
      <c r="E50" s="982"/>
      <c r="F50" s="982"/>
      <c r="G50" s="983"/>
      <c r="H50" s="982"/>
      <c r="I50" s="982"/>
      <c r="J50" s="982"/>
      <c r="K50" s="1057"/>
      <c r="L50" s="1058"/>
      <c r="M50" s="982"/>
      <c r="N50" s="982"/>
      <c r="O50" s="982"/>
      <c r="P50" s="948"/>
      <c r="Q50" s="1017"/>
      <c r="R50" s="1017"/>
      <c r="S50" s="1017"/>
      <c r="T50" s="1017"/>
      <c r="U50" s="1017"/>
      <c r="V50" s="1017"/>
      <c r="W50" s="1017"/>
      <c r="X50" s="1017"/>
      <c r="Y50" s="1017"/>
      <c r="Z50" s="1017"/>
      <c r="AA50" s="1017"/>
      <c r="AB50" s="1017"/>
      <c r="AC50" s="1017"/>
    </row>
    <row r="51" spans="1:29">
      <c r="A51" s="982"/>
      <c r="B51" s="982"/>
      <c r="C51" s="982"/>
      <c r="D51" s="982"/>
      <c r="E51" s="982"/>
      <c r="F51" s="982"/>
      <c r="G51" s="982"/>
      <c r="H51" s="982"/>
      <c r="I51" s="982"/>
      <c r="J51" s="982"/>
      <c r="K51" s="1057"/>
      <c r="L51" s="1058"/>
      <c r="M51" s="982"/>
      <c r="N51" s="982"/>
      <c r="O51" s="982"/>
      <c r="P51" s="948"/>
      <c r="Q51" s="1017"/>
      <c r="R51" s="1017"/>
      <c r="S51" s="1017"/>
      <c r="T51" s="1017"/>
      <c r="U51" s="1017"/>
      <c r="V51" s="1017"/>
      <c r="W51" s="1017"/>
      <c r="X51" s="1017"/>
      <c r="Y51" s="1017"/>
      <c r="Z51" s="1017"/>
      <c r="AA51" s="1017"/>
      <c r="AB51" s="1017"/>
      <c r="AC51" s="1017"/>
    </row>
    <row r="52" spans="1:29" ht="13.5" customHeight="1">
      <c r="A52" s="982"/>
      <c r="B52" s="982"/>
      <c r="C52" s="984" t="s">
        <v>1365</v>
      </c>
      <c r="D52" s="692"/>
      <c r="E52" s="985" t="e">
        <f>IF(E47&lt;E48,E48/E47-1,E47/E48-1)</f>
        <v>#DIV/0!</v>
      </c>
      <c r="F52" s="986" t="e">
        <f>IF(OR(E52&gt;=0.3,E52&lt;=-0.3),"超过30%","")</f>
        <v>#DIV/0!</v>
      </c>
      <c r="G52" s="985" t="e">
        <f>IF(G47&lt;G48,G48/G47-1,G47/G48-1)</f>
        <v>#DIV/0!</v>
      </c>
      <c r="H52" s="986" t="e">
        <f>IF(OR(G52&gt;=0.3,G52&lt;=-0.3),"超过30%","")</f>
        <v>#DIV/0!</v>
      </c>
      <c r="I52" s="985" t="e">
        <f>IF(I47&lt;I48,I48/I47-1,I47/I48-1)</f>
        <v>#DIV/0!</v>
      </c>
      <c r="J52" s="986" t="e">
        <f>IF(OR(I52&gt;=0.3,I52&lt;=-0.3),"超过30%","")</f>
        <v>#DIV/0!</v>
      </c>
      <c r="K52" s="1057"/>
      <c r="L52" s="1058"/>
      <c r="M52" s="982"/>
      <c r="N52" s="982"/>
      <c r="O52" s="982"/>
      <c r="P52" s="948"/>
      <c r="Q52" s="1017"/>
      <c r="R52" s="1017"/>
      <c r="S52" s="1017"/>
      <c r="T52" s="1017"/>
      <c r="U52" s="1017"/>
      <c r="V52" s="1017"/>
      <c r="W52" s="1017"/>
      <c r="X52" s="1017"/>
      <c r="Y52" s="1017"/>
      <c r="Z52" s="1017"/>
      <c r="AA52" s="1017"/>
      <c r="AB52" s="1017"/>
      <c r="AC52" s="1017"/>
    </row>
    <row r="53" spans="1:29" ht="13.5" customHeight="1">
      <c r="A53" s="982"/>
      <c r="B53" s="982"/>
      <c r="C53" s="984" t="s">
        <v>1366</v>
      </c>
      <c r="D53" s="691"/>
      <c r="E53" s="985" t="e">
        <f>IF(E48&lt;G48,G48/E48-1,E48/G48-1)</f>
        <v>#DIV/0!</v>
      </c>
      <c r="F53" s="986" t="e">
        <f>IF(OR(E53&gt;=0.2,E53&lt;=-0.2),"超过20%","")</f>
        <v>#DIV/0!</v>
      </c>
      <c r="G53" s="985" t="e">
        <f>IF(G48&lt;I48,I48/G48-1,G48/I48-1)</f>
        <v>#DIV/0!</v>
      </c>
      <c r="H53" s="986" t="e">
        <f>IF(OR(G53&gt;=0.2,G53&lt;=-0.2),"超过20%","")</f>
        <v>#DIV/0!</v>
      </c>
      <c r="I53" s="985" t="e">
        <f>IF(I48&lt;E48,E48/I48-1,I48/E48-1)</f>
        <v>#DIV/0!</v>
      </c>
      <c r="J53" s="986" t="e">
        <f>IF(OR(I53&gt;=0.2,I53&lt;=-0.2),"超过20%","")</f>
        <v>#DIV/0!</v>
      </c>
      <c r="K53" s="1057"/>
      <c r="L53" s="1058"/>
      <c r="M53" s="982"/>
      <c r="N53" s="982"/>
      <c r="O53" s="982"/>
      <c r="P53" s="948"/>
      <c r="Q53" s="1017"/>
      <c r="R53" s="1017"/>
      <c r="S53" s="1017"/>
      <c r="T53" s="1017"/>
      <c r="U53" s="1017"/>
      <c r="V53" s="1017"/>
      <c r="W53" s="1017"/>
      <c r="X53" s="1017"/>
      <c r="Y53" s="1017"/>
      <c r="Z53" s="1017"/>
      <c r="AA53" s="1017"/>
      <c r="AB53" s="1017"/>
      <c r="AC53" s="1017"/>
    </row>
    <row r="54" spans="1:29" s="869" customFormat="1" ht="13.5" customHeight="1">
      <c r="A54" s="987"/>
      <c r="B54" s="987"/>
      <c r="C54" s="984" t="s">
        <v>1367</v>
      </c>
      <c r="D54" s="691"/>
      <c r="E54" s="985" t="e">
        <f>IF(E47&lt;G47,G47/E47-1,E47/G47-1)</f>
        <v>#DIV/0!</v>
      </c>
      <c r="F54" s="986" t="e">
        <f>IF(OR(E54&gt;=0.3,E54&lt;=-0.3),"超过30%","")</f>
        <v>#DIV/0!</v>
      </c>
      <c r="G54" s="985" t="e">
        <f>IF(G47&lt;I47,I47/G47-1,G47/I47-1)</f>
        <v>#DIV/0!</v>
      </c>
      <c r="H54" s="986" t="e">
        <f>IF(OR(G54&gt;=0.3,G54&lt;=-0.3),"超过30%","")</f>
        <v>#DIV/0!</v>
      </c>
      <c r="I54" s="985" t="e">
        <f>IF(I47&lt;E47,E47/I47-1,I47/E47-1)</f>
        <v>#DIV/0!</v>
      </c>
      <c r="J54" s="986" t="e">
        <f>IF(OR(I54&gt;=0.3,I54&lt;=-0.3),"超过30%","")</f>
        <v>#DIV/0!</v>
      </c>
      <c r="K54" s="1059"/>
      <c r="L54" s="1060"/>
      <c r="M54" s="987"/>
      <c r="N54" s="987"/>
      <c r="O54" s="987"/>
      <c r="P54" s="1500"/>
      <c r="Q54" s="990"/>
      <c r="R54" s="990"/>
      <c r="S54" s="990"/>
      <c r="T54" s="990"/>
      <c r="U54" s="990"/>
      <c r="V54" s="990"/>
      <c r="W54" s="990"/>
      <c r="X54" s="990"/>
      <c r="Y54" s="990"/>
      <c r="Z54" s="990"/>
      <c r="AA54" s="990"/>
      <c r="AB54" s="990"/>
      <c r="AC54" s="990"/>
    </row>
    <row r="55" spans="1:29" s="869" customFormat="1">
      <c r="A55" s="987"/>
      <c r="B55" s="988"/>
      <c r="C55" s="1014"/>
      <c r="D55" s="987"/>
      <c r="E55" s="987"/>
      <c r="F55" s="987"/>
      <c r="G55" s="987"/>
      <c r="H55" s="987"/>
      <c r="I55" s="987"/>
      <c r="J55" s="987"/>
      <c r="K55" s="1059"/>
      <c r="L55" s="1060"/>
      <c r="M55" s="987"/>
      <c r="N55" s="987"/>
      <c r="O55" s="987"/>
      <c r="P55" s="1500"/>
      <c r="Q55" s="990"/>
      <c r="R55" s="990"/>
      <c r="S55" s="990"/>
      <c r="T55" s="990"/>
      <c r="U55" s="990"/>
      <c r="V55" s="990"/>
      <c r="W55" s="990"/>
      <c r="X55" s="990"/>
      <c r="Y55" s="990"/>
      <c r="Z55" s="990"/>
      <c r="AA55" s="990"/>
      <c r="AB55" s="990"/>
      <c r="AC55" s="990"/>
    </row>
    <row r="56" spans="1:29">
      <c r="A56" s="982"/>
      <c r="B56" s="988"/>
      <c r="C56" s="1014"/>
      <c r="D56" s="982"/>
      <c r="E56" s="982"/>
      <c r="F56" s="982"/>
      <c r="G56" s="982"/>
      <c r="H56" s="982"/>
      <c r="I56" s="982"/>
      <c r="J56" s="982"/>
      <c r="K56" s="1057"/>
      <c r="L56" s="1058"/>
      <c r="M56" s="982"/>
      <c r="N56" s="982"/>
      <c r="O56" s="982"/>
      <c r="P56" s="948"/>
      <c r="Q56" s="1017"/>
      <c r="R56" s="1017"/>
      <c r="S56" s="1017"/>
      <c r="T56" s="1017"/>
      <c r="U56" s="1017"/>
      <c r="V56" s="1017"/>
      <c r="W56" s="1017"/>
      <c r="X56" s="1017"/>
      <c r="Y56" s="1017"/>
      <c r="Z56" s="1017"/>
      <c r="AA56" s="1017"/>
      <c r="AB56" s="1017"/>
      <c r="AC56" s="1017"/>
    </row>
    <row r="57" spans="1:29" ht="21">
      <c r="A57" s="1016" t="s">
        <v>1368</v>
      </c>
      <c r="B57" s="1017"/>
      <c r="C57" s="1018"/>
      <c r="D57" s="1018"/>
      <c r="E57" s="1018"/>
      <c r="F57" s="1019"/>
      <c r="G57" s="1019"/>
      <c r="H57" s="1018"/>
      <c r="I57" s="1018"/>
      <c r="J57" s="1018"/>
      <c r="K57" s="1065"/>
      <c r="L57" s="1310"/>
      <c r="M57" s="1067"/>
      <c r="N57" s="1067"/>
      <c r="O57" s="1067"/>
      <c r="P57" s="1501"/>
      <c r="Q57" s="1507"/>
      <c r="R57" s="1017"/>
      <c r="S57" s="1017"/>
      <c r="T57" s="1017"/>
      <c r="U57" s="1017"/>
      <c r="V57" s="1017"/>
      <c r="W57" s="1017"/>
      <c r="X57" s="1017"/>
      <c r="Y57" s="1017"/>
      <c r="Z57" s="1017"/>
      <c r="AA57" s="1017"/>
      <c r="AB57" s="1017"/>
      <c r="AC57" s="1017"/>
    </row>
    <row r="58" spans="1:29" s="871" customFormat="1" ht="15">
      <c r="A58" s="1364" t="s">
        <v>1334</v>
      </c>
      <c r="B58" s="1365"/>
      <c r="C58" s="1366" t="str">
        <f>YEAR(C7)&amp;"-"&amp;MONTH(C7)</f>
        <v>2018-9</v>
      </c>
      <c r="D58" s="1367">
        <f>EDATE(C58,-1)</f>
        <v>43313</v>
      </c>
      <c r="E58" s="1367">
        <f t="shared" ref="E58:O58" si="16">EDATE(D58,-1)</f>
        <v>43282</v>
      </c>
      <c r="F58" s="1367">
        <f t="shared" si="16"/>
        <v>43252</v>
      </c>
      <c r="G58" s="1367">
        <f t="shared" si="16"/>
        <v>43221</v>
      </c>
      <c r="H58" s="1367">
        <f t="shared" si="16"/>
        <v>43191</v>
      </c>
      <c r="I58" s="1367">
        <f t="shared" si="16"/>
        <v>43160</v>
      </c>
      <c r="J58" s="1367">
        <f t="shared" si="16"/>
        <v>43132</v>
      </c>
      <c r="K58" s="1367">
        <f t="shared" si="16"/>
        <v>43101</v>
      </c>
      <c r="L58" s="1367">
        <f t="shared" si="16"/>
        <v>43070</v>
      </c>
      <c r="M58" s="1367">
        <f t="shared" si="16"/>
        <v>43040</v>
      </c>
      <c r="N58" s="1367">
        <f t="shared" si="16"/>
        <v>43009</v>
      </c>
      <c r="O58" s="1367">
        <f t="shared" si="16"/>
        <v>42979</v>
      </c>
      <c r="P58" s="1502"/>
    </row>
    <row r="59" spans="1:29" s="866" customFormat="1" ht="15">
      <c r="A59" s="1368"/>
      <c r="B59" s="1100"/>
      <c r="C59" s="1369">
        <v>100</v>
      </c>
      <c r="D59" s="1104"/>
      <c r="E59" s="1104"/>
      <c r="F59" s="1104"/>
      <c r="G59" s="1104"/>
      <c r="H59" s="1104"/>
      <c r="I59" s="1104"/>
      <c r="J59" s="1104"/>
      <c r="K59" s="1104"/>
      <c r="L59" s="1104"/>
      <c r="M59" s="1376"/>
      <c r="N59" s="1104"/>
      <c r="O59" s="1376"/>
      <c r="P59" s="1503"/>
    </row>
    <row r="60" spans="1:29" s="866" customFormat="1" ht="15">
      <c r="A60" s="1095" t="s">
        <v>1369</v>
      </c>
      <c r="B60" s="1096"/>
      <c r="C60" s="1097"/>
      <c r="D60" s="1098"/>
      <c r="E60" s="1098"/>
      <c r="F60" s="1098"/>
      <c r="G60" s="1098"/>
      <c r="H60" s="1098"/>
      <c r="I60" s="1098"/>
      <c r="J60" s="1098"/>
      <c r="K60" s="1098"/>
      <c r="L60" s="1098"/>
      <c r="M60" s="1146"/>
      <c r="N60" s="1098"/>
      <c r="O60" s="1146"/>
      <c r="P60" s="1503"/>
      <c r="Q60" s="1080"/>
    </row>
    <row r="61" spans="1:29" s="866" customFormat="1" ht="15">
      <c r="A61" s="1099" t="s">
        <v>1337</v>
      </c>
      <c r="B61" s="1100"/>
      <c r="C61" s="1101" t="s">
        <v>1338</v>
      </c>
      <c r="D61" s="1102"/>
      <c r="E61" s="1102"/>
      <c r="F61" s="1102"/>
      <c r="G61" s="1102"/>
      <c r="H61" s="1102"/>
      <c r="I61" s="1102"/>
      <c r="J61" s="1102"/>
      <c r="K61" s="1102"/>
      <c r="L61" s="1148"/>
      <c r="M61" s="1149"/>
      <c r="N61" s="1150"/>
      <c r="O61" s="1150"/>
      <c r="P61" s="1504"/>
      <c r="Q61" s="1080"/>
    </row>
    <row r="62" spans="1:29" s="866" customFormat="1" ht="15">
      <c r="A62" s="1099"/>
      <c r="B62" s="1100"/>
      <c r="C62" s="1471">
        <v>100</v>
      </c>
      <c r="D62" s="1104"/>
      <c r="E62" s="1104"/>
      <c r="F62" s="1104"/>
      <c r="G62" s="1104"/>
      <c r="H62" s="1104"/>
      <c r="I62" s="1104"/>
      <c r="J62" s="1104"/>
      <c r="K62" s="1104"/>
      <c r="L62" s="1104"/>
      <c r="M62" s="1152"/>
      <c r="N62" s="1150"/>
      <c r="O62" s="1150"/>
      <c r="P62" s="1503"/>
      <c r="Q62" s="1080"/>
    </row>
    <row r="63" spans="1:29">
      <c r="A63" s="1105" t="s">
        <v>1370</v>
      </c>
      <c r="B63" s="1106" t="s">
        <v>346</v>
      </c>
      <c r="C63" s="1128">
        <f>C9</f>
        <v>0</v>
      </c>
      <c r="D63" s="1050"/>
      <c r="E63" s="1050"/>
      <c r="F63" s="1050"/>
      <c r="G63" s="1050"/>
      <c r="H63" s="1050"/>
      <c r="I63" s="1050"/>
      <c r="J63" s="1050"/>
      <c r="K63" s="1153"/>
      <c r="L63" s="1154"/>
      <c r="M63" s="1155"/>
      <c r="N63" s="1156"/>
      <c r="O63" s="1156"/>
      <c r="P63" s="1505"/>
      <c r="Q63" s="1080"/>
    </row>
    <row r="64" spans="1:29" ht="15">
      <c r="A64" s="1107"/>
      <c r="B64" s="1108"/>
      <c r="C64" s="1109">
        <v>100</v>
      </c>
      <c r="D64" s="1109"/>
      <c r="E64" s="1109"/>
      <c r="F64" s="1109"/>
      <c r="G64" s="1109"/>
      <c r="H64" s="1109"/>
      <c r="I64" s="1109"/>
      <c r="J64" s="1109"/>
      <c r="K64" s="1109"/>
      <c r="L64" s="1109"/>
      <c r="M64" s="1158"/>
      <c r="N64" s="1159"/>
      <c r="O64" s="1159"/>
      <c r="P64" s="1505"/>
      <c r="Q64" s="1080"/>
    </row>
    <row r="65" spans="1:17" ht="27">
      <c r="A65" s="1107"/>
      <c r="B65" s="1110" t="s">
        <v>1343</v>
      </c>
      <c r="C65" s="1111" t="s">
        <v>1371</v>
      </c>
      <c r="D65" s="1111" t="s">
        <v>1372</v>
      </c>
      <c r="E65" s="1111" t="s">
        <v>1373</v>
      </c>
      <c r="F65" s="1111" t="s">
        <v>1374</v>
      </c>
      <c r="G65" s="1111" t="s">
        <v>1375</v>
      </c>
      <c r="H65" s="1111" t="s">
        <v>1376</v>
      </c>
      <c r="I65" s="1111" t="s">
        <v>1377</v>
      </c>
      <c r="J65" s="1111"/>
      <c r="K65" s="1160"/>
      <c r="L65" s="1161"/>
      <c r="M65" s="1162"/>
      <c r="N65" s="1156"/>
      <c r="O65" s="1156"/>
      <c r="P65" s="1505"/>
      <c r="Q65" s="1080"/>
    </row>
    <row r="66" spans="1:17" ht="15">
      <c r="A66" s="1107"/>
      <c r="B66" s="1112"/>
      <c r="C66" s="1113" t="s">
        <v>1417</v>
      </c>
      <c r="D66" s="1113" t="s">
        <v>1417</v>
      </c>
      <c r="E66" s="1113" t="s">
        <v>1417</v>
      </c>
      <c r="F66" s="1113">
        <v>100</v>
      </c>
      <c r="G66" s="1113">
        <f>F66-$K10</f>
        <v>100</v>
      </c>
      <c r="H66" s="1113">
        <f>G66-$K10</f>
        <v>100</v>
      </c>
      <c r="I66" s="1113">
        <f>H66-$K10</f>
        <v>100</v>
      </c>
      <c r="J66" s="1113"/>
      <c r="K66" s="1113"/>
      <c r="L66" s="1113"/>
      <c r="M66" s="1163"/>
      <c r="N66" s="1159"/>
      <c r="O66" s="1159"/>
      <c r="P66" s="1505"/>
      <c r="Q66" s="1080"/>
    </row>
    <row r="67" spans="1:17" ht="15">
      <c r="A67" s="1107"/>
      <c r="B67" s="1114" t="s">
        <v>1344</v>
      </c>
      <c r="C67" s="1115" t="str">
        <f>C68&amp;"（含）"&amp;"-"&amp;D68</f>
        <v>（含）-</v>
      </c>
      <c r="D67" s="1115" t="str">
        <f t="shared" ref="D67:L67" si="17">D68&amp;"（含）"&amp;"-"&amp;E68</f>
        <v>（含）-</v>
      </c>
      <c r="E67" s="1115" t="str">
        <f t="shared" si="17"/>
        <v>（含）-</v>
      </c>
      <c r="F67" s="1115" t="str">
        <f t="shared" si="17"/>
        <v>（含）-</v>
      </c>
      <c r="G67" s="1115" t="str">
        <f t="shared" si="17"/>
        <v>（含）-</v>
      </c>
      <c r="H67" s="1115" t="str">
        <f t="shared" si="17"/>
        <v>（含）-</v>
      </c>
      <c r="I67" s="1115" t="str">
        <f t="shared" si="17"/>
        <v>（含）-</v>
      </c>
      <c r="J67" s="1115" t="str">
        <f t="shared" si="17"/>
        <v>（含）-</v>
      </c>
      <c r="K67" s="1115" t="str">
        <f t="shared" si="17"/>
        <v>（含）-</v>
      </c>
      <c r="L67" s="1115" t="str">
        <f t="shared" si="17"/>
        <v>（含）-</v>
      </c>
      <c r="M67" s="928" t="str">
        <f>M68&amp;"（含）"&amp;"-"&amp;P68</f>
        <v>（含）-</v>
      </c>
      <c r="N67" s="1159"/>
      <c r="O67" s="1159"/>
      <c r="P67" s="1505"/>
      <c r="Q67" s="1080"/>
    </row>
    <row r="68" spans="1:17" ht="15">
      <c r="A68" s="1107"/>
      <c r="B68" s="1116"/>
      <c r="C68" s="913"/>
      <c r="D68" s="913"/>
      <c r="E68" s="913"/>
      <c r="F68" s="913"/>
      <c r="G68" s="913"/>
      <c r="H68" s="913"/>
      <c r="I68" s="913"/>
      <c r="J68" s="913"/>
      <c r="K68" s="1164"/>
      <c r="L68" s="1165"/>
      <c r="M68" s="1166"/>
      <c r="N68" s="1156"/>
      <c r="O68" s="1156"/>
      <c r="P68" s="1505"/>
      <c r="Q68" s="1080"/>
    </row>
    <row r="69" spans="1:17" ht="15">
      <c r="A69" s="1107"/>
      <c r="B69" s="1108"/>
      <c r="C69" s="1113">
        <v>100</v>
      </c>
      <c r="D69" s="1113">
        <f t="shared" ref="D69:M69" si="18">C69-$K11</f>
        <v>100</v>
      </c>
      <c r="E69" s="1113">
        <f t="shared" si="18"/>
        <v>100</v>
      </c>
      <c r="F69" s="1113">
        <f t="shared" si="18"/>
        <v>100</v>
      </c>
      <c r="G69" s="1113">
        <f t="shared" si="18"/>
        <v>100</v>
      </c>
      <c r="H69" s="1113">
        <f t="shared" si="18"/>
        <v>100</v>
      </c>
      <c r="I69" s="1113">
        <f t="shared" si="18"/>
        <v>100</v>
      </c>
      <c r="J69" s="1113">
        <f t="shared" si="18"/>
        <v>100</v>
      </c>
      <c r="K69" s="1113">
        <f t="shared" si="18"/>
        <v>100</v>
      </c>
      <c r="L69" s="1113">
        <f t="shared" si="18"/>
        <v>100</v>
      </c>
      <c r="M69" s="1163">
        <f t="shared" si="18"/>
        <v>100</v>
      </c>
      <c r="N69" s="1159"/>
      <c r="O69" s="1159"/>
      <c r="P69" s="1505"/>
      <c r="Q69" s="1080"/>
    </row>
    <row r="70" spans="1:17" s="868" customFormat="1" ht="15">
      <c r="A70" s="1117"/>
      <c r="B70" s="1110">
        <f>B12</f>
        <v>111</v>
      </c>
      <c r="C70" s="1118"/>
      <c r="D70" s="1118"/>
      <c r="E70" s="1118"/>
      <c r="F70" s="1118"/>
      <c r="G70" s="1118"/>
      <c r="H70" s="1119"/>
      <c r="I70" s="1119"/>
      <c r="J70" s="1119"/>
      <c r="K70" s="1119"/>
      <c r="L70" s="1167"/>
      <c r="M70" s="1168"/>
      <c r="N70" s="1169"/>
      <c r="O70" s="1169"/>
      <c r="P70" s="1511"/>
      <c r="Q70" s="1200"/>
    </row>
    <row r="71" spans="1:17" s="868" customFormat="1" ht="15">
      <c r="A71" s="1117"/>
      <c r="B71" s="1112"/>
      <c r="C71" s="1120"/>
      <c r="D71" s="1109"/>
      <c r="E71" s="1109"/>
      <c r="F71" s="1109"/>
      <c r="G71" s="1109"/>
      <c r="H71" s="1109"/>
      <c r="I71" s="1109"/>
      <c r="J71" s="1109"/>
      <c r="K71" s="1109"/>
      <c r="L71" s="1109"/>
      <c r="M71" s="1158"/>
      <c r="N71" s="1159"/>
      <c r="O71" s="1159"/>
      <c r="P71" s="1511"/>
      <c r="Q71" s="1200"/>
    </row>
    <row r="72" spans="1:17" s="868" customFormat="1" ht="15">
      <c r="A72" s="1117"/>
      <c r="B72" s="1110">
        <f>B13</f>
        <v>111</v>
      </c>
      <c r="C72" s="1118"/>
      <c r="D72" s="1118"/>
      <c r="E72" s="1118"/>
      <c r="F72" s="1118"/>
      <c r="G72" s="1118"/>
      <c r="H72" s="1119"/>
      <c r="I72" s="1119"/>
      <c r="J72" s="1119"/>
      <c r="K72" s="1119"/>
      <c r="L72" s="1167"/>
      <c r="M72" s="1168"/>
      <c r="N72" s="1169"/>
      <c r="O72" s="1169"/>
      <c r="P72" s="1512"/>
      <c r="Q72" s="1201"/>
    </row>
    <row r="73" spans="1:17" s="868" customFormat="1" ht="15">
      <c r="A73" s="1117"/>
      <c r="B73" s="1112"/>
      <c r="C73" s="1120"/>
      <c r="D73" s="1109"/>
      <c r="E73" s="1109"/>
      <c r="F73" s="1109"/>
      <c r="G73" s="1120"/>
      <c r="H73" s="1121"/>
      <c r="I73" s="1121"/>
      <c r="J73" s="1121"/>
      <c r="K73" s="1121"/>
      <c r="L73" s="1121"/>
      <c r="M73" s="1172"/>
      <c r="N73" s="1169"/>
      <c r="O73" s="1169"/>
      <c r="P73" s="1511"/>
      <c r="Q73" s="1200"/>
    </row>
    <row r="74" spans="1:17" s="868" customFormat="1" ht="15">
      <c r="A74" s="1117"/>
      <c r="B74" s="1114">
        <f>B14</f>
        <v>111</v>
      </c>
      <c r="C74" s="1118"/>
      <c r="D74" s="1118"/>
      <c r="E74" s="1118"/>
      <c r="F74" s="1118"/>
      <c r="G74" s="1102"/>
      <c r="H74" s="1122"/>
      <c r="I74" s="1122"/>
      <c r="J74" s="1122"/>
      <c r="K74" s="1122"/>
      <c r="L74" s="1173"/>
      <c r="M74" s="1174"/>
      <c r="N74" s="1169"/>
      <c r="O74" s="1169"/>
      <c r="P74" s="1513"/>
      <c r="Q74" s="1200"/>
    </row>
    <row r="75" spans="1:17" s="868" customFormat="1" ht="15">
      <c r="A75" s="1123"/>
      <c r="B75" s="1124"/>
      <c r="C75" s="1125"/>
      <c r="D75" s="1125"/>
      <c r="E75" s="1125"/>
      <c r="F75" s="1125"/>
      <c r="G75" s="1125"/>
      <c r="H75" s="1126"/>
      <c r="I75" s="1126"/>
      <c r="J75" s="1126"/>
      <c r="K75" s="1126"/>
      <c r="L75" s="1126"/>
      <c r="M75" s="1176"/>
      <c r="N75" s="1169"/>
      <c r="O75" s="1169"/>
      <c r="P75" s="1511"/>
      <c r="Q75" s="1200"/>
    </row>
    <row r="76" spans="1:17">
      <c r="A76" s="1105" t="s">
        <v>1345</v>
      </c>
      <c r="B76" s="1106" t="s">
        <v>642</v>
      </c>
      <c r="C76" s="1127" t="s">
        <v>1378</v>
      </c>
      <c r="D76" s="1127" t="s">
        <v>1379</v>
      </c>
      <c r="E76" s="1127" t="s">
        <v>1380</v>
      </c>
      <c r="F76" s="1127" t="s">
        <v>1381</v>
      </c>
      <c r="G76" s="1127" t="s">
        <v>1382</v>
      </c>
      <c r="H76" s="1128"/>
      <c r="I76" s="1128"/>
      <c r="J76" s="1128"/>
      <c r="K76" s="1177"/>
      <c r="L76" s="1178"/>
      <c r="M76" s="1179"/>
      <c r="N76" s="1156"/>
      <c r="O76" s="1156"/>
      <c r="P76" s="1514"/>
      <c r="Q76" s="1080"/>
    </row>
    <row r="77" spans="1:17" ht="15">
      <c r="A77" s="1107"/>
      <c r="B77" s="1112"/>
      <c r="C77" s="1113">
        <v>100</v>
      </c>
      <c r="D77" s="1113">
        <f>C77-$K15</f>
        <v>100</v>
      </c>
      <c r="E77" s="1113">
        <f>D77-$K15</f>
        <v>100</v>
      </c>
      <c r="F77" s="1113">
        <f>E77-$K15</f>
        <v>100</v>
      </c>
      <c r="G77" s="1113">
        <f>F77-$K15</f>
        <v>100</v>
      </c>
      <c r="H77" s="1113"/>
      <c r="I77" s="1113"/>
      <c r="J77" s="1113"/>
      <c r="K77" s="1113"/>
      <c r="L77" s="1113"/>
      <c r="M77" s="1163"/>
      <c r="N77" s="1159"/>
      <c r="O77" s="1159"/>
      <c r="P77" s="1505"/>
      <c r="Q77" s="1080"/>
    </row>
    <row r="78" spans="1:17" ht="15">
      <c r="A78" s="1107"/>
      <c r="B78" s="1110" t="s">
        <v>648</v>
      </c>
      <c r="C78" s="1129" t="s">
        <v>1378</v>
      </c>
      <c r="D78" s="1129" t="s">
        <v>1379</v>
      </c>
      <c r="E78" s="1129" t="s">
        <v>1380</v>
      </c>
      <c r="F78" s="1129" t="s">
        <v>1381</v>
      </c>
      <c r="G78" s="1129" t="s">
        <v>1382</v>
      </c>
      <c r="H78" s="1111"/>
      <c r="I78" s="1111"/>
      <c r="J78" s="1111"/>
      <c r="K78" s="1160"/>
      <c r="L78" s="1161"/>
      <c r="M78" s="1162"/>
      <c r="N78" s="1156"/>
      <c r="O78" s="1156"/>
      <c r="P78" s="1505"/>
      <c r="Q78" s="1080"/>
    </row>
    <row r="79" spans="1:17" ht="15">
      <c r="A79" s="1107"/>
      <c r="B79" s="1112"/>
      <c r="C79" s="1113">
        <v>100</v>
      </c>
      <c r="D79" s="1113">
        <f>C79-$K17</f>
        <v>100</v>
      </c>
      <c r="E79" s="1113">
        <f>D79-$K17</f>
        <v>100</v>
      </c>
      <c r="F79" s="1113">
        <f>E79-$K17</f>
        <v>100</v>
      </c>
      <c r="G79" s="1113">
        <f>F79-$K17</f>
        <v>100</v>
      </c>
      <c r="H79" s="1113"/>
      <c r="I79" s="1113"/>
      <c r="J79" s="1113"/>
      <c r="K79" s="1113"/>
      <c r="L79" s="1113"/>
      <c r="M79" s="1163"/>
      <c r="N79" s="1159"/>
      <c r="O79" s="1159"/>
      <c r="P79" s="1505"/>
      <c r="Q79" s="1080"/>
    </row>
    <row r="80" spans="1:17" ht="15">
      <c r="A80" s="1107"/>
      <c r="B80" s="1110" t="s">
        <v>652</v>
      </c>
      <c r="C80" s="1129" t="s">
        <v>1378</v>
      </c>
      <c r="D80" s="1129" t="s">
        <v>1379</v>
      </c>
      <c r="E80" s="1129" t="s">
        <v>1380</v>
      </c>
      <c r="F80" s="1129" t="s">
        <v>1381</v>
      </c>
      <c r="G80" s="1129" t="s">
        <v>1382</v>
      </c>
      <c r="H80" s="1111"/>
      <c r="I80" s="1111"/>
      <c r="J80" s="1111"/>
      <c r="K80" s="1160"/>
      <c r="L80" s="1161"/>
      <c r="M80" s="1162"/>
      <c r="N80" s="1156"/>
      <c r="O80" s="1156"/>
      <c r="P80" s="1505"/>
      <c r="Q80" s="1080"/>
    </row>
    <row r="81" spans="1:17" ht="15">
      <c r="A81" s="1107"/>
      <c r="B81" s="1112"/>
      <c r="C81" s="1113">
        <v>100</v>
      </c>
      <c r="D81" s="1113">
        <f>C81-$K19</f>
        <v>100</v>
      </c>
      <c r="E81" s="1113">
        <f>D81-$K19</f>
        <v>100</v>
      </c>
      <c r="F81" s="1113">
        <f>E81-$K19</f>
        <v>100</v>
      </c>
      <c r="G81" s="1113">
        <f>F81-$K19</f>
        <v>100</v>
      </c>
      <c r="H81" s="1113"/>
      <c r="I81" s="1113"/>
      <c r="J81" s="1113"/>
      <c r="K81" s="1113"/>
      <c r="L81" s="1113"/>
      <c r="M81" s="1163"/>
      <c r="N81" s="1159"/>
      <c r="O81" s="1159"/>
      <c r="P81" s="1505"/>
      <c r="Q81" s="1080"/>
    </row>
    <row r="82" spans="1:17" ht="15">
      <c r="A82" s="1107"/>
      <c r="B82" s="1114" t="s">
        <v>654</v>
      </c>
      <c r="C82" s="1134" t="s">
        <v>1383</v>
      </c>
      <c r="D82" s="1134" t="s">
        <v>1384</v>
      </c>
      <c r="E82" s="1134" t="s">
        <v>1385</v>
      </c>
      <c r="F82" s="1134" t="s">
        <v>1386</v>
      </c>
      <c r="G82" s="1134" t="s">
        <v>1387</v>
      </c>
      <c r="H82" s="1111"/>
      <c r="I82" s="1111"/>
      <c r="J82" s="1111"/>
      <c r="K82" s="1111"/>
      <c r="L82" s="1111"/>
      <c r="M82" s="1381"/>
      <c r="N82" s="1159"/>
      <c r="O82" s="1159"/>
      <c r="P82" s="1505"/>
      <c r="Q82" s="1080"/>
    </row>
    <row r="83" spans="1:17" ht="15">
      <c r="A83" s="1107"/>
      <c r="B83" s="1114"/>
      <c r="C83" s="1113">
        <v>100</v>
      </c>
      <c r="D83" s="1113">
        <f>C83-$K21</f>
        <v>100</v>
      </c>
      <c r="E83" s="1113">
        <f t="shared" ref="E83:G83" si="19">D83-$K21</f>
        <v>100</v>
      </c>
      <c r="F83" s="1113">
        <f t="shared" si="19"/>
        <v>100</v>
      </c>
      <c r="G83" s="1113">
        <f t="shared" si="19"/>
        <v>100</v>
      </c>
      <c r="H83" s="1134"/>
      <c r="I83" s="1134"/>
      <c r="J83" s="1134"/>
      <c r="K83" s="1134"/>
      <c r="L83" s="1134"/>
      <c r="M83" s="930"/>
      <c r="N83" s="1159"/>
      <c r="O83" s="1159"/>
      <c r="P83" s="1505"/>
      <c r="Q83" s="1080"/>
    </row>
    <row r="84" spans="1:17" ht="15">
      <c r="A84" s="1107"/>
      <c r="B84" s="1110" t="s">
        <v>658</v>
      </c>
      <c r="C84" s="1129" t="s">
        <v>1378</v>
      </c>
      <c r="D84" s="1129" t="s">
        <v>1379</v>
      </c>
      <c r="E84" s="1129" t="s">
        <v>1380</v>
      </c>
      <c r="F84" s="1129" t="s">
        <v>1381</v>
      </c>
      <c r="G84" s="1129" t="s">
        <v>1382</v>
      </c>
      <c r="H84" s="1111"/>
      <c r="I84" s="1111"/>
      <c r="J84" s="1111"/>
      <c r="K84" s="1160"/>
      <c r="L84" s="1161"/>
      <c r="M84" s="1162"/>
      <c r="N84" s="1156"/>
      <c r="O84" s="1156"/>
      <c r="P84" s="1505"/>
      <c r="Q84" s="1080"/>
    </row>
    <row r="85" spans="1:17" ht="15">
      <c r="A85" s="1107"/>
      <c r="B85" s="1112"/>
      <c r="C85" s="1113">
        <v>100</v>
      </c>
      <c r="D85" s="1113">
        <f>C85-$K23</f>
        <v>100</v>
      </c>
      <c r="E85" s="1113">
        <f>D85-$K23</f>
        <v>100</v>
      </c>
      <c r="F85" s="1113">
        <f>E85-$K23</f>
        <v>100</v>
      </c>
      <c r="G85" s="1113">
        <f>F85-$K23</f>
        <v>100</v>
      </c>
      <c r="H85" s="1113"/>
      <c r="I85" s="1113"/>
      <c r="J85" s="1113"/>
      <c r="K85" s="1113"/>
      <c r="L85" s="1113"/>
      <c r="M85" s="1163"/>
      <c r="N85" s="1159"/>
      <c r="O85" s="1159"/>
      <c r="P85" s="1505"/>
      <c r="Q85" s="1080"/>
    </row>
    <row r="86" spans="1:17" s="866" customFormat="1" ht="15">
      <c r="A86" s="1130"/>
      <c r="B86" s="1110" t="s">
        <v>664</v>
      </c>
      <c r="C86" s="1118"/>
      <c r="D86" s="1118"/>
      <c r="E86" s="1118"/>
      <c r="F86" s="1118"/>
      <c r="G86" s="1118"/>
      <c r="H86" s="1118"/>
      <c r="I86" s="1118"/>
      <c r="J86" s="1118"/>
      <c r="K86" s="1118"/>
      <c r="L86" s="1382"/>
      <c r="M86" s="1383"/>
      <c r="N86" s="1150"/>
      <c r="O86" s="1150"/>
      <c r="P86" s="1505"/>
      <c r="Q86" s="1080"/>
    </row>
    <row r="87" spans="1:17" s="866" customFormat="1" ht="15">
      <c r="A87" s="1130"/>
      <c r="B87" s="1112"/>
      <c r="C87" s="1131">
        <v>100</v>
      </c>
      <c r="D87" s="1113">
        <f t="shared" ref="D87:M87" si="20">C87-$K25</f>
        <v>100</v>
      </c>
      <c r="E87" s="1113">
        <f t="shared" si="20"/>
        <v>100</v>
      </c>
      <c r="F87" s="1113">
        <f t="shared" si="20"/>
        <v>100</v>
      </c>
      <c r="G87" s="1113">
        <f t="shared" si="20"/>
        <v>100</v>
      </c>
      <c r="H87" s="1113">
        <f t="shared" si="20"/>
        <v>100</v>
      </c>
      <c r="I87" s="1113">
        <f t="shared" si="20"/>
        <v>100</v>
      </c>
      <c r="J87" s="1113">
        <f t="shared" si="20"/>
        <v>100</v>
      </c>
      <c r="K87" s="1113">
        <f t="shared" si="20"/>
        <v>100</v>
      </c>
      <c r="L87" s="1113">
        <f t="shared" si="20"/>
        <v>100</v>
      </c>
      <c r="M87" s="1113">
        <f t="shared" si="20"/>
        <v>100</v>
      </c>
      <c r="N87" s="1159"/>
      <c r="O87" s="1159"/>
      <c r="P87" s="1505"/>
      <c r="Q87" s="1080"/>
    </row>
    <row r="88" spans="1:17" s="866" customFormat="1" ht="15">
      <c r="A88" s="1130"/>
      <c r="B88" s="1110" t="str">
        <f>B26</f>
        <v>平面位置/可视性</v>
      </c>
      <c r="C88" s="1118"/>
      <c r="D88" s="1118"/>
      <c r="E88" s="1118"/>
      <c r="F88" s="1483"/>
      <c r="G88" s="1118"/>
      <c r="H88" s="1118"/>
      <c r="I88" s="1118"/>
      <c r="J88" s="1118"/>
      <c r="K88" s="1118"/>
      <c r="L88" s="1118"/>
      <c r="M88" s="1383"/>
      <c r="N88" s="1150"/>
      <c r="O88" s="1150"/>
      <c r="P88" s="1505"/>
      <c r="Q88" s="1080"/>
    </row>
    <row r="89" spans="1:17" s="866" customFormat="1" ht="15">
      <c r="A89" s="1130"/>
      <c r="B89" s="1112"/>
      <c r="C89" s="1120"/>
      <c r="D89" s="1109"/>
      <c r="E89" s="1109"/>
      <c r="F89" s="1109"/>
      <c r="G89" s="1109"/>
      <c r="H89" s="1109"/>
      <c r="I89" s="1109"/>
      <c r="J89" s="1109"/>
      <c r="K89" s="1109"/>
      <c r="L89" s="1109"/>
      <c r="M89" s="1109"/>
      <c r="N89" s="1159"/>
      <c r="O89" s="1159"/>
      <c r="P89" s="1505"/>
      <c r="Q89" s="1080"/>
    </row>
    <row r="90" spans="1:17" s="868" customFormat="1" ht="15">
      <c r="A90" s="1117"/>
      <c r="B90" s="1110" t="str">
        <f>B27</f>
        <v>人流量</v>
      </c>
      <c r="C90" s="1118"/>
      <c r="D90" s="1118"/>
      <c r="E90" s="1118"/>
      <c r="F90" s="1118"/>
      <c r="G90" s="1118"/>
      <c r="H90" s="1119"/>
      <c r="I90" s="1119"/>
      <c r="J90" s="1119"/>
      <c r="K90" s="1119"/>
      <c r="L90" s="1167"/>
      <c r="M90" s="1168"/>
      <c r="N90" s="1169"/>
      <c r="O90" s="1169"/>
      <c r="P90" s="1511"/>
      <c r="Q90" s="1200"/>
    </row>
    <row r="91" spans="1:17" s="868" customFormat="1" ht="15">
      <c r="A91" s="1117"/>
      <c r="B91" s="1112"/>
      <c r="C91" s="1131">
        <v>100</v>
      </c>
      <c r="D91" s="1113">
        <f>C91-$K27</f>
        <v>100</v>
      </c>
      <c r="E91" s="1113">
        <f t="shared" ref="E91:M91" si="21">D91-$K27</f>
        <v>100</v>
      </c>
      <c r="F91" s="1113">
        <f t="shared" si="21"/>
        <v>100</v>
      </c>
      <c r="G91" s="1113">
        <f t="shared" si="21"/>
        <v>100</v>
      </c>
      <c r="H91" s="1113">
        <f t="shared" si="21"/>
        <v>100</v>
      </c>
      <c r="I91" s="1113">
        <f t="shared" si="21"/>
        <v>100</v>
      </c>
      <c r="J91" s="1113">
        <f t="shared" si="21"/>
        <v>100</v>
      </c>
      <c r="K91" s="1113">
        <f t="shared" si="21"/>
        <v>100</v>
      </c>
      <c r="L91" s="1113">
        <f t="shared" si="21"/>
        <v>100</v>
      </c>
      <c r="M91" s="1113">
        <f t="shared" si="21"/>
        <v>100</v>
      </c>
      <c r="N91" s="1169"/>
      <c r="O91" s="1169"/>
      <c r="P91" s="1511"/>
      <c r="Q91" s="1200"/>
    </row>
    <row r="92" spans="1:17" ht="15">
      <c r="A92" s="1107"/>
      <c r="B92" s="1110" t="str">
        <f>B28</f>
        <v>楼层</v>
      </c>
      <c r="C92" s="1118"/>
      <c r="D92" s="1118"/>
      <c r="E92" s="1118"/>
      <c r="F92" s="1118"/>
      <c r="G92" s="1118"/>
      <c r="H92" s="1118"/>
      <c r="I92" s="1118"/>
      <c r="J92" s="1118"/>
      <c r="K92" s="1118"/>
      <c r="L92" s="1382"/>
      <c r="M92" s="1383"/>
      <c r="N92" s="1156"/>
      <c r="O92" s="1156"/>
      <c r="P92" s="1505"/>
      <c r="Q92" s="1080"/>
    </row>
    <row r="93" spans="1:17" ht="15">
      <c r="A93" s="1107"/>
      <c r="B93" s="1112"/>
      <c r="C93" s="1109"/>
      <c r="D93" s="1109"/>
      <c r="E93" s="1109"/>
      <c r="F93" s="1109"/>
      <c r="G93" s="1109"/>
      <c r="H93" s="1109"/>
      <c r="I93" s="1109"/>
      <c r="J93" s="1109"/>
      <c r="K93" s="1109"/>
      <c r="L93" s="1109"/>
      <c r="M93" s="1158"/>
      <c r="N93" s="1159"/>
      <c r="O93" s="1159"/>
      <c r="P93" s="1505"/>
      <c r="Q93" s="1080"/>
    </row>
    <row r="94" spans="1:17" ht="15">
      <c r="A94" s="1107"/>
      <c r="B94" s="1110">
        <f>B29</f>
        <v>111</v>
      </c>
      <c r="C94" s="1118"/>
      <c r="D94" s="1118"/>
      <c r="E94" s="1118"/>
      <c r="F94" s="1118"/>
      <c r="G94" s="1135"/>
      <c r="H94" s="1135"/>
      <c r="I94" s="1135"/>
      <c r="J94" s="1135"/>
      <c r="K94" s="1187"/>
      <c r="L94" s="1188"/>
      <c r="M94" s="1189"/>
      <c r="N94" s="1156"/>
      <c r="O94" s="1156"/>
      <c r="P94" s="1505"/>
      <c r="Q94" s="1080"/>
    </row>
    <row r="95" spans="1:17" ht="15">
      <c r="A95" s="1107"/>
      <c r="B95" s="1112"/>
      <c r="C95" s="1120"/>
      <c r="D95" s="1109"/>
      <c r="E95" s="1109"/>
      <c r="F95" s="1109"/>
      <c r="G95" s="1109"/>
      <c r="H95" s="1109"/>
      <c r="I95" s="1109"/>
      <c r="J95" s="1109"/>
      <c r="K95" s="1109"/>
      <c r="L95" s="1109"/>
      <c r="M95" s="1158"/>
      <c r="N95" s="1159"/>
      <c r="O95" s="1159"/>
      <c r="P95" s="1505"/>
      <c r="Q95" s="1080"/>
    </row>
    <row r="96" spans="1:17" ht="15">
      <c r="A96" s="1107"/>
      <c r="B96" s="1110">
        <f>B30</f>
        <v>111</v>
      </c>
      <c r="C96" s="1118"/>
      <c r="D96" s="1118"/>
      <c r="E96" s="1118"/>
      <c r="F96" s="1118"/>
      <c r="G96" s="1135"/>
      <c r="H96" s="1135"/>
      <c r="I96" s="1135"/>
      <c r="J96" s="1135"/>
      <c r="K96" s="1187"/>
      <c r="L96" s="1188"/>
      <c r="M96" s="1189"/>
      <c r="N96" s="1156"/>
      <c r="O96" s="1156"/>
      <c r="P96" s="1505"/>
      <c r="Q96" s="1080"/>
    </row>
    <row r="97" spans="1:17" ht="15">
      <c r="A97" s="1107"/>
      <c r="B97" s="1112"/>
      <c r="C97" s="1120"/>
      <c r="D97" s="1109"/>
      <c r="E97" s="1109"/>
      <c r="F97" s="1109"/>
      <c r="G97" s="1109"/>
      <c r="H97" s="1109"/>
      <c r="I97" s="1109"/>
      <c r="J97" s="1109"/>
      <c r="K97" s="1109"/>
      <c r="L97" s="1109"/>
      <c r="M97" s="1158"/>
      <c r="N97" s="1159"/>
      <c r="O97" s="1159"/>
      <c r="P97" s="1505"/>
      <c r="Q97" s="1080"/>
    </row>
    <row r="98" spans="1:17" ht="15">
      <c r="A98" s="1107"/>
      <c r="B98" s="1114">
        <f>B31</f>
        <v>111</v>
      </c>
      <c r="C98" s="1118"/>
      <c r="D98" s="1118"/>
      <c r="E98" s="1118"/>
      <c r="F98" s="1118"/>
      <c r="G98" s="1136"/>
      <c r="H98" s="1136"/>
      <c r="I98" s="1136"/>
      <c r="J98" s="1136"/>
      <c r="K98" s="1190"/>
      <c r="L98" s="1191"/>
      <c r="M98" s="1192"/>
      <c r="N98" s="1156"/>
      <c r="O98" s="1156"/>
      <c r="P98" s="1505"/>
      <c r="Q98" s="1080"/>
    </row>
    <row r="99" spans="1:17" ht="15">
      <c r="A99" s="1460"/>
      <c r="B99" s="1124"/>
      <c r="C99" s="1125"/>
      <c r="D99" s="1125"/>
      <c r="E99" s="1125"/>
      <c r="F99" s="1125"/>
      <c r="G99" s="1137"/>
      <c r="H99" s="1137"/>
      <c r="I99" s="1137"/>
      <c r="J99" s="1137"/>
      <c r="K99" s="1137"/>
      <c r="L99" s="1137"/>
      <c r="M99" s="1193"/>
      <c r="N99" s="1159"/>
      <c r="O99" s="1159"/>
      <c r="P99" s="1505"/>
      <c r="Q99" s="1080"/>
    </row>
    <row r="100" spans="1:17">
      <c r="A100" s="1105" t="s">
        <v>1349</v>
      </c>
      <c r="B100" s="1106" t="s">
        <v>1412</v>
      </c>
      <c r="C100" s="1050"/>
      <c r="D100" s="1050"/>
      <c r="E100" s="1050"/>
      <c r="F100" s="1050"/>
      <c r="G100" s="1050"/>
      <c r="H100" s="1050"/>
      <c r="I100" s="1050"/>
      <c r="J100" s="1050"/>
      <c r="K100" s="1153"/>
      <c r="L100" s="1154"/>
      <c r="M100" s="1155"/>
      <c r="N100" s="1156"/>
      <c r="O100" s="1156"/>
      <c r="P100" s="1505"/>
      <c r="Q100" s="1080"/>
    </row>
    <row r="101" spans="1:17" ht="15">
      <c r="A101" s="1107"/>
      <c r="B101" s="1112"/>
      <c r="C101" s="1113">
        <v>100</v>
      </c>
      <c r="D101" s="1113">
        <f t="shared" ref="D101:M101" si="22">C101-$K32</f>
        <v>100</v>
      </c>
      <c r="E101" s="1113">
        <f t="shared" si="22"/>
        <v>100</v>
      </c>
      <c r="F101" s="1113">
        <f t="shared" si="22"/>
        <v>100</v>
      </c>
      <c r="G101" s="1113">
        <f t="shared" si="22"/>
        <v>100</v>
      </c>
      <c r="H101" s="1113">
        <f t="shared" si="22"/>
        <v>100</v>
      </c>
      <c r="I101" s="1113">
        <f t="shared" si="22"/>
        <v>100</v>
      </c>
      <c r="J101" s="1113">
        <f t="shared" si="22"/>
        <v>100</v>
      </c>
      <c r="K101" s="1113">
        <f t="shared" si="22"/>
        <v>100</v>
      </c>
      <c r="L101" s="1113">
        <f t="shared" si="22"/>
        <v>100</v>
      </c>
      <c r="M101" s="1163">
        <f t="shared" si="22"/>
        <v>100</v>
      </c>
      <c r="N101" s="1159"/>
      <c r="O101" s="1159"/>
      <c r="P101" s="1505"/>
      <c r="Q101" s="1080"/>
    </row>
    <row r="102" spans="1:17" ht="15">
      <c r="A102" s="1107"/>
      <c r="B102" s="1110" t="s">
        <v>1352</v>
      </c>
      <c r="C102" s="1129" t="str">
        <f>C103&amp;"(含)"&amp;"-"&amp;D103</f>
        <v>(含)-</v>
      </c>
      <c r="D102" s="1129" t="str">
        <f t="shared" ref="D102:L102" si="23">D103&amp;"(含)"&amp;"-"&amp;E103</f>
        <v>(含)-</v>
      </c>
      <c r="E102" s="1129" t="str">
        <f t="shared" si="23"/>
        <v>(含)-</v>
      </c>
      <c r="F102" s="1129" t="str">
        <f t="shared" si="23"/>
        <v>(含)-</v>
      </c>
      <c r="G102" s="1129" t="str">
        <f t="shared" si="23"/>
        <v>(含)-</v>
      </c>
      <c r="H102" s="1129" t="str">
        <f t="shared" si="23"/>
        <v>(含)-</v>
      </c>
      <c r="I102" s="1129" t="str">
        <f t="shared" si="23"/>
        <v>(含)-</v>
      </c>
      <c r="J102" s="1129" t="str">
        <f t="shared" si="23"/>
        <v>(含)-</v>
      </c>
      <c r="K102" s="1129" t="str">
        <f t="shared" si="23"/>
        <v>(含)-</v>
      </c>
      <c r="L102" s="1129" t="str">
        <f t="shared" si="23"/>
        <v>(含)-</v>
      </c>
      <c r="M102" s="1182" t="str">
        <f>M103&amp;"(含)"&amp;"-"&amp;P103</f>
        <v>(含)-</v>
      </c>
      <c r="N102" s="1150"/>
      <c r="O102" s="1150"/>
      <c r="P102" s="1505"/>
      <c r="Q102" s="1080"/>
    </row>
    <row r="103" spans="1:17" s="868" customFormat="1">
      <c r="A103" s="1138"/>
      <c r="B103" s="1139"/>
      <c r="C103" s="1094"/>
      <c r="D103" s="1094"/>
      <c r="E103" s="1094"/>
      <c r="F103" s="1094"/>
      <c r="G103" s="1094"/>
      <c r="H103" s="1094"/>
      <c r="I103" s="1094"/>
      <c r="J103" s="1194"/>
      <c r="K103" s="1194"/>
      <c r="L103" s="1195"/>
      <c r="M103" s="1196"/>
      <c r="N103" s="1169"/>
      <c r="O103" s="1169"/>
      <c r="P103" s="1511"/>
      <c r="Q103" s="1200"/>
    </row>
    <row r="104" spans="1:17" s="868" customFormat="1" ht="15">
      <c r="A104" s="1117"/>
      <c r="B104" s="1112"/>
      <c r="C104" s="1120"/>
      <c r="D104" s="1109"/>
      <c r="E104" s="1109"/>
      <c r="F104" s="1109"/>
      <c r="G104" s="1109"/>
      <c r="H104" s="1109"/>
      <c r="I104" s="1109"/>
      <c r="J104" s="1109"/>
      <c r="K104" s="1109"/>
      <c r="L104" s="1109"/>
      <c r="M104" s="1158"/>
      <c r="N104" s="1159"/>
      <c r="O104" s="1159"/>
      <c r="P104" s="1511"/>
      <c r="Q104" s="1200"/>
    </row>
    <row r="105" spans="1:17">
      <c r="A105" s="1141"/>
      <c r="B105" s="1110" t="s">
        <v>1353</v>
      </c>
      <c r="C105" s="1118"/>
      <c r="D105" s="1118"/>
      <c r="E105" s="1135"/>
      <c r="F105" s="1135"/>
      <c r="G105" s="1135"/>
      <c r="H105" s="1135"/>
      <c r="I105" s="1135"/>
      <c r="J105" s="1135"/>
      <c r="K105" s="1187"/>
      <c r="L105" s="1188"/>
      <c r="M105" s="1189"/>
      <c r="N105" s="1156"/>
      <c r="O105" s="1156"/>
      <c r="P105" s="1505"/>
      <c r="Q105" s="1080"/>
    </row>
    <row r="106" spans="1:17" ht="15">
      <c r="A106" s="1107"/>
      <c r="B106" s="1112"/>
      <c r="C106" s="1113">
        <v>100</v>
      </c>
      <c r="D106" s="1113">
        <f t="shared" ref="D106:M106" si="24">C106-$K34</f>
        <v>100</v>
      </c>
      <c r="E106" s="1113">
        <f t="shared" si="24"/>
        <v>100</v>
      </c>
      <c r="F106" s="1113">
        <f t="shared" si="24"/>
        <v>100</v>
      </c>
      <c r="G106" s="1113">
        <f t="shared" si="24"/>
        <v>100</v>
      </c>
      <c r="H106" s="1113">
        <f t="shared" si="24"/>
        <v>100</v>
      </c>
      <c r="I106" s="1113">
        <f t="shared" si="24"/>
        <v>100</v>
      </c>
      <c r="J106" s="1113">
        <f t="shared" si="24"/>
        <v>100</v>
      </c>
      <c r="K106" s="1113">
        <f t="shared" si="24"/>
        <v>100</v>
      </c>
      <c r="L106" s="1113">
        <f t="shared" si="24"/>
        <v>100</v>
      </c>
      <c r="M106" s="1163">
        <f t="shared" si="24"/>
        <v>100</v>
      </c>
      <c r="N106" s="1159"/>
      <c r="O106" s="1159"/>
      <c r="P106" s="1505"/>
      <c r="Q106" s="1080"/>
    </row>
    <row r="107" spans="1:17">
      <c r="A107" s="1141"/>
      <c r="B107" s="1110" t="s">
        <v>1355</v>
      </c>
      <c r="C107" s="1118"/>
      <c r="D107" s="1118"/>
      <c r="E107" s="1118"/>
      <c r="F107" s="1135"/>
      <c r="G107" s="1135"/>
      <c r="H107" s="1135"/>
      <c r="I107" s="1135"/>
      <c r="J107" s="1135"/>
      <c r="K107" s="1187"/>
      <c r="L107" s="1188"/>
      <c r="M107" s="1189"/>
      <c r="N107" s="1156"/>
      <c r="O107" s="1156"/>
      <c r="P107" s="1505"/>
      <c r="Q107" s="1080"/>
    </row>
    <row r="108" spans="1:17" ht="15">
      <c r="A108" s="1107"/>
      <c r="B108" s="1112"/>
      <c r="C108" s="1113">
        <v>100</v>
      </c>
      <c r="D108" s="1113">
        <f t="shared" ref="D108:M108" si="25">C108-$K35</f>
        <v>100</v>
      </c>
      <c r="E108" s="1113">
        <f t="shared" si="25"/>
        <v>100</v>
      </c>
      <c r="F108" s="1113">
        <f t="shared" si="25"/>
        <v>100</v>
      </c>
      <c r="G108" s="1113">
        <f t="shared" si="25"/>
        <v>100</v>
      </c>
      <c r="H108" s="1113">
        <f t="shared" si="25"/>
        <v>100</v>
      </c>
      <c r="I108" s="1113">
        <f t="shared" si="25"/>
        <v>100</v>
      </c>
      <c r="J108" s="1113">
        <f t="shared" si="25"/>
        <v>100</v>
      </c>
      <c r="K108" s="1113">
        <f t="shared" si="25"/>
        <v>100</v>
      </c>
      <c r="L108" s="1113">
        <f t="shared" si="25"/>
        <v>100</v>
      </c>
      <c r="M108" s="1163">
        <f t="shared" si="25"/>
        <v>100</v>
      </c>
      <c r="N108" s="1159"/>
      <c r="O108" s="1159"/>
      <c r="P108" s="1505"/>
      <c r="Q108" s="1080"/>
    </row>
    <row r="109" spans="1:17">
      <c r="A109" s="1141"/>
      <c r="B109" s="1110" t="s">
        <v>557</v>
      </c>
      <c r="C109" s="1129" t="str">
        <f>C110&amp;"(含)"&amp;"-"&amp;D110</f>
        <v>0.5(含)-0.6</v>
      </c>
      <c r="D109" s="1129" t="str">
        <f>D110&amp;"(含)"&amp;"-"&amp;E110</f>
        <v>0.6(含)-0.7</v>
      </c>
      <c r="E109" s="1129" t="str">
        <f>E110&amp;"(含)"&amp;"-"&amp;F110</f>
        <v>0.7(含)-0.8</v>
      </c>
      <c r="F109" s="1129" t="str">
        <f>F110&amp;"(含)"&amp;"-"&amp;G110</f>
        <v>0.8(含)-0.9</v>
      </c>
      <c r="G109" s="1129" t="str">
        <f>G110&amp;"(含)"&amp;"-"&amp;ROUND(H110,0)&amp;"(含)"</f>
        <v>0.9(含)-1(含)</v>
      </c>
      <c r="H109" s="1129"/>
      <c r="I109" s="1135"/>
      <c r="J109" s="1135"/>
      <c r="K109" s="1187"/>
      <c r="L109" s="1188"/>
      <c r="M109" s="1189"/>
      <c r="N109" s="1156"/>
      <c r="O109" s="1156"/>
      <c r="P109" s="1505"/>
      <c r="Q109" s="1080"/>
    </row>
    <row r="110" spans="1:17">
      <c r="A110" s="1141"/>
      <c r="B110" s="1114"/>
      <c r="C110" s="801">
        <v>0.5</v>
      </c>
      <c r="D110" s="801">
        <v>0.6</v>
      </c>
      <c r="E110" s="801">
        <v>0.7</v>
      </c>
      <c r="F110" s="801">
        <v>0.8</v>
      </c>
      <c r="G110" s="801">
        <v>0.9</v>
      </c>
      <c r="H110" s="801">
        <v>1.0001</v>
      </c>
      <c r="I110" s="1450"/>
      <c r="J110" s="1450"/>
      <c r="K110" s="1451"/>
      <c r="L110" s="1452"/>
      <c r="M110" s="1453"/>
      <c r="N110" s="1156"/>
      <c r="O110" s="1156"/>
      <c r="P110" s="1505"/>
      <c r="Q110" s="1080"/>
    </row>
    <row r="111" spans="1:17" ht="15">
      <c r="A111" s="1107"/>
      <c r="B111" s="1112"/>
      <c r="C111" s="1131">
        <v>100</v>
      </c>
      <c r="D111" s="1113">
        <f>C111+$K36</f>
        <v>100</v>
      </c>
      <c r="E111" s="1113">
        <f t="shared" ref="E111:M111" si="26">D111+$K36</f>
        <v>100</v>
      </c>
      <c r="F111" s="1113">
        <f t="shared" si="26"/>
        <v>100</v>
      </c>
      <c r="G111" s="1113">
        <f t="shared" si="26"/>
        <v>100</v>
      </c>
      <c r="H111" s="1113">
        <f t="shared" si="26"/>
        <v>100</v>
      </c>
      <c r="I111" s="1113">
        <f t="shared" si="26"/>
        <v>100</v>
      </c>
      <c r="J111" s="1113">
        <f t="shared" si="26"/>
        <v>100</v>
      </c>
      <c r="K111" s="1113">
        <f t="shared" si="26"/>
        <v>100</v>
      </c>
      <c r="L111" s="1113">
        <f t="shared" si="26"/>
        <v>100</v>
      </c>
      <c r="M111" s="1113">
        <f t="shared" si="26"/>
        <v>100</v>
      </c>
      <c r="N111" s="1159"/>
      <c r="O111" s="1159"/>
      <c r="P111" s="1505"/>
      <c r="Q111" s="1080"/>
    </row>
    <row r="112" spans="1:17" s="868" customFormat="1">
      <c r="A112" s="1138"/>
      <c r="B112" s="1110" t="s">
        <v>1357</v>
      </c>
      <c r="C112" s="1118"/>
      <c r="D112" s="1118"/>
      <c r="E112" s="1118"/>
      <c r="F112" s="1118"/>
      <c r="G112" s="1118"/>
      <c r="H112" s="1135"/>
      <c r="I112" s="1135"/>
      <c r="J112" s="1135"/>
      <c r="K112" s="1187"/>
      <c r="L112" s="1188"/>
      <c r="M112" s="1189"/>
      <c r="N112" s="1169"/>
      <c r="O112" s="1169"/>
      <c r="P112" s="1511"/>
      <c r="Q112" s="1200"/>
    </row>
    <row r="113" spans="1:17" s="868" customFormat="1" ht="15">
      <c r="A113" s="1117"/>
      <c r="B113" s="1112"/>
      <c r="C113" s="1113">
        <v>100</v>
      </c>
      <c r="D113" s="1113">
        <f>C113-$K37</f>
        <v>100</v>
      </c>
      <c r="E113" s="1113">
        <f t="shared" ref="E113:M113" si="27">D113-$K37</f>
        <v>100</v>
      </c>
      <c r="F113" s="1113">
        <f t="shared" si="27"/>
        <v>100</v>
      </c>
      <c r="G113" s="1113">
        <f t="shared" si="27"/>
        <v>100</v>
      </c>
      <c r="H113" s="1113">
        <f t="shared" si="27"/>
        <v>100</v>
      </c>
      <c r="I113" s="1113">
        <f t="shared" si="27"/>
        <v>100</v>
      </c>
      <c r="J113" s="1113">
        <f t="shared" si="27"/>
        <v>100</v>
      </c>
      <c r="K113" s="1113">
        <f t="shared" si="27"/>
        <v>100</v>
      </c>
      <c r="L113" s="1113">
        <f t="shared" si="27"/>
        <v>100</v>
      </c>
      <c r="M113" s="1113">
        <f t="shared" si="27"/>
        <v>100</v>
      </c>
      <c r="N113" s="1169"/>
      <c r="O113" s="1169"/>
      <c r="P113" s="1511"/>
      <c r="Q113" s="1200"/>
    </row>
    <row r="114" spans="1:17">
      <c r="A114" s="1141"/>
      <c r="B114" s="1110" t="s">
        <v>1413</v>
      </c>
      <c r="C114" s="1118"/>
      <c r="D114" s="1118"/>
      <c r="E114" s="1135"/>
      <c r="F114" s="1135"/>
      <c r="G114" s="1135"/>
      <c r="H114" s="1135"/>
      <c r="I114" s="1135"/>
      <c r="J114" s="1135"/>
      <c r="K114" s="1187"/>
      <c r="L114" s="1188"/>
      <c r="M114" s="1189"/>
      <c r="N114" s="1156"/>
      <c r="O114" s="1156"/>
      <c r="P114" s="1505"/>
      <c r="Q114" s="1080"/>
    </row>
    <row r="115" spans="1:17" ht="15">
      <c r="A115" s="1107"/>
      <c r="B115" s="1112"/>
      <c r="C115" s="1113">
        <v>100</v>
      </c>
      <c r="D115" s="1113">
        <f t="shared" ref="D115:M115" si="28">C115-$K38</f>
        <v>100</v>
      </c>
      <c r="E115" s="1113">
        <f t="shared" si="28"/>
        <v>100</v>
      </c>
      <c r="F115" s="1113">
        <f t="shared" si="28"/>
        <v>100</v>
      </c>
      <c r="G115" s="1113">
        <f t="shared" si="28"/>
        <v>100</v>
      </c>
      <c r="H115" s="1113">
        <f t="shared" si="28"/>
        <v>100</v>
      </c>
      <c r="I115" s="1113">
        <f t="shared" si="28"/>
        <v>100</v>
      </c>
      <c r="J115" s="1113">
        <f t="shared" si="28"/>
        <v>100</v>
      </c>
      <c r="K115" s="1113">
        <f t="shared" si="28"/>
        <v>100</v>
      </c>
      <c r="L115" s="1113">
        <f t="shared" si="28"/>
        <v>100</v>
      </c>
      <c r="M115" s="1163">
        <f t="shared" si="28"/>
        <v>100</v>
      </c>
      <c r="N115" s="1159"/>
      <c r="O115" s="1159"/>
      <c r="P115" s="1505"/>
      <c r="Q115" s="1080"/>
    </row>
    <row r="116" spans="1:17">
      <c r="A116" s="1141"/>
      <c r="B116" s="1110" t="s">
        <v>1414</v>
      </c>
      <c r="C116" s="1118"/>
      <c r="D116" s="1118"/>
      <c r="E116" s="1118"/>
      <c r="F116" s="1118"/>
      <c r="G116" s="1118"/>
      <c r="H116" s="1135"/>
      <c r="I116" s="1135"/>
      <c r="J116" s="1135"/>
      <c r="K116" s="1187"/>
      <c r="L116" s="1188"/>
      <c r="M116" s="1189"/>
      <c r="N116" s="1156"/>
      <c r="O116" s="1156"/>
      <c r="P116" s="1505"/>
      <c r="Q116" s="1080"/>
    </row>
    <row r="117" spans="1:17" ht="15">
      <c r="A117" s="1107"/>
      <c r="B117" s="1112"/>
      <c r="C117" s="1113">
        <v>100</v>
      </c>
      <c r="D117" s="1113">
        <f>C117-$K39</f>
        <v>100</v>
      </c>
      <c r="E117" s="1113">
        <f>D117-$K39</f>
        <v>100</v>
      </c>
      <c r="F117" s="1113">
        <f>E117-$K39</f>
        <v>100</v>
      </c>
      <c r="G117" s="1113">
        <f>F117-$K39</f>
        <v>100</v>
      </c>
      <c r="H117" s="1113"/>
      <c r="I117" s="1113"/>
      <c r="J117" s="1113"/>
      <c r="K117" s="1113"/>
      <c r="L117" s="1113"/>
      <c r="M117" s="1163"/>
      <c r="N117" s="1159"/>
      <c r="O117" s="1159"/>
      <c r="P117" s="1505"/>
      <c r="Q117" s="1080"/>
    </row>
    <row r="118" spans="1:17">
      <c r="A118" s="1141"/>
      <c r="B118" s="1110" t="s">
        <v>1415</v>
      </c>
      <c r="C118" s="1510"/>
      <c r="D118" s="1510"/>
      <c r="E118" s="1510"/>
      <c r="F118" s="1510"/>
      <c r="G118" s="1510"/>
      <c r="H118" s="1119"/>
      <c r="I118" s="1119"/>
      <c r="J118" s="1119"/>
      <c r="K118" s="1119"/>
      <c r="L118" s="1167"/>
      <c r="M118" s="1168"/>
      <c r="N118" s="1156"/>
      <c r="O118" s="1156"/>
      <c r="P118" s="1505"/>
      <c r="Q118" s="1080"/>
    </row>
    <row r="119" spans="1:17" ht="15">
      <c r="A119" s="1107"/>
      <c r="B119" s="1112"/>
      <c r="C119" s="1120"/>
      <c r="D119" s="1109"/>
      <c r="E119" s="1109"/>
      <c r="F119" s="1109"/>
      <c r="G119" s="1109"/>
      <c r="H119" s="1109"/>
      <c r="I119" s="1109"/>
      <c r="J119" s="1109"/>
      <c r="K119" s="1109"/>
      <c r="L119" s="1109"/>
      <c r="M119" s="1158"/>
      <c r="N119" s="1159"/>
      <c r="O119" s="1159"/>
      <c r="P119" s="1505"/>
      <c r="Q119" s="1080"/>
    </row>
    <row r="120" spans="1:17" s="868" customFormat="1">
      <c r="A120" s="1138"/>
      <c r="B120" s="1110" t="s">
        <v>1418</v>
      </c>
      <c r="C120" s="1135"/>
      <c r="D120" s="1135"/>
      <c r="E120" s="1135"/>
      <c r="F120" s="1135"/>
      <c r="G120" s="1119"/>
      <c r="H120" s="1119"/>
      <c r="I120" s="1119"/>
      <c r="J120" s="1119"/>
      <c r="K120" s="1119"/>
      <c r="L120" s="1167"/>
      <c r="M120" s="1168"/>
      <c r="N120" s="1169"/>
      <c r="O120" s="1169"/>
      <c r="P120" s="1511"/>
      <c r="Q120" s="1200"/>
    </row>
    <row r="121" spans="1:17" s="868" customFormat="1" ht="15">
      <c r="A121" s="1117"/>
      <c r="B121" s="1108"/>
      <c r="C121" s="1131">
        <v>100</v>
      </c>
      <c r="D121" s="1113">
        <f>C121-$K41</f>
        <v>100</v>
      </c>
      <c r="E121" s="1113">
        <f t="shared" ref="E121:M121" si="29">D121-$K41</f>
        <v>100</v>
      </c>
      <c r="F121" s="1113">
        <f t="shared" si="29"/>
        <v>100</v>
      </c>
      <c r="G121" s="1113">
        <f t="shared" si="29"/>
        <v>100</v>
      </c>
      <c r="H121" s="1113">
        <f t="shared" si="29"/>
        <v>100</v>
      </c>
      <c r="I121" s="1113">
        <f t="shared" si="29"/>
        <v>100</v>
      </c>
      <c r="J121" s="1113">
        <f t="shared" si="29"/>
        <v>100</v>
      </c>
      <c r="K121" s="1113">
        <f t="shared" si="29"/>
        <v>100</v>
      </c>
      <c r="L121" s="1113">
        <f t="shared" si="29"/>
        <v>100</v>
      </c>
      <c r="M121" s="1163">
        <f t="shared" si="29"/>
        <v>100</v>
      </c>
      <c r="N121" s="1169"/>
      <c r="O121" s="1169"/>
      <c r="P121" s="1511"/>
      <c r="Q121" s="1200"/>
    </row>
    <row r="122" spans="1:17">
      <c r="A122" s="1141"/>
      <c r="B122" s="1110" t="s">
        <v>1360</v>
      </c>
      <c r="C122" s="1118"/>
      <c r="D122" s="1118"/>
      <c r="E122" s="1118"/>
      <c r="F122" s="1135"/>
      <c r="G122" s="1135"/>
      <c r="H122" s="1135"/>
      <c r="I122" s="1135"/>
      <c r="J122" s="1135"/>
      <c r="K122" s="1187"/>
      <c r="L122" s="1188"/>
      <c r="M122" s="1189"/>
      <c r="N122" s="1156"/>
      <c r="O122" s="1156"/>
      <c r="P122" s="1505"/>
      <c r="Q122" s="1080"/>
    </row>
    <row r="123" spans="1:17" ht="15">
      <c r="A123" s="1107"/>
      <c r="B123" s="1112"/>
      <c r="C123" s="1113">
        <v>100</v>
      </c>
      <c r="D123" s="1113">
        <f t="shared" ref="D123:M123" si="30">C123-$K42</f>
        <v>100</v>
      </c>
      <c r="E123" s="1113">
        <f t="shared" si="30"/>
        <v>100</v>
      </c>
      <c r="F123" s="1113">
        <f t="shared" si="30"/>
        <v>100</v>
      </c>
      <c r="G123" s="1113">
        <f t="shared" si="30"/>
        <v>100</v>
      </c>
      <c r="H123" s="1113">
        <f t="shared" si="30"/>
        <v>100</v>
      </c>
      <c r="I123" s="1113">
        <f t="shared" si="30"/>
        <v>100</v>
      </c>
      <c r="J123" s="1113">
        <f t="shared" si="30"/>
        <v>100</v>
      </c>
      <c r="K123" s="1113">
        <f t="shared" si="30"/>
        <v>100</v>
      </c>
      <c r="L123" s="1113">
        <f t="shared" si="30"/>
        <v>100</v>
      </c>
      <c r="M123" s="1163">
        <f t="shared" si="30"/>
        <v>100</v>
      </c>
      <c r="N123" s="1159"/>
      <c r="O123" s="1159"/>
      <c r="P123" s="1505"/>
      <c r="Q123" s="1080"/>
    </row>
    <row r="124" spans="1:17">
      <c r="A124" s="1141"/>
      <c r="B124" s="1110" t="s">
        <v>1361</v>
      </c>
      <c r="C124" s="1129" t="s">
        <v>1378</v>
      </c>
      <c r="D124" s="1129" t="s">
        <v>1379</v>
      </c>
      <c r="E124" s="1129" t="s">
        <v>1380</v>
      </c>
      <c r="F124" s="1129" t="s">
        <v>1381</v>
      </c>
      <c r="G124" s="1129" t="s">
        <v>1382</v>
      </c>
      <c r="H124" s="1111"/>
      <c r="I124" s="1111"/>
      <c r="J124" s="1111"/>
      <c r="K124" s="1160"/>
      <c r="L124" s="1161"/>
      <c r="M124" s="1162"/>
      <c r="N124" s="1156"/>
      <c r="O124" s="1156"/>
      <c r="P124" s="1511"/>
      <c r="Q124" s="1080"/>
    </row>
    <row r="125" spans="1:17" ht="15">
      <c r="A125" s="1107"/>
      <c r="B125" s="1112"/>
      <c r="C125" s="1113">
        <v>100</v>
      </c>
      <c r="D125" s="1113">
        <f>C125-$K43</f>
        <v>100</v>
      </c>
      <c r="E125" s="1113">
        <f>D125-$K43</f>
        <v>100</v>
      </c>
      <c r="F125" s="1113">
        <f>E125-$K43</f>
        <v>100</v>
      </c>
      <c r="G125" s="1113">
        <f>F125-$K43</f>
        <v>100</v>
      </c>
      <c r="H125" s="1113"/>
      <c r="I125" s="1113"/>
      <c r="J125" s="1113"/>
      <c r="K125" s="1113"/>
      <c r="L125" s="1113"/>
      <c r="M125" s="1163"/>
      <c r="N125" s="1159"/>
      <c r="O125" s="1159"/>
      <c r="P125" s="1505"/>
      <c r="Q125" s="1080"/>
    </row>
    <row r="126" spans="1:17" s="868" customFormat="1">
      <c r="A126" s="1138"/>
      <c r="B126" s="1110">
        <f>B44</f>
        <v>111</v>
      </c>
      <c r="C126" s="1118"/>
      <c r="D126" s="1118"/>
      <c r="E126" s="1118"/>
      <c r="F126" s="1118"/>
      <c r="G126" s="1118"/>
      <c r="H126" s="1119"/>
      <c r="I126" s="1119"/>
      <c r="J126" s="1119"/>
      <c r="K126" s="1119"/>
      <c r="L126" s="1167"/>
      <c r="M126" s="1168"/>
      <c r="N126" s="1169"/>
      <c r="O126" s="1169"/>
      <c r="P126" s="1511"/>
      <c r="Q126" s="1200"/>
    </row>
    <row r="127" spans="1:17" s="868" customFormat="1" ht="15">
      <c r="A127" s="1117"/>
      <c r="B127" s="1112"/>
      <c r="C127" s="1120"/>
      <c r="D127" s="1109"/>
      <c r="E127" s="1109"/>
      <c r="F127" s="1109"/>
      <c r="G127" s="1120"/>
      <c r="H127" s="1121"/>
      <c r="I127" s="1121"/>
      <c r="J127" s="1121"/>
      <c r="K127" s="1121"/>
      <c r="L127" s="1121"/>
      <c r="M127" s="1172"/>
      <c r="N127" s="1169"/>
      <c r="O127" s="1169"/>
      <c r="P127" s="1511"/>
      <c r="Q127" s="1200"/>
    </row>
    <row r="128" spans="1:17">
      <c r="A128" s="1141"/>
      <c r="B128" s="1110">
        <f>B45</f>
        <v>111</v>
      </c>
      <c r="C128" s="1118"/>
      <c r="D128" s="1118"/>
      <c r="E128" s="1118"/>
      <c r="F128" s="1118"/>
      <c r="G128" s="1135"/>
      <c r="H128" s="1135"/>
      <c r="I128" s="1135"/>
      <c r="J128" s="1135"/>
      <c r="K128" s="1187"/>
      <c r="L128" s="1188"/>
      <c r="M128" s="1189"/>
      <c r="N128" s="1156"/>
      <c r="O128" s="1156"/>
      <c r="P128" s="1505"/>
      <c r="Q128" s="1080"/>
    </row>
    <row r="129" spans="1:17" ht="15">
      <c r="A129" s="1107"/>
      <c r="B129" s="1112"/>
      <c r="C129" s="1120"/>
      <c r="D129" s="1109"/>
      <c r="E129" s="1109"/>
      <c r="F129" s="1109"/>
      <c r="G129" s="1109"/>
      <c r="H129" s="1109"/>
      <c r="I129" s="1109"/>
      <c r="J129" s="1109"/>
      <c r="K129" s="1109"/>
      <c r="L129" s="1109"/>
      <c r="M129" s="1158"/>
      <c r="N129" s="1159"/>
      <c r="O129" s="1159"/>
      <c r="P129" s="1505"/>
      <c r="Q129" s="1080"/>
    </row>
    <row r="130" spans="1:17">
      <c r="A130" s="1141"/>
      <c r="B130" s="1114">
        <f>B46</f>
        <v>111</v>
      </c>
      <c r="C130" s="1118"/>
      <c r="D130" s="1118"/>
      <c r="E130" s="1118"/>
      <c r="F130" s="1118"/>
      <c r="G130" s="1136"/>
      <c r="H130" s="1136"/>
      <c r="I130" s="1136"/>
      <c r="J130" s="1136"/>
      <c r="K130" s="1102"/>
      <c r="L130" s="1148"/>
      <c r="M130" s="1192"/>
      <c r="N130" s="1156"/>
      <c r="O130" s="1156"/>
      <c r="P130" s="1505"/>
      <c r="Q130" s="1080"/>
    </row>
    <row r="131" spans="1:17" ht="15">
      <c r="A131" s="1460"/>
      <c r="B131" s="1124"/>
      <c r="C131" s="1125"/>
      <c r="D131" s="1125"/>
      <c r="E131" s="1125"/>
      <c r="F131" s="1125"/>
      <c r="G131" s="1137"/>
      <c r="H131" s="1137"/>
      <c r="I131" s="1137"/>
      <c r="J131" s="1137"/>
      <c r="K131" s="1137"/>
      <c r="L131" s="1137"/>
      <c r="M131" s="1193"/>
      <c r="N131" s="1159"/>
      <c r="O131" s="1159"/>
      <c r="P131" s="1505"/>
      <c r="Q131" s="1080"/>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E52">
    <cfRule type="expression" dxfId="94" priority="12" stopIfTrue="1">
      <formula>$F$52="超过30%"</formula>
    </cfRule>
  </conditionalFormatting>
  <conditionalFormatting sqref="G52">
    <cfRule type="expression" dxfId="93" priority="8" stopIfTrue="1">
      <formula>$H$52="超过30%"</formula>
    </cfRule>
  </conditionalFormatting>
  <conditionalFormatting sqref="I52">
    <cfRule type="expression" dxfId="92" priority="3" stopIfTrue="1">
      <formula>$J$52="超过30%"</formula>
    </cfRule>
  </conditionalFormatting>
  <conditionalFormatting sqref="J52">
    <cfRule type="containsText" dxfId="91" priority="6" stopIfTrue="1" operator="containsText" text="超过">
      <formula>NOT(ISERROR(SEARCH("超过",J52)))</formula>
    </cfRule>
  </conditionalFormatting>
  <conditionalFormatting sqref="E53">
    <cfRule type="expression" dxfId="90" priority="11" stopIfTrue="1">
      <formula>$F$53="超过20%"</formula>
    </cfRule>
  </conditionalFormatting>
  <conditionalFormatting sqref="G53">
    <cfRule type="expression" dxfId="89" priority="7" stopIfTrue="1">
      <formula>$H$53="超过20%"</formula>
    </cfRule>
  </conditionalFormatting>
  <conditionalFormatting sqref="I53">
    <cfRule type="expression" dxfId="88" priority="2" stopIfTrue="1">
      <formula>$J$53="超过20%"</formula>
    </cfRule>
  </conditionalFormatting>
  <conditionalFormatting sqref="J53">
    <cfRule type="containsText" dxfId="87" priority="4" stopIfTrue="1" operator="containsText" text="超过">
      <formula>NOT(ISERROR(SEARCH("超过",J53)))</formula>
    </cfRule>
  </conditionalFormatting>
  <conditionalFormatting sqref="E54">
    <cfRule type="expression" dxfId="86" priority="10" stopIfTrue="1">
      <formula>$F$54="超过30%"</formula>
    </cfRule>
  </conditionalFormatting>
  <conditionalFormatting sqref="F54">
    <cfRule type="containsText" dxfId="85" priority="14" stopIfTrue="1" operator="containsText" text="超过">
      <formula>NOT(ISERROR(SEARCH("超过",F54)))</formula>
    </cfRule>
  </conditionalFormatting>
  <conditionalFormatting sqref="G54">
    <cfRule type="expression" dxfId="84" priority="9" stopIfTrue="1">
      <formula>$H$54="超过30%"</formula>
    </cfRule>
  </conditionalFormatting>
  <conditionalFormatting sqref="H54">
    <cfRule type="containsText" dxfId="83" priority="15" stopIfTrue="1" operator="containsText" text="超过">
      <formula>NOT(ISERROR(SEARCH("超过",H54)))</formula>
    </cfRule>
  </conditionalFormatting>
  <conditionalFormatting sqref="I54">
    <cfRule type="expression" dxfId="82" priority="1" stopIfTrue="1">
      <formula>$J$54="超过30%"</formula>
    </cfRule>
  </conditionalFormatting>
  <conditionalFormatting sqref="J54">
    <cfRule type="containsText" dxfId="81" priority="5" stopIfTrue="1" operator="containsText" text="超过">
      <formula>NOT(ISERROR(SEARCH("超过",J54)))</formula>
    </cfRule>
  </conditionalFormatting>
  <conditionalFormatting sqref="F52 H52">
    <cfRule type="containsText" dxfId="80" priority="17" stopIfTrue="1" operator="containsText" text="超过">
      <formula>NOT(ISERROR(SEARCH("超过",F52)))</formula>
    </cfRule>
  </conditionalFormatting>
  <conditionalFormatting sqref="F53 H53">
    <cfRule type="containsText" dxfId="79" priority="13"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0 E10 G10 I10">
      <formula1>土地年限区间</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833333333333304" right="0.70833333333333304" top="1.0625" bottom="0.94444444444444398" header="0.31458333333333299" footer="0.31458333333333299"/>
  <pageSetup paperSize="9" scale="28" fitToHeight="0" orientation="portrait"/>
  <legacy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872" customWidth="1"/>
    <col min="2" max="2" width="15.75" style="872" customWidth="1"/>
    <col min="3" max="3" width="15.625" style="872" customWidth="1"/>
    <col min="4" max="4" width="12.25" style="872" customWidth="1"/>
    <col min="5" max="5" width="14.375" style="872" customWidth="1"/>
    <col min="6" max="6" width="12.25" style="872" customWidth="1"/>
    <col min="7" max="7" width="14.5" style="872" customWidth="1"/>
    <col min="8" max="8" width="12.25" style="872" customWidth="1"/>
    <col min="9" max="9" width="14.5" style="872" customWidth="1"/>
    <col min="10" max="10" width="12.25" style="872" customWidth="1"/>
    <col min="11" max="11" width="12.25" style="873" customWidth="1"/>
    <col min="12" max="12" width="12.25" style="874" customWidth="1"/>
    <col min="13" max="15" width="12.25" style="872" customWidth="1"/>
    <col min="16" max="16" width="4.75" style="1391" customWidth="1"/>
    <col min="17" max="17" width="19.5" style="872" customWidth="1"/>
    <col min="18" max="22" width="6.125" style="872" customWidth="1"/>
    <col min="23" max="23" width="5.75" style="872" customWidth="1"/>
    <col min="24" max="24" width="4.25" style="872" customWidth="1"/>
    <col min="25" max="25" width="3.5" style="872" customWidth="1"/>
    <col min="26" max="26" width="19.75" style="872" customWidth="1"/>
    <col min="27" max="28" width="9.375" style="872" customWidth="1"/>
    <col min="29" max="16384" width="9" style="872"/>
  </cols>
  <sheetData>
    <row r="1" spans="1:29" s="1312" customFormat="1" ht="28.5" customHeight="1">
      <c r="A1" s="1313" t="s">
        <v>1315</v>
      </c>
      <c r="B1" s="1456" t="s">
        <v>1419</v>
      </c>
      <c r="C1" s="1315" t="s">
        <v>1317</v>
      </c>
      <c r="D1" s="1316"/>
      <c r="E1" s="1317"/>
      <c r="F1" s="1318"/>
      <c r="G1" s="1319" t="s">
        <v>1319</v>
      </c>
      <c r="H1" s="1317"/>
      <c r="I1" s="1317"/>
      <c r="J1" s="1317"/>
      <c r="K1" s="1370"/>
      <c r="L1" s="1371"/>
      <c r="M1" s="1372"/>
      <c r="N1" s="1372"/>
      <c r="O1" s="1372"/>
      <c r="P1" s="1315"/>
      <c r="Q1" s="1315"/>
      <c r="R1" s="1315"/>
      <c r="S1" s="1315"/>
      <c r="T1" s="1315"/>
      <c r="U1" s="1315"/>
      <c r="V1" s="1315"/>
      <c r="W1" s="1315"/>
      <c r="X1" s="1315"/>
      <c r="Y1" s="1315"/>
      <c r="Z1" s="1315"/>
      <c r="AA1" s="1315"/>
      <c r="AB1" s="1315"/>
      <c r="AC1" s="1378"/>
    </row>
    <row r="2" spans="1:29" s="865" customFormat="1" ht="28.5" customHeight="1">
      <c r="A2" s="1320" t="s">
        <v>895</v>
      </c>
      <c r="B2" s="1321" t="e">
        <f ca="1">IF(C2="——",ROUND(C50*D3/10000,0),ROUND(C50*D3/10000,0)-D2)</f>
        <v>#DIV/0!</v>
      </c>
      <c r="C2" s="1322"/>
      <c r="D2" s="1461" t="e">
        <f ca="1">SUMIF(INDIRECT("'"&amp;F2&amp;"'"&amp;"!A:A"),"承租人权益价值",INDIRECT("'"&amp;F2&amp;"'"&amp;"!c:c"))</f>
        <v>#REF!</v>
      </c>
      <c r="E2" s="1323" t="s">
        <v>896</v>
      </c>
      <c r="F2" s="1324"/>
      <c r="G2" s="881"/>
      <c r="H2" s="881"/>
      <c r="I2" s="881"/>
      <c r="J2" s="881"/>
      <c r="K2" s="881"/>
      <c r="L2" s="1025"/>
      <c r="M2" s="1026"/>
      <c r="N2" s="1026"/>
      <c r="O2" s="1026"/>
      <c r="P2" s="1023"/>
      <c r="Q2" s="1023"/>
      <c r="R2" s="1023"/>
      <c r="S2" s="1023"/>
      <c r="T2" s="1023"/>
      <c r="U2" s="1023"/>
      <c r="V2" s="1023"/>
      <c r="W2" s="1023"/>
      <c r="X2" s="1023"/>
      <c r="Y2" s="1023"/>
      <c r="Z2" s="1023"/>
      <c r="AA2" s="1023"/>
      <c r="AB2" s="1023"/>
      <c r="AC2" s="1081"/>
    </row>
    <row r="3" spans="1:29" s="865" customFormat="1" ht="28.5" customHeight="1">
      <c r="A3" s="147" t="s">
        <v>897</v>
      </c>
      <c r="B3" s="883" t="e">
        <f ca="1">IF(C2="——",C50,ROUND(B2*10000/D3,0))</f>
        <v>#DIV/0!</v>
      </c>
      <c r="C3" s="1325" t="s">
        <v>1320</v>
      </c>
      <c r="D3" s="1326">
        <f>IF(D1="",'数据-汇总表'!E3,SUMIF('数据-汇总表'!$C19:$C33,D1,'数据-汇总表'!$E19:$E33))</f>
        <v>98873.18</v>
      </c>
      <c r="E3" s="1462"/>
      <c r="F3" s="882"/>
      <c r="G3" s="881"/>
      <c r="H3" s="881"/>
      <c r="I3" s="881"/>
      <c r="J3" s="881"/>
      <c r="K3" s="1024"/>
      <c r="L3" s="1025"/>
      <c r="M3" s="1026"/>
      <c r="N3" s="1026"/>
      <c r="O3" s="1026"/>
      <c r="P3" s="1023"/>
      <c r="Q3" s="1023"/>
      <c r="R3" s="1023"/>
      <c r="S3" s="1023"/>
      <c r="T3" s="1023"/>
      <c r="U3" s="1023"/>
      <c r="V3" s="1023"/>
      <c r="W3" s="1023"/>
      <c r="X3" s="1023"/>
      <c r="Y3" s="1023"/>
      <c r="Z3" s="1023"/>
      <c r="AA3" s="1023"/>
      <c r="AB3" s="1023"/>
      <c r="AC3" s="1081"/>
    </row>
    <row r="4" spans="1:29" ht="15">
      <c r="A4" s="885" t="s">
        <v>1321</v>
      </c>
      <c r="B4" s="886"/>
      <c r="C4" s="3457" t="s">
        <v>1322</v>
      </c>
      <c r="D4" s="3458"/>
      <c r="E4" s="3459" t="s">
        <v>1323</v>
      </c>
      <c r="F4" s="3460"/>
      <c r="G4" s="3457" t="s">
        <v>1324</v>
      </c>
      <c r="H4" s="3458"/>
      <c r="I4" s="3457" t="s">
        <v>1325</v>
      </c>
      <c r="J4" s="3458"/>
      <c r="K4" s="1027" t="s">
        <v>1326</v>
      </c>
      <c r="L4" s="1028"/>
      <c r="M4" s="1029"/>
      <c r="N4" s="1029"/>
      <c r="O4" s="1029"/>
      <c r="P4" s="3551" t="s">
        <v>1327</v>
      </c>
      <c r="Q4" s="3552"/>
      <c r="R4" s="3555" t="s">
        <v>1323</v>
      </c>
      <c r="S4" s="3556"/>
      <c r="T4" s="3555" t="s">
        <v>1324</v>
      </c>
      <c r="U4" s="3556"/>
      <c r="V4" s="3557" t="s">
        <v>1325</v>
      </c>
      <c r="W4" s="3557"/>
      <c r="X4" s="1478"/>
      <c r="Y4" s="3555" t="s">
        <v>1327</v>
      </c>
      <c r="Z4" s="3556"/>
      <c r="AA4" s="3547" t="s">
        <v>1323</v>
      </c>
      <c r="AB4" s="3547" t="s">
        <v>1324</v>
      </c>
      <c r="AC4" s="3548" t="s">
        <v>1325</v>
      </c>
    </row>
    <row r="5" spans="1:29" ht="15">
      <c r="A5" s="887"/>
      <c r="B5" s="888"/>
      <c r="C5" s="3461" t="s">
        <v>1328</v>
      </c>
      <c r="D5" s="3462"/>
      <c r="E5" s="3531" t="s">
        <v>1329</v>
      </c>
      <c r="F5" s="3532"/>
      <c r="G5" s="3461" t="s">
        <v>1330</v>
      </c>
      <c r="H5" s="3462"/>
      <c r="I5" s="3461" t="s">
        <v>1331</v>
      </c>
      <c r="J5" s="3462"/>
      <c r="K5" s="1027"/>
      <c r="L5" s="1028"/>
      <c r="M5" s="1029"/>
      <c r="N5" s="1029"/>
      <c r="O5" s="1029"/>
      <c r="P5" s="3553"/>
      <c r="Q5" s="3490"/>
      <c r="R5" s="3495"/>
      <c r="S5" s="3496"/>
      <c r="T5" s="3495"/>
      <c r="U5" s="3496"/>
      <c r="V5" s="3481"/>
      <c r="W5" s="3481"/>
      <c r="X5" s="1069"/>
      <c r="Y5" s="3495"/>
      <c r="Z5" s="3496"/>
      <c r="AA5" s="3483"/>
      <c r="AB5" s="3483"/>
      <c r="AC5" s="3549"/>
    </row>
    <row r="6" spans="1:29" ht="15">
      <c r="A6" s="889"/>
      <c r="B6" s="890"/>
      <c r="C6" s="3464" t="s">
        <v>1332</v>
      </c>
      <c r="D6" s="3465"/>
      <c r="E6" s="3533" t="s">
        <v>1332</v>
      </c>
      <c r="F6" s="3534"/>
      <c r="G6" s="3464" t="s">
        <v>1332</v>
      </c>
      <c r="H6" s="3465"/>
      <c r="I6" s="3464" t="s">
        <v>1332</v>
      </c>
      <c r="J6" s="3465"/>
      <c r="K6" s="1027" t="s">
        <v>1333</v>
      </c>
      <c r="L6" s="1028"/>
      <c r="M6" s="1029"/>
      <c r="N6" s="1029"/>
      <c r="O6" s="1029"/>
      <c r="P6" s="3554"/>
      <c r="Q6" s="3492"/>
      <c r="R6" s="3495"/>
      <c r="S6" s="3496"/>
      <c r="T6" s="3497"/>
      <c r="U6" s="3498"/>
      <c r="V6" s="3481"/>
      <c r="W6" s="3481"/>
      <c r="X6" s="1069"/>
      <c r="Y6" s="3497"/>
      <c r="Z6" s="3498"/>
      <c r="AA6" s="3484"/>
      <c r="AB6" s="3484"/>
      <c r="AC6" s="3550"/>
    </row>
    <row r="7" spans="1:29" s="866" customFormat="1" ht="15">
      <c r="A7" s="891" t="s">
        <v>1334</v>
      </c>
      <c r="B7" s="892"/>
      <c r="C7" s="893">
        <f>'数据-取费表'!B2</f>
        <v>43361</v>
      </c>
      <c r="D7" s="894">
        <v>100</v>
      </c>
      <c r="E7" s="895"/>
      <c r="F7" s="896">
        <f>SUMIF(59:59,YEAR(E7)&amp;"-"&amp;MONTH(E7),60:60)</f>
        <v>0</v>
      </c>
      <c r="G7" s="895"/>
      <c r="H7" s="894">
        <f>SUMIF(59:59,YEAR(G7)&amp;"-"&amp;MONTH(G7),60:60)</f>
        <v>0</v>
      </c>
      <c r="I7" s="895"/>
      <c r="J7" s="894">
        <f>SUMIF(59:59,YEAR(I7)&amp;"-"&amp;MONTH(I7),60:60)</f>
        <v>0</v>
      </c>
      <c r="K7" s="1030"/>
      <c r="L7" s="1031"/>
      <c r="M7" s="1032"/>
      <c r="N7" s="1032"/>
      <c r="O7" s="1032"/>
      <c r="P7" s="3543" t="s">
        <v>1335</v>
      </c>
      <c r="Q7" s="3470"/>
      <c r="R7" s="1070" t="s">
        <v>1336</v>
      </c>
      <c r="S7" s="1071">
        <f t="shared" ref="S7:S15" si="0">F7</f>
        <v>0</v>
      </c>
      <c r="T7" s="1070" t="s">
        <v>1336</v>
      </c>
      <c r="U7" s="1071">
        <f t="shared" ref="U7:U15" si="1">H7</f>
        <v>0</v>
      </c>
      <c r="V7" s="1070" t="s">
        <v>1336</v>
      </c>
      <c r="W7" s="1071">
        <f t="shared" ref="W7:W15" si="2">J7</f>
        <v>0</v>
      </c>
      <c r="X7" s="1072"/>
      <c r="Y7" s="3469" t="s">
        <v>1335</v>
      </c>
      <c r="Z7" s="3499"/>
      <c r="AA7" s="1084" t="e">
        <f>D7/F7</f>
        <v>#DIV/0!</v>
      </c>
      <c r="AB7" s="1084" t="e">
        <f>D7/H7</f>
        <v>#DIV/0!</v>
      </c>
      <c r="AC7" s="1480" t="e">
        <f>D7/J7</f>
        <v>#DIV/0!</v>
      </c>
    </row>
    <row r="8" spans="1:29" s="866" customFormat="1" ht="15">
      <c r="A8" s="891" t="s">
        <v>1337</v>
      </c>
      <c r="B8" s="892"/>
      <c r="C8" s="898" t="s">
        <v>1338</v>
      </c>
      <c r="D8" s="894">
        <v>100</v>
      </c>
      <c r="E8" s="898"/>
      <c r="F8" s="896">
        <f>SUMIF(62:62,E8,63:63)-SUMIF(62:62,C8,63:63)+100</f>
        <v>0</v>
      </c>
      <c r="G8" s="898"/>
      <c r="H8" s="894">
        <f>SUMIF(62:62,G8,63:63)-SUMIF(62:62,C8,63:63)+100</f>
        <v>0</v>
      </c>
      <c r="I8" s="898"/>
      <c r="J8" s="894">
        <f>SUMIF(62:62,I8,63:63)-SUMIF(62:62,C8,63:63)+100</f>
        <v>0</v>
      </c>
      <c r="K8" s="1030"/>
      <c r="L8" s="1031"/>
      <c r="M8" s="1032"/>
      <c r="N8" s="1032"/>
      <c r="O8" s="1032"/>
      <c r="P8" s="3543" t="s">
        <v>1339</v>
      </c>
      <c r="Q8" s="3499"/>
      <c r="R8" s="1070" t="s">
        <v>1336</v>
      </c>
      <c r="S8" s="1071">
        <f t="shared" si="0"/>
        <v>0</v>
      </c>
      <c r="T8" s="1070" t="s">
        <v>1336</v>
      </c>
      <c r="U8" s="1071">
        <f t="shared" si="1"/>
        <v>0</v>
      </c>
      <c r="V8" s="1070" t="s">
        <v>1336</v>
      </c>
      <c r="W8" s="1071">
        <f t="shared" si="2"/>
        <v>0</v>
      </c>
      <c r="X8" s="1072"/>
      <c r="Y8" s="3469" t="s">
        <v>1339</v>
      </c>
      <c r="Z8" s="3499"/>
      <c r="AA8" s="1084" t="e">
        <f t="shared" ref="AA8:AA47" si="3">D8/F8</f>
        <v>#DIV/0!</v>
      </c>
      <c r="AB8" s="1084" t="e">
        <f t="shared" ref="AB8:AB47" si="4">D8/H8</f>
        <v>#DIV/0!</v>
      </c>
      <c r="AC8" s="1480" t="e">
        <f t="shared" ref="AC8:AC47" si="5">D8/J8</f>
        <v>#DIV/0!</v>
      </c>
    </row>
    <row r="9" spans="1:29" s="866" customFormat="1">
      <c r="A9" s="899" t="s">
        <v>1340</v>
      </c>
      <c r="B9" s="900" t="s">
        <v>346</v>
      </c>
      <c r="C9" s="1327"/>
      <c r="D9" s="902">
        <v>100</v>
      </c>
      <c r="E9" s="1328"/>
      <c r="F9" s="902">
        <f>SUMIF(64:64,E9,65:65)-SUMIF(64:64,C9,65:65)+100</f>
        <v>100</v>
      </c>
      <c r="G9" s="1396"/>
      <c r="H9" s="902">
        <f>SUMIF(64:64,G9,65:65)-SUMIF(64:64,C9,65:65)+100</f>
        <v>100</v>
      </c>
      <c r="I9" s="1396"/>
      <c r="J9" s="902">
        <f>SUMIF(64:64,I9,65:65)-SUMIF(64:64,C9,65:65)+100</f>
        <v>100</v>
      </c>
      <c r="K9" s="1030"/>
      <c r="L9" s="1031"/>
      <c r="M9" s="1032"/>
      <c r="N9" s="1032"/>
      <c r="O9" s="1032"/>
      <c r="P9" s="3486" t="s">
        <v>1341</v>
      </c>
      <c r="Q9" s="1074" t="str">
        <f t="shared" ref="Q9:Q15" si="6">B9</f>
        <v>用途</v>
      </c>
      <c r="R9" s="1070" t="s">
        <v>1336</v>
      </c>
      <c r="S9" s="1071">
        <f t="shared" si="0"/>
        <v>100</v>
      </c>
      <c r="T9" s="1070" t="s">
        <v>1336</v>
      </c>
      <c r="U9" s="1071">
        <f t="shared" si="1"/>
        <v>100</v>
      </c>
      <c r="V9" s="1070" t="s">
        <v>1336</v>
      </c>
      <c r="W9" s="1071">
        <f t="shared" si="2"/>
        <v>100</v>
      </c>
      <c r="X9" s="1072"/>
      <c r="Y9" s="3245" t="s">
        <v>1342</v>
      </c>
      <c r="Z9" s="1085" t="str">
        <f t="shared" ref="Z9:Z15" si="7">Q9</f>
        <v>用途</v>
      </c>
      <c r="AA9" s="1084">
        <f t="shared" si="3"/>
        <v>1</v>
      </c>
      <c r="AB9" s="1084">
        <f t="shared" si="4"/>
        <v>1</v>
      </c>
      <c r="AC9" s="1480">
        <f t="shared" si="5"/>
        <v>1</v>
      </c>
    </row>
    <row r="10" spans="1:29" s="867" customFormat="1" ht="27">
      <c r="A10" s="903"/>
      <c r="B10" s="904" t="s">
        <v>1343</v>
      </c>
      <c r="C10" s="1330"/>
      <c r="D10" s="906">
        <v>100</v>
      </c>
      <c r="E10" s="1330"/>
      <c r="F10" s="906">
        <f>SUMIF(66:66,E10,67:67)-SUMIF(66:66,C10,67:67)+100</f>
        <v>100</v>
      </c>
      <c r="G10" s="1399"/>
      <c r="H10" s="906">
        <f>SUMIF(66:66,G10,67:67)-SUMIF(66:66,C10,67:67)+100</f>
        <v>100</v>
      </c>
      <c r="I10" s="1330"/>
      <c r="J10" s="906">
        <f>SUMIF(66:66,I10,67:67)-SUMIF(66:66,C10,67:67)+100</f>
        <v>100</v>
      </c>
      <c r="K10" s="1047"/>
      <c r="L10" s="1035"/>
      <c r="M10" s="1036"/>
      <c r="N10" s="1036"/>
      <c r="O10" s="1036"/>
      <c r="P10" s="3486"/>
      <c r="Q10" s="1074" t="str">
        <f t="shared" si="6"/>
        <v>土地使用年限（年）</v>
      </c>
      <c r="R10" s="1070" t="s">
        <v>1336</v>
      </c>
      <c r="S10" s="1071">
        <f t="shared" si="0"/>
        <v>100</v>
      </c>
      <c r="T10" s="1070" t="s">
        <v>1336</v>
      </c>
      <c r="U10" s="1071">
        <f t="shared" si="1"/>
        <v>100</v>
      </c>
      <c r="V10" s="1070" t="s">
        <v>1336</v>
      </c>
      <c r="W10" s="1071">
        <f t="shared" si="2"/>
        <v>100</v>
      </c>
      <c r="X10" s="1072"/>
      <c r="Y10" s="3245"/>
      <c r="Z10" s="1085" t="str">
        <f t="shared" si="7"/>
        <v>土地使用年限（年）</v>
      </c>
      <c r="AA10" s="1084">
        <f t="shared" si="3"/>
        <v>1</v>
      </c>
      <c r="AB10" s="1084">
        <f t="shared" si="4"/>
        <v>1</v>
      </c>
      <c r="AC10" s="1480">
        <f t="shared" si="5"/>
        <v>1</v>
      </c>
    </row>
    <row r="11" spans="1:29" ht="15">
      <c r="A11" s="907"/>
      <c r="B11" s="904" t="s">
        <v>1344</v>
      </c>
      <c r="C11" s="908"/>
      <c r="D11" s="906">
        <v>100</v>
      </c>
      <c r="E11" s="908"/>
      <c r="F11" s="906" t="e">
        <f>LOOKUP(E11,69:69,70:70)-LOOKUP(C11,69:69,70:70)+100</f>
        <v>#N/A</v>
      </c>
      <c r="G11" s="909"/>
      <c r="H11" s="906" t="e">
        <f>LOOKUP(G11,69:69,70:70)-LOOKUP(C11,69:69,70:70)+100</f>
        <v>#N/A</v>
      </c>
      <c r="I11" s="908"/>
      <c r="J11" s="906" t="e">
        <f>LOOKUP(I11,69:69,70:70)-LOOKUP(C11,69:69,70:70)+100</f>
        <v>#N/A</v>
      </c>
      <c r="K11" s="1047"/>
      <c r="L11" s="1039"/>
      <c r="M11" s="1029"/>
      <c r="N11" s="1029"/>
      <c r="O11" s="1029"/>
      <c r="P11" s="3486"/>
      <c r="Q11" s="1074" t="str">
        <f t="shared" si="6"/>
        <v>容积率</v>
      </c>
      <c r="R11" s="1070" t="s">
        <v>1336</v>
      </c>
      <c r="S11" s="1071" t="e">
        <f t="shared" si="0"/>
        <v>#N/A</v>
      </c>
      <c r="T11" s="1070" t="s">
        <v>1336</v>
      </c>
      <c r="U11" s="1071" t="e">
        <f t="shared" si="1"/>
        <v>#N/A</v>
      </c>
      <c r="V11" s="1070" t="s">
        <v>1336</v>
      </c>
      <c r="W11" s="1071" t="e">
        <f t="shared" si="2"/>
        <v>#N/A</v>
      </c>
      <c r="X11" s="1072"/>
      <c r="Y11" s="3245"/>
      <c r="Z11" s="1085" t="str">
        <f t="shared" si="7"/>
        <v>容积率</v>
      </c>
      <c r="AA11" s="1084" t="e">
        <f t="shared" si="3"/>
        <v>#N/A</v>
      </c>
      <c r="AB11" s="1084" t="e">
        <f t="shared" si="4"/>
        <v>#N/A</v>
      </c>
      <c r="AC11" s="1480" t="e">
        <f t="shared" si="5"/>
        <v>#N/A</v>
      </c>
    </row>
    <row r="12" spans="1:29" s="866" customFormat="1" ht="15">
      <c r="A12" s="910"/>
      <c r="B12" s="911">
        <v>111</v>
      </c>
      <c r="C12" s="905"/>
      <c r="D12" s="912">
        <v>100</v>
      </c>
      <c r="E12" s="905"/>
      <c r="F12" s="906">
        <f>SUMIF(71:71,E12,72:72)-SUMIF(71:71,C12,72:72)+100</f>
        <v>100</v>
      </c>
      <c r="G12" s="1463"/>
      <c r="H12" s="906">
        <f>SUMIF(71:71,G12,72:72)-SUMIF(71:71,C12,72:72)+100</f>
        <v>100</v>
      </c>
      <c r="I12" s="905"/>
      <c r="J12" s="906">
        <f>SUMIF(71:71,I12,72:72)-SUMIF(71:71,C12,72:72)+100</f>
        <v>100</v>
      </c>
      <c r="K12" s="1046"/>
      <c r="L12" s="1031"/>
      <c r="M12" s="1032"/>
      <c r="N12" s="1032"/>
      <c r="O12" s="1032"/>
      <c r="P12" s="3486"/>
      <c r="Q12" s="1074">
        <f t="shared" si="6"/>
        <v>111</v>
      </c>
      <c r="R12" s="1070" t="s">
        <v>1336</v>
      </c>
      <c r="S12" s="1071">
        <f t="shared" si="0"/>
        <v>100</v>
      </c>
      <c r="T12" s="1070" t="s">
        <v>1336</v>
      </c>
      <c r="U12" s="1071">
        <f t="shared" si="1"/>
        <v>100</v>
      </c>
      <c r="V12" s="1070" t="s">
        <v>1336</v>
      </c>
      <c r="W12" s="1071">
        <f t="shared" si="2"/>
        <v>100</v>
      </c>
      <c r="X12" s="1072"/>
      <c r="Y12" s="3245"/>
      <c r="Z12" s="1085">
        <f t="shared" si="7"/>
        <v>111</v>
      </c>
      <c r="AA12" s="1084">
        <f t="shared" si="3"/>
        <v>1</v>
      </c>
      <c r="AB12" s="1084">
        <f t="shared" si="4"/>
        <v>1</v>
      </c>
      <c r="AC12" s="1480">
        <f t="shared" si="5"/>
        <v>1</v>
      </c>
    </row>
    <row r="13" spans="1:29" ht="15">
      <c r="A13" s="907"/>
      <c r="B13" s="911">
        <v>111</v>
      </c>
      <c r="C13" s="915"/>
      <c r="D13" s="916">
        <v>100</v>
      </c>
      <c r="E13" s="905"/>
      <c r="F13" s="906">
        <f>SUMIF(73:73,E13,74:74)-SUMIF(73:73,C13,74:74)+100</f>
        <v>100</v>
      </c>
      <c r="G13" s="1463"/>
      <c r="H13" s="916">
        <f>SUMIF(73:73,G13,74:74)-SUMIF(73:73,C13,74:74)+100</f>
        <v>100</v>
      </c>
      <c r="I13" s="905"/>
      <c r="J13" s="916">
        <f>SUMIF(73:73,I13,74:74)-SUMIF(73:73,C13,74:74)+100</f>
        <v>100</v>
      </c>
      <c r="K13" s="1046"/>
      <c r="L13" s="1041"/>
      <c r="M13" s="1029"/>
      <c r="N13" s="1029"/>
      <c r="O13" s="1029"/>
      <c r="P13" s="3486"/>
      <c r="Q13" s="1074">
        <f t="shared" si="6"/>
        <v>111</v>
      </c>
      <c r="R13" s="1070" t="s">
        <v>1336</v>
      </c>
      <c r="S13" s="1071">
        <f t="shared" si="0"/>
        <v>100</v>
      </c>
      <c r="T13" s="1070" t="s">
        <v>1336</v>
      </c>
      <c r="U13" s="1071">
        <f t="shared" si="1"/>
        <v>100</v>
      </c>
      <c r="V13" s="1070" t="s">
        <v>1336</v>
      </c>
      <c r="W13" s="1071">
        <f t="shared" si="2"/>
        <v>100</v>
      </c>
      <c r="X13" s="1072"/>
      <c r="Y13" s="3245"/>
      <c r="Z13" s="1085">
        <f t="shared" si="7"/>
        <v>111</v>
      </c>
      <c r="AA13" s="1084">
        <f t="shared" si="3"/>
        <v>1</v>
      </c>
      <c r="AB13" s="1084">
        <f t="shared" si="4"/>
        <v>1</v>
      </c>
      <c r="AC13" s="1480">
        <f t="shared" si="5"/>
        <v>1</v>
      </c>
    </row>
    <row r="14" spans="1:29" ht="15">
      <c r="A14" s="917"/>
      <c r="B14" s="918">
        <v>111</v>
      </c>
      <c r="C14" s="919"/>
      <c r="D14" s="920">
        <v>100</v>
      </c>
      <c r="E14" s="1408"/>
      <c r="F14" s="920">
        <f>SUMIF(75:75,E14,76:76)-SUMIF(75:75,C14,76:76)+100</f>
        <v>100</v>
      </c>
      <c r="G14" s="1463"/>
      <c r="H14" s="920">
        <f>SUMIF(75:75,G14,76:76)-SUMIF(75:75,C14,76:76)+100</f>
        <v>100</v>
      </c>
      <c r="I14" s="905"/>
      <c r="J14" s="920">
        <f>SUMIF(75:75,I14,76:76)-SUMIF(75:75,C14,76:76)+100</f>
        <v>100</v>
      </c>
      <c r="K14" s="1046"/>
      <c r="L14" s="1041"/>
      <c r="M14" s="1029"/>
      <c r="N14" s="1029"/>
      <c r="O14" s="1029"/>
      <c r="P14" s="3486"/>
      <c r="Q14" s="1074">
        <f t="shared" si="6"/>
        <v>111</v>
      </c>
      <c r="R14" s="1070" t="s">
        <v>1336</v>
      </c>
      <c r="S14" s="1071">
        <f t="shared" si="0"/>
        <v>100</v>
      </c>
      <c r="T14" s="1070" t="s">
        <v>1336</v>
      </c>
      <c r="U14" s="1071">
        <f t="shared" si="1"/>
        <v>100</v>
      </c>
      <c r="V14" s="1070" t="s">
        <v>1336</v>
      </c>
      <c r="W14" s="1071">
        <f t="shared" si="2"/>
        <v>100</v>
      </c>
      <c r="X14" s="1072"/>
      <c r="Y14" s="3245"/>
      <c r="Z14" s="1085">
        <f t="shared" si="7"/>
        <v>111</v>
      </c>
      <c r="AA14" s="1084">
        <f t="shared" si="3"/>
        <v>1</v>
      </c>
      <c r="AB14" s="1084">
        <f t="shared" si="4"/>
        <v>1</v>
      </c>
      <c r="AC14" s="1480">
        <f t="shared" si="5"/>
        <v>1</v>
      </c>
    </row>
    <row r="15" spans="1:29" ht="71.25">
      <c r="A15" s="921" t="s">
        <v>1345</v>
      </c>
      <c r="B15" s="922" t="s">
        <v>650</v>
      </c>
      <c r="C15" s="1464" t="str">
        <f>估价对象房地状况!C5</f>
        <v>估价对象位于XX商圈，周边办公楼项目较多，入驻率高，办公集聚程度较好</v>
      </c>
      <c r="D15" s="924">
        <v>100</v>
      </c>
      <c r="E15" s="1042"/>
      <c r="F15" s="924">
        <f>SUMIF(77:77,E16,78:78)-SUMIF(77:77,C16,78:78)+100</f>
        <v>100</v>
      </c>
      <c r="G15" s="925"/>
      <c r="H15" s="924">
        <f>SUMIF(77:77,G16,78:78)-SUMIF(77:77,C16,78:78)+100</f>
        <v>100</v>
      </c>
      <c r="I15" s="925"/>
      <c r="J15" s="924">
        <f>SUMIF(77:77,I16,78:78)-SUMIF(77:77,C16,78:78)+100</f>
        <v>100</v>
      </c>
      <c r="K15" s="1373"/>
      <c r="L15" s="1041"/>
      <c r="M15" s="1029"/>
      <c r="N15" s="1029"/>
      <c r="O15" s="1029"/>
      <c r="P15" s="3536" t="s">
        <v>1346</v>
      </c>
      <c r="Q15" s="652" t="str">
        <f t="shared" si="6"/>
        <v>办公集聚程度</v>
      </c>
      <c r="R15" s="1075" t="s">
        <v>1336</v>
      </c>
      <c r="S15" s="1076">
        <f t="shared" si="0"/>
        <v>100</v>
      </c>
      <c r="T15" s="1075" t="s">
        <v>1336</v>
      </c>
      <c r="U15" s="1076">
        <f t="shared" si="1"/>
        <v>100</v>
      </c>
      <c r="V15" s="1075" t="s">
        <v>1336</v>
      </c>
      <c r="W15" s="1076">
        <f t="shared" si="2"/>
        <v>100</v>
      </c>
      <c r="X15" s="1069"/>
      <c r="Y15" s="3473" t="s">
        <v>1346</v>
      </c>
      <c r="Z15" s="1061" t="str">
        <f t="shared" si="7"/>
        <v>办公集聚程度</v>
      </c>
      <c r="AA15" s="1086">
        <f t="shared" si="3"/>
        <v>1</v>
      </c>
      <c r="AB15" s="1086">
        <f t="shared" si="4"/>
        <v>1</v>
      </c>
      <c r="AC15" s="1481">
        <f t="shared" si="5"/>
        <v>1</v>
      </c>
    </row>
    <row r="16" spans="1:29" ht="15">
      <c r="A16" s="907"/>
      <c r="B16" s="926"/>
      <c r="C16" s="929"/>
      <c r="D16" s="928"/>
      <c r="E16" s="927"/>
      <c r="F16" s="928"/>
      <c r="G16" s="929"/>
      <c r="H16" s="930"/>
      <c r="I16" s="927"/>
      <c r="J16" s="928"/>
      <c r="K16" s="1374"/>
      <c r="L16" s="1041"/>
      <c r="M16" s="1029"/>
      <c r="N16" s="1029"/>
      <c r="O16" s="1029"/>
      <c r="P16" s="3537"/>
      <c r="Q16" s="652"/>
      <c r="R16" s="1075"/>
      <c r="S16" s="1076"/>
      <c r="T16" s="1075"/>
      <c r="U16" s="1076"/>
      <c r="V16" s="1075"/>
      <c r="W16" s="1076"/>
      <c r="X16" s="1069"/>
      <c r="Y16" s="3474"/>
      <c r="Z16" s="1061"/>
      <c r="AA16" s="1086">
        <v>1</v>
      </c>
      <c r="AB16" s="1086">
        <v>1</v>
      </c>
      <c r="AC16" s="1481">
        <v>1</v>
      </c>
    </row>
    <row r="17" spans="1:29" ht="71.25">
      <c r="A17" s="907"/>
      <c r="B17" s="931" t="s">
        <v>648</v>
      </c>
      <c r="C17" s="1465" t="str">
        <f>估价对象房地状况!C6</f>
        <v>估价对象周边道路状况、公共交通通达情况、停车便捷程度，综合评价交通便捷度较好</v>
      </c>
      <c r="D17" s="930">
        <v>100</v>
      </c>
      <c r="E17" s="1043"/>
      <c r="F17" s="930">
        <f>SUMIF(79:79,E18,80:80)-SUMIF(79:79,C18,80:80)+100</f>
        <v>100</v>
      </c>
      <c r="G17" s="933"/>
      <c r="H17" s="934">
        <f>SUMIF(79:79,G18,80:80)-SUMIF(79:79,C18,80:80)+100</f>
        <v>100</v>
      </c>
      <c r="I17" s="933"/>
      <c r="J17" s="934">
        <f>SUMIF(79:79,I18,80:80)-SUMIF(79:79,C18,80:80)+100</f>
        <v>100</v>
      </c>
      <c r="K17" s="1373"/>
      <c r="L17" s="1041"/>
      <c r="M17" s="1029"/>
      <c r="N17" s="1029"/>
      <c r="O17" s="1029"/>
      <c r="P17" s="3537"/>
      <c r="Q17" s="652" t="str">
        <f>B17</f>
        <v>交通便捷度</v>
      </c>
      <c r="R17" s="1075" t="s">
        <v>1336</v>
      </c>
      <c r="S17" s="1076">
        <f>F17</f>
        <v>100</v>
      </c>
      <c r="T17" s="1075" t="s">
        <v>1336</v>
      </c>
      <c r="U17" s="1076">
        <f>H17</f>
        <v>100</v>
      </c>
      <c r="V17" s="1075" t="s">
        <v>1336</v>
      </c>
      <c r="W17" s="1076">
        <f>J17</f>
        <v>100</v>
      </c>
      <c r="X17" s="1069"/>
      <c r="Y17" s="3474"/>
      <c r="Z17" s="1061" t="str">
        <f>Q17</f>
        <v>交通便捷度</v>
      </c>
      <c r="AA17" s="1086">
        <f t="shared" si="3"/>
        <v>1</v>
      </c>
      <c r="AB17" s="1086">
        <f t="shared" si="4"/>
        <v>1</v>
      </c>
      <c r="AC17" s="1481">
        <f t="shared" si="5"/>
        <v>1</v>
      </c>
    </row>
    <row r="18" spans="1:29" ht="15">
      <c r="A18" s="907"/>
      <c r="B18" s="935"/>
      <c r="C18" s="1466"/>
      <c r="D18" s="930"/>
      <c r="E18" s="1297"/>
      <c r="F18" s="930"/>
      <c r="G18" s="1289"/>
      <c r="H18" s="928"/>
      <c r="I18" s="1289"/>
      <c r="J18" s="928"/>
      <c r="K18" s="1374"/>
      <c r="L18" s="1041"/>
      <c r="M18" s="1029"/>
      <c r="N18" s="1029"/>
      <c r="O18" s="1029"/>
      <c r="P18" s="3537"/>
      <c r="Q18" s="652"/>
      <c r="R18" s="1075"/>
      <c r="S18" s="1076"/>
      <c r="T18" s="1075"/>
      <c r="U18" s="1076"/>
      <c r="V18" s="1075"/>
      <c r="W18" s="1076"/>
      <c r="X18" s="1069"/>
      <c r="Y18" s="3474"/>
      <c r="Z18" s="1061"/>
      <c r="AA18" s="1086">
        <v>1</v>
      </c>
      <c r="AB18" s="1086">
        <v>1</v>
      </c>
      <c r="AC18" s="1481">
        <v>1</v>
      </c>
    </row>
    <row r="19" spans="1:29" ht="42.75">
      <c r="A19" s="907"/>
      <c r="B19" s="931" t="s">
        <v>652</v>
      </c>
      <c r="C19" s="1465" t="str">
        <f>估价对象房地状况!C7</f>
        <v>估价对象所在区域公共配套设施齐备情况</v>
      </c>
      <c r="D19" s="934">
        <v>100</v>
      </c>
      <c r="E19" s="1298"/>
      <c r="F19" s="934">
        <f>SUMIF(81:81,E20,82:82)-SUMIF(81:81,C20,82:82)+100</f>
        <v>100</v>
      </c>
      <c r="G19" s="1290"/>
      <c r="H19" s="930">
        <f>SUMIF(81:81,G20,82:82)-SUMIF(81:81,C20,82:82)+100</f>
        <v>100</v>
      </c>
      <c r="I19" s="1290"/>
      <c r="J19" s="930">
        <f>SUMIF(81:81,I20,82:82)-SUMIF(81:81,C20,82:82)+100</f>
        <v>100</v>
      </c>
      <c r="K19" s="1373"/>
      <c r="L19" s="1041"/>
      <c r="M19" s="1029"/>
      <c r="N19" s="1029"/>
      <c r="O19" s="1029"/>
      <c r="P19" s="3537"/>
      <c r="Q19" s="652" t="str">
        <f>B19</f>
        <v>公共配套设施</v>
      </c>
      <c r="R19" s="1075" t="s">
        <v>1336</v>
      </c>
      <c r="S19" s="1076">
        <f>F19</f>
        <v>100</v>
      </c>
      <c r="T19" s="1075" t="s">
        <v>1336</v>
      </c>
      <c r="U19" s="1076">
        <f>H19</f>
        <v>100</v>
      </c>
      <c r="V19" s="1075" t="s">
        <v>1336</v>
      </c>
      <c r="W19" s="1076">
        <f>J19</f>
        <v>100</v>
      </c>
      <c r="X19" s="1069"/>
      <c r="Y19" s="3474"/>
      <c r="Z19" s="1061" t="str">
        <f>Q19</f>
        <v>公共配套设施</v>
      </c>
      <c r="AA19" s="1086">
        <f t="shared" si="3"/>
        <v>1</v>
      </c>
      <c r="AB19" s="1086">
        <f t="shared" si="4"/>
        <v>1</v>
      </c>
      <c r="AC19" s="1481">
        <f t="shared" si="5"/>
        <v>1</v>
      </c>
    </row>
    <row r="20" spans="1:29" ht="15">
      <c r="A20" s="907"/>
      <c r="B20" s="935"/>
      <c r="C20" s="929"/>
      <c r="D20" s="928"/>
      <c r="E20" s="1044"/>
      <c r="F20" s="928"/>
      <c r="G20" s="936"/>
      <c r="H20" s="928"/>
      <c r="I20" s="936"/>
      <c r="J20" s="928"/>
      <c r="K20" s="1374"/>
      <c r="L20" s="1041"/>
      <c r="M20" s="1029"/>
      <c r="N20" s="1029"/>
      <c r="O20" s="1029"/>
      <c r="P20" s="3537"/>
      <c r="Q20" s="652"/>
      <c r="R20" s="1075"/>
      <c r="S20" s="1076"/>
      <c r="T20" s="1075"/>
      <c r="U20" s="1076"/>
      <c r="V20" s="1075"/>
      <c r="W20" s="1076"/>
      <c r="X20" s="1069"/>
      <c r="Y20" s="3474"/>
      <c r="Z20" s="1061"/>
      <c r="AA20" s="1086">
        <v>1</v>
      </c>
      <c r="AB20" s="1086">
        <v>1</v>
      </c>
      <c r="AC20" s="1481">
        <v>1</v>
      </c>
    </row>
    <row r="21" spans="1:29" ht="28.5">
      <c r="A21" s="907"/>
      <c r="B21" s="938" t="s">
        <v>654</v>
      </c>
      <c r="C21" s="1465" t="str">
        <f>估价对象房地状况!C8</f>
        <v>估价对象所在区域基础设施水平</v>
      </c>
      <c r="D21" s="930">
        <v>100</v>
      </c>
      <c r="E21" s="1298"/>
      <c r="F21" s="934">
        <f>SUMIF(83:83,E22,84:84)-SUMIF(83:83,C22,84:84)+100</f>
        <v>100</v>
      </c>
      <c r="G21" s="1290"/>
      <c r="H21" s="930">
        <f>SUMIF(83:83,G22,84:84)-SUMIF(83:83,C22,84:84)+100</f>
        <v>100</v>
      </c>
      <c r="I21" s="1290"/>
      <c r="J21" s="930">
        <f>SUMIF(83:83,I22,84:84)-SUMIF(83:83,C22,84:84)+100</f>
        <v>100</v>
      </c>
      <c r="K21" s="1373"/>
      <c r="L21" s="1041"/>
      <c r="M21" s="1029"/>
      <c r="N21" s="1029"/>
      <c r="O21" s="1029"/>
      <c r="P21" s="3537"/>
      <c r="Q21" s="652" t="str">
        <f>B21</f>
        <v>基础设施水平</v>
      </c>
      <c r="R21" s="1075" t="s">
        <v>1336</v>
      </c>
      <c r="S21" s="1076">
        <f>F21</f>
        <v>100</v>
      </c>
      <c r="T21" s="1075" t="s">
        <v>1336</v>
      </c>
      <c r="U21" s="1076">
        <f>H21</f>
        <v>100</v>
      </c>
      <c r="V21" s="1075" t="s">
        <v>1336</v>
      </c>
      <c r="W21" s="1076">
        <f>J21</f>
        <v>100</v>
      </c>
      <c r="X21" s="1069"/>
      <c r="Y21" s="3474"/>
      <c r="Z21" s="1061" t="str">
        <f>Q21</f>
        <v>基础设施水平</v>
      </c>
      <c r="AA21" s="1086">
        <f t="shared" ref="AA21" si="8">D21/F21</f>
        <v>1</v>
      </c>
      <c r="AB21" s="1086">
        <f t="shared" ref="AB21" si="9">D21/H21</f>
        <v>1</v>
      </c>
      <c r="AC21" s="1481">
        <f t="shared" ref="AC21" si="10">D21/J21</f>
        <v>1</v>
      </c>
    </row>
    <row r="22" spans="1:29" ht="15">
      <c r="A22" s="907"/>
      <c r="B22" s="938"/>
      <c r="C22" s="1466"/>
      <c r="D22" s="928"/>
      <c r="E22" s="927"/>
      <c r="F22" s="928"/>
      <c r="G22" s="929"/>
      <c r="H22" s="928"/>
      <c r="I22" s="929"/>
      <c r="J22" s="928"/>
      <c r="K22" s="1375"/>
      <c r="L22" s="1041"/>
      <c r="M22" s="1029"/>
      <c r="N22" s="1029"/>
      <c r="O22" s="1029"/>
      <c r="P22" s="3537"/>
      <c r="Q22" s="652"/>
      <c r="R22" s="1075"/>
      <c r="S22" s="1076"/>
      <c r="T22" s="1075"/>
      <c r="U22" s="1076"/>
      <c r="V22" s="1075"/>
      <c r="W22" s="1076"/>
      <c r="X22" s="1069"/>
      <c r="Y22" s="3474"/>
      <c r="Z22" s="1061"/>
      <c r="AA22" s="1086">
        <v>1</v>
      </c>
      <c r="AB22" s="1086">
        <v>1</v>
      </c>
      <c r="AC22" s="1481">
        <v>1</v>
      </c>
    </row>
    <row r="23" spans="1:29" ht="42.75">
      <c r="A23" s="907"/>
      <c r="B23" s="931" t="s">
        <v>1420</v>
      </c>
      <c r="C23" s="1465" t="str">
        <f>估价对象房地状况!C9</f>
        <v>区域自然环境：；人文环境；综合评价环境状况一般</v>
      </c>
      <c r="D23" s="930">
        <v>100</v>
      </c>
      <c r="E23" s="1043"/>
      <c r="F23" s="930">
        <f>SUMIF(85:85,E24,86:86)-SUMIF(85:85,C24,86:86)+100</f>
        <v>100</v>
      </c>
      <c r="G23" s="933"/>
      <c r="H23" s="930">
        <f>SUMIF(85:85,G24,86:86)-SUMIF(85:85,C24,86:86)+100</f>
        <v>100</v>
      </c>
      <c r="I23" s="933"/>
      <c r="J23" s="930">
        <f>SUMIF(85:85,I24,86:86)-SUMIF(85:85,C24,86:86)+100</f>
        <v>100</v>
      </c>
      <c r="K23" s="1373"/>
      <c r="L23" s="1041"/>
      <c r="M23" s="1029"/>
      <c r="N23" s="1029"/>
      <c r="O23" s="1029"/>
      <c r="P23" s="3537"/>
      <c r="Q23" s="652" t="str">
        <f>B23</f>
        <v>环境质量</v>
      </c>
      <c r="R23" s="1075" t="s">
        <v>1336</v>
      </c>
      <c r="S23" s="1076">
        <f>F23</f>
        <v>100</v>
      </c>
      <c r="T23" s="1075" t="s">
        <v>1336</v>
      </c>
      <c r="U23" s="1076">
        <f>H23</f>
        <v>100</v>
      </c>
      <c r="V23" s="1075" t="s">
        <v>1336</v>
      </c>
      <c r="W23" s="1076">
        <f>J23</f>
        <v>100</v>
      </c>
      <c r="X23" s="1069"/>
      <c r="Y23" s="3474"/>
      <c r="Z23" s="1061" t="str">
        <f>Q23</f>
        <v>环境质量</v>
      </c>
      <c r="AA23" s="1086">
        <f t="shared" si="3"/>
        <v>1</v>
      </c>
      <c r="AB23" s="1086">
        <f t="shared" si="4"/>
        <v>1</v>
      </c>
      <c r="AC23" s="1481">
        <f t="shared" si="5"/>
        <v>1</v>
      </c>
    </row>
    <row r="24" spans="1:29" ht="15">
      <c r="A24" s="907"/>
      <c r="B24" s="938"/>
      <c r="C24" s="929"/>
      <c r="D24" s="928"/>
      <c r="E24" s="1044"/>
      <c r="F24" s="928"/>
      <c r="G24" s="936"/>
      <c r="H24" s="928"/>
      <c r="I24" s="936"/>
      <c r="J24" s="928"/>
      <c r="K24" s="1374"/>
      <c r="L24" s="1041"/>
      <c r="M24" s="1029"/>
      <c r="N24" s="1029"/>
      <c r="O24" s="1029"/>
      <c r="P24" s="3537"/>
      <c r="Q24" s="652"/>
      <c r="R24" s="1075"/>
      <c r="S24" s="1076"/>
      <c r="T24" s="1075"/>
      <c r="U24" s="1076"/>
      <c r="V24" s="1075"/>
      <c r="W24" s="1076"/>
      <c r="X24" s="1069"/>
      <c r="Y24" s="3474"/>
      <c r="Z24" s="1061"/>
      <c r="AA24" s="1086">
        <v>1</v>
      </c>
      <c r="AB24" s="1086">
        <v>1</v>
      </c>
      <c r="AC24" s="1481">
        <v>1</v>
      </c>
    </row>
    <row r="25" spans="1:29" ht="27">
      <c r="A25" s="887"/>
      <c r="B25" s="931" t="s">
        <v>660</v>
      </c>
      <c r="C25" s="1467"/>
      <c r="D25" s="916">
        <v>100</v>
      </c>
      <c r="E25" s="915"/>
      <c r="F25" s="916">
        <f>SUMIF(87:87,E26,88:88)-SUMIF(87:87,C26,88:88)+100</f>
        <v>100</v>
      </c>
      <c r="G25" s="1467"/>
      <c r="H25" s="916">
        <f>SUMIF(87:87,G26,88:88)-SUMIF(87:87,C26,88:88)+100</f>
        <v>100</v>
      </c>
      <c r="I25" s="915"/>
      <c r="J25" s="916">
        <f>SUMIF(87:87,I26,88:88)-SUMIF(87:87,C26,88:88)+100</f>
        <v>100</v>
      </c>
      <c r="K25" s="1373"/>
      <c r="L25" s="1041"/>
      <c r="M25" s="1029"/>
      <c r="N25" s="1029"/>
      <c r="O25" s="1029"/>
      <c r="P25" s="3537"/>
      <c r="Q25" s="652" t="str">
        <f>B25</f>
        <v>毗邻道路的类型与等级</v>
      </c>
      <c r="R25" s="1075" t="s">
        <v>1336</v>
      </c>
      <c r="S25" s="1076">
        <f>F25</f>
        <v>100</v>
      </c>
      <c r="T25" s="1075" t="s">
        <v>1336</v>
      </c>
      <c r="U25" s="1076">
        <f>H25</f>
        <v>100</v>
      </c>
      <c r="V25" s="1075" t="s">
        <v>1336</v>
      </c>
      <c r="W25" s="1076">
        <f>J25</f>
        <v>100</v>
      </c>
      <c r="X25" s="1069"/>
      <c r="Y25" s="3474"/>
      <c r="Z25" s="1061" t="str">
        <f>Q25</f>
        <v>毗邻道路的类型与等级</v>
      </c>
      <c r="AA25" s="1086">
        <f t="shared" si="3"/>
        <v>1</v>
      </c>
      <c r="AB25" s="1086">
        <f t="shared" si="4"/>
        <v>1</v>
      </c>
      <c r="AC25" s="1481">
        <f t="shared" si="5"/>
        <v>1</v>
      </c>
    </row>
    <row r="26" spans="1:29" ht="15">
      <c r="A26" s="887"/>
      <c r="B26" s="935"/>
      <c r="C26" s="942"/>
      <c r="D26" s="916"/>
      <c r="E26" s="941"/>
      <c r="F26" s="916"/>
      <c r="G26" s="942"/>
      <c r="H26" s="916"/>
      <c r="I26" s="941"/>
      <c r="J26" s="916"/>
      <c r="K26" s="1374"/>
      <c r="L26" s="1041"/>
      <c r="M26" s="1029"/>
      <c r="N26" s="1029"/>
      <c r="O26" s="1029"/>
      <c r="P26" s="3537"/>
      <c r="Q26" s="652"/>
      <c r="R26" s="1075"/>
      <c r="S26" s="1076"/>
      <c r="T26" s="1075"/>
      <c r="U26" s="1076"/>
      <c r="V26" s="1075"/>
      <c r="W26" s="1076"/>
      <c r="X26" s="1069"/>
      <c r="Y26" s="3474"/>
      <c r="Z26" s="1061"/>
      <c r="AA26" s="1086">
        <v>1</v>
      </c>
      <c r="AB26" s="1086">
        <v>1</v>
      </c>
      <c r="AC26" s="1481">
        <v>1</v>
      </c>
    </row>
    <row r="27" spans="1:29" ht="15">
      <c r="A27" s="907"/>
      <c r="B27" s="935" t="s">
        <v>1411</v>
      </c>
      <c r="C27" s="942"/>
      <c r="D27" s="916">
        <v>100</v>
      </c>
      <c r="E27" s="941"/>
      <c r="F27" s="916">
        <f>SUMIF(89:89,E27,90:90)-SUMIF(89:89,C27,90:90)+100</f>
        <v>100</v>
      </c>
      <c r="G27" s="942"/>
      <c r="H27" s="916">
        <f>SUMIF(89:89,G27,90:90)-SUMIF(89:89,C27,90:90)+100</f>
        <v>100</v>
      </c>
      <c r="I27" s="941"/>
      <c r="J27" s="916">
        <f>SUMIF(89:89,I27,90:90)-SUMIF(89:89,C27,90:90)+100</f>
        <v>100</v>
      </c>
      <c r="K27" s="1047"/>
      <c r="L27" s="1041"/>
      <c r="M27" s="1029"/>
      <c r="N27" s="1029"/>
      <c r="O27" s="1029"/>
      <c r="P27" s="3537"/>
      <c r="Q27" s="652" t="str">
        <f t="shared" ref="Q27:Q47" si="11">B27</f>
        <v>楼层</v>
      </c>
      <c r="R27" s="1075" t="s">
        <v>1336</v>
      </c>
      <c r="S27" s="1076">
        <f>F27</f>
        <v>100</v>
      </c>
      <c r="T27" s="1075" t="s">
        <v>1336</v>
      </c>
      <c r="U27" s="1076">
        <f>H27</f>
        <v>100</v>
      </c>
      <c r="V27" s="1075" t="s">
        <v>1336</v>
      </c>
      <c r="W27" s="1076">
        <f>J27</f>
        <v>100</v>
      </c>
      <c r="X27" s="1069"/>
      <c r="Y27" s="3474"/>
      <c r="Z27" s="1061" t="str">
        <f>Q27</f>
        <v>楼层</v>
      </c>
      <c r="AA27" s="1086">
        <f t="shared" si="3"/>
        <v>1</v>
      </c>
      <c r="AB27" s="1086">
        <f t="shared" si="4"/>
        <v>1</v>
      </c>
      <c r="AC27" s="1481">
        <f t="shared" si="5"/>
        <v>1</v>
      </c>
    </row>
    <row r="28" spans="1:29" s="866" customFormat="1" ht="15">
      <c r="A28" s="910"/>
      <c r="B28" s="931" t="s">
        <v>1348</v>
      </c>
      <c r="C28" s="1468"/>
      <c r="D28" s="1458">
        <v>100</v>
      </c>
      <c r="E28" s="1469"/>
      <c r="F28" s="1458">
        <f>SUMIF(91:91,E28,92:92)-SUMIF(91:91,C28,92:92)+100</f>
        <v>100</v>
      </c>
      <c r="G28" s="1468"/>
      <c r="H28" s="1458">
        <f>SUMIF(91:91,G28,92:92)-SUMIF(91:91,C28,92:92)+100</f>
        <v>100</v>
      </c>
      <c r="I28" s="1469"/>
      <c r="J28" s="1458">
        <f>SUMIF(91:91,I28,92:92)-SUMIF(91:91,C28,92:92)+100</f>
        <v>100</v>
      </c>
      <c r="K28" s="1047"/>
      <c r="L28" s="1031"/>
      <c r="M28" s="1032"/>
      <c r="N28" s="1032"/>
      <c r="O28" s="1032"/>
      <c r="P28" s="3537"/>
      <c r="Q28" s="1074" t="str">
        <f t="shared" si="11"/>
        <v>朝向</v>
      </c>
      <c r="R28" s="1070" t="s">
        <v>1336</v>
      </c>
      <c r="S28" s="1071">
        <f>F28</f>
        <v>100</v>
      </c>
      <c r="T28" s="1070" t="s">
        <v>1336</v>
      </c>
      <c r="U28" s="1071">
        <f>H28</f>
        <v>100</v>
      </c>
      <c r="V28" s="1070" t="s">
        <v>1336</v>
      </c>
      <c r="W28" s="1071">
        <f>J28</f>
        <v>100</v>
      </c>
      <c r="X28" s="1072"/>
      <c r="Y28" s="3474"/>
      <c r="Z28" s="1085" t="str">
        <f>Q28</f>
        <v>朝向</v>
      </c>
      <c r="AA28" s="1086">
        <f t="shared" si="3"/>
        <v>1</v>
      </c>
      <c r="AB28" s="1086">
        <f t="shared" si="4"/>
        <v>1</v>
      </c>
      <c r="AC28" s="1481">
        <f t="shared" si="5"/>
        <v>1</v>
      </c>
    </row>
    <row r="29" spans="1:29" ht="15">
      <c r="A29" s="907"/>
      <c r="B29" s="946">
        <v>111</v>
      </c>
      <c r="C29" s="1467"/>
      <c r="D29" s="916">
        <v>100</v>
      </c>
      <c r="E29" s="905"/>
      <c r="F29" s="916">
        <f>SUMIF(93:93,E29,94:94)-SUMIF(93:93,C29,94:94)+100</f>
        <v>100</v>
      </c>
      <c r="G29" s="1463"/>
      <c r="H29" s="916">
        <f>SUMIF(93:93,G29,94:94)-SUMIF(93:93,C29,94:94)+100</f>
        <v>100</v>
      </c>
      <c r="I29" s="905"/>
      <c r="J29" s="916">
        <f>SUMIF(93:93,I29,94:94)-SUMIF(93:93,C29,94:94)+100</f>
        <v>100</v>
      </c>
      <c r="K29" s="1046"/>
      <c r="L29" s="1041"/>
      <c r="M29" s="1029"/>
      <c r="N29" s="1029"/>
      <c r="O29" s="1029"/>
      <c r="P29" s="3537"/>
      <c r="Q29" s="652">
        <f t="shared" si="11"/>
        <v>111</v>
      </c>
      <c r="R29" s="1075" t="s">
        <v>1336</v>
      </c>
      <c r="S29" s="1076">
        <f t="shared" ref="S29:S47" si="12">F29</f>
        <v>100</v>
      </c>
      <c r="T29" s="1075" t="s">
        <v>1336</v>
      </c>
      <c r="U29" s="1076">
        <f t="shared" ref="U29:U47" si="13">H29</f>
        <v>100</v>
      </c>
      <c r="V29" s="1075" t="s">
        <v>1336</v>
      </c>
      <c r="W29" s="1076">
        <f t="shared" ref="W29:W47" si="14">J29</f>
        <v>100</v>
      </c>
      <c r="X29" s="1069"/>
      <c r="Y29" s="3474"/>
      <c r="Z29" s="1061">
        <f t="shared" ref="Z29:Z47" si="15">Q29</f>
        <v>111</v>
      </c>
      <c r="AA29" s="1086">
        <f t="shared" si="3"/>
        <v>1</v>
      </c>
      <c r="AB29" s="1086">
        <f t="shared" si="4"/>
        <v>1</v>
      </c>
      <c r="AC29" s="1481">
        <f t="shared" si="5"/>
        <v>1</v>
      </c>
    </row>
    <row r="30" spans="1:29" ht="15">
      <c r="A30" s="907"/>
      <c r="B30" s="946">
        <v>111</v>
      </c>
      <c r="C30" s="1467"/>
      <c r="D30" s="916">
        <v>100</v>
      </c>
      <c r="E30" s="905"/>
      <c r="F30" s="916">
        <f>SUMIF(95:95,E30,96:96)-SUMIF(95:95,C30,96:96)+100</f>
        <v>100</v>
      </c>
      <c r="G30" s="1463"/>
      <c r="H30" s="916">
        <f>SUMIF(95:95,G30,96:96)-SUMIF(95:95,C30,96:96)+100</f>
        <v>100</v>
      </c>
      <c r="I30" s="905"/>
      <c r="J30" s="916">
        <f>SUMIF(95:95,I30,96:96)-SUMIF(95:95,C30,96:96)+100</f>
        <v>100</v>
      </c>
      <c r="K30" s="1046"/>
      <c r="L30" s="1041"/>
      <c r="M30" s="1029"/>
      <c r="N30" s="1029"/>
      <c r="O30" s="1029"/>
      <c r="P30" s="3537"/>
      <c r="Q30" s="652">
        <f t="shared" si="11"/>
        <v>111</v>
      </c>
      <c r="R30" s="1075" t="s">
        <v>1336</v>
      </c>
      <c r="S30" s="1076">
        <f t="shared" si="12"/>
        <v>100</v>
      </c>
      <c r="T30" s="1075" t="s">
        <v>1336</v>
      </c>
      <c r="U30" s="1076">
        <f t="shared" si="13"/>
        <v>100</v>
      </c>
      <c r="V30" s="1075" t="s">
        <v>1336</v>
      </c>
      <c r="W30" s="1076">
        <f t="shared" si="14"/>
        <v>100</v>
      </c>
      <c r="X30" s="1069"/>
      <c r="Y30" s="3474"/>
      <c r="Z30" s="1061">
        <f t="shared" si="15"/>
        <v>111</v>
      </c>
      <c r="AA30" s="1086">
        <f t="shared" si="3"/>
        <v>1</v>
      </c>
      <c r="AB30" s="1086">
        <f t="shared" si="4"/>
        <v>1</v>
      </c>
      <c r="AC30" s="1481">
        <f t="shared" si="5"/>
        <v>1</v>
      </c>
    </row>
    <row r="31" spans="1:29" ht="15">
      <c r="A31" s="907"/>
      <c r="B31" s="946">
        <v>111</v>
      </c>
      <c r="C31" s="1467"/>
      <c r="D31" s="916">
        <v>100</v>
      </c>
      <c r="E31" s="905"/>
      <c r="F31" s="916">
        <f>SUMIF(97:97,E31,98:98)-SUMIF(97:97,C31,98:98)+100</f>
        <v>100</v>
      </c>
      <c r="G31" s="1463"/>
      <c r="H31" s="916">
        <f>SUMIF(97:97,G31,98:98)-SUMIF(97:97,C31,98:98)+100</f>
        <v>100</v>
      </c>
      <c r="I31" s="905"/>
      <c r="J31" s="916">
        <f>SUMIF(97:97,I31,98:98)-SUMIF(97:97,C31,98:98)+100</f>
        <v>100</v>
      </c>
      <c r="K31" s="1046"/>
      <c r="L31" s="1041"/>
      <c r="M31" s="1029"/>
      <c r="N31" s="1029"/>
      <c r="O31" s="1029"/>
      <c r="P31" s="3537"/>
      <c r="Q31" s="652">
        <f t="shared" si="11"/>
        <v>111</v>
      </c>
      <c r="R31" s="1075" t="s">
        <v>1336</v>
      </c>
      <c r="S31" s="1076">
        <f t="shared" si="12"/>
        <v>100</v>
      </c>
      <c r="T31" s="1075" t="s">
        <v>1336</v>
      </c>
      <c r="U31" s="1076">
        <f t="shared" si="13"/>
        <v>100</v>
      </c>
      <c r="V31" s="1075" t="s">
        <v>1336</v>
      </c>
      <c r="W31" s="1076">
        <f t="shared" si="14"/>
        <v>100</v>
      </c>
      <c r="X31" s="1069"/>
      <c r="Y31" s="3474"/>
      <c r="Z31" s="1061">
        <f t="shared" si="15"/>
        <v>111</v>
      </c>
      <c r="AA31" s="1086">
        <f t="shared" si="3"/>
        <v>1</v>
      </c>
      <c r="AB31" s="1086">
        <f t="shared" si="4"/>
        <v>1</v>
      </c>
      <c r="AC31" s="1481">
        <f t="shared" si="5"/>
        <v>1</v>
      </c>
    </row>
    <row r="32" spans="1:29" ht="15">
      <c r="A32" s="917"/>
      <c r="B32" s="1406">
        <v>111</v>
      </c>
      <c r="C32" s="1470"/>
      <c r="D32" s="920">
        <v>100</v>
      </c>
      <c r="E32" s="1408"/>
      <c r="F32" s="920">
        <f>SUMIF(99:99,E32,100:100)-SUMIF(99:99,C32,100:100)+100</f>
        <v>100</v>
      </c>
      <c r="G32" s="1463"/>
      <c r="H32" s="920">
        <f>SUMIF(99:99,G32,100:100)-SUMIF(99:99,C32,100:100)+100</f>
        <v>100</v>
      </c>
      <c r="I32" s="905"/>
      <c r="J32" s="920">
        <f>SUMIF(99:99,I32,100:100)-SUMIF(99:99,C32,100:100)+100</f>
        <v>100</v>
      </c>
      <c r="K32" s="1046"/>
      <c r="L32" s="1041"/>
      <c r="M32" s="1029"/>
      <c r="N32" s="1029"/>
      <c r="O32" s="1029"/>
      <c r="P32" s="3537"/>
      <c r="Q32" s="652">
        <f t="shared" si="11"/>
        <v>111</v>
      </c>
      <c r="R32" s="1075" t="s">
        <v>1336</v>
      </c>
      <c r="S32" s="1076">
        <f t="shared" si="12"/>
        <v>100</v>
      </c>
      <c r="T32" s="1075" t="s">
        <v>1336</v>
      </c>
      <c r="U32" s="1076">
        <f t="shared" si="13"/>
        <v>100</v>
      </c>
      <c r="V32" s="1075" t="s">
        <v>1336</v>
      </c>
      <c r="W32" s="1076">
        <f t="shared" si="14"/>
        <v>100</v>
      </c>
      <c r="X32" s="1069"/>
      <c r="Y32" s="3474"/>
      <c r="Z32" s="1061">
        <f t="shared" si="15"/>
        <v>111</v>
      </c>
      <c r="AA32" s="1086">
        <f t="shared" si="3"/>
        <v>1</v>
      </c>
      <c r="AB32" s="1086">
        <f t="shared" si="4"/>
        <v>1</v>
      </c>
      <c r="AC32" s="1481">
        <f t="shared" si="5"/>
        <v>1</v>
      </c>
    </row>
    <row r="33" spans="1:29" ht="15">
      <c r="A33" s="921" t="s">
        <v>1349</v>
      </c>
      <c r="B33" s="900" t="s">
        <v>1350</v>
      </c>
      <c r="C33" s="1343"/>
      <c r="D33" s="957">
        <v>100</v>
      </c>
      <c r="E33" s="1343"/>
      <c r="F33" s="1338">
        <f>SUMIF(101:101,E33,102:102)-SUMIF(101:101,C33,102:102)+100</f>
        <v>100</v>
      </c>
      <c r="G33" s="1343"/>
      <c r="H33" s="916">
        <f>SUMIF(101:101,G33,102:102)-SUMIF(101:101,C33,102:102)+100</f>
        <v>100</v>
      </c>
      <c r="I33" s="1343"/>
      <c r="J33" s="957">
        <f>SUMIF(101:101,I33,102:102)-SUMIF(101:101,C33,102:102)+100</f>
        <v>100</v>
      </c>
      <c r="K33" s="1047"/>
      <c r="L33" s="1041"/>
      <c r="M33" s="1029"/>
      <c r="N33" s="1029"/>
      <c r="O33" s="1029"/>
      <c r="P33" s="3538" t="s">
        <v>1351</v>
      </c>
      <c r="Q33" s="652" t="str">
        <f t="shared" si="11"/>
        <v>建筑类型</v>
      </c>
      <c r="R33" s="1075" t="s">
        <v>1336</v>
      </c>
      <c r="S33" s="1076">
        <f t="shared" si="12"/>
        <v>100</v>
      </c>
      <c r="T33" s="1075" t="s">
        <v>1336</v>
      </c>
      <c r="U33" s="1076">
        <f t="shared" si="13"/>
        <v>100</v>
      </c>
      <c r="V33" s="1075" t="s">
        <v>1336</v>
      </c>
      <c r="W33" s="1076">
        <f t="shared" si="14"/>
        <v>100</v>
      </c>
      <c r="X33" s="1069"/>
      <c r="Y33" s="3476" t="s">
        <v>1351</v>
      </c>
      <c r="Z33" s="1061" t="str">
        <f t="shared" si="15"/>
        <v>建筑类型</v>
      </c>
      <c r="AA33" s="1086">
        <f t="shared" si="3"/>
        <v>1</v>
      </c>
      <c r="AB33" s="1086">
        <f t="shared" si="4"/>
        <v>1</v>
      </c>
      <c r="AC33" s="1481">
        <f t="shared" si="5"/>
        <v>1</v>
      </c>
    </row>
    <row r="34" spans="1:29" s="868" customFormat="1" ht="15">
      <c r="A34" s="963"/>
      <c r="B34" s="904" t="s">
        <v>1352</v>
      </c>
      <c r="C34" s="1332"/>
      <c r="D34" s="906">
        <v>100</v>
      </c>
      <c r="E34" s="909"/>
      <c r="F34" s="1331" t="e">
        <f>LOOKUP(E34,104:104,105:105)-LOOKUP(C34,104:104,105:105)+100</f>
        <v>#N/A</v>
      </c>
      <c r="G34" s="908"/>
      <c r="H34" s="906" t="e">
        <f>LOOKUP(G34,104:104,105:105)-LOOKUP(C34,104:104,105:105)+100</f>
        <v>#N/A</v>
      </c>
      <c r="I34" s="908"/>
      <c r="J34" s="906" t="e">
        <f>LOOKUP(I34,104:104,105:105)-LOOKUP(C34,104:104,105:105)+100</f>
        <v>#N/A</v>
      </c>
      <c r="K34" s="1046"/>
      <c r="L34" s="1039"/>
      <c r="M34" s="1048"/>
      <c r="N34" s="1048"/>
      <c r="O34" s="1048"/>
      <c r="P34" s="3539"/>
      <c r="Q34" s="1377" t="str">
        <f t="shared" si="11"/>
        <v>项目建筑规模</v>
      </c>
      <c r="R34" s="1077" t="s">
        <v>1336</v>
      </c>
      <c r="S34" s="1078" t="e">
        <f t="shared" si="12"/>
        <v>#N/A</v>
      </c>
      <c r="T34" s="1077" t="s">
        <v>1336</v>
      </c>
      <c r="U34" s="1078" t="e">
        <f t="shared" si="13"/>
        <v>#N/A</v>
      </c>
      <c r="V34" s="1077" t="s">
        <v>1336</v>
      </c>
      <c r="W34" s="1078" t="e">
        <f t="shared" si="14"/>
        <v>#N/A</v>
      </c>
      <c r="X34" s="1079"/>
      <c r="Y34" s="3476"/>
      <c r="Z34" s="1087" t="str">
        <f t="shared" si="15"/>
        <v>项目建筑规模</v>
      </c>
      <c r="AA34" s="1086" t="e">
        <f t="shared" si="3"/>
        <v>#N/A</v>
      </c>
      <c r="AB34" s="1086" t="e">
        <f t="shared" si="4"/>
        <v>#N/A</v>
      </c>
      <c r="AC34" s="1481" t="e">
        <f t="shared" si="5"/>
        <v>#N/A</v>
      </c>
    </row>
    <row r="35" spans="1:29" ht="15">
      <c r="A35" s="958"/>
      <c r="B35" s="904" t="s">
        <v>1353</v>
      </c>
      <c r="C35" s="1348"/>
      <c r="D35" s="916">
        <v>100</v>
      </c>
      <c r="E35" s="1348"/>
      <c r="F35" s="1338">
        <f>SUMIF(106:106,E35,107:107)-SUMIF(106:106,C35,107:107)+100</f>
        <v>100</v>
      </c>
      <c r="G35" s="1348"/>
      <c r="H35" s="916">
        <f>SUMIF(106:106,G35,107:107)-SUMIF(106:106,C35,107:107)+100</f>
        <v>100</v>
      </c>
      <c r="I35" s="1348"/>
      <c r="J35" s="916">
        <f>SUMIF(106:106,I35,107:107)-SUMIF(106:106,C35,107:107)+100</f>
        <v>100</v>
      </c>
      <c r="K35" s="1047"/>
      <c r="L35" s="1041"/>
      <c r="M35" s="1029"/>
      <c r="N35" s="1029"/>
      <c r="O35" s="1029"/>
      <c r="P35" s="3539"/>
      <c r="Q35" s="652" t="str">
        <f t="shared" si="11"/>
        <v>建筑结构</v>
      </c>
      <c r="R35" s="1075" t="s">
        <v>1336</v>
      </c>
      <c r="S35" s="1076">
        <f t="shared" si="12"/>
        <v>100</v>
      </c>
      <c r="T35" s="1075" t="s">
        <v>1336</v>
      </c>
      <c r="U35" s="1076">
        <f t="shared" si="13"/>
        <v>100</v>
      </c>
      <c r="V35" s="1075" t="s">
        <v>1336</v>
      </c>
      <c r="W35" s="1076">
        <f t="shared" si="14"/>
        <v>100</v>
      </c>
      <c r="X35" s="1069"/>
      <c r="Y35" s="3476"/>
      <c r="Z35" s="1061" t="str">
        <f t="shared" si="15"/>
        <v>建筑结构</v>
      </c>
      <c r="AA35" s="1086">
        <f t="shared" si="3"/>
        <v>1</v>
      </c>
      <c r="AB35" s="1086">
        <f t="shared" si="4"/>
        <v>1</v>
      </c>
      <c r="AC35" s="1481">
        <f t="shared" si="5"/>
        <v>1</v>
      </c>
    </row>
    <row r="36" spans="1:29" ht="15">
      <c r="A36" s="958"/>
      <c r="B36" s="904" t="s">
        <v>1355</v>
      </c>
      <c r="C36" s="1348"/>
      <c r="D36" s="916">
        <v>100</v>
      </c>
      <c r="E36" s="1348"/>
      <c r="F36" s="1338">
        <f>SUMIF(108:108,E36,109:109)-SUMIF(108:108,C36,109:109)+100</f>
        <v>100</v>
      </c>
      <c r="G36" s="1348"/>
      <c r="H36" s="916">
        <f>SUMIF(108:108,G36,109:109)-SUMIF(108:108,C36,109:109)+100</f>
        <v>100</v>
      </c>
      <c r="I36" s="1348"/>
      <c r="J36" s="916">
        <f>SUMIF(108:108,I36,109:109)-SUMIF(108:108,C36,109:109)+100</f>
        <v>100</v>
      </c>
      <c r="K36" s="1047"/>
      <c r="L36" s="1041"/>
      <c r="M36" s="1029"/>
      <c r="N36" s="1029"/>
      <c r="O36" s="1029"/>
      <c r="P36" s="3539"/>
      <c r="Q36" s="652" t="str">
        <f t="shared" si="11"/>
        <v>公共部分装修</v>
      </c>
      <c r="R36" s="1075" t="s">
        <v>1336</v>
      </c>
      <c r="S36" s="1076">
        <f t="shared" si="12"/>
        <v>100</v>
      </c>
      <c r="T36" s="1075" t="s">
        <v>1336</v>
      </c>
      <c r="U36" s="1076">
        <f t="shared" si="13"/>
        <v>100</v>
      </c>
      <c r="V36" s="1075" t="s">
        <v>1336</v>
      </c>
      <c r="W36" s="1076">
        <f t="shared" si="14"/>
        <v>100</v>
      </c>
      <c r="X36" s="1069"/>
      <c r="Y36" s="3476"/>
      <c r="Z36" s="1061" t="str">
        <f t="shared" si="15"/>
        <v>公共部分装修</v>
      </c>
      <c r="AA36" s="1086">
        <f t="shared" si="3"/>
        <v>1</v>
      </c>
      <c r="AB36" s="1086">
        <f t="shared" si="4"/>
        <v>1</v>
      </c>
      <c r="AC36" s="1481">
        <f t="shared" si="5"/>
        <v>1</v>
      </c>
    </row>
    <row r="37" spans="1:29" ht="15">
      <c r="A37" s="958"/>
      <c r="B37" s="904" t="s">
        <v>557</v>
      </c>
      <c r="C37" s="1345"/>
      <c r="D37" s="916">
        <v>100</v>
      </c>
      <c r="E37" s="1345"/>
      <c r="F37" s="1338" t="e">
        <f>LOOKUP(E37,111:111,112:112)-LOOKUP(C37,111:111,112:112)+100</f>
        <v>#N/A</v>
      </c>
      <c r="G37" s="1345"/>
      <c r="H37" s="1338" t="e">
        <f>LOOKUP(G37,111:111,112:112)-LOOKUP(C37,111:111,112:112)+100</f>
        <v>#N/A</v>
      </c>
      <c r="I37" s="1345"/>
      <c r="J37" s="916" t="e">
        <f>LOOKUP(I37,111:111,112:112)-LOOKUP(C37,111:111,112:112)+100</f>
        <v>#N/A</v>
      </c>
      <c r="K37" s="1047"/>
      <c r="L37" s="1041"/>
      <c r="M37" s="1029"/>
      <c r="N37" s="1029"/>
      <c r="O37" s="1029"/>
      <c r="P37" s="3539"/>
      <c r="Q37" s="652" t="str">
        <f t="shared" si="11"/>
        <v>成新度</v>
      </c>
      <c r="R37" s="1075" t="s">
        <v>1336</v>
      </c>
      <c r="S37" s="1076" t="e">
        <f t="shared" si="12"/>
        <v>#N/A</v>
      </c>
      <c r="T37" s="1075" t="s">
        <v>1336</v>
      </c>
      <c r="U37" s="1076" t="e">
        <f t="shared" si="13"/>
        <v>#N/A</v>
      </c>
      <c r="V37" s="1075" t="s">
        <v>1336</v>
      </c>
      <c r="W37" s="1076" t="e">
        <f t="shared" si="14"/>
        <v>#N/A</v>
      </c>
      <c r="X37" s="1069"/>
      <c r="Y37" s="3476"/>
      <c r="Z37" s="1061" t="str">
        <f t="shared" si="15"/>
        <v>成新度</v>
      </c>
      <c r="AA37" s="1086" t="e">
        <f t="shared" si="3"/>
        <v>#N/A</v>
      </c>
      <c r="AB37" s="1086" t="e">
        <f t="shared" si="4"/>
        <v>#N/A</v>
      </c>
      <c r="AC37" s="1481" t="e">
        <f t="shared" si="5"/>
        <v>#N/A</v>
      </c>
    </row>
    <row r="38" spans="1:29" s="866" customFormat="1" ht="15">
      <c r="A38" s="960"/>
      <c r="B38" s="904" t="s">
        <v>1421</v>
      </c>
      <c r="C38" s="1348"/>
      <c r="D38" s="906">
        <v>100</v>
      </c>
      <c r="E38" s="1348"/>
      <c r="F38" s="1338">
        <f>SUMIF(113:113,E38,114:114)-SUMIF(113:113,C38,114:114)+100</f>
        <v>100</v>
      </c>
      <c r="G38" s="1348"/>
      <c r="H38" s="916">
        <f>SUMIF(113:113,G38,114:114)-SUMIF(113:113,C38,114:114)+100</f>
        <v>100</v>
      </c>
      <c r="I38" s="1348"/>
      <c r="J38" s="916">
        <f>SUMIF(113:113,I38,114:114)-SUMIF(113:113,C38,114:114)+100</f>
        <v>100</v>
      </c>
      <c r="K38" s="1047"/>
      <c r="L38" s="1031"/>
      <c r="M38" s="1032"/>
      <c r="N38" s="1032"/>
      <c r="O38" s="1032"/>
      <c r="P38" s="3539"/>
      <c r="Q38" s="1074" t="str">
        <f t="shared" si="11"/>
        <v>写字楼等级</v>
      </c>
      <c r="R38" s="1070" t="s">
        <v>1336</v>
      </c>
      <c r="S38" s="1071">
        <f t="shared" si="12"/>
        <v>100</v>
      </c>
      <c r="T38" s="1070" t="s">
        <v>1336</v>
      </c>
      <c r="U38" s="1071">
        <f t="shared" si="13"/>
        <v>100</v>
      </c>
      <c r="V38" s="1070" t="s">
        <v>1336</v>
      </c>
      <c r="W38" s="1071">
        <f t="shared" si="14"/>
        <v>100</v>
      </c>
      <c r="X38" s="1072"/>
      <c r="Y38" s="3476"/>
      <c r="Z38" s="1085" t="str">
        <f t="shared" si="15"/>
        <v>写字楼等级</v>
      </c>
      <c r="AA38" s="1084">
        <f t="shared" si="3"/>
        <v>1</v>
      </c>
      <c r="AB38" s="1084">
        <f t="shared" si="4"/>
        <v>1</v>
      </c>
      <c r="AC38" s="1480">
        <f t="shared" si="5"/>
        <v>1</v>
      </c>
    </row>
    <row r="39" spans="1:29" ht="15">
      <c r="A39" s="958"/>
      <c r="B39" s="904" t="s">
        <v>1356</v>
      </c>
      <c r="C39" s="1348"/>
      <c r="D39" s="916">
        <v>100</v>
      </c>
      <c r="E39" s="1348"/>
      <c r="F39" s="1338">
        <f>SUMIF(115:115,E39,116:116)-SUMIF(115:115,C39,116:116)+100</f>
        <v>100</v>
      </c>
      <c r="G39" s="1348"/>
      <c r="H39" s="916">
        <f>SUMIF(115:115,G39,116:116)-SUMIF(115:115,C39,116:116)+100</f>
        <v>100</v>
      </c>
      <c r="I39" s="1348"/>
      <c r="J39" s="916">
        <f>SUMIF(115:115,I39,116:116)-SUMIF(115:115,C39,116:116)+100</f>
        <v>100</v>
      </c>
      <c r="K39" s="1047"/>
      <c r="L39" s="1041"/>
      <c r="M39" s="1029"/>
      <c r="N39" s="1029"/>
      <c r="O39" s="1029"/>
      <c r="P39" s="3539" t="s">
        <v>1351</v>
      </c>
      <c r="Q39" s="652" t="str">
        <f t="shared" si="11"/>
        <v>物业管理</v>
      </c>
      <c r="R39" s="1075" t="s">
        <v>1336</v>
      </c>
      <c r="S39" s="1076">
        <f t="shared" si="12"/>
        <v>100</v>
      </c>
      <c r="T39" s="1075" t="s">
        <v>1336</v>
      </c>
      <c r="U39" s="1076">
        <f t="shared" si="13"/>
        <v>100</v>
      </c>
      <c r="V39" s="1075" t="s">
        <v>1336</v>
      </c>
      <c r="W39" s="1076">
        <f t="shared" si="14"/>
        <v>100</v>
      </c>
      <c r="X39" s="1069"/>
      <c r="Y39" s="3476" t="s">
        <v>1351</v>
      </c>
      <c r="Z39" s="1061" t="str">
        <f t="shared" si="15"/>
        <v>物业管理</v>
      </c>
      <c r="AA39" s="1086">
        <f t="shared" si="3"/>
        <v>1</v>
      </c>
      <c r="AB39" s="1086">
        <f t="shared" si="4"/>
        <v>1</v>
      </c>
      <c r="AC39" s="1481">
        <f t="shared" si="5"/>
        <v>1</v>
      </c>
    </row>
    <row r="40" spans="1:29" ht="15">
      <c r="A40" s="958"/>
      <c r="B40" s="904" t="s">
        <v>1357</v>
      </c>
      <c r="C40" s="1348"/>
      <c r="D40" s="916">
        <v>100</v>
      </c>
      <c r="E40" s="1348"/>
      <c r="F40" s="1338">
        <f>SUMIF(117:117,E40,118:118)-SUMIF(117:117,C40,118:118)+100</f>
        <v>100</v>
      </c>
      <c r="G40" s="1348"/>
      <c r="H40" s="916">
        <f>SUMIF(117:117,G40,118:118)-SUMIF(117:117,C40,118:118)+100</f>
        <v>100</v>
      </c>
      <c r="I40" s="1348"/>
      <c r="J40" s="916">
        <f>SUMIF(117:117,I40,118:118)-SUMIF(117:117,C40,118:118)+100</f>
        <v>100</v>
      </c>
      <c r="K40" s="1047"/>
      <c r="L40" s="1041"/>
      <c r="M40" s="1029"/>
      <c r="N40" s="1029"/>
      <c r="O40" s="1029"/>
      <c r="P40" s="3539"/>
      <c r="Q40" s="652" t="str">
        <f t="shared" si="11"/>
        <v>市政基础设施</v>
      </c>
      <c r="R40" s="1075" t="s">
        <v>1336</v>
      </c>
      <c r="S40" s="1076">
        <f t="shared" si="12"/>
        <v>100</v>
      </c>
      <c r="T40" s="1075" t="s">
        <v>1336</v>
      </c>
      <c r="U40" s="1076">
        <f t="shared" si="13"/>
        <v>100</v>
      </c>
      <c r="V40" s="1075" t="s">
        <v>1336</v>
      </c>
      <c r="W40" s="1076">
        <f t="shared" si="14"/>
        <v>100</v>
      </c>
      <c r="X40" s="1069"/>
      <c r="Y40" s="3476"/>
      <c r="Z40" s="1061" t="str">
        <f t="shared" si="15"/>
        <v>市政基础设施</v>
      </c>
      <c r="AA40" s="1086">
        <f t="shared" si="3"/>
        <v>1</v>
      </c>
      <c r="AB40" s="1086">
        <f t="shared" si="4"/>
        <v>1</v>
      </c>
      <c r="AC40" s="1481">
        <f t="shared" si="5"/>
        <v>1</v>
      </c>
    </row>
    <row r="41" spans="1:29" ht="15">
      <c r="A41" s="958"/>
      <c r="B41" s="904" t="s">
        <v>1414</v>
      </c>
      <c r="C41" s="941"/>
      <c r="D41" s="916">
        <v>100</v>
      </c>
      <c r="E41" s="941"/>
      <c r="F41" s="1338">
        <f>SUMIF(119:119,E41,120:120)-SUMIF(119:119,C41,120:120)+100</f>
        <v>100</v>
      </c>
      <c r="G41" s="941"/>
      <c r="H41" s="916">
        <f>SUMIF(119:119,G41,120:120)-SUMIF(119:119,C41,120:120)+100</f>
        <v>100</v>
      </c>
      <c r="I41" s="941"/>
      <c r="J41" s="916">
        <f>SUMIF(119:119,I41,120:120)-SUMIF(119:119,C41,120:120)+100</f>
        <v>100</v>
      </c>
      <c r="K41" s="1047"/>
      <c r="L41" s="1041"/>
      <c r="M41" s="1029"/>
      <c r="N41" s="1029"/>
      <c r="O41" s="1029"/>
      <c r="P41" s="3539"/>
      <c r="Q41" s="652" t="str">
        <f t="shared" si="11"/>
        <v>层高</v>
      </c>
      <c r="R41" s="1075" t="s">
        <v>1336</v>
      </c>
      <c r="S41" s="1076">
        <f t="shared" si="12"/>
        <v>100</v>
      </c>
      <c r="T41" s="1075" t="s">
        <v>1336</v>
      </c>
      <c r="U41" s="1076">
        <f t="shared" si="13"/>
        <v>100</v>
      </c>
      <c r="V41" s="1075" t="s">
        <v>1336</v>
      </c>
      <c r="W41" s="1076">
        <f t="shared" si="14"/>
        <v>100</v>
      </c>
      <c r="X41" s="1069"/>
      <c r="Y41" s="3476"/>
      <c r="Z41" s="1061" t="str">
        <f t="shared" si="15"/>
        <v>层高</v>
      </c>
      <c r="AA41" s="1086">
        <f t="shared" si="3"/>
        <v>1</v>
      </c>
      <c r="AB41" s="1086">
        <f t="shared" si="4"/>
        <v>1</v>
      </c>
      <c r="AC41" s="1481">
        <f t="shared" si="5"/>
        <v>1</v>
      </c>
    </row>
    <row r="42" spans="1:29" s="868" customFormat="1" ht="15">
      <c r="A42" s="963"/>
      <c r="B42" s="1056" t="s">
        <v>1422</v>
      </c>
      <c r="C42" s="915"/>
      <c r="D42" s="916">
        <v>100</v>
      </c>
      <c r="E42" s="915"/>
      <c r="F42" s="1338">
        <f>SUMIF(121:121,E42,122:122)-SUMIF(121:121,C42,122:122)+100</f>
        <v>100</v>
      </c>
      <c r="G42" s="915"/>
      <c r="H42" s="916">
        <f>SUMIF(121:121,G42,122:122)-SUMIF(121:121,C42,122:122)+100</f>
        <v>100</v>
      </c>
      <c r="I42" s="915"/>
      <c r="J42" s="916">
        <f>SUMIF(121:121,I42,122:122)-SUMIF(121:121,C42,122:122)+100</f>
        <v>100</v>
      </c>
      <c r="K42" s="1046"/>
      <c r="L42" s="1039"/>
      <c r="M42" s="1048"/>
      <c r="N42" s="1048"/>
      <c r="O42" s="1048"/>
      <c r="P42" s="3539"/>
      <c r="Q42" s="1377" t="str">
        <f t="shared" si="11"/>
        <v>单套建筑面积</v>
      </c>
      <c r="R42" s="1077" t="s">
        <v>1336</v>
      </c>
      <c r="S42" s="1078">
        <f t="shared" si="12"/>
        <v>100</v>
      </c>
      <c r="T42" s="1077" t="s">
        <v>1336</v>
      </c>
      <c r="U42" s="1078">
        <f t="shared" si="13"/>
        <v>100</v>
      </c>
      <c r="V42" s="1077" t="s">
        <v>1336</v>
      </c>
      <c r="W42" s="1078">
        <f t="shared" si="14"/>
        <v>100</v>
      </c>
      <c r="X42" s="1079"/>
      <c r="Y42" s="3476"/>
      <c r="Z42" s="1087" t="str">
        <f t="shared" si="15"/>
        <v>单套建筑面积</v>
      </c>
      <c r="AA42" s="1086">
        <f t="shared" si="3"/>
        <v>1</v>
      </c>
      <c r="AB42" s="1086">
        <f t="shared" si="4"/>
        <v>1</v>
      </c>
      <c r="AC42" s="1481">
        <f t="shared" si="5"/>
        <v>1</v>
      </c>
    </row>
    <row r="43" spans="1:29" ht="15">
      <c r="A43" s="958"/>
      <c r="B43" s="904" t="s">
        <v>1360</v>
      </c>
      <c r="C43" s="1348"/>
      <c r="D43" s="916">
        <v>100</v>
      </c>
      <c r="E43" s="1348"/>
      <c r="F43" s="1338">
        <f>SUMIF(123:123,E43,124:124)-SUMIF(123:123,C43,124:124)+100</f>
        <v>100</v>
      </c>
      <c r="G43" s="1348"/>
      <c r="H43" s="916">
        <f>SUMIF(123:123,G43,124:124)-SUMIF(123:123,C43,124:124)+100</f>
        <v>100</v>
      </c>
      <c r="I43" s="1348"/>
      <c r="J43" s="916">
        <f>SUMIF(123:123,I43,124:124)-SUMIF(123:123,C43,124:124)+100</f>
        <v>100</v>
      </c>
      <c r="K43" s="1047"/>
      <c r="L43" s="1041"/>
      <c r="M43" s="1029"/>
      <c r="N43" s="1029"/>
      <c r="O43" s="1029"/>
      <c r="P43" s="3539"/>
      <c r="Q43" s="652" t="str">
        <f t="shared" si="11"/>
        <v>内部装修</v>
      </c>
      <c r="R43" s="1075" t="s">
        <v>1336</v>
      </c>
      <c r="S43" s="1076">
        <f t="shared" si="12"/>
        <v>100</v>
      </c>
      <c r="T43" s="1075" t="s">
        <v>1336</v>
      </c>
      <c r="U43" s="1076">
        <f t="shared" si="13"/>
        <v>100</v>
      </c>
      <c r="V43" s="1075" t="s">
        <v>1336</v>
      </c>
      <c r="W43" s="1076">
        <f t="shared" si="14"/>
        <v>100</v>
      </c>
      <c r="X43" s="1069"/>
      <c r="Y43" s="3476"/>
      <c r="Z43" s="1061" t="str">
        <f t="shared" si="15"/>
        <v>内部装修</v>
      </c>
      <c r="AA43" s="1086">
        <f t="shared" si="3"/>
        <v>1</v>
      </c>
      <c r="AB43" s="1086">
        <f t="shared" si="4"/>
        <v>1</v>
      </c>
      <c r="AC43" s="1481">
        <f t="shared" si="5"/>
        <v>1</v>
      </c>
    </row>
    <row r="44" spans="1:29" ht="15">
      <c r="A44" s="958"/>
      <c r="B44" s="904" t="s">
        <v>1361</v>
      </c>
      <c r="C44" s="1348"/>
      <c r="D44" s="916">
        <v>100</v>
      </c>
      <c r="E44" s="959"/>
      <c r="F44" s="1338">
        <f>SUMIF(125:125,E44,126:126)-SUMIF(125:125,C44,126:126)+100</f>
        <v>100</v>
      </c>
      <c r="G44" s="959"/>
      <c r="H44" s="916">
        <f>SUMIF(125:125,G44,126:126)-SUMIF(125:125,C44,126:126)+100</f>
        <v>100</v>
      </c>
      <c r="I44" s="959"/>
      <c r="J44" s="916">
        <f>SUMIF(125:125,I44,126:126)-SUMIF(125:125,C44,126:126)+100</f>
        <v>100</v>
      </c>
      <c r="K44" s="1047"/>
      <c r="L44" s="1041"/>
      <c r="M44" s="1029"/>
      <c r="N44" s="1029"/>
      <c r="O44" s="1029"/>
      <c r="P44" s="3539"/>
      <c r="Q44" s="652" t="str">
        <f t="shared" si="11"/>
        <v>内部装修维护情况</v>
      </c>
      <c r="R44" s="1075" t="s">
        <v>1336</v>
      </c>
      <c r="S44" s="1076">
        <f t="shared" si="12"/>
        <v>100</v>
      </c>
      <c r="T44" s="1075" t="s">
        <v>1336</v>
      </c>
      <c r="U44" s="1076">
        <f t="shared" si="13"/>
        <v>100</v>
      </c>
      <c r="V44" s="1075" t="s">
        <v>1336</v>
      </c>
      <c r="W44" s="1076">
        <f t="shared" si="14"/>
        <v>100</v>
      </c>
      <c r="X44" s="1069"/>
      <c r="Y44" s="3476"/>
      <c r="Z44" s="1061" t="str">
        <f t="shared" si="15"/>
        <v>内部装修维护情况</v>
      </c>
      <c r="AA44" s="1086">
        <f t="shared" si="3"/>
        <v>1</v>
      </c>
      <c r="AB44" s="1086">
        <f t="shared" si="4"/>
        <v>1</v>
      </c>
      <c r="AC44" s="1481">
        <f t="shared" si="5"/>
        <v>1</v>
      </c>
    </row>
    <row r="45" spans="1:29" s="866" customFormat="1" ht="15">
      <c r="A45" s="960"/>
      <c r="B45" s="1292">
        <v>111</v>
      </c>
      <c r="C45" s="1332"/>
      <c r="D45" s="906">
        <v>100</v>
      </c>
      <c r="E45" s="905"/>
      <c r="F45" s="1331">
        <f>SUMIF(127:127,E45,128:128)-SUMIF(127:127,C45,128:128)+100</f>
        <v>100</v>
      </c>
      <c r="G45" s="905"/>
      <c r="H45" s="906">
        <f>SUMIF(127:127,G45,128:128)-SUMIF(127:127,C45,128:128)+100</f>
        <v>100</v>
      </c>
      <c r="I45" s="905"/>
      <c r="J45" s="906">
        <f>SUMIF(127:127,I45,128:128)-SUMIF(127:127,C45,128:128)+100</f>
        <v>100</v>
      </c>
      <c r="K45" s="1046"/>
      <c r="L45" s="1031"/>
      <c r="M45" s="1032"/>
      <c r="N45" s="1032"/>
      <c r="O45" s="1032"/>
      <c r="P45" s="3539"/>
      <c r="Q45" s="1074">
        <f t="shared" si="11"/>
        <v>111</v>
      </c>
      <c r="R45" s="1070" t="s">
        <v>1336</v>
      </c>
      <c r="S45" s="1071">
        <f t="shared" si="12"/>
        <v>100</v>
      </c>
      <c r="T45" s="1070" t="s">
        <v>1336</v>
      </c>
      <c r="U45" s="1071">
        <f t="shared" si="13"/>
        <v>100</v>
      </c>
      <c r="V45" s="1070" t="s">
        <v>1336</v>
      </c>
      <c r="W45" s="1071">
        <f t="shared" si="14"/>
        <v>100</v>
      </c>
      <c r="X45" s="1072"/>
      <c r="Y45" s="3476"/>
      <c r="Z45" s="1085">
        <f t="shared" si="15"/>
        <v>111</v>
      </c>
      <c r="AA45" s="1084">
        <f t="shared" si="3"/>
        <v>1</v>
      </c>
      <c r="AB45" s="1084">
        <f t="shared" si="4"/>
        <v>1</v>
      </c>
      <c r="AC45" s="1480">
        <f t="shared" si="5"/>
        <v>1</v>
      </c>
    </row>
    <row r="46" spans="1:29" ht="15">
      <c r="A46" s="958"/>
      <c r="B46" s="1292">
        <v>111</v>
      </c>
      <c r="C46" s="915"/>
      <c r="D46" s="916">
        <v>100</v>
      </c>
      <c r="E46" s="905"/>
      <c r="F46" s="1338">
        <f>SUMIF(129:129,E46,130:130)-SUMIF(129:129,C46,130:130)+100</f>
        <v>100</v>
      </c>
      <c r="G46" s="905"/>
      <c r="H46" s="916">
        <f>SUMIF(129:129,G46,130:130)-SUMIF(129:129,C46,130:130)+100</f>
        <v>100</v>
      </c>
      <c r="I46" s="905"/>
      <c r="J46" s="916">
        <f>SUMIF(129:129,I46,130:130)-SUMIF(129:129,C46,130:130)+100</f>
        <v>100</v>
      </c>
      <c r="K46" s="1046"/>
      <c r="L46" s="1041"/>
      <c r="M46" s="1029"/>
      <c r="N46" s="1029"/>
      <c r="O46" s="1029"/>
      <c r="P46" s="3539"/>
      <c r="Q46" s="652">
        <f t="shared" si="11"/>
        <v>111</v>
      </c>
      <c r="R46" s="1075" t="s">
        <v>1336</v>
      </c>
      <c r="S46" s="1076">
        <f t="shared" si="12"/>
        <v>100</v>
      </c>
      <c r="T46" s="1075" t="s">
        <v>1336</v>
      </c>
      <c r="U46" s="1076">
        <f t="shared" si="13"/>
        <v>100</v>
      </c>
      <c r="V46" s="1075" t="s">
        <v>1336</v>
      </c>
      <c r="W46" s="1076">
        <f t="shared" si="14"/>
        <v>100</v>
      </c>
      <c r="X46" s="1069"/>
      <c r="Y46" s="3476"/>
      <c r="Z46" s="1061">
        <f t="shared" si="15"/>
        <v>111</v>
      </c>
      <c r="AA46" s="1086">
        <f t="shared" si="3"/>
        <v>1</v>
      </c>
      <c r="AB46" s="1086">
        <f t="shared" si="4"/>
        <v>1</v>
      </c>
      <c r="AC46" s="1481">
        <f t="shared" si="5"/>
        <v>1</v>
      </c>
    </row>
    <row r="47" spans="1:29" ht="15">
      <c r="A47" s="1350"/>
      <c r="B47" s="918">
        <v>111</v>
      </c>
      <c r="C47" s="919"/>
      <c r="D47" s="920">
        <v>100</v>
      </c>
      <c r="E47" s="905"/>
      <c r="F47" s="1351">
        <f>SUMIF(131:131,E47,132:132)-SUMIF(131:131,C47,132:132)+100</f>
        <v>100</v>
      </c>
      <c r="G47" s="905"/>
      <c r="H47" s="920">
        <f>SUMIF(131:131,G47,132:132)-SUMIF(131:131,C47,132:132)+100</f>
        <v>100</v>
      </c>
      <c r="I47" s="905"/>
      <c r="J47" s="920">
        <f>SUMIF(131:131,I47,132:132)-SUMIF(131:131,C47,132:132)+100</f>
        <v>100</v>
      </c>
      <c r="K47" s="1046"/>
      <c r="L47" s="1041"/>
      <c r="M47" s="1029"/>
      <c r="N47" s="1029"/>
      <c r="O47" s="1029"/>
      <c r="P47" s="3540"/>
      <c r="Q47" s="652">
        <f t="shared" si="11"/>
        <v>111</v>
      </c>
      <c r="R47" s="1075" t="s">
        <v>1336</v>
      </c>
      <c r="S47" s="1076">
        <f t="shared" si="12"/>
        <v>100</v>
      </c>
      <c r="T47" s="1075" t="s">
        <v>1336</v>
      </c>
      <c r="U47" s="1076">
        <f t="shared" si="13"/>
        <v>100</v>
      </c>
      <c r="V47" s="1075" t="s">
        <v>1336</v>
      </c>
      <c r="W47" s="1076">
        <f t="shared" si="14"/>
        <v>100</v>
      </c>
      <c r="X47" s="1069"/>
      <c r="Y47" s="3541"/>
      <c r="Z47" s="1061">
        <f t="shared" si="15"/>
        <v>111</v>
      </c>
      <c r="AA47" s="1086">
        <f t="shared" si="3"/>
        <v>1</v>
      </c>
      <c r="AB47" s="1086">
        <f t="shared" si="4"/>
        <v>1</v>
      </c>
      <c r="AC47" s="1481">
        <f t="shared" si="5"/>
        <v>1</v>
      </c>
    </row>
    <row r="48" spans="1:29" ht="15">
      <c r="A48" s="965" t="s">
        <v>1362</v>
      </c>
      <c r="B48" s="1352"/>
      <c r="C48" s="1353" t="s">
        <v>124</v>
      </c>
      <c r="D48" s="1354"/>
      <c r="E48" s="1355"/>
      <c r="F48" s="1356"/>
      <c r="G48" s="1357"/>
      <c r="H48" s="1358"/>
      <c r="I48" s="1355"/>
      <c r="J48" s="972"/>
      <c r="K48" s="1052"/>
      <c r="L48" s="1053"/>
      <c r="M48" s="1029"/>
      <c r="N48" s="1029"/>
      <c r="O48" s="1029"/>
      <c r="P48" s="3486" t="str">
        <f>A48</f>
        <v>成交单价（元/平方米）</v>
      </c>
      <c r="Q48" s="3472"/>
      <c r="R48" s="3535">
        <f>E48</f>
        <v>0</v>
      </c>
      <c r="S48" s="3535"/>
      <c r="T48" s="3535">
        <f>G48</f>
        <v>0</v>
      </c>
      <c r="U48" s="3535"/>
      <c r="V48" s="3535">
        <f>I48</f>
        <v>0</v>
      </c>
      <c r="W48" s="3535"/>
      <c r="X48" s="1286"/>
      <c r="Y48" s="1088"/>
      <c r="Z48" s="1286"/>
      <c r="AA48" s="1286"/>
      <c r="AB48" s="1286"/>
      <c r="AC48" s="926"/>
    </row>
    <row r="49" spans="1:29" ht="15">
      <c r="A49" s="973" t="s">
        <v>1363</v>
      </c>
      <c r="B49" s="1359"/>
      <c r="C49" s="1360" t="e">
        <f>R50</f>
        <v>#DIV/0!</v>
      </c>
      <c r="D49" s="1361"/>
      <c r="E49" s="1362" t="e">
        <f>R49</f>
        <v>#DIV/0!</v>
      </c>
      <c r="F49" s="1362"/>
      <c r="G49" s="1360" t="e">
        <f>T49</f>
        <v>#DIV/0!</v>
      </c>
      <c r="H49" s="1361"/>
      <c r="I49" s="1362" t="e">
        <f>V49</f>
        <v>#DIV/0!</v>
      </c>
      <c r="J49" s="976"/>
      <c r="K49" s="1054"/>
      <c r="L49" s="1053"/>
      <c r="M49" s="1029"/>
      <c r="N49" s="1029"/>
      <c r="O49" s="1029"/>
      <c r="P49" s="3486" t="str">
        <f>A49</f>
        <v>比较价值（元/平方米）</v>
      </c>
      <c r="Q49" s="3472"/>
      <c r="R49" s="3535" t="e">
        <f>IF(F1="售价",ROUND(PRODUCT(R48,AA7:AA47),0),ROUND(PRODUCT(R48,AA7:AA47),1))</f>
        <v>#DIV/0!</v>
      </c>
      <c r="S49" s="3535"/>
      <c r="T49" s="3535" t="e">
        <f>IF(F1="售价",ROUND(PRODUCT(T48,AB7:AB47),0),ROUND(PRODUCT(T48,AB7:AB47),1))</f>
        <v>#DIV/0!</v>
      </c>
      <c r="U49" s="3535"/>
      <c r="V49" s="3535" t="e">
        <f>IF(F1="售价",ROUND(PRODUCT(V48,AC7:AC47),0),ROUND(PRODUCT(V48,AC7:AC47),1))</f>
        <v>#DIV/0!</v>
      </c>
      <c r="W49" s="3535"/>
      <c r="X49" s="1286"/>
      <c r="Y49" s="1286"/>
      <c r="Z49" s="1286"/>
      <c r="AA49" s="1286"/>
      <c r="AB49" s="1286"/>
      <c r="AC49" s="926"/>
    </row>
    <row r="50" spans="1:29" ht="15">
      <c r="A50" s="979" t="s">
        <v>1364</v>
      </c>
      <c r="B50" s="980"/>
      <c r="C50" s="1363" t="e">
        <f>R50</f>
        <v>#DIV/0!</v>
      </c>
      <c r="D50" s="1363"/>
      <c r="E50" s="1363"/>
      <c r="F50" s="1363"/>
      <c r="G50" s="1363"/>
      <c r="H50" s="1363"/>
      <c r="I50" s="1363"/>
      <c r="J50" s="981"/>
      <c r="K50" s="1055"/>
      <c r="L50" s="1053"/>
      <c r="M50" s="1029"/>
      <c r="N50" s="1029"/>
      <c r="O50" s="1029"/>
      <c r="P50" s="3544" t="str">
        <f>A50</f>
        <v>估价对象XX用房的比较价值（楼面单价，元/平方米）</v>
      </c>
      <c r="Q50" s="3545"/>
      <c r="R50" s="3546" t="e">
        <f>IF(F1="售价",ROUND(AVERAGE(R49:V49),0),ROUND(AVERAGE(R49:V49),1))</f>
        <v>#DIV/0!</v>
      </c>
      <c r="S50" s="3546"/>
      <c r="T50" s="3546"/>
      <c r="U50" s="3546"/>
      <c r="V50" s="3546"/>
      <c r="W50" s="3546"/>
      <c r="X50" s="1479"/>
      <c r="Y50" s="1479"/>
      <c r="Z50" s="1479"/>
      <c r="AA50" s="1479"/>
      <c r="AB50" s="1479"/>
      <c r="AC50" s="1482"/>
    </row>
    <row r="51" spans="1:29">
      <c r="A51" s="982"/>
      <c r="B51" s="982"/>
      <c r="C51" s="982"/>
      <c r="D51" s="982"/>
      <c r="E51" s="982"/>
      <c r="F51" s="982"/>
      <c r="G51" s="983"/>
      <c r="H51" s="982"/>
      <c r="I51" s="982"/>
      <c r="J51" s="982"/>
      <c r="K51" s="1057"/>
      <c r="L51" s="1058"/>
      <c r="M51" s="982"/>
      <c r="N51" s="982"/>
      <c r="O51" s="982"/>
    </row>
    <row r="52" spans="1:29">
      <c r="A52" s="982"/>
      <c r="B52" s="982"/>
      <c r="C52" s="982"/>
      <c r="D52" s="982"/>
      <c r="E52" s="982"/>
      <c r="F52" s="982"/>
      <c r="G52" s="982"/>
      <c r="H52" s="982"/>
      <c r="I52" s="982"/>
      <c r="J52" s="982"/>
      <c r="K52" s="1057"/>
      <c r="L52" s="1058"/>
      <c r="M52" s="982"/>
      <c r="N52" s="982"/>
      <c r="O52" s="982"/>
    </row>
    <row r="53" spans="1:29" ht="13.5" customHeight="1">
      <c r="A53" s="982"/>
      <c r="B53" s="982"/>
      <c r="C53" s="984" t="s">
        <v>1365</v>
      </c>
      <c r="D53" s="692"/>
      <c r="E53" s="985" t="e">
        <f>IF(E48&lt;E49,E49/E48-1,E48/E49-1)</f>
        <v>#DIV/0!</v>
      </c>
      <c r="F53" s="986" t="e">
        <f>IF(OR(E53&gt;=0.3,E53&lt;=-0.3),"超过30%","")</f>
        <v>#DIV/0!</v>
      </c>
      <c r="G53" s="985" t="e">
        <f>IF(G48&lt;G49,G49/G48-1,G48/G49-1)</f>
        <v>#DIV/0!</v>
      </c>
      <c r="H53" s="986" t="e">
        <f>IF(OR(G53&gt;=0.3,G53&lt;=-0.3),"超过30%","")</f>
        <v>#DIV/0!</v>
      </c>
      <c r="I53" s="985" t="e">
        <f>IF(I48&lt;I49,I49/I48-1,I48/I49-1)</f>
        <v>#DIV/0!</v>
      </c>
      <c r="J53" s="986" t="e">
        <f>IF(OR(I53&gt;=0.3,I53&lt;=-0.3),"超过30%","")</f>
        <v>#DIV/0!</v>
      </c>
      <c r="K53" s="1057"/>
      <c r="L53" s="1058"/>
      <c r="M53" s="982"/>
      <c r="N53" s="982"/>
      <c r="O53" s="982"/>
    </row>
    <row r="54" spans="1:29" ht="13.5" customHeight="1">
      <c r="A54" s="982"/>
      <c r="B54" s="982"/>
      <c r="C54" s="984" t="s">
        <v>1366</v>
      </c>
      <c r="D54" s="691"/>
      <c r="E54" s="985" t="e">
        <f>IF(E49&lt;G49,G49/E49-1,E49/G49-1)</f>
        <v>#DIV/0!</v>
      </c>
      <c r="F54" s="986" t="e">
        <f>IF(OR(E54&gt;=0.2,E54&lt;=-0.2),"超过20%","")</f>
        <v>#DIV/0!</v>
      </c>
      <c r="G54" s="985" t="e">
        <f>IF(G49&lt;I49,I49/G49-1,G49/I49-1)</f>
        <v>#DIV/0!</v>
      </c>
      <c r="H54" s="986" t="e">
        <f>IF(OR(G54&gt;=0.2,G54&lt;=-0.2),"超过20%","")</f>
        <v>#DIV/0!</v>
      </c>
      <c r="I54" s="985" t="e">
        <f>IF(I49&lt;E49,E49/I49-1,I49/E49-1)</f>
        <v>#DIV/0!</v>
      </c>
      <c r="J54" s="986" t="e">
        <f>IF(OR(I54&gt;=0.2,I54&lt;=-0.2),"超过20%","")</f>
        <v>#DIV/0!</v>
      </c>
      <c r="K54" s="1057"/>
      <c r="L54" s="1058"/>
      <c r="M54" s="982"/>
      <c r="N54" s="982"/>
      <c r="O54" s="982"/>
    </row>
    <row r="55" spans="1:29" s="869" customFormat="1" ht="13.5" customHeight="1">
      <c r="A55" s="987"/>
      <c r="B55" s="987"/>
      <c r="C55" s="984" t="s">
        <v>1367</v>
      </c>
      <c r="D55" s="691"/>
      <c r="E55" s="985" t="e">
        <f>IF(E48&lt;G48,G48/E48-1,E48/G48-1)</f>
        <v>#DIV/0!</v>
      </c>
      <c r="F55" s="986" t="e">
        <f>IF(OR(E55&gt;=0.3,E55&lt;=-0.3),"超过30%","")</f>
        <v>#DIV/0!</v>
      </c>
      <c r="G55" s="985" t="e">
        <f>IF(G48&lt;I48,I48/G48-1,G48/I48-1)</f>
        <v>#DIV/0!</v>
      </c>
      <c r="H55" s="986" t="e">
        <f>IF(OR(G55&gt;=0.3,G55&lt;=-0.3),"超过30%","")</f>
        <v>#DIV/0!</v>
      </c>
      <c r="I55" s="985" t="e">
        <f>IF(I48&lt;E48,E48/I48-1,I48/E48-1)</f>
        <v>#DIV/0!</v>
      </c>
      <c r="J55" s="986" t="e">
        <f>IF(OR(I55&gt;=0.3,I55&lt;=-0.3),"超过30%","")</f>
        <v>#DIV/0!</v>
      </c>
      <c r="K55" s="1059"/>
      <c r="L55" s="1060"/>
      <c r="M55" s="987"/>
      <c r="N55" s="987"/>
      <c r="O55" s="987"/>
      <c r="P55" s="1472"/>
    </row>
    <row r="56" spans="1:29" s="869" customFormat="1">
      <c r="A56" s="987"/>
      <c r="B56" s="988"/>
      <c r="C56" s="1014"/>
      <c r="D56" s="987"/>
      <c r="E56" s="987"/>
      <c r="F56" s="987"/>
      <c r="G56" s="987"/>
      <c r="H56" s="987"/>
      <c r="I56" s="987"/>
      <c r="J56" s="987"/>
      <c r="K56" s="1059"/>
      <c r="L56" s="1060"/>
      <c r="M56" s="987"/>
      <c r="N56" s="987"/>
      <c r="O56" s="987"/>
      <c r="P56" s="1472"/>
    </row>
    <row r="57" spans="1:29">
      <c r="A57" s="982"/>
      <c r="B57" s="988"/>
      <c r="C57" s="1014"/>
      <c r="D57" s="982"/>
      <c r="E57" s="982"/>
      <c r="F57" s="982"/>
      <c r="G57" s="982"/>
      <c r="H57" s="982"/>
      <c r="I57" s="982"/>
      <c r="J57" s="982"/>
      <c r="K57" s="1057"/>
      <c r="L57" s="1058"/>
      <c r="M57" s="982"/>
      <c r="N57" s="982"/>
      <c r="O57" s="982"/>
    </row>
    <row r="58" spans="1:29" ht="21">
      <c r="A58" s="1016" t="s">
        <v>1368</v>
      </c>
      <c r="B58" s="1017"/>
      <c r="C58" s="1018"/>
      <c r="D58" s="1018"/>
      <c r="E58" s="1018"/>
      <c r="F58" s="1019"/>
      <c r="G58" s="1019"/>
      <c r="H58" s="1018"/>
      <c r="I58" s="1018"/>
      <c r="J58" s="1018"/>
      <c r="K58" s="1065"/>
      <c r="L58" s="1310"/>
      <c r="M58" s="1067"/>
      <c r="N58" s="1067"/>
      <c r="O58" s="1067"/>
      <c r="P58" s="1473"/>
      <c r="Q58" s="1080"/>
    </row>
    <row r="59" spans="1:29" s="871" customFormat="1" ht="15">
      <c r="A59" s="1364" t="s">
        <v>1334</v>
      </c>
      <c r="B59" s="1365"/>
      <c r="C59" s="1366" t="str">
        <f>YEAR(C7)&amp;"-"&amp;MONTH(C7)</f>
        <v>2018-9</v>
      </c>
      <c r="D59" s="1367">
        <f>EDATE(C59,-1)</f>
        <v>43313</v>
      </c>
      <c r="E59" s="1367">
        <f>EDATE(D59,-1)</f>
        <v>43282</v>
      </c>
      <c r="F59" s="1367">
        <f t="shared" ref="F59:O59" si="16">EDATE(E59,-1)</f>
        <v>43252</v>
      </c>
      <c r="G59" s="1367">
        <f t="shared" si="16"/>
        <v>43221</v>
      </c>
      <c r="H59" s="1367">
        <f t="shared" si="16"/>
        <v>43191</v>
      </c>
      <c r="I59" s="1367">
        <f t="shared" si="16"/>
        <v>43160</v>
      </c>
      <c r="J59" s="1367">
        <f t="shared" si="16"/>
        <v>43132</v>
      </c>
      <c r="K59" s="1367">
        <f t="shared" si="16"/>
        <v>43101</v>
      </c>
      <c r="L59" s="1367">
        <f t="shared" si="16"/>
        <v>43070</v>
      </c>
      <c r="M59" s="1367">
        <f t="shared" si="16"/>
        <v>43040</v>
      </c>
      <c r="N59" s="1367">
        <f t="shared" si="16"/>
        <v>43009</v>
      </c>
      <c r="O59" s="1367">
        <f t="shared" si="16"/>
        <v>42979</v>
      </c>
      <c r="P59" s="1474"/>
    </row>
    <row r="60" spans="1:29" s="866" customFormat="1" ht="15">
      <c r="A60" s="1368"/>
      <c r="B60" s="1100"/>
      <c r="C60" s="1369">
        <v>100</v>
      </c>
      <c r="D60" s="1104"/>
      <c r="E60" s="1104"/>
      <c r="F60" s="1104"/>
      <c r="G60" s="1104"/>
      <c r="H60" s="1104"/>
      <c r="I60" s="1104"/>
      <c r="J60" s="1104"/>
      <c r="K60" s="1104"/>
      <c r="L60" s="1104"/>
      <c r="M60" s="1376"/>
      <c r="N60" s="1104"/>
      <c r="O60" s="1376"/>
      <c r="P60" s="1475"/>
    </row>
    <row r="61" spans="1:29" s="866" customFormat="1" ht="15">
      <c r="A61" s="1095" t="s">
        <v>1369</v>
      </c>
      <c r="B61" s="1096"/>
      <c r="C61" s="1097"/>
      <c r="D61" s="1098"/>
      <c r="E61" s="1098"/>
      <c r="F61" s="1098"/>
      <c r="G61" s="1098"/>
      <c r="H61" s="1098"/>
      <c r="I61" s="1098"/>
      <c r="J61" s="1098"/>
      <c r="K61" s="1098"/>
      <c r="L61" s="1098"/>
      <c r="M61" s="1146"/>
      <c r="N61" s="1098"/>
      <c r="O61" s="1146"/>
      <c r="P61" s="1475"/>
      <c r="Q61" s="1080"/>
    </row>
    <row r="62" spans="1:29" s="866" customFormat="1" ht="15">
      <c r="A62" s="1099" t="s">
        <v>1337</v>
      </c>
      <c r="B62" s="1100"/>
      <c r="C62" s="1101" t="s">
        <v>1338</v>
      </c>
      <c r="D62" s="1102"/>
      <c r="E62" s="1102"/>
      <c r="F62" s="1102"/>
      <c r="G62" s="1102"/>
      <c r="H62" s="1102"/>
      <c r="I62" s="1102"/>
      <c r="J62" s="1102"/>
      <c r="K62" s="1102"/>
      <c r="L62" s="1148"/>
      <c r="M62" s="1149"/>
      <c r="N62" s="1150"/>
      <c r="O62" s="1150"/>
      <c r="P62" s="1476"/>
      <c r="Q62" s="1080"/>
    </row>
    <row r="63" spans="1:29" s="866" customFormat="1" ht="15">
      <c r="A63" s="1099"/>
      <c r="B63" s="1100"/>
      <c r="C63" s="1471">
        <v>100</v>
      </c>
      <c r="D63" s="1104"/>
      <c r="E63" s="1104"/>
      <c r="F63" s="1104"/>
      <c r="G63" s="1104"/>
      <c r="H63" s="1104"/>
      <c r="I63" s="1104"/>
      <c r="J63" s="1104"/>
      <c r="K63" s="1104"/>
      <c r="L63" s="1104"/>
      <c r="M63" s="1152"/>
      <c r="N63" s="1150"/>
      <c r="O63" s="1150"/>
      <c r="P63" s="1475"/>
      <c r="Q63" s="1080"/>
    </row>
    <row r="64" spans="1:29">
      <c r="A64" s="1105" t="s">
        <v>1370</v>
      </c>
      <c r="B64" s="1106" t="s">
        <v>346</v>
      </c>
      <c r="C64" s="1128">
        <f>C9</f>
        <v>0</v>
      </c>
      <c r="D64" s="1050"/>
      <c r="E64" s="1050"/>
      <c r="F64" s="1050"/>
      <c r="G64" s="1050"/>
      <c r="H64" s="1050"/>
      <c r="I64" s="1050"/>
      <c r="J64" s="1050"/>
      <c r="K64" s="1153"/>
      <c r="L64" s="1154"/>
      <c r="M64" s="1155"/>
      <c r="N64" s="1156"/>
      <c r="O64" s="1156"/>
      <c r="P64" s="1477"/>
      <c r="Q64" s="1080"/>
    </row>
    <row r="65" spans="1:17" ht="15">
      <c r="A65" s="1107"/>
      <c r="B65" s="1108"/>
      <c r="C65" s="1109">
        <v>100</v>
      </c>
      <c r="D65" s="1109"/>
      <c r="E65" s="1109"/>
      <c r="F65" s="1109"/>
      <c r="G65" s="1109"/>
      <c r="H65" s="1109"/>
      <c r="I65" s="1109"/>
      <c r="J65" s="1109"/>
      <c r="K65" s="1109"/>
      <c r="L65" s="1109"/>
      <c r="M65" s="1158"/>
      <c r="N65" s="1159"/>
      <c r="O65" s="1159"/>
      <c r="P65" s="1477"/>
      <c r="Q65" s="1080"/>
    </row>
    <row r="66" spans="1:17" ht="27">
      <c r="A66" s="1107"/>
      <c r="B66" s="1110" t="s">
        <v>1343</v>
      </c>
      <c r="C66" s="1111" t="s">
        <v>1371</v>
      </c>
      <c r="D66" s="1111" t="s">
        <v>1372</v>
      </c>
      <c r="E66" s="1111" t="s">
        <v>1373</v>
      </c>
      <c r="F66" s="1111" t="s">
        <v>1374</v>
      </c>
      <c r="G66" s="1111" t="s">
        <v>1375</v>
      </c>
      <c r="H66" s="1111" t="s">
        <v>1376</v>
      </c>
      <c r="I66" s="1111" t="s">
        <v>1377</v>
      </c>
      <c r="J66" s="1111"/>
      <c r="K66" s="1160"/>
      <c r="L66" s="1161"/>
      <c r="M66" s="1162"/>
      <c r="N66" s="1156"/>
      <c r="O66" s="1156"/>
      <c r="P66" s="1477"/>
      <c r="Q66" s="1080"/>
    </row>
    <row r="67" spans="1:17" ht="15">
      <c r="A67" s="1107"/>
      <c r="B67" s="1112"/>
      <c r="C67" s="1113" t="s">
        <v>1417</v>
      </c>
      <c r="D67" s="1113" t="s">
        <v>1417</v>
      </c>
      <c r="E67" s="1113">
        <v>100</v>
      </c>
      <c r="F67" s="1113">
        <f>E67-$K10</f>
        <v>100</v>
      </c>
      <c r="G67" s="1113">
        <f>F67-$K10</f>
        <v>100</v>
      </c>
      <c r="H67" s="1113">
        <f>G67-$K10</f>
        <v>100</v>
      </c>
      <c r="I67" s="1113">
        <f>H67-$K10</f>
        <v>100</v>
      </c>
      <c r="J67" s="1113"/>
      <c r="K67" s="1113"/>
      <c r="L67" s="1113"/>
      <c r="M67" s="1163"/>
      <c r="N67" s="1159"/>
      <c r="O67" s="1159"/>
      <c r="P67" s="1477"/>
      <c r="Q67" s="1080"/>
    </row>
    <row r="68" spans="1:17" ht="15">
      <c r="A68" s="1107"/>
      <c r="B68" s="1114" t="s">
        <v>1344</v>
      </c>
      <c r="C68" s="1115" t="str">
        <f>C69&amp;"（含）"&amp;"-"&amp;D69</f>
        <v>（含）-</v>
      </c>
      <c r="D68" s="1115" t="str">
        <f t="shared" ref="D68:L68" si="17">D69&amp;"（含）"&amp;"-"&amp;E69</f>
        <v>（含）-</v>
      </c>
      <c r="E68" s="1115" t="str">
        <f t="shared" si="17"/>
        <v>（含）-</v>
      </c>
      <c r="F68" s="1115" t="str">
        <f t="shared" si="17"/>
        <v>（含）-</v>
      </c>
      <c r="G68" s="1115" t="str">
        <f t="shared" si="17"/>
        <v>（含）-</v>
      </c>
      <c r="H68" s="1115" t="str">
        <f t="shared" si="17"/>
        <v>（含）-</v>
      </c>
      <c r="I68" s="1115" t="str">
        <f t="shared" si="17"/>
        <v>（含）-</v>
      </c>
      <c r="J68" s="1115" t="str">
        <f t="shared" si="17"/>
        <v>（含）-</v>
      </c>
      <c r="K68" s="1115" t="str">
        <f t="shared" si="17"/>
        <v>（含）-</v>
      </c>
      <c r="L68" s="1115" t="str">
        <f t="shared" si="17"/>
        <v>（含）-</v>
      </c>
      <c r="M68" s="928" t="str">
        <f>M69&amp;"（含）"&amp;"-"&amp;P69</f>
        <v>（含）-</v>
      </c>
      <c r="N68" s="1159"/>
      <c r="O68" s="1159"/>
      <c r="P68" s="1477"/>
      <c r="Q68" s="1080"/>
    </row>
    <row r="69" spans="1:17" ht="15">
      <c r="A69" s="1107"/>
      <c r="B69" s="1116"/>
      <c r="C69" s="913"/>
      <c r="D69" s="913"/>
      <c r="E69" s="913"/>
      <c r="F69" s="913"/>
      <c r="G69" s="913"/>
      <c r="H69" s="913"/>
      <c r="I69" s="913"/>
      <c r="J69" s="913"/>
      <c r="K69" s="1164"/>
      <c r="L69" s="1165"/>
      <c r="M69" s="1166"/>
      <c r="N69" s="1156"/>
      <c r="O69" s="1156"/>
      <c r="P69" s="1477"/>
      <c r="Q69" s="1080"/>
    </row>
    <row r="70" spans="1:17" ht="15">
      <c r="A70" s="1107"/>
      <c r="B70" s="1108"/>
      <c r="C70" s="1113">
        <v>100</v>
      </c>
      <c r="D70" s="1113">
        <f t="shared" ref="D70:M70" si="18">C70-$K11</f>
        <v>100</v>
      </c>
      <c r="E70" s="1113">
        <f t="shared" si="18"/>
        <v>100</v>
      </c>
      <c r="F70" s="1113">
        <f t="shared" si="18"/>
        <v>100</v>
      </c>
      <c r="G70" s="1113">
        <f t="shared" si="18"/>
        <v>100</v>
      </c>
      <c r="H70" s="1113">
        <f t="shared" si="18"/>
        <v>100</v>
      </c>
      <c r="I70" s="1113">
        <f t="shared" si="18"/>
        <v>100</v>
      </c>
      <c r="J70" s="1113">
        <f t="shared" si="18"/>
        <v>100</v>
      </c>
      <c r="K70" s="1113">
        <f t="shared" si="18"/>
        <v>100</v>
      </c>
      <c r="L70" s="1113">
        <f t="shared" si="18"/>
        <v>100</v>
      </c>
      <c r="M70" s="1163">
        <f t="shared" si="18"/>
        <v>100</v>
      </c>
      <c r="N70" s="1159"/>
      <c r="O70" s="1159"/>
      <c r="P70" s="1477"/>
      <c r="Q70" s="1080"/>
    </row>
    <row r="71" spans="1:17" s="868" customFormat="1" ht="15">
      <c r="A71" s="1117"/>
      <c r="B71" s="1110">
        <f>B12</f>
        <v>111</v>
      </c>
      <c r="C71" s="1118"/>
      <c r="D71" s="1118"/>
      <c r="E71" s="1118"/>
      <c r="F71" s="1118"/>
      <c r="G71" s="1118"/>
      <c r="H71" s="1119"/>
      <c r="I71" s="1119"/>
      <c r="J71" s="1119"/>
      <c r="K71" s="1119"/>
      <c r="L71" s="1167"/>
      <c r="M71" s="1168"/>
      <c r="N71" s="1169"/>
      <c r="O71" s="1169"/>
      <c r="P71" s="1484"/>
      <c r="Q71" s="1200"/>
    </row>
    <row r="72" spans="1:17" s="868" customFormat="1" ht="15">
      <c r="A72" s="1117"/>
      <c r="B72" s="1112"/>
      <c r="C72" s="1120"/>
      <c r="D72" s="1109"/>
      <c r="E72" s="1109"/>
      <c r="F72" s="1109"/>
      <c r="G72" s="1109"/>
      <c r="H72" s="1109"/>
      <c r="I72" s="1109"/>
      <c r="J72" s="1109"/>
      <c r="K72" s="1109"/>
      <c r="L72" s="1109"/>
      <c r="M72" s="1158"/>
      <c r="N72" s="1159"/>
      <c r="O72" s="1159"/>
      <c r="P72" s="1484"/>
      <c r="Q72" s="1200"/>
    </row>
    <row r="73" spans="1:17" s="868" customFormat="1" ht="15">
      <c r="A73" s="1117"/>
      <c r="B73" s="1110">
        <f>B13</f>
        <v>111</v>
      </c>
      <c r="C73" s="1118"/>
      <c r="D73" s="1118"/>
      <c r="E73" s="1118"/>
      <c r="F73" s="1118"/>
      <c r="G73" s="1118"/>
      <c r="H73" s="1119"/>
      <c r="I73" s="1119"/>
      <c r="J73" s="1119"/>
      <c r="K73" s="1119"/>
      <c r="L73" s="1167"/>
      <c r="M73" s="1168"/>
      <c r="N73" s="1169"/>
      <c r="O73" s="1169"/>
      <c r="P73" s="1485"/>
      <c r="Q73" s="1201"/>
    </row>
    <row r="74" spans="1:17" s="868" customFormat="1" ht="15">
      <c r="A74" s="1117"/>
      <c r="B74" s="1112"/>
      <c r="C74" s="1120"/>
      <c r="D74" s="1120"/>
      <c r="E74" s="1120"/>
      <c r="F74" s="1120"/>
      <c r="G74" s="1120"/>
      <c r="H74" s="1121"/>
      <c r="I74" s="1121"/>
      <c r="J74" s="1121"/>
      <c r="K74" s="1121"/>
      <c r="L74" s="1121"/>
      <c r="M74" s="1172"/>
      <c r="N74" s="1169"/>
      <c r="O74" s="1169"/>
      <c r="P74" s="1484"/>
      <c r="Q74" s="1200"/>
    </row>
    <row r="75" spans="1:17" s="868" customFormat="1" ht="15">
      <c r="A75" s="1117"/>
      <c r="B75" s="1114">
        <f>B14</f>
        <v>111</v>
      </c>
      <c r="C75" s="1102"/>
      <c r="D75" s="1102"/>
      <c r="E75" s="1102"/>
      <c r="F75" s="1102"/>
      <c r="G75" s="1102"/>
      <c r="H75" s="1122"/>
      <c r="I75" s="1122"/>
      <c r="J75" s="1122"/>
      <c r="K75" s="1122"/>
      <c r="L75" s="1173"/>
      <c r="M75" s="1174"/>
      <c r="N75" s="1169"/>
      <c r="O75" s="1169"/>
      <c r="P75" s="1486"/>
      <c r="Q75" s="1200"/>
    </row>
    <row r="76" spans="1:17" s="868" customFormat="1" ht="15">
      <c r="A76" s="1123"/>
      <c r="B76" s="1124"/>
      <c r="C76" s="1125"/>
      <c r="D76" s="1125"/>
      <c r="E76" s="1125"/>
      <c r="F76" s="1125"/>
      <c r="G76" s="1125"/>
      <c r="H76" s="1126"/>
      <c r="I76" s="1126"/>
      <c r="J76" s="1126"/>
      <c r="K76" s="1126"/>
      <c r="L76" s="1126"/>
      <c r="M76" s="1176"/>
      <c r="N76" s="1169"/>
      <c r="O76" s="1169"/>
      <c r="P76" s="1484"/>
      <c r="Q76" s="1200"/>
    </row>
    <row r="77" spans="1:17">
      <c r="A77" s="1105" t="s">
        <v>1345</v>
      </c>
      <c r="B77" s="1106" t="s">
        <v>650</v>
      </c>
      <c r="C77" s="1127" t="s">
        <v>1378</v>
      </c>
      <c r="D77" s="1127" t="s">
        <v>1379</v>
      </c>
      <c r="E77" s="1127" t="s">
        <v>1380</v>
      </c>
      <c r="F77" s="1127" t="s">
        <v>1381</v>
      </c>
      <c r="G77" s="1127" t="s">
        <v>1382</v>
      </c>
      <c r="H77" s="1128"/>
      <c r="I77" s="1128"/>
      <c r="J77" s="1128"/>
      <c r="K77" s="1177"/>
      <c r="L77" s="1178"/>
      <c r="M77" s="1179"/>
      <c r="N77" s="1156"/>
      <c r="O77" s="1156"/>
      <c r="P77" s="1487"/>
      <c r="Q77" s="1080"/>
    </row>
    <row r="78" spans="1:17" ht="15">
      <c r="A78" s="1107"/>
      <c r="B78" s="1112"/>
      <c r="C78" s="1113">
        <v>100</v>
      </c>
      <c r="D78" s="1113">
        <f>C78-$K15</f>
        <v>100</v>
      </c>
      <c r="E78" s="1113">
        <f>D78-$K15</f>
        <v>100</v>
      </c>
      <c r="F78" s="1113">
        <f>E78-$K15</f>
        <v>100</v>
      </c>
      <c r="G78" s="1113">
        <f>F78-$K15</f>
        <v>100</v>
      </c>
      <c r="H78" s="1113"/>
      <c r="I78" s="1113"/>
      <c r="J78" s="1113"/>
      <c r="K78" s="1113"/>
      <c r="L78" s="1113"/>
      <c r="M78" s="1163"/>
      <c r="N78" s="1159"/>
      <c r="O78" s="1159"/>
      <c r="P78" s="1477"/>
      <c r="Q78" s="1080"/>
    </row>
    <row r="79" spans="1:17" ht="15">
      <c r="A79" s="1107"/>
      <c r="B79" s="1110" t="s">
        <v>648</v>
      </c>
      <c r="C79" s="1129" t="s">
        <v>1378</v>
      </c>
      <c r="D79" s="1129" t="s">
        <v>1379</v>
      </c>
      <c r="E79" s="1129" t="s">
        <v>1380</v>
      </c>
      <c r="F79" s="1129" t="s">
        <v>1381</v>
      </c>
      <c r="G79" s="1129" t="s">
        <v>1382</v>
      </c>
      <c r="H79" s="1111"/>
      <c r="I79" s="1111"/>
      <c r="J79" s="1111"/>
      <c r="K79" s="1160"/>
      <c r="L79" s="1161"/>
      <c r="M79" s="1162"/>
      <c r="N79" s="1156"/>
      <c r="O79" s="1156"/>
      <c r="P79" s="1477"/>
      <c r="Q79" s="1080"/>
    </row>
    <row r="80" spans="1:17" ht="15">
      <c r="A80" s="1107"/>
      <c r="B80" s="1112"/>
      <c r="C80" s="1113">
        <v>100</v>
      </c>
      <c r="D80" s="1113">
        <f>C80-$K17</f>
        <v>100</v>
      </c>
      <c r="E80" s="1113">
        <f>D80-$K17</f>
        <v>100</v>
      </c>
      <c r="F80" s="1113">
        <f>E80-$K17</f>
        <v>100</v>
      </c>
      <c r="G80" s="1113">
        <f>F80-$K17</f>
        <v>100</v>
      </c>
      <c r="H80" s="1113"/>
      <c r="I80" s="1113"/>
      <c r="J80" s="1113"/>
      <c r="K80" s="1113"/>
      <c r="L80" s="1113"/>
      <c r="M80" s="1163"/>
      <c r="N80" s="1159"/>
      <c r="O80" s="1159"/>
      <c r="P80" s="1477"/>
      <c r="Q80" s="1080"/>
    </row>
    <row r="81" spans="1:17" ht="15">
      <c r="A81" s="1107"/>
      <c r="B81" s="1110" t="s">
        <v>652</v>
      </c>
      <c r="C81" s="1129" t="s">
        <v>1378</v>
      </c>
      <c r="D81" s="1129" t="s">
        <v>1379</v>
      </c>
      <c r="E81" s="1129" t="s">
        <v>1380</v>
      </c>
      <c r="F81" s="1129" t="s">
        <v>1381</v>
      </c>
      <c r="G81" s="1129" t="s">
        <v>1382</v>
      </c>
      <c r="H81" s="1111"/>
      <c r="I81" s="1111"/>
      <c r="J81" s="1111"/>
      <c r="K81" s="1160"/>
      <c r="L81" s="1161"/>
      <c r="M81" s="1162"/>
      <c r="N81" s="1156"/>
      <c r="O81" s="1156"/>
      <c r="P81" s="1477"/>
      <c r="Q81" s="1080"/>
    </row>
    <row r="82" spans="1:17" ht="15">
      <c r="A82" s="1107"/>
      <c r="B82" s="1112"/>
      <c r="C82" s="1113">
        <v>100</v>
      </c>
      <c r="D82" s="1113">
        <f>C82-$K19</f>
        <v>100</v>
      </c>
      <c r="E82" s="1113">
        <f>D82-$K19</f>
        <v>100</v>
      </c>
      <c r="F82" s="1113">
        <f>E82-$K19</f>
        <v>100</v>
      </c>
      <c r="G82" s="1113">
        <f>F82-$K19</f>
        <v>100</v>
      </c>
      <c r="H82" s="1113"/>
      <c r="I82" s="1113"/>
      <c r="J82" s="1113"/>
      <c r="K82" s="1113"/>
      <c r="L82" s="1113"/>
      <c r="M82" s="1163"/>
      <c r="N82" s="1159"/>
      <c r="O82" s="1159"/>
      <c r="P82" s="1477"/>
      <c r="Q82" s="1080"/>
    </row>
    <row r="83" spans="1:17" ht="15">
      <c r="A83" s="1107"/>
      <c r="B83" s="1114" t="s">
        <v>654</v>
      </c>
      <c r="C83" s="1134" t="s">
        <v>1383</v>
      </c>
      <c r="D83" s="1134" t="s">
        <v>1384</v>
      </c>
      <c r="E83" s="1134" t="s">
        <v>1385</v>
      </c>
      <c r="F83" s="1134" t="s">
        <v>1386</v>
      </c>
      <c r="G83" s="1134" t="s">
        <v>1387</v>
      </c>
      <c r="H83" s="1111"/>
      <c r="I83" s="1111"/>
      <c r="J83" s="1111"/>
      <c r="K83" s="1111"/>
      <c r="L83" s="1111"/>
      <c r="M83" s="1381"/>
      <c r="N83" s="1159"/>
      <c r="O83" s="1159"/>
      <c r="P83" s="1477"/>
      <c r="Q83" s="1080"/>
    </row>
    <row r="84" spans="1:17" ht="15">
      <c r="A84" s="1107"/>
      <c r="B84" s="1114"/>
      <c r="C84" s="1113">
        <v>100</v>
      </c>
      <c r="D84" s="1113">
        <f>C84-$K21</f>
        <v>100</v>
      </c>
      <c r="E84" s="1113">
        <f>D84-$K21</f>
        <v>100</v>
      </c>
      <c r="F84" s="1113">
        <f>E84-$K21</f>
        <v>100</v>
      </c>
      <c r="G84" s="1113">
        <f>F84-$K21</f>
        <v>100</v>
      </c>
      <c r="H84" s="1134"/>
      <c r="I84" s="1134"/>
      <c r="J84" s="1134"/>
      <c r="K84" s="1134"/>
      <c r="L84" s="1134"/>
      <c r="M84" s="930"/>
      <c r="N84" s="1159"/>
      <c r="O84" s="1159"/>
      <c r="P84" s="1477"/>
      <c r="Q84" s="1080"/>
    </row>
    <row r="85" spans="1:17" ht="15">
      <c r="A85" s="1107"/>
      <c r="B85" s="1110" t="s">
        <v>1420</v>
      </c>
      <c r="C85" s="1129" t="s">
        <v>1378</v>
      </c>
      <c r="D85" s="1129" t="s">
        <v>1379</v>
      </c>
      <c r="E85" s="1129" t="s">
        <v>1380</v>
      </c>
      <c r="F85" s="1129" t="s">
        <v>1381</v>
      </c>
      <c r="G85" s="1129" t="s">
        <v>1382</v>
      </c>
      <c r="H85" s="1111"/>
      <c r="I85" s="1111"/>
      <c r="J85" s="1111"/>
      <c r="K85" s="1160"/>
      <c r="L85" s="1161"/>
      <c r="M85" s="1162"/>
      <c r="N85" s="1156"/>
      <c r="O85" s="1156"/>
      <c r="P85" s="1477"/>
      <c r="Q85" s="1080"/>
    </row>
    <row r="86" spans="1:17" ht="15">
      <c r="A86" s="1107"/>
      <c r="B86" s="1112"/>
      <c r="C86" s="1113">
        <v>100</v>
      </c>
      <c r="D86" s="1113">
        <f>C86-$K23</f>
        <v>100</v>
      </c>
      <c r="E86" s="1113">
        <f>D86-$K23</f>
        <v>100</v>
      </c>
      <c r="F86" s="1113">
        <f>E86-$K23</f>
        <v>100</v>
      </c>
      <c r="G86" s="1113">
        <f>F86-$K23</f>
        <v>100</v>
      </c>
      <c r="H86" s="1113"/>
      <c r="I86" s="1113"/>
      <c r="J86" s="1113"/>
      <c r="K86" s="1113"/>
      <c r="L86" s="1113"/>
      <c r="M86" s="1163"/>
      <c r="N86" s="1159"/>
      <c r="O86" s="1159"/>
      <c r="P86" s="1477"/>
      <c r="Q86" s="1080"/>
    </row>
    <row r="87" spans="1:17" s="866" customFormat="1" ht="27">
      <c r="A87" s="1130"/>
      <c r="B87" s="1110" t="s">
        <v>660</v>
      </c>
      <c r="C87" s="1118"/>
      <c r="D87" s="1118"/>
      <c r="E87" s="1118"/>
      <c r="F87" s="1118"/>
      <c r="G87" s="1118"/>
      <c r="H87" s="1118"/>
      <c r="I87" s="1118"/>
      <c r="J87" s="1118"/>
      <c r="K87" s="1118"/>
      <c r="L87" s="1382"/>
      <c r="M87" s="1383"/>
      <c r="N87" s="1150"/>
      <c r="O87" s="1150"/>
      <c r="P87" s="1477"/>
      <c r="Q87" s="1080"/>
    </row>
    <row r="88" spans="1:17" s="866" customFormat="1" ht="15">
      <c r="A88" s="1130"/>
      <c r="B88" s="1112"/>
      <c r="C88" s="1131">
        <v>100</v>
      </c>
      <c r="D88" s="1113">
        <f t="shared" ref="D88:M88" si="19">C88-$K25</f>
        <v>100</v>
      </c>
      <c r="E88" s="1113">
        <f t="shared" si="19"/>
        <v>100</v>
      </c>
      <c r="F88" s="1113">
        <f t="shared" si="19"/>
        <v>100</v>
      </c>
      <c r="G88" s="1113">
        <f t="shared" si="19"/>
        <v>100</v>
      </c>
      <c r="H88" s="1113">
        <f t="shared" si="19"/>
        <v>100</v>
      </c>
      <c r="I88" s="1113">
        <f t="shared" si="19"/>
        <v>100</v>
      </c>
      <c r="J88" s="1113">
        <f t="shared" si="19"/>
        <v>100</v>
      </c>
      <c r="K88" s="1113">
        <f t="shared" si="19"/>
        <v>100</v>
      </c>
      <c r="L88" s="1113">
        <f t="shared" si="19"/>
        <v>100</v>
      </c>
      <c r="M88" s="1113">
        <f t="shared" si="19"/>
        <v>100</v>
      </c>
      <c r="N88" s="1159"/>
      <c r="O88" s="1159"/>
      <c r="P88" s="1477"/>
      <c r="Q88" s="1080"/>
    </row>
    <row r="89" spans="1:17" s="866" customFormat="1" ht="15">
      <c r="A89" s="1130"/>
      <c r="B89" s="1110" t="str">
        <f>B27</f>
        <v>楼层</v>
      </c>
      <c r="C89" s="1118"/>
      <c r="D89" s="1118"/>
      <c r="E89" s="1118"/>
      <c r="F89" s="1483"/>
      <c r="G89" s="1118"/>
      <c r="H89" s="1118"/>
      <c r="I89" s="1118"/>
      <c r="J89" s="1118"/>
      <c r="K89" s="1118"/>
      <c r="L89" s="1118"/>
      <c r="M89" s="1383"/>
      <c r="N89" s="1150"/>
      <c r="O89" s="1150"/>
      <c r="P89" s="1477"/>
      <c r="Q89" s="1080"/>
    </row>
    <row r="90" spans="1:17" s="866" customFormat="1" ht="15">
      <c r="A90" s="1130"/>
      <c r="B90" s="1112"/>
      <c r="C90" s="1131">
        <v>100</v>
      </c>
      <c r="D90" s="1113">
        <f>C90-$K27</f>
        <v>100</v>
      </c>
      <c r="E90" s="1113">
        <f t="shared" ref="E90:M90" si="20">D90-$K27</f>
        <v>100</v>
      </c>
      <c r="F90" s="1113">
        <f t="shared" si="20"/>
        <v>100</v>
      </c>
      <c r="G90" s="1113">
        <f t="shared" si="20"/>
        <v>100</v>
      </c>
      <c r="H90" s="1113">
        <f t="shared" si="20"/>
        <v>100</v>
      </c>
      <c r="I90" s="1113">
        <f t="shared" si="20"/>
        <v>100</v>
      </c>
      <c r="J90" s="1113">
        <f t="shared" si="20"/>
        <v>100</v>
      </c>
      <c r="K90" s="1113">
        <f t="shared" si="20"/>
        <v>100</v>
      </c>
      <c r="L90" s="1113">
        <f t="shared" si="20"/>
        <v>100</v>
      </c>
      <c r="M90" s="1113">
        <f t="shared" si="20"/>
        <v>100</v>
      </c>
      <c r="N90" s="1159"/>
      <c r="O90" s="1159"/>
      <c r="P90" s="1477"/>
      <c r="Q90" s="1080"/>
    </row>
    <row r="91" spans="1:17" s="868" customFormat="1" ht="15">
      <c r="A91" s="1117"/>
      <c r="B91" s="1110" t="str">
        <f>B28</f>
        <v>朝向</v>
      </c>
      <c r="C91" s="1118"/>
      <c r="D91" s="1118"/>
      <c r="E91" s="1118"/>
      <c r="F91" s="1118"/>
      <c r="G91" s="1118"/>
      <c r="H91" s="1119"/>
      <c r="I91" s="1119"/>
      <c r="J91" s="1119"/>
      <c r="K91" s="1119"/>
      <c r="L91" s="1167"/>
      <c r="M91" s="1168"/>
      <c r="N91" s="1169"/>
      <c r="O91" s="1169"/>
      <c r="P91" s="1484"/>
      <c r="Q91" s="1200"/>
    </row>
    <row r="92" spans="1:17" s="868" customFormat="1" ht="15">
      <c r="A92" s="1117"/>
      <c r="B92" s="1112"/>
      <c r="C92" s="1131">
        <v>100</v>
      </c>
      <c r="D92" s="1113">
        <f t="shared" ref="D92:M92" si="21">C92-$K28</f>
        <v>100</v>
      </c>
      <c r="E92" s="1113">
        <f t="shared" si="21"/>
        <v>100</v>
      </c>
      <c r="F92" s="1113">
        <f t="shared" si="21"/>
        <v>100</v>
      </c>
      <c r="G92" s="1113">
        <f t="shared" si="21"/>
        <v>100</v>
      </c>
      <c r="H92" s="1113">
        <f t="shared" si="21"/>
        <v>100</v>
      </c>
      <c r="I92" s="1113">
        <f t="shared" si="21"/>
        <v>100</v>
      </c>
      <c r="J92" s="1113">
        <f t="shared" si="21"/>
        <v>100</v>
      </c>
      <c r="K92" s="1113">
        <f t="shared" si="21"/>
        <v>100</v>
      </c>
      <c r="L92" s="1113">
        <f t="shared" si="21"/>
        <v>100</v>
      </c>
      <c r="M92" s="1113">
        <f t="shared" si="21"/>
        <v>100</v>
      </c>
      <c r="N92" s="1169"/>
      <c r="O92" s="1169"/>
      <c r="P92" s="1484"/>
      <c r="Q92" s="1200"/>
    </row>
    <row r="93" spans="1:17" ht="15">
      <c r="A93" s="1107"/>
      <c r="B93" s="1110">
        <f>B29</f>
        <v>111</v>
      </c>
      <c r="C93" s="1118"/>
      <c r="D93" s="1118"/>
      <c r="E93" s="1118"/>
      <c r="F93" s="1118"/>
      <c r="G93" s="1118"/>
      <c r="H93" s="1118"/>
      <c r="I93" s="1118"/>
      <c r="J93" s="1118"/>
      <c r="K93" s="1118"/>
      <c r="L93" s="1382"/>
      <c r="M93" s="1383"/>
      <c r="N93" s="1156"/>
      <c r="O93" s="1156"/>
      <c r="P93" s="1477"/>
      <c r="Q93" s="1080"/>
    </row>
    <row r="94" spans="1:17" ht="15">
      <c r="A94" s="1107"/>
      <c r="B94" s="1112"/>
      <c r="C94" s="1120"/>
      <c r="D94" s="1109"/>
      <c r="E94" s="1109"/>
      <c r="F94" s="1109"/>
      <c r="G94" s="1109"/>
      <c r="H94" s="1109"/>
      <c r="I94" s="1109"/>
      <c r="J94" s="1109"/>
      <c r="K94" s="1109"/>
      <c r="L94" s="1109"/>
      <c r="M94" s="1158"/>
      <c r="N94" s="1159"/>
      <c r="O94" s="1159"/>
      <c r="P94" s="1477"/>
      <c r="Q94" s="1080"/>
    </row>
    <row r="95" spans="1:17" ht="15">
      <c r="A95" s="1107"/>
      <c r="B95" s="1110">
        <f>B30</f>
        <v>111</v>
      </c>
      <c r="C95" s="1118"/>
      <c r="D95" s="1118"/>
      <c r="E95" s="1118"/>
      <c r="F95" s="1118"/>
      <c r="G95" s="1135"/>
      <c r="H95" s="1135"/>
      <c r="I95" s="1135"/>
      <c r="J95" s="1135"/>
      <c r="K95" s="1187"/>
      <c r="L95" s="1188"/>
      <c r="M95" s="1189"/>
      <c r="N95" s="1156"/>
      <c r="O95" s="1156"/>
      <c r="P95" s="1477"/>
      <c r="Q95" s="1080"/>
    </row>
    <row r="96" spans="1:17" ht="15">
      <c r="A96" s="1107"/>
      <c r="B96" s="1112"/>
      <c r="C96" s="1120"/>
      <c r="D96" s="1120"/>
      <c r="E96" s="1120"/>
      <c r="F96" s="1120"/>
      <c r="G96" s="1109"/>
      <c r="H96" s="1109"/>
      <c r="I96" s="1109"/>
      <c r="J96" s="1109"/>
      <c r="K96" s="1109"/>
      <c r="L96" s="1109"/>
      <c r="M96" s="1158"/>
      <c r="N96" s="1159"/>
      <c r="O96" s="1159"/>
      <c r="P96" s="1477"/>
      <c r="Q96" s="1080"/>
    </row>
    <row r="97" spans="1:17" ht="15">
      <c r="A97" s="1107"/>
      <c r="B97" s="1110">
        <f>B31</f>
        <v>111</v>
      </c>
      <c r="C97" s="1118"/>
      <c r="D97" s="1118"/>
      <c r="E97" s="1118"/>
      <c r="F97" s="1118"/>
      <c r="G97" s="1135"/>
      <c r="H97" s="1135"/>
      <c r="I97" s="1135"/>
      <c r="J97" s="1135"/>
      <c r="K97" s="1187"/>
      <c r="L97" s="1188"/>
      <c r="M97" s="1189"/>
      <c r="N97" s="1156"/>
      <c r="O97" s="1156"/>
      <c r="P97" s="1477"/>
      <c r="Q97" s="1080"/>
    </row>
    <row r="98" spans="1:17" ht="15">
      <c r="A98" s="1107"/>
      <c r="B98" s="1112"/>
      <c r="C98" s="1120"/>
      <c r="D98" s="1109"/>
      <c r="E98" s="1109"/>
      <c r="F98" s="1109"/>
      <c r="G98" s="1109"/>
      <c r="H98" s="1109"/>
      <c r="I98" s="1109"/>
      <c r="J98" s="1109"/>
      <c r="K98" s="1109"/>
      <c r="L98" s="1109"/>
      <c r="M98" s="1158"/>
      <c r="N98" s="1159"/>
      <c r="O98" s="1159"/>
      <c r="P98" s="1477"/>
      <c r="Q98" s="1080"/>
    </row>
    <row r="99" spans="1:17" ht="15">
      <c r="A99" s="1107"/>
      <c r="B99" s="1114">
        <f>B32</f>
        <v>111</v>
      </c>
      <c r="C99" s="1102"/>
      <c r="D99" s="1102"/>
      <c r="E99" s="1102"/>
      <c r="F99" s="1102"/>
      <c r="G99" s="1136"/>
      <c r="H99" s="1136"/>
      <c r="I99" s="1136"/>
      <c r="J99" s="1136"/>
      <c r="K99" s="1190"/>
      <c r="L99" s="1191"/>
      <c r="M99" s="1192"/>
      <c r="N99" s="1156"/>
      <c r="O99" s="1156"/>
      <c r="P99" s="1477"/>
      <c r="Q99" s="1080"/>
    </row>
    <row r="100" spans="1:17" ht="15">
      <c r="A100" s="1460"/>
      <c r="B100" s="1124"/>
      <c r="C100" s="1125"/>
      <c r="D100" s="1125"/>
      <c r="E100" s="1125"/>
      <c r="F100" s="1125"/>
      <c r="G100" s="1137"/>
      <c r="H100" s="1137"/>
      <c r="I100" s="1137"/>
      <c r="J100" s="1137"/>
      <c r="K100" s="1137"/>
      <c r="L100" s="1137"/>
      <c r="M100" s="1193"/>
      <c r="N100" s="1159"/>
      <c r="O100" s="1159"/>
      <c r="P100" s="1477"/>
      <c r="Q100" s="1080"/>
    </row>
    <row r="101" spans="1:17">
      <c r="A101" s="1105" t="s">
        <v>1349</v>
      </c>
      <c r="B101" s="1106" t="s">
        <v>1350</v>
      </c>
      <c r="C101" s="1050"/>
      <c r="D101" s="1050"/>
      <c r="E101" s="1050"/>
      <c r="F101" s="1050"/>
      <c r="G101" s="1050"/>
      <c r="H101" s="1050"/>
      <c r="I101" s="1050"/>
      <c r="J101" s="1050"/>
      <c r="K101" s="1153"/>
      <c r="L101" s="1154"/>
      <c r="M101" s="1155"/>
      <c r="N101" s="1156"/>
      <c r="O101" s="1156"/>
      <c r="P101" s="1477"/>
      <c r="Q101" s="1080"/>
    </row>
    <row r="102" spans="1:17" ht="15">
      <c r="A102" s="1107"/>
      <c r="B102" s="1112"/>
      <c r="C102" s="1113">
        <v>100</v>
      </c>
      <c r="D102" s="1113">
        <f t="shared" ref="D102:M102" si="22">C102-$K33</f>
        <v>100</v>
      </c>
      <c r="E102" s="1113">
        <f t="shared" si="22"/>
        <v>100</v>
      </c>
      <c r="F102" s="1113">
        <f t="shared" si="22"/>
        <v>100</v>
      </c>
      <c r="G102" s="1113">
        <f t="shared" si="22"/>
        <v>100</v>
      </c>
      <c r="H102" s="1113">
        <f t="shared" si="22"/>
        <v>100</v>
      </c>
      <c r="I102" s="1113">
        <f t="shared" si="22"/>
        <v>100</v>
      </c>
      <c r="J102" s="1113">
        <f t="shared" si="22"/>
        <v>100</v>
      </c>
      <c r="K102" s="1113">
        <f t="shared" si="22"/>
        <v>100</v>
      </c>
      <c r="L102" s="1113">
        <f t="shared" si="22"/>
        <v>100</v>
      </c>
      <c r="M102" s="1163">
        <f t="shared" si="22"/>
        <v>100</v>
      </c>
      <c r="N102" s="1159"/>
      <c r="O102" s="1159"/>
      <c r="P102" s="1477"/>
      <c r="Q102" s="1080"/>
    </row>
    <row r="103" spans="1:17" ht="15">
      <c r="A103" s="1107"/>
      <c r="B103" s="1110" t="s">
        <v>1352</v>
      </c>
      <c r="C103" s="1129" t="str">
        <f>C104&amp;"(含)"&amp;"-"&amp;D104</f>
        <v>(含)-</v>
      </c>
      <c r="D103" s="1129" t="str">
        <f t="shared" ref="D103:L103" si="23">D104&amp;"(含)"&amp;"-"&amp;E104</f>
        <v>(含)-</v>
      </c>
      <c r="E103" s="1129" t="str">
        <f t="shared" si="23"/>
        <v>(含)-</v>
      </c>
      <c r="F103" s="1129" t="str">
        <f t="shared" si="23"/>
        <v>(含)-</v>
      </c>
      <c r="G103" s="1129" t="str">
        <f t="shared" si="23"/>
        <v>(含)-</v>
      </c>
      <c r="H103" s="1129" t="str">
        <f t="shared" si="23"/>
        <v>(含)-</v>
      </c>
      <c r="I103" s="1129" t="str">
        <f t="shared" si="23"/>
        <v>(含)-</v>
      </c>
      <c r="J103" s="1129" t="str">
        <f t="shared" si="23"/>
        <v>(含)-</v>
      </c>
      <c r="K103" s="1129" t="str">
        <f t="shared" si="23"/>
        <v>(含)-</v>
      </c>
      <c r="L103" s="1129" t="str">
        <f t="shared" si="23"/>
        <v>(含)-</v>
      </c>
      <c r="M103" s="1182" t="str">
        <f>M104&amp;"(含)"&amp;"-"&amp;P104</f>
        <v>(含)-</v>
      </c>
      <c r="N103" s="1150"/>
      <c r="O103" s="1150"/>
      <c r="P103" s="1477"/>
      <c r="Q103" s="1080"/>
    </row>
    <row r="104" spans="1:17" s="868" customFormat="1">
      <c r="A104" s="1138"/>
      <c r="B104" s="1139"/>
      <c r="C104" s="1094"/>
      <c r="D104" s="1094"/>
      <c r="E104" s="1094"/>
      <c r="F104" s="1094"/>
      <c r="G104" s="1094"/>
      <c r="H104" s="1094"/>
      <c r="I104" s="1094"/>
      <c r="J104" s="1194"/>
      <c r="K104" s="1194"/>
      <c r="L104" s="1195"/>
      <c r="M104" s="1196"/>
      <c r="N104" s="1169"/>
      <c r="O104" s="1169"/>
      <c r="P104" s="1484"/>
      <c r="Q104" s="1200"/>
    </row>
    <row r="105" spans="1:17" s="868" customFormat="1" ht="15">
      <c r="A105" s="1117"/>
      <c r="B105" s="1112"/>
      <c r="C105" s="1120"/>
      <c r="D105" s="1109"/>
      <c r="E105" s="1109"/>
      <c r="F105" s="1109"/>
      <c r="G105" s="1109"/>
      <c r="H105" s="1109"/>
      <c r="I105" s="1109"/>
      <c r="J105" s="1109"/>
      <c r="K105" s="1109"/>
      <c r="L105" s="1109"/>
      <c r="M105" s="1158"/>
      <c r="N105" s="1159"/>
      <c r="O105" s="1159"/>
      <c r="P105" s="1484"/>
      <c r="Q105" s="1200"/>
    </row>
    <row r="106" spans="1:17">
      <c r="A106" s="1141"/>
      <c r="B106" s="1110" t="s">
        <v>1353</v>
      </c>
      <c r="C106" s="1118"/>
      <c r="D106" s="1118"/>
      <c r="E106" s="1135"/>
      <c r="F106" s="1135"/>
      <c r="G106" s="1135"/>
      <c r="H106" s="1135"/>
      <c r="I106" s="1135"/>
      <c r="J106" s="1135"/>
      <c r="K106" s="1187"/>
      <c r="L106" s="1188"/>
      <c r="M106" s="1189"/>
      <c r="N106" s="1156"/>
      <c r="O106" s="1156"/>
      <c r="P106" s="1477"/>
      <c r="Q106" s="1080"/>
    </row>
    <row r="107" spans="1:17" ht="15">
      <c r="A107" s="1107"/>
      <c r="B107" s="1112"/>
      <c r="C107" s="1113">
        <v>100</v>
      </c>
      <c r="D107" s="1113">
        <f t="shared" ref="D107:M107" si="24">C107-$K35</f>
        <v>100</v>
      </c>
      <c r="E107" s="1113">
        <f t="shared" si="24"/>
        <v>100</v>
      </c>
      <c r="F107" s="1113">
        <f t="shared" si="24"/>
        <v>100</v>
      </c>
      <c r="G107" s="1113">
        <f t="shared" si="24"/>
        <v>100</v>
      </c>
      <c r="H107" s="1113">
        <f t="shared" si="24"/>
        <v>100</v>
      </c>
      <c r="I107" s="1113">
        <f t="shared" si="24"/>
        <v>100</v>
      </c>
      <c r="J107" s="1113">
        <f t="shared" si="24"/>
        <v>100</v>
      </c>
      <c r="K107" s="1113">
        <f t="shared" si="24"/>
        <v>100</v>
      </c>
      <c r="L107" s="1113">
        <f t="shared" si="24"/>
        <v>100</v>
      </c>
      <c r="M107" s="1163">
        <f t="shared" si="24"/>
        <v>100</v>
      </c>
      <c r="N107" s="1159"/>
      <c r="O107" s="1159"/>
      <c r="P107" s="1477"/>
      <c r="Q107" s="1080"/>
    </row>
    <row r="108" spans="1:17">
      <c r="A108" s="1141"/>
      <c r="B108" s="1110" t="s">
        <v>1355</v>
      </c>
      <c r="C108" s="1118"/>
      <c r="D108" s="1118"/>
      <c r="E108" s="1118"/>
      <c r="F108" s="1135"/>
      <c r="G108" s="1135"/>
      <c r="H108" s="1135"/>
      <c r="I108" s="1135"/>
      <c r="J108" s="1135"/>
      <c r="K108" s="1187"/>
      <c r="L108" s="1188"/>
      <c r="M108" s="1189"/>
      <c r="N108" s="1156"/>
      <c r="O108" s="1156"/>
      <c r="P108" s="1477"/>
      <c r="Q108" s="1080"/>
    </row>
    <row r="109" spans="1:17" ht="15">
      <c r="A109" s="1107"/>
      <c r="B109" s="1112"/>
      <c r="C109" s="1113">
        <v>100</v>
      </c>
      <c r="D109" s="1113">
        <f t="shared" ref="D109:M109" si="25">C109-$K36</f>
        <v>100</v>
      </c>
      <c r="E109" s="1113">
        <f t="shared" si="25"/>
        <v>100</v>
      </c>
      <c r="F109" s="1113">
        <f t="shared" si="25"/>
        <v>100</v>
      </c>
      <c r="G109" s="1113">
        <f t="shared" si="25"/>
        <v>100</v>
      </c>
      <c r="H109" s="1113">
        <f t="shared" si="25"/>
        <v>100</v>
      </c>
      <c r="I109" s="1113">
        <f t="shared" si="25"/>
        <v>100</v>
      </c>
      <c r="J109" s="1113">
        <f t="shared" si="25"/>
        <v>100</v>
      </c>
      <c r="K109" s="1113">
        <f t="shared" si="25"/>
        <v>100</v>
      </c>
      <c r="L109" s="1113">
        <f t="shared" si="25"/>
        <v>100</v>
      </c>
      <c r="M109" s="1163">
        <f t="shared" si="25"/>
        <v>100</v>
      </c>
      <c r="N109" s="1159"/>
      <c r="O109" s="1159"/>
      <c r="P109" s="1477"/>
      <c r="Q109" s="1080"/>
    </row>
    <row r="110" spans="1:17">
      <c r="A110" s="1141"/>
      <c r="B110" s="1110" t="s">
        <v>557</v>
      </c>
      <c r="C110" s="1129" t="str">
        <f>C111&amp;"(含)"&amp;"-"&amp;D111</f>
        <v>0.5(含)-0.6</v>
      </c>
      <c r="D110" s="1129" t="str">
        <f>D111&amp;"(含)"&amp;"-"&amp;E111</f>
        <v>0.6(含)-0.7</v>
      </c>
      <c r="E110" s="1129" t="str">
        <f>E111&amp;"(含)"&amp;"-"&amp;F111</f>
        <v>0.7(含)-0.8</v>
      </c>
      <c r="F110" s="1129" t="str">
        <f>F111&amp;"(含)"&amp;"-"&amp;G111</f>
        <v>0.8(含)-0.9</v>
      </c>
      <c r="G110" s="1129" t="str">
        <f>G111&amp;"(含)"&amp;"-"&amp;ROUND(H111,0)&amp;"(含)"</f>
        <v>0.9(含)-1(含)</v>
      </c>
      <c r="H110" s="1129"/>
      <c r="I110" s="1135"/>
      <c r="J110" s="1135"/>
      <c r="K110" s="1187"/>
      <c r="L110" s="1188"/>
      <c r="M110" s="1189"/>
      <c r="N110" s="1156"/>
      <c r="O110" s="1156"/>
      <c r="P110" s="1477"/>
      <c r="Q110" s="1080"/>
    </row>
    <row r="111" spans="1:17">
      <c r="A111" s="1141"/>
      <c r="B111" s="1114"/>
      <c r="C111" s="801">
        <v>0.5</v>
      </c>
      <c r="D111" s="801">
        <v>0.6</v>
      </c>
      <c r="E111" s="801">
        <v>0.7</v>
      </c>
      <c r="F111" s="801">
        <v>0.8</v>
      </c>
      <c r="G111" s="801">
        <v>0.9</v>
      </c>
      <c r="H111" s="801">
        <v>1.0001</v>
      </c>
      <c r="I111" s="1450"/>
      <c r="J111" s="1450"/>
      <c r="K111" s="1451"/>
      <c r="L111" s="1452"/>
      <c r="M111" s="1453"/>
      <c r="N111" s="1156"/>
      <c r="O111" s="1156"/>
      <c r="P111" s="1477"/>
      <c r="Q111" s="1080"/>
    </row>
    <row r="112" spans="1:17" ht="15">
      <c r="A112" s="1107"/>
      <c r="B112" s="1112"/>
      <c r="C112" s="1131">
        <v>100</v>
      </c>
      <c r="D112" s="1113">
        <f>C112+$K37</f>
        <v>100</v>
      </c>
      <c r="E112" s="1113">
        <f t="shared" ref="E112:M112" si="26">D112+$K37</f>
        <v>100</v>
      </c>
      <c r="F112" s="1113">
        <f t="shared" si="26"/>
        <v>100</v>
      </c>
      <c r="G112" s="1113">
        <f t="shared" si="26"/>
        <v>100</v>
      </c>
      <c r="H112" s="1113">
        <f t="shared" si="26"/>
        <v>100</v>
      </c>
      <c r="I112" s="1113">
        <f t="shared" si="26"/>
        <v>100</v>
      </c>
      <c r="J112" s="1113">
        <f t="shared" si="26"/>
        <v>100</v>
      </c>
      <c r="K112" s="1113">
        <f t="shared" si="26"/>
        <v>100</v>
      </c>
      <c r="L112" s="1113">
        <f t="shared" si="26"/>
        <v>100</v>
      </c>
      <c r="M112" s="1113">
        <f t="shared" si="26"/>
        <v>100</v>
      </c>
      <c r="N112" s="1159"/>
      <c r="O112" s="1159"/>
      <c r="P112" s="1477"/>
      <c r="Q112" s="1080"/>
    </row>
    <row r="113" spans="1:17" s="868" customFormat="1">
      <c r="A113" s="1138"/>
      <c r="B113" s="1110" t="s">
        <v>1421</v>
      </c>
      <c r="C113" s="1118"/>
      <c r="D113" s="1118"/>
      <c r="E113" s="1118"/>
      <c r="F113" s="1118"/>
      <c r="G113" s="1118"/>
      <c r="H113" s="1135"/>
      <c r="I113" s="1135"/>
      <c r="J113" s="1135"/>
      <c r="K113" s="1187"/>
      <c r="L113" s="1188"/>
      <c r="M113" s="1189"/>
      <c r="N113" s="1169"/>
      <c r="O113" s="1169"/>
      <c r="P113" s="1484"/>
      <c r="Q113" s="1200"/>
    </row>
    <row r="114" spans="1:17" s="868" customFormat="1" ht="15">
      <c r="A114" s="1117"/>
      <c r="B114" s="1112"/>
      <c r="C114" s="1113">
        <v>100</v>
      </c>
      <c r="D114" s="1113">
        <f>C114-$K38</f>
        <v>100</v>
      </c>
      <c r="E114" s="1113">
        <f t="shared" ref="E114:M114" si="27">D114-$K38</f>
        <v>100</v>
      </c>
      <c r="F114" s="1113">
        <f t="shared" si="27"/>
        <v>100</v>
      </c>
      <c r="G114" s="1113">
        <f t="shared" si="27"/>
        <v>100</v>
      </c>
      <c r="H114" s="1113">
        <f t="shared" si="27"/>
        <v>100</v>
      </c>
      <c r="I114" s="1113">
        <f t="shared" si="27"/>
        <v>100</v>
      </c>
      <c r="J114" s="1113">
        <f t="shared" si="27"/>
        <v>100</v>
      </c>
      <c r="K114" s="1113">
        <f t="shared" si="27"/>
        <v>100</v>
      </c>
      <c r="L114" s="1113">
        <f t="shared" si="27"/>
        <v>100</v>
      </c>
      <c r="M114" s="1113">
        <f t="shared" si="27"/>
        <v>100</v>
      </c>
      <c r="N114" s="1169"/>
      <c r="O114" s="1169"/>
      <c r="P114" s="1484"/>
      <c r="Q114" s="1200"/>
    </row>
    <row r="115" spans="1:17">
      <c r="A115" s="1141"/>
      <c r="B115" s="1110" t="s">
        <v>1356</v>
      </c>
      <c r="C115" s="1118"/>
      <c r="D115" s="1118"/>
      <c r="E115" s="1135"/>
      <c r="F115" s="1135"/>
      <c r="G115" s="1135"/>
      <c r="H115" s="1135"/>
      <c r="I115" s="1135"/>
      <c r="J115" s="1135"/>
      <c r="K115" s="1187"/>
      <c r="L115" s="1188"/>
      <c r="M115" s="1189"/>
      <c r="N115" s="1156"/>
      <c r="O115" s="1156"/>
      <c r="P115" s="1477"/>
      <c r="Q115" s="1080"/>
    </row>
    <row r="116" spans="1:17" ht="15">
      <c r="A116" s="1107"/>
      <c r="B116" s="1112"/>
      <c r="C116" s="1113">
        <v>100</v>
      </c>
      <c r="D116" s="1113">
        <f t="shared" ref="D116:M116" si="28">C116-$K39</f>
        <v>100</v>
      </c>
      <c r="E116" s="1113">
        <f t="shared" si="28"/>
        <v>100</v>
      </c>
      <c r="F116" s="1113">
        <f t="shared" si="28"/>
        <v>100</v>
      </c>
      <c r="G116" s="1113">
        <f t="shared" si="28"/>
        <v>100</v>
      </c>
      <c r="H116" s="1113">
        <f t="shared" si="28"/>
        <v>100</v>
      </c>
      <c r="I116" s="1113">
        <f t="shared" si="28"/>
        <v>100</v>
      </c>
      <c r="J116" s="1113">
        <f t="shared" si="28"/>
        <v>100</v>
      </c>
      <c r="K116" s="1113">
        <f t="shared" si="28"/>
        <v>100</v>
      </c>
      <c r="L116" s="1113">
        <f t="shared" si="28"/>
        <v>100</v>
      </c>
      <c r="M116" s="1163">
        <f t="shared" si="28"/>
        <v>100</v>
      </c>
      <c r="N116" s="1159"/>
      <c r="O116" s="1159"/>
      <c r="P116" s="1477"/>
      <c r="Q116" s="1080"/>
    </row>
    <row r="117" spans="1:17">
      <c r="A117" s="1141"/>
      <c r="B117" s="1110" t="s">
        <v>1357</v>
      </c>
      <c r="C117" s="1118"/>
      <c r="D117" s="1118"/>
      <c r="E117" s="1118"/>
      <c r="F117" s="1118"/>
      <c r="G117" s="1118"/>
      <c r="H117" s="1135"/>
      <c r="I117" s="1135"/>
      <c r="J117" s="1135"/>
      <c r="K117" s="1187"/>
      <c r="L117" s="1188"/>
      <c r="M117" s="1189"/>
      <c r="N117" s="1156"/>
      <c r="O117" s="1156"/>
      <c r="P117" s="1477"/>
      <c r="Q117" s="1080"/>
    </row>
    <row r="118" spans="1:17" ht="15">
      <c r="A118" s="1107"/>
      <c r="B118" s="1112"/>
      <c r="C118" s="1113">
        <v>100</v>
      </c>
      <c r="D118" s="1113">
        <f>C118-$K40</f>
        <v>100</v>
      </c>
      <c r="E118" s="1113">
        <f>D118-$K40</f>
        <v>100</v>
      </c>
      <c r="F118" s="1113">
        <f>E118-$K40</f>
        <v>100</v>
      </c>
      <c r="G118" s="1113">
        <f>F118-$K40</f>
        <v>100</v>
      </c>
      <c r="H118" s="1113"/>
      <c r="I118" s="1113"/>
      <c r="J118" s="1113"/>
      <c r="K118" s="1113"/>
      <c r="L118" s="1113"/>
      <c r="M118" s="1163"/>
      <c r="N118" s="1159"/>
      <c r="O118" s="1159"/>
      <c r="P118" s="1477"/>
      <c r="Q118" s="1080"/>
    </row>
    <row r="119" spans="1:17">
      <c r="A119" s="1141"/>
      <c r="B119" s="1379" t="s">
        <v>1423</v>
      </c>
      <c r="C119" s="1135"/>
      <c r="D119" s="1135"/>
      <c r="E119" s="1135"/>
      <c r="F119" s="1135"/>
      <c r="G119" s="1135"/>
      <c r="H119" s="1135"/>
      <c r="I119" s="1135"/>
      <c r="J119" s="1135"/>
      <c r="K119" s="1135"/>
      <c r="L119" s="1488"/>
      <c r="M119" s="1489"/>
      <c r="N119" s="1159"/>
      <c r="O119" s="1159"/>
      <c r="P119" s="1490"/>
      <c r="Q119" s="1390"/>
    </row>
    <row r="120" spans="1:17" ht="15">
      <c r="A120" s="1107"/>
      <c r="B120" s="1112"/>
      <c r="C120" s="1131">
        <v>100</v>
      </c>
      <c r="D120" s="1113">
        <f>C120-$K41</f>
        <v>100</v>
      </c>
      <c r="E120" s="1113">
        <f t="shared" ref="E120:M120" si="29">D120-$K41</f>
        <v>100</v>
      </c>
      <c r="F120" s="1113">
        <f t="shared" si="29"/>
        <v>100</v>
      </c>
      <c r="G120" s="1113">
        <f t="shared" si="29"/>
        <v>100</v>
      </c>
      <c r="H120" s="1113">
        <f t="shared" si="29"/>
        <v>100</v>
      </c>
      <c r="I120" s="1113">
        <f t="shared" si="29"/>
        <v>100</v>
      </c>
      <c r="J120" s="1113">
        <f t="shared" si="29"/>
        <v>100</v>
      </c>
      <c r="K120" s="1113">
        <f t="shared" si="29"/>
        <v>100</v>
      </c>
      <c r="L120" s="1113">
        <f t="shared" si="29"/>
        <v>100</v>
      </c>
      <c r="M120" s="1113">
        <f t="shared" si="29"/>
        <v>100</v>
      </c>
      <c r="N120" s="1159"/>
      <c r="O120" s="1159"/>
      <c r="P120" s="1477"/>
      <c r="Q120" s="1080"/>
    </row>
    <row r="121" spans="1:17" s="868" customFormat="1">
      <c r="A121" s="1138"/>
      <c r="B121" s="1110" t="s">
        <v>1415</v>
      </c>
      <c r="C121" s="1118"/>
      <c r="D121" s="1118"/>
      <c r="E121" s="1118"/>
      <c r="F121" s="1135"/>
      <c r="G121" s="1119"/>
      <c r="H121" s="1119"/>
      <c r="I121" s="1119"/>
      <c r="J121" s="1119"/>
      <c r="K121" s="1119"/>
      <c r="L121" s="1167"/>
      <c r="M121" s="1168"/>
      <c r="N121" s="1169"/>
      <c r="O121" s="1169"/>
      <c r="P121" s="1484"/>
      <c r="Q121" s="1200"/>
    </row>
    <row r="122" spans="1:17" s="868" customFormat="1" ht="15">
      <c r="A122" s="1117"/>
      <c r="B122" s="1108"/>
      <c r="C122" s="1120"/>
      <c r="D122" s="1120"/>
      <c r="E122" s="1120"/>
      <c r="F122" s="1120"/>
      <c r="G122" s="1120"/>
      <c r="H122" s="1120"/>
      <c r="I122" s="1120"/>
      <c r="J122" s="1120"/>
      <c r="K122" s="1120"/>
      <c r="L122" s="1120"/>
      <c r="M122" s="1120"/>
      <c r="N122" s="1169"/>
      <c r="O122" s="1169"/>
      <c r="P122" s="1484"/>
      <c r="Q122" s="1200"/>
    </row>
    <row r="123" spans="1:17">
      <c r="A123" s="1141"/>
      <c r="B123" s="1110" t="s">
        <v>1360</v>
      </c>
      <c r="C123" s="1118"/>
      <c r="D123" s="1118"/>
      <c r="E123" s="1118"/>
      <c r="F123" s="1135"/>
      <c r="G123" s="1135"/>
      <c r="H123" s="1135"/>
      <c r="I123" s="1135"/>
      <c r="J123" s="1135"/>
      <c r="K123" s="1187"/>
      <c r="L123" s="1188"/>
      <c r="M123" s="1189"/>
      <c r="N123" s="1156"/>
      <c r="O123" s="1156"/>
      <c r="P123" s="1477"/>
      <c r="Q123" s="1080"/>
    </row>
    <row r="124" spans="1:17" ht="15">
      <c r="A124" s="1107"/>
      <c r="B124" s="1112"/>
      <c r="C124" s="1113">
        <v>100</v>
      </c>
      <c r="D124" s="1113">
        <f t="shared" ref="D124:M124" si="30">C124-$K43</f>
        <v>100</v>
      </c>
      <c r="E124" s="1113">
        <f t="shared" si="30"/>
        <v>100</v>
      </c>
      <c r="F124" s="1113">
        <f t="shared" si="30"/>
        <v>100</v>
      </c>
      <c r="G124" s="1113">
        <f t="shared" si="30"/>
        <v>100</v>
      </c>
      <c r="H124" s="1113">
        <f t="shared" si="30"/>
        <v>100</v>
      </c>
      <c r="I124" s="1113">
        <f t="shared" si="30"/>
        <v>100</v>
      </c>
      <c r="J124" s="1113">
        <f t="shared" si="30"/>
        <v>100</v>
      </c>
      <c r="K124" s="1113">
        <f t="shared" si="30"/>
        <v>100</v>
      </c>
      <c r="L124" s="1113">
        <f t="shared" si="30"/>
        <v>100</v>
      </c>
      <c r="M124" s="1163">
        <f t="shared" si="30"/>
        <v>100</v>
      </c>
      <c r="N124" s="1159"/>
      <c r="O124" s="1159"/>
      <c r="P124" s="1477"/>
      <c r="Q124" s="1080"/>
    </row>
    <row r="125" spans="1:17">
      <c r="A125" s="1141"/>
      <c r="B125" s="1110" t="s">
        <v>1361</v>
      </c>
      <c r="C125" s="1129" t="s">
        <v>1378</v>
      </c>
      <c r="D125" s="1129" t="s">
        <v>1379</v>
      </c>
      <c r="E125" s="1129" t="s">
        <v>1380</v>
      </c>
      <c r="F125" s="1129" t="s">
        <v>1381</v>
      </c>
      <c r="G125" s="1129" t="s">
        <v>1382</v>
      </c>
      <c r="H125" s="1111"/>
      <c r="I125" s="1111"/>
      <c r="J125" s="1111"/>
      <c r="K125" s="1160"/>
      <c r="L125" s="1161"/>
      <c r="M125" s="1162"/>
      <c r="N125" s="1156"/>
      <c r="O125" s="1156"/>
      <c r="P125" s="1484"/>
      <c r="Q125" s="1080"/>
    </row>
    <row r="126" spans="1:17" ht="15">
      <c r="A126" s="1107"/>
      <c r="B126" s="1112"/>
      <c r="C126" s="1113">
        <v>100</v>
      </c>
      <c r="D126" s="1113">
        <f>C126-$K44</f>
        <v>100</v>
      </c>
      <c r="E126" s="1113">
        <f>D126-$K44</f>
        <v>100</v>
      </c>
      <c r="F126" s="1113">
        <f>E126-$K44</f>
        <v>100</v>
      </c>
      <c r="G126" s="1113">
        <f>F126-$K44</f>
        <v>100</v>
      </c>
      <c r="H126" s="1113"/>
      <c r="I126" s="1113"/>
      <c r="J126" s="1113"/>
      <c r="K126" s="1113"/>
      <c r="L126" s="1113"/>
      <c r="M126" s="1163"/>
      <c r="N126" s="1159"/>
      <c r="O126" s="1159"/>
      <c r="P126" s="1477"/>
      <c r="Q126" s="1080"/>
    </row>
    <row r="127" spans="1:17" s="868" customFormat="1">
      <c r="A127" s="1138"/>
      <c r="B127" s="1110">
        <f>B45</f>
        <v>111</v>
      </c>
      <c r="C127" s="1118"/>
      <c r="D127" s="1118"/>
      <c r="E127" s="1118"/>
      <c r="F127" s="1118"/>
      <c r="G127" s="1118"/>
      <c r="H127" s="1119"/>
      <c r="I127" s="1119"/>
      <c r="J127" s="1119"/>
      <c r="K127" s="1119"/>
      <c r="L127" s="1167"/>
      <c r="M127" s="1168"/>
      <c r="N127" s="1169"/>
      <c r="O127" s="1169"/>
      <c r="P127" s="1484"/>
      <c r="Q127" s="1200"/>
    </row>
    <row r="128" spans="1:17" s="868" customFormat="1" ht="15">
      <c r="A128" s="1117"/>
      <c r="B128" s="1112"/>
      <c r="C128" s="1120"/>
      <c r="D128" s="1109"/>
      <c r="E128" s="1109"/>
      <c r="F128" s="1109"/>
      <c r="G128" s="1120"/>
      <c r="H128" s="1121"/>
      <c r="I128" s="1121"/>
      <c r="J128" s="1121"/>
      <c r="K128" s="1121"/>
      <c r="L128" s="1121"/>
      <c r="M128" s="1172"/>
      <c r="N128" s="1169"/>
      <c r="O128" s="1169"/>
      <c r="P128" s="1484"/>
      <c r="Q128" s="1200"/>
    </row>
    <row r="129" spans="1:17">
      <c r="A129" s="1141"/>
      <c r="B129" s="1110">
        <f>B46</f>
        <v>111</v>
      </c>
      <c r="C129" s="1118"/>
      <c r="D129" s="1118"/>
      <c r="E129" s="1118"/>
      <c r="F129" s="1118"/>
      <c r="G129" s="1135"/>
      <c r="H129" s="1135"/>
      <c r="I129" s="1135"/>
      <c r="J129" s="1135"/>
      <c r="K129" s="1187"/>
      <c r="L129" s="1188"/>
      <c r="M129" s="1189"/>
      <c r="N129" s="1156"/>
      <c r="O129" s="1156"/>
      <c r="P129" s="1477"/>
      <c r="Q129" s="1080"/>
    </row>
    <row r="130" spans="1:17" ht="15">
      <c r="A130" s="1107"/>
      <c r="B130" s="1112"/>
      <c r="C130" s="1120"/>
      <c r="D130" s="1120"/>
      <c r="E130" s="1120"/>
      <c r="F130" s="1120"/>
      <c r="G130" s="1109"/>
      <c r="H130" s="1109"/>
      <c r="I130" s="1109"/>
      <c r="J130" s="1109"/>
      <c r="K130" s="1109"/>
      <c r="L130" s="1109"/>
      <c r="M130" s="1158"/>
      <c r="N130" s="1159"/>
      <c r="O130" s="1159"/>
      <c r="P130" s="1477"/>
      <c r="Q130" s="1080"/>
    </row>
    <row r="131" spans="1:17">
      <c r="A131" s="1141"/>
      <c r="B131" s="1114">
        <f>B47</f>
        <v>111</v>
      </c>
      <c r="C131" s="1102"/>
      <c r="D131" s="1102"/>
      <c r="E131" s="1102"/>
      <c r="F131" s="1102"/>
      <c r="G131" s="1136"/>
      <c r="H131" s="1136"/>
      <c r="I131" s="1136"/>
      <c r="J131" s="1136"/>
      <c r="K131" s="1102"/>
      <c r="L131" s="1148"/>
      <c r="M131" s="1192"/>
      <c r="N131" s="1156"/>
      <c r="O131" s="1156"/>
      <c r="P131" s="1477"/>
      <c r="Q131" s="1080"/>
    </row>
    <row r="132" spans="1:17" ht="15">
      <c r="A132" s="1460"/>
      <c r="B132" s="1124"/>
      <c r="C132" s="1125"/>
      <c r="D132" s="1125"/>
      <c r="E132" s="1125"/>
      <c r="F132" s="1125"/>
      <c r="G132" s="1137"/>
      <c r="H132" s="1137"/>
      <c r="I132" s="1137"/>
      <c r="J132" s="1137"/>
      <c r="K132" s="1137"/>
      <c r="L132" s="1137"/>
      <c r="M132" s="1193"/>
      <c r="N132" s="1159"/>
      <c r="O132" s="1159"/>
      <c r="P132" s="1477"/>
      <c r="Q132" s="1080"/>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E53">
    <cfRule type="expression" dxfId="78" priority="12" stopIfTrue="1">
      <formula>$F$53="超过30%"</formula>
    </cfRule>
  </conditionalFormatting>
  <conditionalFormatting sqref="G53">
    <cfRule type="expression" dxfId="77" priority="8" stopIfTrue="1">
      <formula>$H$53="超过30%"</formula>
    </cfRule>
  </conditionalFormatting>
  <conditionalFormatting sqref="I53">
    <cfRule type="expression" dxfId="76" priority="3" stopIfTrue="1">
      <formula>$J$53="超过30%"</formula>
    </cfRule>
  </conditionalFormatting>
  <conditionalFormatting sqref="J53">
    <cfRule type="containsText" dxfId="75" priority="6" stopIfTrue="1" operator="containsText" text="超过">
      <formula>NOT(ISERROR(SEARCH("超过",J53)))</formula>
    </cfRule>
  </conditionalFormatting>
  <conditionalFormatting sqref="E54">
    <cfRule type="expression" dxfId="74" priority="11" stopIfTrue="1">
      <formula>$F$54="超过20%"</formula>
    </cfRule>
  </conditionalFormatting>
  <conditionalFormatting sqref="G54">
    <cfRule type="expression" dxfId="73" priority="7" stopIfTrue="1">
      <formula>$H$54="超过20%"</formula>
    </cfRule>
  </conditionalFormatting>
  <conditionalFormatting sqref="I54">
    <cfRule type="expression" dxfId="72" priority="2" stopIfTrue="1">
      <formula>$J$53+$J$54="超过20%"</formula>
    </cfRule>
  </conditionalFormatting>
  <conditionalFormatting sqref="J54">
    <cfRule type="containsText" dxfId="71" priority="4" stopIfTrue="1" operator="containsText" text="超过">
      <formula>NOT(ISERROR(SEARCH("超过",J54)))</formula>
    </cfRule>
  </conditionalFormatting>
  <conditionalFormatting sqref="E55">
    <cfRule type="expression" dxfId="70" priority="10" stopIfTrue="1">
      <formula>$F$55="超过30%"</formula>
    </cfRule>
  </conditionalFormatting>
  <conditionalFormatting sqref="F55">
    <cfRule type="containsText" dxfId="69" priority="14" stopIfTrue="1" operator="containsText" text="超过">
      <formula>NOT(ISERROR(SEARCH("超过",F55)))</formula>
    </cfRule>
  </conditionalFormatting>
  <conditionalFormatting sqref="G55">
    <cfRule type="expression" dxfId="68" priority="9" stopIfTrue="1">
      <formula>$H$55="超过30%"</formula>
    </cfRule>
  </conditionalFormatting>
  <conditionalFormatting sqref="H55">
    <cfRule type="containsText" dxfId="67" priority="15" stopIfTrue="1" operator="containsText" text="超过">
      <formula>NOT(ISERROR(SEARCH("超过",H55)))</formula>
    </cfRule>
  </conditionalFormatting>
  <conditionalFormatting sqref="I55">
    <cfRule type="expression" dxfId="66" priority="1" stopIfTrue="1">
      <formula>$J$55="超过30%"</formula>
    </cfRule>
  </conditionalFormatting>
  <conditionalFormatting sqref="J55">
    <cfRule type="containsText" dxfId="65" priority="5" stopIfTrue="1" operator="containsText" text="超过">
      <formula>NOT(ISERROR(SEARCH("超过",J55)))</formula>
    </cfRule>
  </conditionalFormatting>
  <conditionalFormatting sqref="F53 H53">
    <cfRule type="containsText" dxfId="64" priority="16" stopIfTrue="1" operator="containsText" text="超过">
      <formula>NOT(ISERROR(SEARCH("超过",F53)))</formula>
    </cfRule>
  </conditionalFormatting>
  <conditionalFormatting sqref="F54 H54">
    <cfRule type="containsText" dxfId="63" priority="13" stopIfTrue="1" operator="containsText" text="超过">
      <formula>NOT(ISERROR(SEARCH("超过",F54)))</formula>
    </cfRule>
  </conditionalFormatting>
  <dataValidations count="24">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33333333333304" right="0.70833333333333304" top="1.0625" bottom="0.94444444444444398" header="0.31458333333333299" footer="0.31458333333333299"/>
  <pageSetup paperSize="9" scale="28" fitToHeight="0" orientation="portrait"/>
  <legacy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13"/>
  <sheetViews>
    <sheetView zoomScale="90" zoomScaleNormal="90" workbookViewId="0">
      <selection activeCell="E3" sqref="E3"/>
    </sheetView>
  </sheetViews>
  <sheetFormatPr defaultColWidth="9" defaultRowHeight="14.25"/>
  <cols>
    <col min="1" max="1" width="10.5" style="872" customWidth="1"/>
    <col min="2" max="2" width="15.75" style="872" customWidth="1"/>
    <col min="3" max="3" width="14.375" style="872" customWidth="1"/>
    <col min="4" max="4" width="12.25" style="872" customWidth="1"/>
    <col min="5" max="5" width="14.375" style="872" customWidth="1"/>
    <col min="6" max="6" width="12.25" style="872" customWidth="1"/>
    <col min="7" max="7" width="14.5" style="872" customWidth="1"/>
    <col min="8" max="8" width="12.25" style="872" customWidth="1"/>
    <col min="9" max="9" width="14.5" style="872" customWidth="1"/>
    <col min="10" max="10" width="12.25" style="872" customWidth="1"/>
    <col min="11" max="11" width="12.25" style="873" customWidth="1"/>
    <col min="12" max="12" width="12.25" style="874" customWidth="1"/>
    <col min="13" max="15" width="12.25" style="872" customWidth="1"/>
    <col min="16" max="16" width="4.75" style="872" customWidth="1"/>
    <col min="17" max="17" width="19.5" style="872" customWidth="1"/>
    <col min="18" max="22" width="6.125" style="872" customWidth="1"/>
    <col min="23" max="23" width="5.75" style="872" customWidth="1"/>
    <col min="24" max="24" width="4.25" style="872" customWidth="1"/>
    <col min="25" max="25" width="3.5" style="872" customWidth="1"/>
    <col min="26" max="26" width="19.75" style="872" customWidth="1"/>
    <col min="27" max="28" width="9.375" style="872" customWidth="1"/>
    <col min="29" max="16384" width="9" style="872"/>
  </cols>
  <sheetData>
    <row r="1" spans="1:29" s="1312" customFormat="1" ht="28.5" customHeight="1">
      <c r="A1" s="1313" t="s">
        <v>1315</v>
      </c>
      <c r="B1" s="1456" t="s">
        <v>1424</v>
      </c>
      <c r="C1" s="1315" t="s">
        <v>1317</v>
      </c>
      <c r="D1" s="1316"/>
      <c r="E1" s="1317"/>
      <c r="F1" s="1318"/>
      <c r="G1" s="1319" t="s">
        <v>1319</v>
      </c>
      <c r="H1" s="1317"/>
      <c r="I1" s="1317"/>
      <c r="J1" s="1317"/>
      <c r="K1" s="1370"/>
      <c r="L1" s="1371"/>
      <c r="M1" s="1372"/>
      <c r="N1" s="1372"/>
      <c r="O1" s="1372"/>
      <c r="P1" s="1315"/>
      <c r="Q1" s="1315"/>
      <c r="R1" s="1315"/>
      <c r="S1" s="1315"/>
      <c r="T1" s="1315"/>
      <c r="U1" s="1315"/>
      <c r="V1" s="1315"/>
      <c r="W1" s="1315"/>
      <c r="X1" s="1315"/>
      <c r="Y1" s="1315"/>
      <c r="Z1" s="1315"/>
      <c r="AA1" s="1315"/>
      <c r="AB1" s="1315"/>
      <c r="AC1" s="1378"/>
    </row>
    <row r="2" spans="1:29" s="865" customFormat="1" ht="28.5" customHeight="1">
      <c r="A2" s="1320" t="s">
        <v>895</v>
      </c>
      <c r="B2" s="1321" t="e">
        <f ca="1">IF(C2="——",ROUND(C43*D3/10000,0),ROUND(C43*D3/10000,0)-D2)</f>
        <v>#DIV/0!</v>
      </c>
      <c r="C2" s="1322"/>
      <c r="D2" s="1281" t="e">
        <f ca="1">SUMIF(INDIRECT("'"&amp;F2&amp;"'"&amp;"!A:A"),"承租人权益价值",INDIRECT("'"&amp;F2&amp;"'"&amp;"!c:c"))</f>
        <v>#REF!</v>
      </c>
      <c r="E2" s="1323" t="s">
        <v>896</v>
      </c>
      <c r="F2" s="1324"/>
      <c r="G2" s="881"/>
      <c r="H2" s="881"/>
      <c r="I2" s="881"/>
      <c r="J2" s="881"/>
      <c r="K2" s="881"/>
      <c r="L2" s="1025"/>
      <c r="M2" s="1026"/>
      <c r="N2" s="1026"/>
      <c r="O2" s="1026"/>
      <c r="P2" s="1023"/>
      <c r="Q2" s="1023"/>
      <c r="R2" s="1023"/>
      <c r="S2" s="1023"/>
      <c r="T2" s="1023"/>
      <c r="U2" s="1023"/>
      <c r="V2" s="1023"/>
      <c r="W2" s="1023"/>
      <c r="X2" s="1023"/>
      <c r="Y2" s="1023"/>
      <c r="Z2" s="1023"/>
      <c r="AA2" s="1023"/>
      <c r="AB2" s="1023"/>
      <c r="AC2" s="1083"/>
    </row>
    <row r="3" spans="1:29" s="865" customFormat="1" ht="28.5" customHeight="1">
      <c r="A3" s="147" t="s">
        <v>897</v>
      </c>
      <c r="B3" s="883" t="e">
        <f ca="1">IF(C2="——",C43,ROUND(B2*10000/D3,0))</f>
        <v>#DIV/0!</v>
      </c>
      <c r="C3" s="1325" t="s">
        <v>1320</v>
      </c>
      <c r="D3" s="1326">
        <f>IF(D1="",'数据-汇总表'!E3,SUMIF('数据-汇总表'!$C19:$C33,D1,'数据-汇总表'!$E19:$E33))</f>
        <v>98873.18</v>
      </c>
      <c r="E3" s="881"/>
      <c r="F3" s="882"/>
      <c r="G3" s="881"/>
      <c r="H3" s="881"/>
      <c r="I3" s="881"/>
      <c r="J3" s="881"/>
      <c r="K3" s="1024"/>
      <c r="L3" s="1025"/>
      <c r="M3" s="1026"/>
      <c r="N3" s="1026"/>
      <c r="O3" s="1026"/>
      <c r="P3" s="1023"/>
      <c r="Q3" s="1023"/>
      <c r="R3" s="1023"/>
      <c r="S3" s="1023"/>
      <c r="T3" s="1023"/>
      <c r="U3" s="1023"/>
      <c r="V3" s="1023"/>
      <c r="W3" s="1023"/>
      <c r="X3" s="1023"/>
      <c r="Y3" s="1023"/>
      <c r="Z3" s="1023"/>
      <c r="AA3" s="1023"/>
      <c r="AB3" s="1082"/>
      <c r="AC3" s="1083"/>
    </row>
    <row r="4" spans="1:29" ht="15">
      <c r="A4" s="885" t="s">
        <v>1321</v>
      </c>
      <c r="B4" s="886"/>
      <c r="C4" s="3457" t="s">
        <v>1322</v>
      </c>
      <c r="D4" s="3458"/>
      <c r="E4" s="3459" t="s">
        <v>1323</v>
      </c>
      <c r="F4" s="3460"/>
      <c r="G4" s="3457" t="s">
        <v>1324</v>
      </c>
      <c r="H4" s="3458"/>
      <c r="I4" s="3457" t="s">
        <v>1325</v>
      </c>
      <c r="J4" s="3458"/>
      <c r="K4" s="1027" t="s">
        <v>1326</v>
      </c>
      <c r="L4" s="1028"/>
      <c r="M4" s="1029"/>
      <c r="N4" s="1029"/>
      <c r="O4" s="1029"/>
      <c r="P4" s="3487" t="s">
        <v>1327</v>
      </c>
      <c r="Q4" s="3488"/>
      <c r="R4" s="3493" t="s">
        <v>1323</v>
      </c>
      <c r="S4" s="3494"/>
      <c r="T4" s="3493" t="s">
        <v>1324</v>
      </c>
      <c r="U4" s="3494"/>
      <c r="V4" s="3481" t="s">
        <v>1325</v>
      </c>
      <c r="W4" s="3481"/>
      <c r="X4" s="1069"/>
      <c r="Y4" s="3493" t="s">
        <v>1327</v>
      </c>
      <c r="Z4" s="3494"/>
      <c r="AA4" s="3482" t="s">
        <v>1323</v>
      </c>
      <c r="AB4" s="3483" t="s">
        <v>1324</v>
      </c>
      <c r="AC4" s="3482" t="s">
        <v>1325</v>
      </c>
    </row>
    <row r="5" spans="1:29" ht="15">
      <c r="A5" s="887"/>
      <c r="B5" s="888"/>
      <c r="C5" s="3461" t="s">
        <v>1328</v>
      </c>
      <c r="D5" s="3462"/>
      <c r="E5" s="3531" t="s">
        <v>1329</v>
      </c>
      <c r="F5" s="3532"/>
      <c r="G5" s="3461" t="s">
        <v>1330</v>
      </c>
      <c r="H5" s="3462"/>
      <c r="I5" s="3461" t="s">
        <v>1331</v>
      </c>
      <c r="J5" s="3462"/>
      <c r="K5" s="1027"/>
      <c r="L5" s="1028"/>
      <c r="M5" s="1029"/>
      <c r="N5" s="1029"/>
      <c r="O5" s="1029"/>
      <c r="P5" s="3489"/>
      <c r="Q5" s="3490"/>
      <c r="R5" s="3495"/>
      <c r="S5" s="3496"/>
      <c r="T5" s="3495"/>
      <c r="U5" s="3496"/>
      <c r="V5" s="3481"/>
      <c r="W5" s="3481"/>
      <c r="X5" s="1069"/>
      <c r="Y5" s="3495"/>
      <c r="Z5" s="3496"/>
      <c r="AA5" s="3483"/>
      <c r="AB5" s="3483"/>
      <c r="AC5" s="3483"/>
    </row>
    <row r="6" spans="1:29" ht="15">
      <c r="A6" s="889"/>
      <c r="B6" s="890"/>
      <c r="C6" s="3464" t="s">
        <v>1332</v>
      </c>
      <c r="D6" s="3465"/>
      <c r="E6" s="3533" t="s">
        <v>1332</v>
      </c>
      <c r="F6" s="3534"/>
      <c r="G6" s="3464" t="s">
        <v>1332</v>
      </c>
      <c r="H6" s="3465"/>
      <c r="I6" s="3464" t="s">
        <v>1332</v>
      </c>
      <c r="J6" s="3465"/>
      <c r="K6" s="1027" t="s">
        <v>1333</v>
      </c>
      <c r="L6" s="1028"/>
      <c r="M6" s="1029"/>
      <c r="N6" s="1029"/>
      <c r="O6" s="1029"/>
      <c r="P6" s="3491"/>
      <c r="Q6" s="3492"/>
      <c r="R6" s="3495"/>
      <c r="S6" s="3496"/>
      <c r="T6" s="3497"/>
      <c r="U6" s="3498"/>
      <c r="V6" s="3481"/>
      <c r="W6" s="3481"/>
      <c r="X6" s="1069"/>
      <c r="Y6" s="3497"/>
      <c r="Z6" s="3498"/>
      <c r="AA6" s="3484"/>
      <c r="AB6" s="3484"/>
      <c r="AC6" s="3484"/>
    </row>
    <row r="7" spans="1:29" s="866" customFormat="1" ht="15">
      <c r="A7" s="891" t="s">
        <v>1334</v>
      </c>
      <c r="B7" s="892"/>
      <c r="C7" s="893">
        <f>'数据-取费表'!B2</f>
        <v>43361</v>
      </c>
      <c r="D7" s="894">
        <v>100</v>
      </c>
      <c r="E7" s="895"/>
      <c r="F7" s="896">
        <f>SUMIF(52:52,YEAR(E7)&amp;"-"&amp;MONTH(E7),53:53)</f>
        <v>0</v>
      </c>
      <c r="G7" s="895"/>
      <c r="H7" s="894">
        <f>SUMIF(52:52,YEAR(G7)&amp;"-"&amp;MONTH(G7),53:53)</f>
        <v>0</v>
      </c>
      <c r="I7" s="895"/>
      <c r="J7" s="894">
        <f>SUMIF(52:52,YEAR(I7)&amp;"-"&amp;MONTH(I7),53:53)</f>
        <v>0</v>
      </c>
      <c r="K7" s="1030"/>
      <c r="L7" s="1031"/>
      <c r="M7" s="1032"/>
      <c r="N7" s="1032"/>
      <c r="O7" s="1032"/>
      <c r="P7" s="3469" t="s">
        <v>1335</v>
      </c>
      <c r="Q7" s="3470"/>
      <c r="R7" s="1070" t="s">
        <v>1336</v>
      </c>
      <c r="S7" s="1071">
        <f t="shared" ref="S7:S15" si="0">F7</f>
        <v>0</v>
      </c>
      <c r="T7" s="1070" t="s">
        <v>1336</v>
      </c>
      <c r="U7" s="1071">
        <f t="shared" ref="U7:U15" si="1">H7</f>
        <v>0</v>
      </c>
      <c r="V7" s="1070" t="s">
        <v>1336</v>
      </c>
      <c r="W7" s="1071">
        <f t="shared" ref="W7:W15" si="2">J7</f>
        <v>0</v>
      </c>
      <c r="X7" s="1072"/>
      <c r="Y7" s="3469" t="s">
        <v>1335</v>
      </c>
      <c r="Z7" s="3499"/>
      <c r="AA7" s="1084" t="e">
        <f>D7/F7</f>
        <v>#DIV/0!</v>
      </c>
      <c r="AB7" s="1084" t="e">
        <f>D7/H7</f>
        <v>#DIV/0!</v>
      </c>
      <c r="AC7" s="1084" t="e">
        <f>D7/J7</f>
        <v>#DIV/0!</v>
      </c>
    </row>
    <row r="8" spans="1:29" s="866" customFormat="1" ht="15">
      <c r="A8" s="891" t="s">
        <v>1337</v>
      </c>
      <c r="B8" s="892"/>
      <c r="C8" s="898" t="s">
        <v>1338</v>
      </c>
      <c r="D8" s="894">
        <v>100</v>
      </c>
      <c r="E8" s="898"/>
      <c r="F8" s="896">
        <f>SUMIF(55:55,E8,56:56)-SUMIF(55:55,C8,56:56)+100</f>
        <v>0</v>
      </c>
      <c r="G8" s="898"/>
      <c r="H8" s="894">
        <f>SUMIF(55:55,G8,56:56)-SUMIF(55:55,C8,56:56)+100</f>
        <v>0</v>
      </c>
      <c r="I8" s="898"/>
      <c r="J8" s="894">
        <f>SUMIF(55:55,I8,56:56)-SUMIF(55:55,C8,56:56)+100</f>
        <v>0</v>
      </c>
      <c r="K8" s="1030"/>
      <c r="L8" s="1031"/>
      <c r="M8" s="1032"/>
      <c r="N8" s="1032"/>
      <c r="O8" s="1032"/>
      <c r="P8" s="3469" t="s">
        <v>1339</v>
      </c>
      <c r="Q8" s="3499"/>
      <c r="R8" s="1070" t="s">
        <v>1336</v>
      </c>
      <c r="S8" s="1071">
        <f t="shared" si="0"/>
        <v>0</v>
      </c>
      <c r="T8" s="1070" t="s">
        <v>1336</v>
      </c>
      <c r="U8" s="1071">
        <f t="shared" si="1"/>
        <v>0</v>
      </c>
      <c r="V8" s="1070" t="s">
        <v>1336</v>
      </c>
      <c r="W8" s="1071">
        <f t="shared" si="2"/>
        <v>0</v>
      </c>
      <c r="X8" s="1072"/>
      <c r="Y8" s="3469" t="s">
        <v>1339</v>
      </c>
      <c r="Z8" s="3499"/>
      <c r="AA8" s="1084" t="e">
        <f t="shared" ref="AA8:AA40" si="3">D8/F8</f>
        <v>#DIV/0!</v>
      </c>
      <c r="AB8" s="1084" t="e">
        <f t="shared" ref="AB8:AB40" si="4">D8/H8</f>
        <v>#DIV/0!</v>
      </c>
      <c r="AC8" s="1084" t="e">
        <f t="shared" ref="AC8:AC40" si="5">D8/J8</f>
        <v>#DIV/0!</v>
      </c>
    </row>
    <row r="9" spans="1:29" s="866" customFormat="1">
      <c r="A9" s="899" t="s">
        <v>1340</v>
      </c>
      <c r="B9" s="900" t="s">
        <v>346</v>
      </c>
      <c r="C9" s="1327"/>
      <c r="D9" s="902">
        <v>100</v>
      </c>
      <c r="E9" s="1328"/>
      <c r="F9" s="902">
        <f>SUMIF(57:57,E9,58:58)-SUMIF(57:57,C9,58:58)+100</f>
        <v>100</v>
      </c>
      <c r="G9" s="1396"/>
      <c r="H9" s="902">
        <f>SUMIF(57:57,G9,58:58)-SUMIF(57:57,C9,58:58)+100</f>
        <v>100</v>
      </c>
      <c r="I9" s="1396"/>
      <c r="J9" s="902">
        <f>SUMIF(57:57,I9,58:58)-SUMIF(57:57,C9,58:58)+100</f>
        <v>100</v>
      </c>
      <c r="K9" s="1030"/>
      <c r="L9" s="1031"/>
      <c r="M9" s="1032"/>
      <c r="N9" s="1032"/>
      <c r="O9" s="1033"/>
      <c r="P9" s="3472" t="s">
        <v>1341</v>
      </c>
      <c r="Q9" s="1074" t="str">
        <f t="shared" ref="Q9:Q15" si="6">B9</f>
        <v>用途</v>
      </c>
      <c r="R9" s="1070" t="s">
        <v>1336</v>
      </c>
      <c r="S9" s="1071">
        <f t="shared" si="0"/>
        <v>100</v>
      </c>
      <c r="T9" s="1070" t="s">
        <v>1336</v>
      </c>
      <c r="U9" s="1071">
        <f t="shared" si="1"/>
        <v>100</v>
      </c>
      <c r="V9" s="1070" t="s">
        <v>1336</v>
      </c>
      <c r="W9" s="1071">
        <f t="shared" si="2"/>
        <v>100</v>
      </c>
      <c r="X9" s="1072"/>
      <c r="Y9" s="3245" t="s">
        <v>1342</v>
      </c>
      <c r="Z9" s="1085" t="str">
        <f t="shared" ref="Z9:Z15" si="7">Q9</f>
        <v>用途</v>
      </c>
      <c r="AA9" s="1084">
        <f t="shared" si="3"/>
        <v>1</v>
      </c>
      <c r="AB9" s="1084">
        <f t="shared" si="4"/>
        <v>1</v>
      </c>
      <c r="AC9" s="1084">
        <f t="shared" si="5"/>
        <v>1</v>
      </c>
    </row>
    <row r="10" spans="1:29" s="867" customFormat="1" ht="27">
      <c r="A10" s="903"/>
      <c r="B10" s="904" t="s">
        <v>1343</v>
      </c>
      <c r="C10" s="1330"/>
      <c r="D10" s="906">
        <v>100</v>
      </c>
      <c r="E10" s="1330"/>
      <c r="F10" s="906">
        <f>SUMIF(59:59,E10,60:60)-SUMIF(59:59,C10,60:60)+100</f>
        <v>100</v>
      </c>
      <c r="G10" s="1399"/>
      <c r="H10" s="906">
        <f>SUMIF(59:59,G10,60:60)-SUMIF(59:59,C10,60:60)+100</f>
        <v>100</v>
      </c>
      <c r="I10" s="1330"/>
      <c r="J10" s="906">
        <f>SUMIF(59:59,I10,60:60)-SUMIF(59:59,C10,60:60)+100</f>
        <v>100</v>
      </c>
      <c r="K10" s="1047"/>
      <c r="L10" s="1035"/>
      <c r="M10" s="1036"/>
      <c r="N10" s="1036"/>
      <c r="O10" s="1037"/>
      <c r="P10" s="3472"/>
      <c r="Q10" s="1074" t="str">
        <f t="shared" si="6"/>
        <v>土地使用年限（年）</v>
      </c>
      <c r="R10" s="1070" t="s">
        <v>1336</v>
      </c>
      <c r="S10" s="1071">
        <f t="shared" si="0"/>
        <v>100</v>
      </c>
      <c r="T10" s="1070" t="s">
        <v>1336</v>
      </c>
      <c r="U10" s="1071">
        <f t="shared" si="1"/>
        <v>100</v>
      </c>
      <c r="V10" s="1070" t="s">
        <v>1336</v>
      </c>
      <c r="W10" s="1071">
        <f t="shared" si="2"/>
        <v>100</v>
      </c>
      <c r="X10" s="1072"/>
      <c r="Y10" s="3245"/>
      <c r="Z10" s="1085" t="str">
        <f t="shared" si="7"/>
        <v>土地使用年限（年）</v>
      </c>
      <c r="AA10" s="1084">
        <f t="shared" si="3"/>
        <v>1</v>
      </c>
      <c r="AB10" s="1084">
        <f t="shared" si="4"/>
        <v>1</v>
      </c>
      <c r="AC10" s="1084">
        <f t="shared" si="5"/>
        <v>1</v>
      </c>
    </row>
    <row r="11" spans="1:29" ht="15">
      <c r="A11" s="907"/>
      <c r="B11" s="904" t="s">
        <v>1344</v>
      </c>
      <c r="C11" s="908"/>
      <c r="D11" s="906">
        <v>100</v>
      </c>
      <c r="E11" s="908"/>
      <c r="F11" s="906" t="e">
        <f>LOOKUP(E11,62:62,63:63)-LOOKUP(C11,62:62,63:63)+100</f>
        <v>#N/A</v>
      </c>
      <c r="G11" s="909"/>
      <c r="H11" s="906" t="e">
        <f>LOOKUP(G11,62:62,63:63)-LOOKUP(C11,62:62,63:63)+100</f>
        <v>#N/A</v>
      </c>
      <c r="I11" s="908"/>
      <c r="J11" s="906" t="e">
        <f>LOOKUP(I11,62:62,63:63)-LOOKUP(C11,62:62,63:63)+100</f>
        <v>#N/A</v>
      </c>
      <c r="K11" s="1047"/>
      <c r="L11" s="1039"/>
      <c r="M11" s="1029"/>
      <c r="N11" s="1029"/>
      <c r="O11" s="1040"/>
      <c r="P11" s="3472"/>
      <c r="Q11" s="1074" t="str">
        <f t="shared" si="6"/>
        <v>容积率</v>
      </c>
      <c r="R11" s="1070" t="s">
        <v>1336</v>
      </c>
      <c r="S11" s="1071" t="e">
        <f t="shared" si="0"/>
        <v>#N/A</v>
      </c>
      <c r="T11" s="1070" t="s">
        <v>1336</v>
      </c>
      <c r="U11" s="1071" t="e">
        <f t="shared" si="1"/>
        <v>#N/A</v>
      </c>
      <c r="V11" s="1070" t="s">
        <v>1336</v>
      </c>
      <c r="W11" s="1071" t="e">
        <f t="shared" si="2"/>
        <v>#N/A</v>
      </c>
      <c r="X11" s="1072"/>
      <c r="Y11" s="3245"/>
      <c r="Z11" s="1085" t="str">
        <f t="shared" si="7"/>
        <v>容积率</v>
      </c>
      <c r="AA11" s="1084" t="e">
        <f t="shared" si="3"/>
        <v>#N/A</v>
      </c>
      <c r="AB11" s="1084" t="e">
        <f t="shared" si="4"/>
        <v>#N/A</v>
      </c>
      <c r="AC11" s="1084" t="e">
        <f t="shared" si="5"/>
        <v>#N/A</v>
      </c>
    </row>
    <row r="12" spans="1:29" s="866" customFormat="1" ht="15">
      <c r="A12" s="910"/>
      <c r="B12" s="911">
        <v>111</v>
      </c>
      <c r="C12" s="905"/>
      <c r="D12" s="912">
        <v>100</v>
      </c>
      <c r="E12" s="915"/>
      <c r="F12" s="906">
        <f>SUMIF(64:64,E12,65:65)-SUMIF(64:64,C12,65:65)+100</f>
        <v>100</v>
      </c>
      <c r="G12" s="1457"/>
      <c r="H12" s="906">
        <f>SUMIF(64:64,G12,65:65)-SUMIF(64:64,C12,65:65)+100</f>
        <v>100</v>
      </c>
      <c r="I12" s="1332"/>
      <c r="J12" s="906">
        <f>SUMIF(64:64,I12,65:65)-SUMIF(64:64,C12,65:65)+100</f>
        <v>100</v>
      </c>
      <c r="K12" s="1046"/>
      <c r="L12" s="1031"/>
      <c r="M12" s="1032"/>
      <c r="N12" s="1032"/>
      <c r="O12" s="1033"/>
      <c r="P12" s="3472"/>
      <c r="Q12" s="1074">
        <f t="shared" si="6"/>
        <v>111</v>
      </c>
      <c r="R12" s="1070" t="s">
        <v>1336</v>
      </c>
      <c r="S12" s="1071">
        <f t="shared" si="0"/>
        <v>100</v>
      </c>
      <c r="T12" s="1070" t="s">
        <v>1336</v>
      </c>
      <c r="U12" s="1071">
        <f t="shared" si="1"/>
        <v>100</v>
      </c>
      <c r="V12" s="1070" t="s">
        <v>1336</v>
      </c>
      <c r="W12" s="1071">
        <f t="shared" si="2"/>
        <v>100</v>
      </c>
      <c r="X12" s="1072"/>
      <c r="Y12" s="3245"/>
      <c r="Z12" s="1085">
        <f t="shared" si="7"/>
        <v>111</v>
      </c>
      <c r="AA12" s="1084">
        <f t="shared" si="3"/>
        <v>1</v>
      </c>
      <c r="AB12" s="1084">
        <f t="shared" si="4"/>
        <v>1</v>
      </c>
      <c r="AC12" s="1084">
        <f t="shared" si="5"/>
        <v>1</v>
      </c>
    </row>
    <row r="13" spans="1:29" ht="15">
      <c r="A13" s="907"/>
      <c r="B13" s="911">
        <v>111</v>
      </c>
      <c r="C13" s="915"/>
      <c r="D13" s="916">
        <v>100</v>
      </c>
      <c r="E13" s="915"/>
      <c r="F13" s="906">
        <f>SUMIF(66:66,E13,67:67)-SUMIF(66:66,C13,67:67)+100</f>
        <v>100</v>
      </c>
      <c r="G13" s="1457"/>
      <c r="H13" s="916">
        <f>SUMIF(66:66,G13,67:67)-SUMIF(66:66,C13,67:67)+100</f>
        <v>100</v>
      </c>
      <c r="I13" s="1332"/>
      <c r="J13" s="916">
        <f>SUMIF(66:66,I13,67:67)-SUMIF(66:66,C13,67:67)+100</f>
        <v>100</v>
      </c>
      <c r="K13" s="1046"/>
      <c r="L13" s="1041"/>
      <c r="M13" s="1029"/>
      <c r="N13" s="1029"/>
      <c r="O13" s="1040"/>
      <c r="P13" s="3472"/>
      <c r="Q13" s="1074">
        <f t="shared" si="6"/>
        <v>111</v>
      </c>
      <c r="R13" s="1070" t="s">
        <v>1336</v>
      </c>
      <c r="S13" s="1071">
        <f t="shared" si="0"/>
        <v>100</v>
      </c>
      <c r="T13" s="1070" t="s">
        <v>1336</v>
      </c>
      <c r="U13" s="1071">
        <f t="shared" si="1"/>
        <v>100</v>
      </c>
      <c r="V13" s="1070" t="s">
        <v>1336</v>
      </c>
      <c r="W13" s="1071">
        <f t="shared" si="2"/>
        <v>100</v>
      </c>
      <c r="X13" s="1072"/>
      <c r="Y13" s="3245"/>
      <c r="Z13" s="1085">
        <f t="shared" si="7"/>
        <v>111</v>
      </c>
      <c r="AA13" s="1084">
        <f t="shared" si="3"/>
        <v>1</v>
      </c>
      <c r="AB13" s="1084">
        <f t="shared" si="4"/>
        <v>1</v>
      </c>
      <c r="AC13" s="1084">
        <f t="shared" si="5"/>
        <v>1</v>
      </c>
    </row>
    <row r="14" spans="1:29" ht="15">
      <c r="A14" s="917"/>
      <c r="B14" s="918">
        <v>111</v>
      </c>
      <c r="C14" s="919"/>
      <c r="D14" s="920">
        <v>100</v>
      </c>
      <c r="E14" s="919"/>
      <c r="F14" s="920">
        <f>SUMIF(68:68,E14,69:69)-SUMIF(68:68,C14,69:69)+100</f>
        <v>100</v>
      </c>
      <c r="G14" s="1457"/>
      <c r="H14" s="920">
        <f>SUMIF(68:68,G14,69:69)-SUMIF(68:68,C14,69:69)+100</f>
        <v>100</v>
      </c>
      <c r="I14" s="1332"/>
      <c r="J14" s="920">
        <f>SUMIF(68:68,I14,69:69)-SUMIF(68:68,C14,69:69)+100</f>
        <v>100</v>
      </c>
      <c r="K14" s="1046"/>
      <c r="L14" s="1041"/>
      <c r="M14" s="1029"/>
      <c r="N14" s="1029"/>
      <c r="O14" s="1040"/>
      <c r="P14" s="3472"/>
      <c r="Q14" s="1074">
        <f t="shared" si="6"/>
        <v>111</v>
      </c>
      <c r="R14" s="1070" t="s">
        <v>1336</v>
      </c>
      <c r="S14" s="1071">
        <f t="shared" si="0"/>
        <v>100</v>
      </c>
      <c r="T14" s="1070" t="s">
        <v>1336</v>
      </c>
      <c r="U14" s="1071">
        <f t="shared" si="1"/>
        <v>100</v>
      </c>
      <c r="V14" s="1070" t="s">
        <v>1336</v>
      </c>
      <c r="W14" s="1071">
        <f t="shared" si="2"/>
        <v>100</v>
      </c>
      <c r="X14" s="1072"/>
      <c r="Y14" s="3245"/>
      <c r="Z14" s="1085">
        <f t="shared" si="7"/>
        <v>111</v>
      </c>
      <c r="AA14" s="1084">
        <f t="shared" si="3"/>
        <v>1</v>
      </c>
      <c r="AB14" s="1084">
        <f t="shared" si="4"/>
        <v>1</v>
      </c>
      <c r="AC14" s="1084">
        <f t="shared" si="5"/>
        <v>1</v>
      </c>
    </row>
    <row r="15" spans="1:29" ht="57">
      <c r="A15" s="921" t="s">
        <v>1345</v>
      </c>
      <c r="B15" s="1284" t="s">
        <v>644</v>
      </c>
      <c r="C15" s="923" t="str">
        <f>估价对象房地状况!G3</f>
        <v>估价对象位于XX开发区，园区建设成熟度XX，产业集聚程度XX</v>
      </c>
      <c r="D15" s="924">
        <v>100</v>
      </c>
      <c r="E15" s="925"/>
      <c r="F15" s="1334">
        <f>SUMIF(70:70,E16,71:71)-SUMIF(70:70,C16,71:71)+100</f>
        <v>100</v>
      </c>
      <c r="G15" s="1042"/>
      <c r="H15" s="924">
        <f>SUMIF(70:70,G16,71:71)-SUMIF(70:70,C16,71:71)+100</f>
        <v>100</v>
      </c>
      <c r="I15" s="925"/>
      <c r="J15" s="924">
        <f>SUMIF(70:70,I16,71:71)-SUMIF(70:70,C16,71:71)+100</f>
        <v>100</v>
      </c>
      <c r="K15" s="1373"/>
      <c r="L15" s="1041"/>
      <c r="M15" s="1029"/>
      <c r="N15" s="1029"/>
      <c r="O15" s="1040"/>
      <c r="P15" s="3473" t="s">
        <v>1346</v>
      </c>
      <c r="Q15" s="652" t="str">
        <f t="shared" si="6"/>
        <v>产业集聚程度</v>
      </c>
      <c r="R15" s="1075" t="s">
        <v>1336</v>
      </c>
      <c r="S15" s="1076">
        <f t="shared" si="0"/>
        <v>100</v>
      </c>
      <c r="T15" s="1075" t="s">
        <v>1336</v>
      </c>
      <c r="U15" s="1076">
        <f t="shared" si="1"/>
        <v>100</v>
      </c>
      <c r="V15" s="1075" t="s">
        <v>1336</v>
      </c>
      <c r="W15" s="1076">
        <f t="shared" si="2"/>
        <v>100</v>
      </c>
      <c r="X15" s="1069"/>
      <c r="Y15" s="3473" t="s">
        <v>1346</v>
      </c>
      <c r="Z15" s="1061" t="str">
        <f t="shared" si="7"/>
        <v>产业集聚程度</v>
      </c>
      <c r="AA15" s="1086">
        <f t="shared" si="3"/>
        <v>1</v>
      </c>
      <c r="AB15" s="1086">
        <f t="shared" si="4"/>
        <v>1</v>
      </c>
      <c r="AC15" s="1086">
        <f t="shared" si="5"/>
        <v>1</v>
      </c>
    </row>
    <row r="16" spans="1:29" ht="15">
      <c r="A16" s="907"/>
      <c r="B16" s="1286"/>
      <c r="C16" s="927"/>
      <c r="D16" s="928"/>
      <c r="E16" s="927"/>
      <c r="F16" s="1335"/>
      <c r="G16" s="927"/>
      <c r="H16" s="930"/>
      <c r="I16" s="927"/>
      <c r="J16" s="928"/>
      <c r="K16" s="1374"/>
      <c r="L16" s="1041"/>
      <c r="M16" s="1029"/>
      <c r="N16" s="1029"/>
      <c r="O16" s="1040"/>
      <c r="P16" s="3474"/>
      <c r="Q16" s="652"/>
      <c r="R16" s="1075"/>
      <c r="S16" s="1076"/>
      <c r="T16" s="1075"/>
      <c r="U16" s="1076"/>
      <c r="V16" s="1075"/>
      <c r="W16" s="1076"/>
      <c r="X16" s="1069"/>
      <c r="Y16" s="3474"/>
      <c r="Z16" s="1061"/>
      <c r="AA16" s="1086">
        <v>1</v>
      </c>
      <c r="AB16" s="1086">
        <v>1</v>
      </c>
      <c r="AC16" s="1086">
        <v>1</v>
      </c>
    </row>
    <row r="17" spans="1:29" ht="85.5">
      <c r="A17" s="907"/>
      <c r="B17" s="1287" t="s">
        <v>648</v>
      </c>
      <c r="C17" s="932" t="str">
        <f>估价对象房地状况!G4</f>
        <v>估价对象周边道路状况、公共交通通达情况、停车便捷程度，综合评价交通便捷度较好</v>
      </c>
      <c r="D17" s="930">
        <v>100</v>
      </c>
      <c r="E17" s="933"/>
      <c r="F17" s="1337">
        <f>SUMIF(72:72,E18,73:73)-SUMIF(72:72,C18,73:73)+100</f>
        <v>100</v>
      </c>
      <c r="G17" s="1043"/>
      <c r="H17" s="934">
        <f>SUMIF(72:72,G18,73:73)-SUMIF(72:72,C18,73:73)+100</f>
        <v>100</v>
      </c>
      <c r="I17" s="933"/>
      <c r="J17" s="934">
        <f>SUMIF(72:72,I18,73:73)-SUMIF(72:72,C18,73:73)+100</f>
        <v>100</v>
      </c>
      <c r="K17" s="1373"/>
      <c r="L17" s="1041"/>
      <c r="M17" s="1029"/>
      <c r="N17" s="1029"/>
      <c r="O17" s="1040"/>
      <c r="P17" s="3474"/>
      <c r="Q17" s="652" t="str">
        <f>B17</f>
        <v>交通便捷度</v>
      </c>
      <c r="R17" s="1075" t="s">
        <v>1336</v>
      </c>
      <c r="S17" s="1076">
        <f>F17</f>
        <v>100</v>
      </c>
      <c r="T17" s="1075" t="s">
        <v>1336</v>
      </c>
      <c r="U17" s="1076">
        <f>H17</f>
        <v>100</v>
      </c>
      <c r="V17" s="1075" t="s">
        <v>1336</v>
      </c>
      <c r="W17" s="1076">
        <f>J17</f>
        <v>100</v>
      </c>
      <c r="X17" s="1069"/>
      <c r="Y17" s="3474"/>
      <c r="Z17" s="1061" t="str">
        <f>Q17</f>
        <v>交通便捷度</v>
      </c>
      <c r="AA17" s="1086">
        <f t="shared" si="3"/>
        <v>1</v>
      </c>
      <c r="AB17" s="1086">
        <f t="shared" si="4"/>
        <v>1</v>
      </c>
      <c r="AC17" s="1086">
        <f t="shared" si="5"/>
        <v>1</v>
      </c>
    </row>
    <row r="18" spans="1:29" ht="15">
      <c r="A18" s="907"/>
      <c r="B18" s="955"/>
      <c r="C18" s="1288"/>
      <c r="D18" s="930"/>
      <c r="E18" s="1289"/>
      <c r="F18" s="1337"/>
      <c r="G18" s="1297"/>
      <c r="H18" s="928"/>
      <c r="I18" s="1289"/>
      <c r="J18" s="928"/>
      <c r="K18" s="1374"/>
      <c r="L18" s="1041"/>
      <c r="M18" s="1029"/>
      <c r="N18" s="1029"/>
      <c r="O18" s="1040"/>
      <c r="P18" s="3474"/>
      <c r="Q18" s="652"/>
      <c r="R18" s="1075"/>
      <c r="S18" s="1076"/>
      <c r="T18" s="1075"/>
      <c r="U18" s="1076"/>
      <c r="V18" s="1075"/>
      <c r="W18" s="1076"/>
      <c r="X18" s="1069"/>
      <c r="Y18" s="3474"/>
      <c r="Z18" s="1061"/>
      <c r="AA18" s="1086">
        <v>1</v>
      </c>
      <c r="AB18" s="1086">
        <v>1</v>
      </c>
      <c r="AC18" s="1086">
        <v>1</v>
      </c>
    </row>
    <row r="19" spans="1:29" ht="42.75">
      <c r="A19" s="907"/>
      <c r="B19" s="1287" t="s">
        <v>652</v>
      </c>
      <c r="C19" s="932" t="str">
        <f>估价对象房地状况!G5</f>
        <v>估价对象所在区域公共配套设施齐备情况</v>
      </c>
      <c r="D19" s="934">
        <v>100</v>
      </c>
      <c r="E19" s="1290"/>
      <c r="F19" s="1336">
        <f>SUMIF(74:74,E20,75:75)-SUMIF(74:74,C20,75:75)+100</f>
        <v>100</v>
      </c>
      <c r="G19" s="1298"/>
      <c r="H19" s="930">
        <f>SUMIF(74:74,G20,75:75)-SUMIF(74:74,C20,75:75)+100</f>
        <v>100</v>
      </c>
      <c r="I19" s="1290"/>
      <c r="J19" s="930">
        <f>SUMIF(74:74,I20,75:75)-SUMIF(74:74,C20,75:75)+100</f>
        <v>100</v>
      </c>
      <c r="K19" s="1373"/>
      <c r="L19" s="1041"/>
      <c r="M19" s="1029"/>
      <c r="N19" s="1029"/>
      <c r="O19" s="1040"/>
      <c r="P19" s="3474"/>
      <c r="Q19" s="652" t="str">
        <f>B19</f>
        <v>公共配套设施</v>
      </c>
      <c r="R19" s="1075" t="s">
        <v>1336</v>
      </c>
      <c r="S19" s="1076">
        <f>F19</f>
        <v>100</v>
      </c>
      <c r="T19" s="1075" t="s">
        <v>1336</v>
      </c>
      <c r="U19" s="1076">
        <f>H19</f>
        <v>100</v>
      </c>
      <c r="V19" s="1075" t="s">
        <v>1336</v>
      </c>
      <c r="W19" s="1076">
        <f>J19</f>
        <v>100</v>
      </c>
      <c r="X19" s="1069"/>
      <c r="Y19" s="3474"/>
      <c r="Z19" s="1061" t="str">
        <f>Q19</f>
        <v>公共配套设施</v>
      </c>
      <c r="AA19" s="1086">
        <f t="shared" si="3"/>
        <v>1</v>
      </c>
      <c r="AB19" s="1086">
        <f t="shared" si="4"/>
        <v>1</v>
      </c>
      <c r="AC19" s="1086">
        <f t="shared" si="5"/>
        <v>1</v>
      </c>
    </row>
    <row r="20" spans="1:29" ht="15">
      <c r="A20" s="907"/>
      <c r="B20" s="955"/>
      <c r="C20" s="927"/>
      <c r="D20" s="928"/>
      <c r="E20" s="936"/>
      <c r="F20" s="1335"/>
      <c r="G20" s="1044"/>
      <c r="H20" s="928"/>
      <c r="I20" s="936"/>
      <c r="J20" s="928"/>
      <c r="K20" s="1374"/>
      <c r="L20" s="1041"/>
      <c r="M20" s="1029"/>
      <c r="N20" s="1029"/>
      <c r="O20" s="1040"/>
      <c r="P20" s="3474"/>
      <c r="Q20" s="652"/>
      <c r="R20" s="1075"/>
      <c r="S20" s="1076"/>
      <c r="T20" s="1075"/>
      <c r="U20" s="1076"/>
      <c r="V20" s="1075"/>
      <c r="W20" s="1076"/>
      <c r="X20" s="1069"/>
      <c r="Y20" s="3474"/>
      <c r="Z20" s="1061"/>
      <c r="AA20" s="1086">
        <v>1</v>
      </c>
      <c r="AB20" s="1086">
        <v>1</v>
      </c>
      <c r="AC20" s="1086">
        <v>1</v>
      </c>
    </row>
    <row r="21" spans="1:29" ht="28.5">
      <c r="A21" s="907"/>
      <c r="B21" s="1291" t="s">
        <v>654</v>
      </c>
      <c r="C21" s="932" t="str">
        <f>估价对象房地状况!G6</f>
        <v>估价对象所在区域基础设施水平</v>
      </c>
      <c r="D21" s="930">
        <v>100</v>
      </c>
      <c r="E21" s="1290"/>
      <c r="F21" s="1336">
        <f>SUMIF(76:76,E22,77:77)-SUMIF(76:76,C22,77:77)+100</f>
        <v>100</v>
      </c>
      <c r="G21" s="1298"/>
      <c r="H21" s="930">
        <f>SUMIF(76:76,G22,77:77)-SUMIF(76:76,C22,77:77)+100</f>
        <v>100</v>
      </c>
      <c r="I21" s="1290"/>
      <c r="J21" s="930">
        <f>SUMIF(76:76,I22,77:77)-SUMIF(76:76,C22,77:77)+100</f>
        <v>100</v>
      </c>
      <c r="K21" s="1373"/>
      <c r="L21" s="1041"/>
      <c r="M21" s="1029"/>
      <c r="N21" s="1029"/>
      <c r="O21" s="1040"/>
      <c r="P21" s="3474"/>
      <c r="Q21" s="652" t="str">
        <f>B21</f>
        <v>基础设施水平</v>
      </c>
      <c r="R21" s="1075" t="s">
        <v>1336</v>
      </c>
      <c r="S21" s="1076">
        <f>F21</f>
        <v>100</v>
      </c>
      <c r="T21" s="1075" t="s">
        <v>1336</v>
      </c>
      <c r="U21" s="1076">
        <f>H21</f>
        <v>100</v>
      </c>
      <c r="V21" s="1075" t="s">
        <v>1336</v>
      </c>
      <c r="W21" s="1076">
        <f>J21</f>
        <v>100</v>
      </c>
      <c r="X21" s="1069"/>
      <c r="Y21" s="3474"/>
      <c r="Z21" s="1061" t="str">
        <f>Q21</f>
        <v>基础设施水平</v>
      </c>
      <c r="AA21" s="1086">
        <f t="shared" ref="AA21" si="8">D21/F21</f>
        <v>1</v>
      </c>
      <c r="AB21" s="1086">
        <f t="shared" ref="AB21" si="9">D21/H21</f>
        <v>1</v>
      </c>
      <c r="AC21" s="1086">
        <f t="shared" ref="AC21" si="10">D21/J21</f>
        <v>1</v>
      </c>
    </row>
    <row r="22" spans="1:29" ht="15">
      <c r="A22" s="907"/>
      <c r="B22" s="1291"/>
      <c r="C22" s="1288"/>
      <c r="D22" s="928"/>
      <c r="E22" s="927"/>
      <c r="F22" s="1335"/>
      <c r="G22" s="927"/>
      <c r="H22" s="928"/>
      <c r="I22" s="927"/>
      <c r="J22" s="928"/>
      <c r="K22" s="1375"/>
      <c r="L22" s="1041"/>
      <c r="M22" s="1029"/>
      <c r="N22" s="1029"/>
      <c r="O22" s="1040"/>
      <c r="P22" s="3474"/>
      <c r="Q22" s="652"/>
      <c r="R22" s="1075"/>
      <c r="S22" s="1076"/>
      <c r="T22" s="1075"/>
      <c r="U22" s="1076"/>
      <c r="V22" s="1075"/>
      <c r="W22" s="1076"/>
      <c r="X22" s="1069"/>
      <c r="Y22" s="3474"/>
      <c r="Z22" s="1061"/>
      <c r="AA22" s="1086">
        <v>1</v>
      </c>
      <c r="AB22" s="1086">
        <v>1</v>
      </c>
      <c r="AC22" s="1086">
        <v>1</v>
      </c>
    </row>
    <row r="23" spans="1:29" ht="71.25">
      <c r="A23" s="907"/>
      <c r="B23" s="1287" t="s">
        <v>1420</v>
      </c>
      <c r="C23" s="932" t="str">
        <f>估价对象房地状况!G7</f>
        <v>该园区内是否有污染型企业，绿化情况，卫生条件，整体环境状况判断</v>
      </c>
      <c r="D23" s="930">
        <v>100</v>
      </c>
      <c r="E23" s="933"/>
      <c r="F23" s="1337">
        <f>SUMIF(78:78,E24,79:79)-SUMIF(78:78,C24,79:79)+100</f>
        <v>100</v>
      </c>
      <c r="G23" s="1043"/>
      <c r="H23" s="930">
        <f>SUMIF(78:78,G24,79:79)-SUMIF(78:78,C24,79:79)+100</f>
        <v>100</v>
      </c>
      <c r="I23" s="933"/>
      <c r="J23" s="930">
        <f>SUMIF(78:78,I24,79:79)-SUMIF(78:78,C24,79:79)+100</f>
        <v>100</v>
      </c>
      <c r="K23" s="1373"/>
      <c r="L23" s="1041"/>
      <c r="M23" s="1029"/>
      <c r="N23" s="1029"/>
      <c r="O23" s="1040"/>
      <c r="P23" s="3474"/>
      <c r="Q23" s="652" t="str">
        <f>B23</f>
        <v>环境质量</v>
      </c>
      <c r="R23" s="1075" t="s">
        <v>1336</v>
      </c>
      <c r="S23" s="1076">
        <f>F23</f>
        <v>100</v>
      </c>
      <c r="T23" s="1075" t="s">
        <v>1336</v>
      </c>
      <c r="U23" s="1076">
        <f>H23</f>
        <v>100</v>
      </c>
      <c r="V23" s="1075" t="s">
        <v>1336</v>
      </c>
      <c r="W23" s="1076">
        <f>J23</f>
        <v>100</v>
      </c>
      <c r="X23" s="1069"/>
      <c r="Y23" s="3474"/>
      <c r="Z23" s="1061" t="str">
        <f>Q23</f>
        <v>环境质量</v>
      </c>
      <c r="AA23" s="1086">
        <f t="shared" si="3"/>
        <v>1</v>
      </c>
      <c r="AB23" s="1086">
        <f t="shared" si="4"/>
        <v>1</v>
      </c>
      <c r="AC23" s="1086">
        <f t="shared" si="5"/>
        <v>1</v>
      </c>
    </row>
    <row r="24" spans="1:29" ht="15">
      <c r="A24" s="907"/>
      <c r="B24" s="1291"/>
      <c r="C24" s="927"/>
      <c r="D24" s="928"/>
      <c r="E24" s="936"/>
      <c r="F24" s="1335"/>
      <c r="G24" s="1044"/>
      <c r="H24" s="928"/>
      <c r="I24" s="936"/>
      <c r="J24" s="928"/>
      <c r="K24" s="1374"/>
      <c r="L24" s="1041"/>
      <c r="M24" s="1029"/>
      <c r="N24" s="1029"/>
      <c r="O24" s="1040"/>
      <c r="P24" s="3474"/>
      <c r="Q24" s="652"/>
      <c r="R24" s="1075"/>
      <c r="S24" s="1076"/>
      <c r="T24" s="1075"/>
      <c r="U24" s="1076"/>
      <c r="V24" s="1075"/>
      <c r="W24" s="1076"/>
      <c r="X24" s="1069"/>
      <c r="Y24" s="3474"/>
      <c r="Z24" s="1061"/>
      <c r="AA24" s="1086">
        <v>1</v>
      </c>
      <c r="AB24" s="1086">
        <v>1</v>
      </c>
      <c r="AC24" s="1086">
        <v>1</v>
      </c>
    </row>
    <row r="25" spans="1:29" ht="15">
      <c r="A25" s="887"/>
      <c r="B25" s="1292">
        <v>111</v>
      </c>
      <c r="C25" s="915">
        <v>111</v>
      </c>
      <c r="D25" s="916">
        <v>100</v>
      </c>
      <c r="E25" s="915"/>
      <c r="F25" s="1338">
        <f>SUMIF(80:80,E25,81:81)-SUMIF(80:80,C25,81:81)+100</f>
        <v>100</v>
      </c>
      <c r="G25" s="915"/>
      <c r="H25" s="916">
        <f>SUMIF(80:80,G25,81:81)-SUMIF(80:80,C25,81:81)+100</f>
        <v>100</v>
      </c>
      <c r="I25" s="915"/>
      <c r="J25" s="916">
        <f>SUMIF(80:80,I25,81:81)-SUMIF(80:80,C25,81:81)+100</f>
        <v>100</v>
      </c>
      <c r="K25" s="1046"/>
      <c r="L25" s="1041"/>
      <c r="M25" s="1029"/>
      <c r="N25" s="1029"/>
      <c r="O25" s="1040"/>
      <c r="P25" s="3474"/>
      <c r="Q25" s="652">
        <f>B25</f>
        <v>111</v>
      </c>
      <c r="R25" s="1075" t="s">
        <v>1336</v>
      </c>
      <c r="S25" s="1076">
        <f>F25</f>
        <v>100</v>
      </c>
      <c r="T25" s="1075" t="s">
        <v>1336</v>
      </c>
      <c r="U25" s="1076">
        <f>H25</f>
        <v>100</v>
      </c>
      <c r="V25" s="1075" t="s">
        <v>1336</v>
      </c>
      <c r="W25" s="1076">
        <f>J25</f>
        <v>100</v>
      </c>
      <c r="X25" s="1069"/>
      <c r="Y25" s="3474"/>
      <c r="Z25" s="1061">
        <f>Q25</f>
        <v>111</v>
      </c>
      <c r="AA25" s="1086">
        <f t="shared" si="3"/>
        <v>1</v>
      </c>
      <c r="AB25" s="1086">
        <f t="shared" si="4"/>
        <v>1</v>
      </c>
      <c r="AC25" s="1086">
        <f t="shared" si="5"/>
        <v>1</v>
      </c>
    </row>
    <row r="26" spans="1:29" ht="15">
      <c r="A26" s="907"/>
      <c r="B26" s="1292">
        <v>111</v>
      </c>
      <c r="C26" s="915">
        <v>111</v>
      </c>
      <c r="D26" s="916">
        <v>100</v>
      </c>
      <c r="E26" s="915"/>
      <c r="F26" s="1338">
        <f>SUMIF(82:82,E26,83:83)-SUMIF(82:82,C26,83:83)+100</f>
        <v>100</v>
      </c>
      <c r="G26" s="915"/>
      <c r="H26" s="916">
        <f>SUMIF(82:82,G26,83:83)-SUMIF(82:82,C26,83:83)+100</f>
        <v>100</v>
      </c>
      <c r="I26" s="915"/>
      <c r="J26" s="916">
        <f>SUMIF(82:82,I26,83:83)-SUMIF(82:82,C26,83:83)+100</f>
        <v>100</v>
      </c>
      <c r="K26" s="1046"/>
      <c r="L26" s="1041"/>
      <c r="M26" s="1029"/>
      <c r="N26" s="1029"/>
      <c r="O26" s="1040"/>
      <c r="P26" s="3474"/>
      <c r="Q26" s="652">
        <f t="shared" ref="Q26:Q40" si="11">B26</f>
        <v>111</v>
      </c>
      <c r="R26" s="1075" t="s">
        <v>1336</v>
      </c>
      <c r="S26" s="1076">
        <f>F26</f>
        <v>100</v>
      </c>
      <c r="T26" s="1075" t="s">
        <v>1336</v>
      </c>
      <c r="U26" s="1076">
        <f>H26</f>
        <v>100</v>
      </c>
      <c r="V26" s="1075" t="s">
        <v>1336</v>
      </c>
      <c r="W26" s="1076">
        <f>J26</f>
        <v>100</v>
      </c>
      <c r="X26" s="1069"/>
      <c r="Y26" s="3474"/>
      <c r="Z26" s="1061">
        <f>Q26</f>
        <v>111</v>
      </c>
      <c r="AA26" s="1086">
        <f t="shared" si="3"/>
        <v>1</v>
      </c>
      <c r="AB26" s="1086">
        <f t="shared" si="4"/>
        <v>1</v>
      </c>
      <c r="AC26" s="1086">
        <f t="shared" si="5"/>
        <v>1</v>
      </c>
    </row>
    <row r="27" spans="1:29" s="866" customFormat="1" ht="15">
      <c r="A27" s="910"/>
      <c r="B27" s="1292">
        <v>111</v>
      </c>
      <c r="C27" s="915">
        <v>111</v>
      </c>
      <c r="D27" s="1458">
        <v>100</v>
      </c>
      <c r="E27" s="915"/>
      <c r="F27" s="1459">
        <f>SUMIF(84:84,E27,85:85)-SUMIF(84:84,C27,85:85)+100</f>
        <v>100</v>
      </c>
      <c r="G27" s="915"/>
      <c r="H27" s="1458">
        <f>SUMIF(84:84,G27,85:85)-SUMIF(84:84,C27,85:85)+100</f>
        <v>100</v>
      </c>
      <c r="I27" s="915"/>
      <c r="J27" s="1458">
        <f>SUMIF(84:84,I27,85:85)-SUMIF(84:84,C27,85:85)+100</f>
        <v>100</v>
      </c>
      <c r="K27" s="1046"/>
      <c r="L27" s="1031"/>
      <c r="M27" s="1032"/>
      <c r="N27" s="1032"/>
      <c r="O27" s="1033"/>
      <c r="P27" s="3474"/>
      <c r="Q27" s="1074">
        <f t="shared" si="11"/>
        <v>111</v>
      </c>
      <c r="R27" s="1070" t="s">
        <v>1336</v>
      </c>
      <c r="S27" s="1071">
        <f>F27</f>
        <v>100</v>
      </c>
      <c r="T27" s="1070" t="s">
        <v>1336</v>
      </c>
      <c r="U27" s="1071">
        <f>H27</f>
        <v>100</v>
      </c>
      <c r="V27" s="1070" t="s">
        <v>1336</v>
      </c>
      <c r="W27" s="1071">
        <f>J27</f>
        <v>100</v>
      </c>
      <c r="X27" s="1072"/>
      <c r="Y27" s="3474"/>
      <c r="Z27" s="1085">
        <f>Q27</f>
        <v>111</v>
      </c>
      <c r="AA27" s="1086">
        <f t="shared" si="3"/>
        <v>1</v>
      </c>
      <c r="AB27" s="1086">
        <f t="shared" si="4"/>
        <v>1</v>
      </c>
      <c r="AC27" s="1086">
        <f t="shared" si="5"/>
        <v>1</v>
      </c>
    </row>
    <row r="28" spans="1:29" ht="15">
      <c r="A28" s="917"/>
      <c r="B28" s="1292">
        <v>111</v>
      </c>
      <c r="C28" s="919">
        <v>111</v>
      </c>
      <c r="D28" s="920">
        <v>100</v>
      </c>
      <c r="E28" s="915"/>
      <c r="F28" s="1351">
        <f>SUMIF(86:86,E28,87:87)-SUMIF(86:86,C28,87:87)+100</f>
        <v>100</v>
      </c>
      <c r="G28" s="1332"/>
      <c r="H28" s="920">
        <f>SUMIF(86:86,G28,87:87)-SUMIF(86:86,C28,87:87)+100</f>
        <v>100</v>
      </c>
      <c r="I28" s="1332"/>
      <c r="J28" s="920">
        <f>SUMIF(86:86,I28,87:87)-SUMIF(86:86,C28,87:87)+100</f>
        <v>100</v>
      </c>
      <c r="K28" s="1046"/>
      <c r="L28" s="1041"/>
      <c r="M28" s="1029"/>
      <c r="N28" s="1029"/>
      <c r="O28" s="1040"/>
      <c r="P28" s="3474"/>
      <c r="Q28" s="652">
        <f t="shared" si="11"/>
        <v>111</v>
      </c>
      <c r="R28" s="1075" t="s">
        <v>1336</v>
      </c>
      <c r="S28" s="1076">
        <f t="shared" ref="S28:S40" si="12">F28</f>
        <v>100</v>
      </c>
      <c r="T28" s="1075" t="s">
        <v>1336</v>
      </c>
      <c r="U28" s="1076">
        <f t="shared" ref="U28:U40" si="13">H28</f>
        <v>100</v>
      </c>
      <c r="V28" s="1075" t="s">
        <v>1336</v>
      </c>
      <c r="W28" s="1076">
        <f t="shared" ref="W28:W40" si="14">J28</f>
        <v>100</v>
      </c>
      <c r="X28" s="1069"/>
      <c r="Y28" s="3474"/>
      <c r="Z28" s="1061">
        <f t="shared" ref="Z28:Z40" si="15">Q28</f>
        <v>111</v>
      </c>
      <c r="AA28" s="1086">
        <f t="shared" si="3"/>
        <v>1</v>
      </c>
      <c r="AB28" s="1086">
        <f t="shared" si="4"/>
        <v>1</v>
      </c>
      <c r="AC28" s="1086">
        <f t="shared" si="5"/>
        <v>1</v>
      </c>
    </row>
    <row r="29" spans="1:29" ht="15">
      <c r="A29" s="1342" t="s">
        <v>1349</v>
      </c>
      <c r="B29" s="900" t="s">
        <v>1350</v>
      </c>
      <c r="C29" s="1343"/>
      <c r="D29" s="957">
        <v>100</v>
      </c>
      <c r="E29" s="1343"/>
      <c r="F29" s="1338">
        <f>SUMIF(88:88,E29,89:89)-SUMIF(88:88,C29,89:89)+100</f>
        <v>100</v>
      </c>
      <c r="G29" s="1343"/>
      <c r="H29" s="916">
        <f>SUMIF(88:88,G29,89:89)-SUMIF(88:88,C29,89:89)+100</f>
        <v>100</v>
      </c>
      <c r="I29" s="1343"/>
      <c r="J29" s="957">
        <f>SUMIF(88:88,I29,89:89)-SUMIF(88:88,C29,89:89)+100</f>
        <v>100</v>
      </c>
      <c r="K29" s="1047"/>
      <c r="L29" s="1041"/>
      <c r="M29" s="1029"/>
      <c r="N29" s="1029"/>
      <c r="O29" s="1040"/>
      <c r="P29" s="3475" t="s">
        <v>1351</v>
      </c>
      <c r="Q29" s="652" t="str">
        <f t="shared" si="11"/>
        <v>建筑类型</v>
      </c>
      <c r="R29" s="1075" t="s">
        <v>1336</v>
      </c>
      <c r="S29" s="1076">
        <f t="shared" si="12"/>
        <v>100</v>
      </c>
      <c r="T29" s="1075" t="s">
        <v>1336</v>
      </c>
      <c r="U29" s="1076">
        <f t="shared" si="13"/>
        <v>100</v>
      </c>
      <c r="V29" s="1075" t="s">
        <v>1336</v>
      </c>
      <c r="W29" s="1076">
        <f t="shared" si="14"/>
        <v>100</v>
      </c>
      <c r="X29" s="1069"/>
      <c r="Y29" s="3476" t="s">
        <v>1351</v>
      </c>
      <c r="Z29" s="1061" t="str">
        <f t="shared" si="15"/>
        <v>建筑类型</v>
      </c>
      <c r="AA29" s="1086">
        <f t="shared" si="3"/>
        <v>1</v>
      </c>
      <c r="AB29" s="1086">
        <f t="shared" si="4"/>
        <v>1</v>
      </c>
      <c r="AC29" s="1086">
        <f t="shared" si="5"/>
        <v>1</v>
      </c>
    </row>
    <row r="30" spans="1:29" s="868" customFormat="1" ht="15">
      <c r="A30" s="963"/>
      <c r="B30" s="904" t="s">
        <v>1352</v>
      </c>
      <c r="C30" s="1332"/>
      <c r="D30" s="906">
        <v>100</v>
      </c>
      <c r="E30" s="909"/>
      <c r="F30" s="1331" t="e">
        <f>LOOKUP(E30,91:91,92:92)-LOOKUP(C30,91:91,92:92)+100</f>
        <v>#N/A</v>
      </c>
      <c r="G30" s="908"/>
      <c r="H30" s="906" t="e">
        <f>LOOKUP(G30,91:91,92:92)-LOOKUP(C30,91:91,92:92)+100</f>
        <v>#N/A</v>
      </c>
      <c r="I30" s="908"/>
      <c r="J30" s="906" t="e">
        <f>LOOKUP(I30,91:91,92:92)-LOOKUP(C30,91:91,92:92)+100</f>
        <v>#N/A</v>
      </c>
      <c r="K30" s="1046"/>
      <c r="L30" s="1039"/>
      <c r="M30" s="1048"/>
      <c r="N30" s="1048"/>
      <c r="O30" s="1049"/>
      <c r="P30" s="3476"/>
      <c r="Q30" s="1377" t="str">
        <f t="shared" si="11"/>
        <v>项目建筑规模</v>
      </c>
      <c r="R30" s="1077" t="s">
        <v>1336</v>
      </c>
      <c r="S30" s="1078" t="e">
        <f t="shared" si="12"/>
        <v>#N/A</v>
      </c>
      <c r="T30" s="1077" t="s">
        <v>1336</v>
      </c>
      <c r="U30" s="1078" t="e">
        <f t="shared" si="13"/>
        <v>#N/A</v>
      </c>
      <c r="V30" s="1077" t="s">
        <v>1336</v>
      </c>
      <c r="W30" s="1078" t="e">
        <f t="shared" si="14"/>
        <v>#N/A</v>
      </c>
      <c r="X30" s="1079"/>
      <c r="Y30" s="3476"/>
      <c r="Z30" s="1087" t="str">
        <f t="shared" si="15"/>
        <v>项目建筑规模</v>
      </c>
      <c r="AA30" s="1086" t="e">
        <f t="shared" si="3"/>
        <v>#N/A</v>
      </c>
      <c r="AB30" s="1086" t="e">
        <f t="shared" si="4"/>
        <v>#N/A</v>
      </c>
      <c r="AC30" s="1086" t="e">
        <f t="shared" si="5"/>
        <v>#N/A</v>
      </c>
    </row>
    <row r="31" spans="1:29" ht="15">
      <c r="A31" s="958"/>
      <c r="B31" s="904" t="s">
        <v>1353</v>
      </c>
      <c r="C31" s="1348"/>
      <c r="D31" s="916">
        <v>100</v>
      </c>
      <c r="E31" s="1348"/>
      <c r="F31" s="1338">
        <f>SUMIF(93:93,E31,94:94)-SUMIF(93:93,C31,94:94)+100</f>
        <v>100</v>
      </c>
      <c r="G31" s="1348"/>
      <c r="H31" s="916">
        <f>SUMIF(93:93,G31,94:94)-SUMIF(93:93,C31,94:94)+100</f>
        <v>100</v>
      </c>
      <c r="I31" s="1348"/>
      <c r="J31" s="916">
        <f>SUMIF(93:93,I31,94:94)-SUMIF(93:93,C31,94:94)+100</f>
        <v>100</v>
      </c>
      <c r="K31" s="1047"/>
      <c r="L31" s="1041"/>
      <c r="M31" s="1029"/>
      <c r="N31" s="1029"/>
      <c r="O31" s="1040"/>
      <c r="P31" s="3476"/>
      <c r="Q31" s="652" t="str">
        <f t="shared" si="11"/>
        <v>建筑结构</v>
      </c>
      <c r="R31" s="1075" t="s">
        <v>1336</v>
      </c>
      <c r="S31" s="1076">
        <f t="shared" si="12"/>
        <v>100</v>
      </c>
      <c r="T31" s="1075" t="s">
        <v>1336</v>
      </c>
      <c r="U31" s="1076">
        <f t="shared" si="13"/>
        <v>100</v>
      </c>
      <c r="V31" s="1075" t="s">
        <v>1336</v>
      </c>
      <c r="W31" s="1076">
        <f t="shared" si="14"/>
        <v>100</v>
      </c>
      <c r="X31" s="1069"/>
      <c r="Y31" s="3476"/>
      <c r="Z31" s="1061" t="str">
        <f t="shared" si="15"/>
        <v>建筑结构</v>
      </c>
      <c r="AA31" s="1086">
        <f t="shared" si="3"/>
        <v>1</v>
      </c>
      <c r="AB31" s="1086">
        <f t="shared" si="4"/>
        <v>1</v>
      </c>
      <c r="AC31" s="1086">
        <f t="shared" si="5"/>
        <v>1</v>
      </c>
    </row>
    <row r="32" spans="1:29" ht="15">
      <c r="A32" s="958"/>
      <c r="B32" s="904" t="s">
        <v>1355</v>
      </c>
      <c r="C32" s="1348"/>
      <c r="D32" s="916">
        <v>100</v>
      </c>
      <c r="E32" s="1348"/>
      <c r="F32" s="1338">
        <f>SUMIF(95:95,E32,96:96)-SUMIF(95:95,C32,96:96)+100</f>
        <v>100</v>
      </c>
      <c r="G32" s="1348"/>
      <c r="H32" s="916">
        <f>SUMIF(95:95,G32,96:96)-SUMIF(95:95,C32,96:96)+100</f>
        <v>100</v>
      </c>
      <c r="I32" s="1348"/>
      <c r="J32" s="916">
        <f>SUMIF(95:95,I32,96:96)-SUMIF(95:95,C32,96:96)+100</f>
        <v>100</v>
      </c>
      <c r="K32" s="1047"/>
      <c r="L32" s="1041"/>
      <c r="M32" s="1029"/>
      <c r="N32" s="1029"/>
      <c r="O32" s="1040"/>
      <c r="P32" s="3476"/>
      <c r="Q32" s="652" t="str">
        <f t="shared" si="11"/>
        <v>公共部分装修</v>
      </c>
      <c r="R32" s="1075" t="s">
        <v>1336</v>
      </c>
      <c r="S32" s="1076">
        <f t="shared" si="12"/>
        <v>100</v>
      </c>
      <c r="T32" s="1075" t="s">
        <v>1336</v>
      </c>
      <c r="U32" s="1076">
        <f t="shared" si="13"/>
        <v>100</v>
      </c>
      <c r="V32" s="1075" t="s">
        <v>1336</v>
      </c>
      <c r="W32" s="1076">
        <f t="shared" si="14"/>
        <v>100</v>
      </c>
      <c r="X32" s="1069"/>
      <c r="Y32" s="3476"/>
      <c r="Z32" s="1061" t="str">
        <f t="shared" si="15"/>
        <v>公共部分装修</v>
      </c>
      <c r="AA32" s="1086">
        <f t="shared" si="3"/>
        <v>1</v>
      </c>
      <c r="AB32" s="1086">
        <f t="shared" si="4"/>
        <v>1</v>
      </c>
      <c r="AC32" s="1086">
        <f t="shared" si="5"/>
        <v>1</v>
      </c>
    </row>
    <row r="33" spans="1:29" ht="15">
      <c r="A33" s="958"/>
      <c r="B33" s="904" t="s">
        <v>557</v>
      </c>
      <c r="C33" s="1332"/>
      <c r="D33" s="916">
        <v>100</v>
      </c>
      <c r="E33" s="1345"/>
      <c r="F33" s="1338" t="e">
        <f>LOOKUP(E33,98:98,99:99)-LOOKUP(C33,98:98,99:99)+100</f>
        <v>#N/A</v>
      </c>
      <c r="G33" s="1345"/>
      <c r="H33" s="1338" t="e">
        <f>LOOKUP(G33,98:98,99:99)-LOOKUP(C33,98:98,99:99)+100</f>
        <v>#N/A</v>
      </c>
      <c r="I33" s="1345"/>
      <c r="J33" s="916" t="e">
        <f>LOOKUP(I33,98:98,99:99)-LOOKUP(C33,98:98,99:99)+100</f>
        <v>#N/A</v>
      </c>
      <c r="K33" s="1047"/>
      <c r="L33" s="1041"/>
      <c r="M33" s="1029"/>
      <c r="N33" s="1029"/>
      <c r="O33" s="1040"/>
      <c r="P33" s="3476"/>
      <c r="Q33" s="652" t="str">
        <f t="shared" si="11"/>
        <v>成新度</v>
      </c>
      <c r="R33" s="1075" t="s">
        <v>1336</v>
      </c>
      <c r="S33" s="1076" t="e">
        <f t="shared" si="12"/>
        <v>#N/A</v>
      </c>
      <c r="T33" s="1075" t="s">
        <v>1336</v>
      </c>
      <c r="U33" s="1076" t="e">
        <f t="shared" si="13"/>
        <v>#N/A</v>
      </c>
      <c r="V33" s="1075" t="s">
        <v>1336</v>
      </c>
      <c r="W33" s="1076" t="e">
        <f t="shared" si="14"/>
        <v>#N/A</v>
      </c>
      <c r="X33" s="1069"/>
      <c r="Y33" s="3476"/>
      <c r="Z33" s="1061" t="str">
        <f t="shared" si="15"/>
        <v>成新度</v>
      </c>
      <c r="AA33" s="1086" t="e">
        <f t="shared" si="3"/>
        <v>#N/A</v>
      </c>
      <c r="AB33" s="1086" t="e">
        <f t="shared" si="4"/>
        <v>#N/A</v>
      </c>
      <c r="AC33" s="1086" t="e">
        <f t="shared" si="5"/>
        <v>#N/A</v>
      </c>
    </row>
    <row r="34" spans="1:29" s="866" customFormat="1" ht="15">
      <c r="A34" s="960"/>
      <c r="B34" s="904" t="s">
        <v>1356</v>
      </c>
      <c r="C34" s="1348"/>
      <c r="D34" s="906">
        <v>100</v>
      </c>
      <c r="E34" s="1348"/>
      <c r="F34" s="1338">
        <f>SUMIF(100:100,E34,101:101)-SUMIF(100:100,C34,101:101)+100</f>
        <v>100</v>
      </c>
      <c r="G34" s="1348"/>
      <c r="H34" s="916">
        <f>SUMIF(100:100,G34,101:101)-SUMIF(100:100,C34,101:101)+100</f>
        <v>100</v>
      </c>
      <c r="I34" s="1348"/>
      <c r="J34" s="916">
        <f>SUMIF(100:100,I34,101:101)-SUMIF(100:100,C34,101:101)+100</f>
        <v>100</v>
      </c>
      <c r="K34" s="1047"/>
      <c r="L34" s="1031"/>
      <c r="M34" s="1032"/>
      <c r="N34" s="1032"/>
      <c r="O34" s="1033"/>
      <c r="P34" s="3476"/>
      <c r="Q34" s="1074" t="str">
        <f t="shared" si="11"/>
        <v>物业管理</v>
      </c>
      <c r="R34" s="1070" t="s">
        <v>1336</v>
      </c>
      <c r="S34" s="1071">
        <f t="shared" si="12"/>
        <v>100</v>
      </c>
      <c r="T34" s="1070" t="s">
        <v>1336</v>
      </c>
      <c r="U34" s="1071">
        <f t="shared" si="13"/>
        <v>100</v>
      </c>
      <c r="V34" s="1070" t="s">
        <v>1336</v>
      </c>
      <c r="W34" s="1071">
        <f t="shared" si="14"/>
        <v>100</v>
      </c>
      <c r="X34" s="1072"/>
      <c r="Y34" s="3476"/>
      <c r="Z34" s="1085" t="str">
        <f t="shared" si="15"/>
        <v>物业管理</v>
      </c>
      <c r="AA34" s="1084">
        <f t="shared" si="3"/>
        <v>1</v>
      </c>
      <c r="AB34" s="1084">
        <f t="shared" si="4"/>
        <v>1</v>
      </c>
      <c r="AC34" s="1084">
        <f t="shared" si="5"/>
        <v>1</v>
      </c>
    </row>
    <row r="35" spans="1:29" ht="15">
      <c r="A35" s="958"/>
      <c r="B35" s="904" t="s">
        <v>1357</v>
      </c>
      <c r="C35" s="1348"/>
      <c r="D35" s="916">
        <v>100</v>
      </c>
      <c r="E35" s="1348"/>
      <c r="F35" s="1338">
        <f>SUMIF(102:102,E35,103:103)-SUMIF(102:102,C35,103:103)+100</f>
        <v>100</v>
      </c>
      <c r="G35" s="1348"/>
      <c r="H35" s="916">
        <f>SUMIF(102:102,G35,103:103)-SUMIF(102:102,C35,103:103)+100</f>
        <v>100</v>
      </c>
      <c r="I35" s="1348"/>
      <c r="J35" s="916">
        <f>SUMIF(102:102,I35,103:103)-SUMIF(102:102,C35,103:103)+100</f>
        <v>100</v>
      </c>
      <c r="K35" s="1047"/>
      <c r="L35" s="1041"/>
      <c r="M35" s="1029"/>
      <c r="N35" s="1029"/>
      <c r="O35" s="1040"/>
      <c r="P35" s="3476" t="s">
        <v>1351</v>
      </c>
      <c r="Q35" s="652" t="str">
        <f t="shared" si="11"/>
        <v>市政基础设施</v>
      </c>
      <c r="R35" s="1075" t="s">
        <v>1336</v>
      </c>
      <c r="S35" s="1076">
        <f t="shared" si="12"/>
        <v>100</v>
      </c>
      <c r="T35" s="1075" t="s">
        <v>1336</v>
      </c>
      <c r="U35" s="1076">
        <f t="shared" si="13"/>
        <v>100</v>
      </c>
      <c r="V35" s="1075" t="s">
        <v>1336</v>
      </c>
      <c r="W35" s="1076">
        <f t="shared" si="14"/>
        <v>100</v>
      </c>
      <c r="X35" s="1069"/>
      <c r="Y35" s="3476" t="s">
        <v>1351</v>
      </c>
      <c r="Z35" s="1061" t="str">
        <f t="shared" si="15"/>
        <v>市政基础设施</v>
      </c>
      <c r="AA35" s="1086">
        <f t="shared" si="3"/>
        <v>1</v>
      </c>
      <c r="AB35" s="1086">
        <f t="shared" si="4"/>
        <v>1</v>
      </c>
      <c r="AC35" s="1086">
        <f t="shared" si="5"/>
        <v>1</v>
      </c>
    </row>
    <row r="36" spans="1:29" ht="15">
      <c r="A36" s="958"/>
      <c r="B36" s="904" t="s">
        <v>1360</v>
      </c>
      <c r="C36" s="1348"/>
      <c r="D36" s="916">
        <v>100</v>
      </c>
      <c r="E36" s="1348"/>
      <c r="F36" s="1338">
        <f>SUMIF(104:104,E36,105:105)-SUMIF(104:104,C36,105:105)+100</f>
        <v>100</v>
      </c>
      <c r="G36" s="1348"/>
      <c r="H36" s="916">
        <f>SUMIF(104:104,G36,105:105)-SUMIF(104:104,C36,105:105)+100</f>
        <v>100</v>
      </c>
      <c r="I36" s="1348"/>
      <c r="J36" s="916">
        <f>SUMIF(104:104,I36,105:105)-SUMIF(104:104,C36,105:105)+100</f>
        <v>100</v>
      </c>
      <c r="K36" s="1047"/>
      <c r="L36" s="1041"/>
      <c r="M36" s="1029"/>
      <c r="N36" s="1029"/>
      <c r="O36" s="1040"/>
      <c r="P36" s="3476"/>
      <c r="Q36" s="652" t="str">
        <f t="shared" si="11"/>
        <v>内部装修</v>
      </c>
      <c r="R36" s="1075" t="s">
        <v>1336</v>
      </c>
      <c r="S36" s="1076">
        <f t="shared" si="12"/>
        <v>100</v>
      </c>
      <c r="T36" s="1075" t="s">
        <v>1336</v>
      </c>
      <c r="U36" s="1076">
        <f t="shared" si="13"/>
        <v>100</v>
      </c>
      <c r="V36" s="1075" t="s">
        <v>1336</v>
      </c>
      <c r="W36" s="1076">
        <f t="shared" si="14"/>
        <v>100</v>
      </c>
      <c r="X36" s="1069"/>
      <c r="Y36" s="3476"/>
      <c r="Z36" s="1061" t="str">
        <f t="shared" si="15"/>
        <v>内部装修</v>
      </c>
      <c r="AA36" s="1086">
        <f t="shared" si="3"/>
        <v>1</v>
      </c>
      <c r="AB36" s="1086">
        <f t="shared" si="4"/>
        <v>1</v>
      </c>
      <c r="AC36" s="1086">
        <f t="shared" si="5"/>
        <v>1</v>
      </c>
    </row>
    <row r="37" spans="1:29" ht="15">
      <c r="A37" s="958"/>
      <c r="B37" s="904" t="s">
        <v>1425</v>
      </c>
      <c r="C37" s="941"/>
      <c r="D37" s="916">
        <v>100</v>
      </c>
      <c r="E37" s="941"/>
      <c r="F37" s="1338">
        <f>SUMIF(106:106,E37,107:107)-SUMIF(106:106,C37,107:107)+100</f>
        <v>100</v>
      </c>
      <c r="G37" s="941"/>
      <c r="H37" s="916">
        <f>SUMIF(106:106,G37,107:107)-SUMIF(106:106,C37,107:107)+100</f>
        <v>100</v>
      </c>
      <c r="I37" s="941"/>
      <c r="J37" s="916">
        <f>SUMIF(106:106,I37,107:107)-SUMIF(106:106,C37,107:107)+100</f>
        <v>100</v>
      </c>
      <c r="K37" s="1047"/>
      <c r="L37" s="1041"/>
      <c r="M37" s="1029"/>
      <c r="N37" s="1029"/>
      <c r="O37" s="1040"/>
      <c r="P37" s="3476"/>
      <c r="Q37" s="652" t="str">
        <f t="shared" si="11"/>
        <v>内部装修状况</v>
      </c>
      <c r="R37" s="1075" t="s">
        <v>1336</v>
      </c>
      <c r="S37" s="1076">
        <f t="shared" si="12"/>
        <v>100</v>
      </c>
      <c r="T37" s="1075" t="s">
        <v>1336</v>
      </c>
      <c r="U37" s="1076">
        <f t="shared" si="13"/>
        <v>100</v>
      </c>
      <c r="V37" s="1075" t="s">
        <v>1336</v>
      </c>
      <c r="W37" s="1076">
        <f t="shared" si="14"/>
        <v>100</v>
      </c>
      <c r="X37" s="1069"/>
      <c r="Y37" s="3476"/>
      <c r="Z37" s="1061" t="str">
        <f t="shared" si="15"/>
        <v>内部装修状况</v>
      </c>
      <c r="AA37" s="1086">
        <f t="shared" si="3"/>
        <v>1</v>
      </c>
      <c r="AB37" s="1086">
        <f t="shared" si="4"/>
        <v>1</v>
      </c>
      <c r="AC37" s="1086">
        <f t="shared" si="5"/>
        <v>1</v>
      </c>
    </row>
    <row r="38" spans="1:29" s="868" customFormat="1" ht="15">
      <c r="A38" s="963"/>
      <c r="B38" s="1292">
        <v>111</v>
      </c>
      <c r="C38" s="1332"/>
      <c r="D38" s="916">
        <v>100</v>
      </c>
      <c r="E38" s="915"/>
      <c r="F38" s="1338">
        <f>SUMIF(108:108,E38,109:109)-SUMIF(108:108,C38,109:109)+100</f>
        <v>100</v>
      </c>
      <c r="G38" s="1332"/>
      <c r="H38" s="916">
        <f>SUMIF(108:108,G38,109:109)-SUMIF(108:108,C38,109:109)+100</f>
        <v>100</v>
      </c>
      <c r="I38" s="1332"/>
      <c r="J38" s="916">
        <f>SUMIF(108:108,I38,109:1038)-SUMIF(108:108,C38,109:109)+100</f>
        <v>100</v>
      </c>
      <c r="K38" s="1046"/>
      <c r="L38" s="1039"/>
      <c r="M38" s="1048"/>
      <c r="N38" s="1048"/>
      <c r="O38" s="1049"/>
      <c r="P38" s="3476"/>
      <c r="Q38" s="1377">
        <f t="shared" si="11"/>
        <v>111</v>
      </c>
      <c r="R38" s="1077" t="s">
        <v>1336</v>
      </c>
      <c r="S38" s="1078">
        <f t="shared" si="12"/>
        <v>100</v>
      </c>
      <c r="T38" s="1077" t="s">
        <v>1336</v>
      </c>
      <c r="U38" s="1078">
        <f t="shared" si="13"/>
        <v>100</v>
      </c>
      <c r="V38" s="1077" t="s">
        <v>1336</v>
      </c>
      <c r="W38" s="1078">
        <f t="shared" si="14"/>
        <v>100</v>
      </c>
      <c r="X38" s="1079"/>
      <c r="Y38" s="3476"/>
      <c r="Z38" s="1087">
        <f t="shared" si="15"/>
        <v>111</v>
      </c>
      <c r="AA38" s="1086">
        <f t="shared" si="3"/>
        <v>1</v>
      </c>
      <c r="AB38" s="1086">
        <f t="shared" si="4"/>
        <v>1</v>
      </c>
      <c r="AC38" s="1086">
        <f t="shared" si="5"/>
        <v>1</v>
      </c>
    </row>
    <row r="39" spans="1:29" ht="15">
      <c r="A39" s="958"/>
      <c r="B39" s="1292">
        <v>111</v>
      </c>
      <c r="C39" s="1332"/>
      <c r="D39" s="916">
        <v>100</v>
      </c>
      <c r="E39" s="915"/>
      <c r="F39" s="1338">
        <f>SUMIF(110:110,E39,111:111)-SUMIF(110:110,C39,111:111)+100</f>
        <v>100</v>
      </c>
      <c r="G39" s="1332"/>
      <c r="H39" s="916">
        <f>SUMIF(110:110,G39,111:111)-SUMIF(110:110,C39,111:111)+100</f>
        <v>100</v>
      </c>
      <c r="I39" s="1332"/>
      <c r="J39" s="916">
        <f>SUMIF(110:110,I39,111:111)-SUMIF(110:110,C39,111:111)+100</f>
        <v>100</v>
      </c>
      <c r="K39" s="1046"/>
      <c r="L39" s="1041"/>
      <c r="M39" s="1029"/>
      <c r="N39" s="1029"/>
      <c r="O39" s="1040"/>
      <c r="P39" s="3476"/>
      <c r="Q39" s="652">
        <f t="shared" si="11"/>
        <v>111</v>
      </c>
      <c r="R39" s="1075" t="s">
        <v>1336</v>
      </c>
      <c r="S39" s="1076">
        <f t="shared" si="12"/>
        <v>100</v>
      </c>
      <c r="T39" s="1075" t="s">
        <v>1336</v>
      </c>
      <c r="U39" s="1076">
        <f t="shared" si="13"/>
        <v>100</v>
      </c>
      <c r="V39" s="1075" t="s">
        <v>1336</v>
      </c>
      <c r="W39" s="1076">
        <f t="shared" si="14"/>
        <v>100</v>
      </c>
      <c r="X39" s="1069"/>
      <c r="Y39" s="3476"/>
      <c r="Z39" s="1061">
        <f t="shared" si="15"/>
        <v>111</v>
      </c>
      <c r="AA39" s="1086">
        <f t="shared" si="3"/>
        <v>1</v>
      </c>
      <c r="AB39" s="1086">
        <f t="shared" si="4"/>
        <v>1</v>
      </c>
      <c r="AC39" s="1086">
        <f t="shared" si="5"/>
        <v>1</v>
      </c>
    </row>
    <row r="40" spans="1:29" ht="15">
      <c r="A40" s="1350"/>
      <c r="B40" s="918">
        <v>111</v>
      </c>
      <c r="C40" s="919"/>
      <c r="D40" s="920">
        <v>100</v>
      </c>
      <c r="E40" s="915"/>
      <c r="F40" s="1351">
        <f>SUMIF(112:112,E40,113:113)-SUMIF(112:112,C40,113:113)+100</f>
        <v>100</v>
      </c>
      <c r="G40" s="1332"/>
      <c r="H40" s="920">
        <f>SUMIF(112:112,G40,113:113)-SUMIF(112:112,C40,113:113)+100</f>
        <v>100</v>
      </c>
      <c r="I40" s="1332"/>
      <c r="J40" s="920">
        <f>SUMIF(112:112,I40,113:113)-SUMIF(112:112,C40,113:113)+100</f>
        <v>100</v>
      </c>
      <c r="K40" s="1046"/>
      <c r="L40" s="1041"/>
      <c r="M40" s="1029"/>
      <c r="N40" s="1029"/>
      <c r="O40" s="1040"/>
      <c r="P40" s="3541"/>
      <c r="Q40" s="652">
        <f t="shared" si="11"/>
        <v>111</v>
      </c>
      <c r="R40" s="1075" t="s">
        <v>1336</v>
      </c>
      <c r="S40" s="1076">
        <f t="shared" si="12"/>
        <v>100</v>
      </c>
      <c r="T40" s="1075" t="s">
        <v>1336</v>
      </c>
      <c r="U40" s="1076">
        <f t="shared" si="13"/>
        <v>100</v>
      </c>
      <c r="V40" s="1075" t="s">
        <v>1336</v>
      </c>
      <c r="W40" s="1076">
        <f t="shared" si="14"/>
        <v>100</v>
      </c>
      <c r="X40" s="1069"/>
      <c r="Y40" s="3541"/>
      <c r="Z40" s="1061">
        <f t="shared" si="15"/>
        <v>111</v>
      </c>
      <c r="AA40" s="1086">
        <f t="shared" si="3"/>
        <v>1</v>
      </c>
      <c r="AB40" s="1086">
        <f t="shared" si="4"/>
        <v>1</v>
      </c>
      <c r="AC40" s="1086">
        <f t="shared" si="5"/>
        <v>1</v>
      </c>
    </row>
    <row r="41" spans="1:29" ht="15">
      <c r="A41" s="965" t="s">
        <v>1362</v>
      </c>
      <c r="B41" s="1352"/>
      <c r="C41" s="1353" t="s">
        <v>124</v>
      </c>
      <c r="D41" s="1354"/>
      <c r="E41" s="1355"/>
      <c r="F41" s="1356"/>
      <c r="G41" s="1357"/>
      <c r="H41" s="1358"/>
      <c r="I41" s="1355"/>
      <c r="J41" s="1358"/>
      <c r="K41" s="1052"/>
      <c r="L41" s="1053"/>
      <c r="M41" s="982"/>
      <c r="N41" s="1029"/>
      <c r="O41" s="982"/>
      <c r="P41" s="3472" t="str">
        <f>A41</f>
        <v>成交单价（元/平方米）</v>
      </c>
      <c r="Q41" s="3472"/>
      <c r="R41" s="3535">
        <f>E41</f>
        <v>0</v>
      </c>
      <c r="S41" s="3535"/>
      <c r="T41" s="3535">
        <f>G41</f>
        <v>0</v>
      </c>
      <c r="U41" s="3535"/>
      <c r="V41" s="3535">
        <f>I41</f>
        <v>0</v>
      </c>
      <c r="W41" s="3535"/>
      <c r="X41" s="1017"/>
      <c r="Y41" s="1088"/>
      <c r="Z41" s="1017"/>
      <c r="AA41" s="1017"/>
      <c r="AB41" s="1017"/>
      <c r="AC41" s="1017"/>
    </row>
    <row r="42" spans="1:29" ht="15">
      <c r="A42" s="973" t="s">
        <v>1363</v>
      </c>
      <c r="B42" s="1359"/>
      <c r="C42" s="1360" t="e">
        <f>R43</f>
        <v>#DIV/0!</v>
      </c>
      <c r="D42" s="1361"/>
      <c r="E42" s="1362" t="e">
        <f>R42</f>
        <v>#DIV/0!</v>
      </c>
      <c r="F42" s="1362"/>
      <c r="G42" s="1360" t="e">
        <f>T42</f>
        <v>#DIV/0!</v>
      </c>
      <c r="H42" s="1361"/>
      <c r="I42" s="1362" t="e">
        <f>V42</f>
        <v>#DIV/0!</v>
      </c>
      <c r="J42" s="1361"/>
      <c r="K42" s="1054"/>
      <c r="L42" s="1053"/>
      <c r="M42" s="982"/>
      <c r="N42" s="1029"/>
      <c r="O42" s="982"/>
      <c r="P42" s="3472" t="str">
        <f>A42</f>
        <v>比较价值（元/平方米）</v>
      </c>
      <c r="Q42" s="3472"/>
      <c r="R42" s="3535" t="e">
        <f>IF(F1="售价",ROUND(PRODUCT(R41,AA7:AA40),0),ROUND(PRODUCT(R41,AA7:AA40),1))</f>
        <v>#DIV/0!</v>
      </c>
      <c r="S42" s="3535"/>
      <c r="T42" s="3535" t="e">
        <f>IF(F1="售价",ROUND(PRODUCT(T41,AB7:AB40),0),ROUND(PRODUCT(T41,AB7:AB40),1))</f>
        <v>#DIV/0!</v>
      </c>
      <c r="U42" s="3535"/>
      <c r="V42" s="3535" t="e">
        <f>IF(F1="售价",ROUND(PRODUCT(V41,AC7:AC40),0),ROUND(PRODUCT(V41,AC7:AC40),1))</f>
        <v>#DIV/0!</v>
      </c>
      <c r="W42" s="3535"/>
      <c r="X42" s="1017"/>
      <c r="Y42" s="1017"/>
      <c r="Z42" s="1017"/>
      <c r="AA42" s="1017"/>
      <c r="AB42" s="1017"/>
      <c r="AC42" s="1017"/>
    </row>
    <row r="43" spans="1:29" ht="15">
      <c r="A43" s="979" t="s">
        <v>1364</v>
      </c>
      <c r="B43" s="980"/>
      <c r="C43" s="1363" t="e">
        <f>R43</f>
        <v>#DIV/0!</v>
      </c>
      <c r="D43" s="1363"/>
      <c r="E43" s="1363"/>
      <c r="F43" s="1363"/>
      <c r="G43" s="1363"/>
      <c r="H43" s="1363"/>
      <c r="I43" s="1363"/>
      <c r="J43" s="1363"/>
      <c r="K43" s="1055"/>
      <c r="L43" s="1053"/>
      <c r="M43" s="982"/>
      <c r="N43" s="982"/>
      <c r="O43" s="982"/>
      <c r="P43" s="3478" t="str">
        <f>A43</f>
        <v>估价对象XX用房的比较价值（楼面单价，元/平方米）</v>
      </c>
      <c r="Q43" s="3479"/>
      <c r="R43" s="3542" t="e">
        <f>IF(F1="售价",ROUND(AVERAGE(R42:V42),0),ROUND(AVERAGE(R42:V42),1))</f>
        <v>#DIV/0!</v>
      </c>
      <c r="S43" s="3542"/>
      <c r="T43" s="3542"/>
      <c r="U43" s="3542"/>
      <c r="V43" s="3542"/>
      <c r="W43" s="3542"/>
      <c r="X43" s="1017"/>
      <c r="Y43" s="1017"/>
      <c r="Z43" s="1017"/>
      <c r="AA43" s="1017"/>
      <c r="AB43" s="1017"/>
      <c r="AC43" s="1017"/>
    </row>
    <row r="44" spans="1:29">
      <c r="A44" s="982"/>
      <c r="B44" s="982"/>
      <c r="C44" s="982"/>
      <c r="D44" s="982"/>
      <c r="E44" s="982"/>
      <c r="F44" s="982"/>
      <c r="G44" s="983"/>
      <c r="H44" s="982"/>
      <c r="I44" s="982"/>
      <c r="J44" s="982"/>
      <c r="K44" s="1057"/>
      <c r="L44" s="1058"/>
      <c r="M44" s="982"/>
      <c r="N44" s="982"/>
      <c r="O44" s="982"/>
    </row>
    <row r="45" spans="1:29">
      <c r="A45" s="982"/>
      <c r="B45" s="982"/>
      <c r="C45" s="982"/>
      <c r="D45" s="982"/>
      <c r="E45" s="982"/>
      <c r="F45" s="982"/>
      <c r="G45" s="982"/>
      <c r="H45" s="982"/>
      <c r="I45" s="982"/>
      <c r="J45" s="982"/>
      <c r="K45" s="1057"/>
      <c r="L45" s="1058"/>
      <c r="M45" s="982"/>
      <c r="N45" s="982"/>
      <c r="O45" s="982"/>
    </row>
    <row r="46" spans="1:29" ht="13.5" customHeight="1">
      <c r="A46" s="982"/>
      <c r="B46" s="982"/>
      <c r="C46" s="984" t="s">
        <v>1365</v>
      </c>
      <c r="D46" s="692"/>
      <c r="E46" s="985" t="e">
        <f>IF(E41&lt;E42,E42/E41-1,E41/E42-1)</f>
        <v>#DIV/0!</v>
      </c>
      <c r="F46" s="986" t="e">
        <f>IF(OR(E46&gt;=0.3,E46&lt;=-0.3),"超过30%","")</f>
        <v>#DIV/0!</v>
      </c>
      <c r="G46" s="985" t="e">
        <f>IF(G41&lt;G42,G42/G41-1,G41/G42-1)</f>
        <v>#DIV/0!</v>
      </c>
      <c r="H46" s="986" t="e">
        <f>IF(OR(G46&gt;=0.3,G46&lt;=-0.3),"超过30%","")</f>
        <v>#DIV/0!</v>
      </c>
      <c r="I46" s="985" t="e">
        <f>IF(I41&lt;I42,I42/I41-1,I41/I42-1)</f>
        <v>#DIV/0!</v>
      </c>
      <c r="J46" s="986" t="e">
        <f>IF(OR(I46&gt;=0.3,I46&lt;=-0.3),"超过30%","")</f>
        <v>#DIV/0!</v>
      </c>
      <c r="K46" s="1057"/>
      <c r="L46" s="1058"/>
      <c r="M46" s="982"/>
      <c r="N46" s="982"/>
      <c r="O46" s="982"/>
    </row>
    <row r="47" spans="1:29" ht="13.5" customHeight="1">
      <c r="A47" s="982"/>
      <c r="B47" s="982"/>
      <c r="C47" s="984" t="s">
        <v>1366</v>
      </c>
      <c r="D47" s="691"/>
      <c r="E47" s="985" t="e">
        <f>IF(E42&lt;G42,G42/E42-1,E42/G42-1)</f>
        <v>#DIV/0!</v>
      </c>
      <c r="F47" s="986" t="e">
        <f>IF(OR(E47&gt;=0.2,E47&lt;=-0.2),"超过20%","")</f>
        <v>#DIV/0!</v>
      </c>
      <c r="G47" s="985" t="e">
        <f>IF(G42&lt;I42,I42/G42-1,G42/I42-1)</f>
        <v>#DIV/0!</v>
      </c>
      <c r="H47" s="986" t="e">
        <f>IF(OR(G47&gt;=0.2,G47&lt;=-0.2),"超过20%","")</f>
        <v>#DIV/0!</v>
      </c>
      <c r="I47" s="985" t="e">
        <f>IF(I42&lt;E42,E42/I42-1,I42/E42-1)</f>
        <v>#DIV/0!</v>
      </c>
      <c r="J47" s="986" t="e">
        <f>IF(OR(I47&gt;=0.2,I47&lt;=-0.2),"超过20%","")</f>
        <v>#DIV/0!</v>
      </c>
      <c r="K47" s="1057"/>
      <c r="L47" s="1058"/>
      <c r="M47" s="982"/>
      <c r="N47" s="982"/>
      <c r="O47" s="982"/>
    </row>
    <row r="48" spans="1:29" s="869" customFormat="1" ht="13.5" customHeight="1">
      <c r="A48" s="987"/>
      <c r="B48" s="987"/>
      <c r="C48" s="984" t="s">
        <v>1367</v>
      </c>
      <c r="D48" s="691"/>
      <c r="E48" s="985" t="e">
        <f>IF(E41&lt;G41,G41/E41-1,E41/G41-1)</f>
        <v>#DIV/0!</v>
      </c>
      <c r="F48" s="986" t="e">
        <f>IF(OR(E48&gt;=0.3,E48&lt;=-0.3),"超过30%","")</f>
        <v>#DIV/0!</v>
      </c>
      <c r="G48" s="985" t="e">
        <f>IF(G41&lt;I41,I41/G41-1,G41/I41-1)</f>
        <v>#DIV/0!</v>
      </c>
      <c r="H48" s="986" t="e">
        <f>IF(OR(G48&gt;=0.3,G48&lt;=-0.3),"超过30%","")</f>
        <v>#DIV/0!</v>
      </c>
      <c r="I48" s="985" t="e">
        <f>IF(I41&lt;E41,E41/I41-1,I41/E41-1)</f>
        <v>#DIV/0!</v>
      </c>
      <c r="J48" s="986" t="e">
        <f>IF(OR(I48&gt;=0.3,I48&lt;=-0.3),"超过30%","")</f>
        <v>#DIV/0!</v>
      </c>
      <c r="K48" s="1059"/>
      <c r="L48" s="1060"/>
      <c r="M48" s="987"/>
      <c r="N48" s="987"/>
      <c r="O48" s="987"/>
    </row>
    <row r="49" spans="1:17" s="869" customFormat="1">
      <c r="A49" s="987"/>
      <c r="B49" s="988"/>
      <c r="C49" s="1014"/>
      <c r="D49" s="987"/>
      <c r="E49" s="987"/>
      <c r="F49" s="987"/>
      <c r="G49" s="987"/>
      <c r="H49" s="987"/>
      <c r="I49" s="987"/>
      <c r="J49" s="987"/>
      <c r="K49" s="1059"/>
      <c r="L49" s="1060"/>
      <c r="M49" s="987"/>
      <c r="N49" s="987"/>
      <c r="O49" s="987"/>
    </row>
    <row r="50" spans="1:17">
      <c r="A50" s="982"/>
      <c r="B50" s="988"/>
      <c r="C50" s="1014"/>
      <c r="D50" s="982"/>
      <c r="E50" s="982"/>
      <c r="F50" s="982"/>
      <c r="G50" s="982"/>
      <c r="H50" s="982"/>
      <c r="I50" s="982"/>
      <c r="J50" s="982"/>
      <c r="K50" s="1057"/>
      <c r="L50" s="1058"/>
      <c r="M50" s="982"/>
      <c r="N50" s="982"/>
      <c r="O50" s="982"/>
    </row>
    <row r="51" spans="1:17" ht="21">
      <c r="A51" s="1016" t="s">
        <v>1368</v>
      </c>
      <c r="B51" s="1017"/>
      <c r="C51" s="1018"/>
      <c r="D51" s="1018"/>
      <c r="E51" s="1018"/>
      <c r="F51" s="1019"/>
      <c r="G51" s="1019"/>
      <c r="H51" s="1018"/>
      <c r="I51" s="1018"/>
      <c r="J51" s="1018"/>
      <c r="K51" s="1309"/>
      <c r="L51" s="1310"/>
      <c r="M51" s="1067"/>
      <c r="N51" s="1067"/>
      <c r="O51" s="1067"/>
      <c r="P51" s="1068"/>
      <c r="Q51" s="1080"/>
    </row>
    <row r="52" spans="1:17" s="871" customFormat="1" ht="15">
      <c r="A52" s="1364" t="s">
        <v>1334</v>
      </c>
      <c r="B52" s="1365"/>
      <c r="C52" s="1366" t="str">
        <f>YEAR(C7)&amp;"-"&amp;MONTH(C7)</f>
        <v>2018-9</v>
      </c>
      <c r="D52" s="1367">
        <f>EDATE(C52,-1)</f>
        <v>43313</v>
      </c>
      <c r="E52" s="1367">
        <f t="shared" ref="E52:O52" si="16">EDATE(D52,-1)</f>
        <v>43282</v>
      </c>
      <c r="F52" s="1367">
        <f t="shared" si="16"/>
        <v>43252</v>
      </c>
      <c r="G52" s="1367">
        <f t="shared" si="16"/>
        <v>43221</v>
      </c>
      <c r="H52" s="1367">
        <f t="shared" si="16"/>
        <v>43191</v>
      </c>
      <c r="I52" s="1367">
        <f t="shared" si="16"/>
        <v>43160</v>
      </c>
      <c r="J52" s="1367">
        <f t="shared" si="16"/>
        <v>43132</v>
      </c>
      <c r="K52" s="1367">
        <f t="shared" si="16"/>
        <v>43101</v>
      </c>
      <c r="L52" s="1367">
        <f t="shared" si="16"/>
        <v>43070</v>
      </c>
      <c r="M52" s="1367">
        <f t="shared" si="16"/>
        <v>43040</v>
      </c>
      <c r="N52" s="1367">
        <f t="shared" si="16"/>
        <v>43009</v>
      </c>
      <c r="O52" s="1367">
        <f t="shared" si="16"/>
        <v>42979</v>
      </c>
      <c r="P52" s="1143"/>
    </row>
    <row r="53" spans="1:17" s="866" customFormat="1" ht="15">
      <c r="A53" s="1368"/>
      <c r="B53" s="1100"/>
      <c r="C53" s="1369">
        <v>100</v>
      </c>
      <c r="D53" s="1104"/>
      <c r="E53" s="1104"/>
      <c r="F53" s="1104"/>
      <c r="G53" s="1104"/>
      <c r="H53" s="1104"/>
      <c r="I53" s="1104"/>
      <c r="J53" s="1104"/>
      <c r="K53" s="1104"/>
      <c r="L53" s="1104"/>
      <c r="M53" s="1376"/>
      <c r="N53" s="1104"/>
      <c r="O53" s="1152"/>
      <c r="P53" s="1080"/>
    </row>
    <row r="54" spans="1:17" s="866" customFormat="1" ht="15">
      <c r="A54" s="1095" t="s">
        <v>1369</v>
      </c>
      <c r="B54" s="1096"/>
      <c r="C54" s="1097"/>
      <c r="D54" s="1098"/>
      <c r="E54" s="1098"/>
      <c r="F54" s="1098"/>
      <c r="G54" s="1098"/>
      <c r="H54" s="1098"/>
      <c r="I54" s="1098"/>
      <c r="J54" s="1098"/>
      <c r="K54" s="1098"/>
      <c r="L54" s="1098"/>
      <c r="M54" s="1146"/>
      <c r="N54" s="1098"/>
      <c r="O54" s="1147"/>
      <c r="P54" s="1080"/>
      <c r="Q54" s="1080"/>
    </row>
    <row r="55" spans="1:17" s="866" customFormat="1" ht="15">
      <c r="A55" s="1099" t="s">
        <v>1337</v>
      </c>
      <c r="B55" s="1100"/>
      <c r="C55" s="1101" t="s">
        <v>1338</v>
      </c>
      <c r="D55" s="1102"/>
      <c r="E55" s="1102"/>
      <c r="F55" s="1102"/>
      <c r="G55" s="1102"/>
      <c r="H55" s="1102"/>
      <c r="I55" s="1102"/>
      <c r="J55" s="1102"/>
      <c r="K55" s="1102"/>
      <c r="L55" s="1148"/>
      <c r="M55" s="1149"/>
      <c r="N55" s="1150"/>
      <c r="O55" s="1150"/>
      <c r="P55" s="1151"/>
      <c r="Q55" s="1080"/>
    </row>
    <row r="56" spans="1:17" s="866" customFormat="1" ht="15">
      <c r="A56" s="1099"/>
      <c r="B56" s="1100"/>
      <c r="C56" s="1103">
        <v>100</v>
      </c>
      <c r="D56" s="1104"/>
      <c r="E56" s="1104"/>
      <c r="F56" s="1104"/>
      <c r="G56" s="1104"/>
      <c r="H56" s="1104"/>
      <c r="I56" s="1104"/>
      <c r="J56" s="1104"/>
      <c r="K56" s="1104"/>
      <c r="L56" s="1104"/>
      <c r="M56" s="1152"/>
      <c r="N56" s="1150"/>
      <c r="O56" s="1150"/>
      <c r="P56" s="1080"/>
      <c r="Q56" s="1080"/>
    </row>
    <row r="57" spans="1:17">
      <c r="A57" s="1105" t="s">
        <v>1370</v>
      </c>
      <c r="B57" s="1106" t="s">
        <v>346</v>
      </c>
      <c r="C57" s="1128">
        <f>C9</f>
        <v>0</v>
      </c>
      <c r="D57" s="1050"/>
      <c r="E57" s="1050"/>
      <c r="F57" s="1050"/>
      <c r="G57" s="1050"/>
      <c r="H57" s="1050"/>
      <c r="I57" s="1050"/>
      <c r="J57" s="1050"/>
      <c r="K57" s="1153"/>
      <c r="L57" s="1154"/>
      <c r="M57" s="1155"/>
      <c r="N57" s="1156"/>
      <c r="O57" s="1156"/>
      <c r="P57" s="1157"/>
      <c r="Q57" s="1080"/>
    </row>
    <row r="58" spans="1:17" ht="15">
      <c r="A58" s="1107"/>
      <c r="B58" s="1108"/>
      <c r="C58" s="1109">
        <v>100</v>
      </c>
      <c r="D58" s="1109"/>
      <c r="E58" s="1109"/>
      <c r="F58" s="1109"/>
      <c r="G58" s="1109"/>
      <c r="H58" s="1109"/>
      <c r="I58" s="1109"/>
      <c r="J58" s="1109"/>
      <c r="K58" s="1109"/>
      <c r="L58" s="1109"/>
      <c r="M58" s="1158"/>
      <c r="N58" s="1159"/>
      <c r="O58" s="1159"/>
      <c r="P58" s="1157"/>
      <c r="Q58" s="1080"/>
    </row>
    <row r="59" spans="1:17" ht="27">
      <c r="A59" s="1107"/>
      <c r="B59" s="1110" t="s">
        <v>1343</v>
      </c>
      <c r="C59" s="1111" t="s">
        <v>1371</v>
      </c>
      <c r="D59" s="1111" t="s">
        <v>1372</v>
      </c>
      <c r="E59" s="1111" t="s">
        <v>1373</v>
      </c>
      <c r="F59" s="1111" t="s">
        <v>1374</v>
      </c>
      <c r="G59" s="1111" t="s">
        <v>1375</v>
      </c>
      <c r="H59" s="1111" t="s">
        <v>1376</v>
      </c>
      <c r="I59" s="1111" t="s">
        <v>1377</v>
      </c>
      <c r="J59" s="1111"/>
      <c r="K59" s="1160"/>
      <c r="L59" s="1161"/>
      <c r="M59" s="1162"/>
      <c r="N59" s="1156"/>
      <c r="O59" s="1156"/>
      <c r="P59" s="1157"/>
      <c r="Q59" s="1080"/>
    </row>
    <row r="60" spans="1:17" ht="15">
      <c r="A60" s="1107"/>
      <c r="B60" s="1112"/>
      <c r="C60" s="1113" t="s">
        <v>1417</v>
      </c>
      <c r="D60" s="1113" t="s">
        <v>1417</v>
      </c>
      <c r="E60" s="1113">
        <v>100</v>
      </c>
      <c r="F60" s="1113">
        <f>E60-$K10</f>
        <v>100</v>
      </c>
      <c r="G60" s="1113">
        <f>F60-$K10</f>
        <v>100</v>
      </c>
      <c r="H60" s="1113">
        <f>G60-$K10</f>
        <v>100</v>
      </c>
      <c r="I60" s="1113">
        <f>H60-$K10</f>
        <v>100</v>
      </c>
      <c r="J60" s="1113"/>
      <c r="K60" s="1113"/>
      <c r="L60" s="1113"/>
      <c r="M60" s="1163"/>
      <c r="N60" s="1159"/>
      <c r="O60" s="1159"/>
      <c r="P60" s="1157"/>
      <c r="Q60" s="1080"/>
    </row>
    <row r="61" spans="1:17" ht="15">
      <c r="A61" s="1107"/>
      <c r="B61" s="1114" t="s">
        <v>1344</v>
      </c>
      <c r="C61" s="1115" t="str">
        <f>C62&amp;"（含）"&amp;"-"&amp;D62</f>
        <v>（含）-</v>
      </c>
      <c r="D61" s="1115" t="str">
        <f t="shared" ref="D61:L61" si="17">D62&amp;"（含）"&amp;"-"&amp;E62</f>
        <v>（含）-</v>
      </c>
      <c r="E61" s="1115" t="str">
        <f t="shared" si="17"/>
        <v>（含）-</v>
      </c>
      <c r="F61" s="1115" t="str">
        <f t="shared" si="17"/>
        <v>（含）-</v>
      </c>
      <c r="G61" s="1115" t="str">
        <f t="shared" si="17"/>
        <v>（含）-</v>
      </c>
      <c r="H61" s="1115" t="str">
        <f t="shared" si="17"/>
        <v>（含）-</v>
      </c>
      <c r="I61" s="1115" t="str">
        <f t="shared" si="17"/>
        <v>（含）-</v>
      </c>
      <c r="J61" s="1115" t="str">
        <f t="shared" si="17"/>
        <v>（含）-</v>
      </c>
      <c r="K61" s="1115" t="str">
        <f t="shared" si="17"/>
        <v>（含）-</v>
      </c>
      <c r="L61" s="1115" t="str">
        <f t="shared" si="17"/>
        <v>（含）-</v>
      </c>
      <c r="M61" s="928" t="str">
        <f>M62&amp;"（含）"&amp;"-"&amp;P62</f>
        <v>（含）-</v>
      </c>
      <c r="N61" s="1159"/>
      <c r="O61" s="1159"/>
      <c r="P61" s="1157"/>
      <c r="Q61" s="1080"/>
    </row>
    <row r="62" spans="1:17" ht="15">
      <c r="A62" s="1107"/>
      <c r="B62" s="1116"/>
      <c r="C62" s="913"/>
      <c r="D62" s="913"/>
      <c r="E62" s="913"/>
      <c r="F62" s="913"/>
      <c r="G62" s="913"/>
      <c r="H62" s="913"/>
      <c r="I62" s="913"/>
      <c r="J62" s="913"/>
      <c r="K62" s="1164"/>
      <c r="L62" s="1165"/>
      <c r="M62" s="1166"/>
      <c r="N62" s="1156"/>
      <c r="O62" s="1156"/>
      <c r="P62" s="1157"/>
      <c r="Q62" s="1080"/>
    </row>
    <row r="63" spans="1:17" ht="15">
      <c r="A63" s="1107"/>
      <c r="B63" s="1108"/>
      <c r="C63" s="1113">
        <v>100</v>
      </c>
      <c r="D63" s="1113">
        <f t="shared" ref="D63:M63" si="18">C63-$K11</f>
        <v>100</v>
      </c>
      <c r="E63" s="1113">
        <f t="shared" si="18"/>
        <v>100</v>
      </c>
      <c r="F63" s="1113">
        <f t="shared" si="18"/>
        <v>100</v>
      </c>
      <c r="G63" s="1113">
        <f t="shared" si="18"/>
        <v>100</v>
      </c>
      <c r="H63" s="1113">
        <f t="shared" si="18"/>
        <v>100</v>
      </c>
      <c r="I63" s="1113">
        <f t="shared" si="18"/>
        <v>100</v>
      </c>
      <c r="J63" s="1113">
        <f t="shared" si="18"/>
        <v>100</v>
      </c>
      <c r="K63" s="1113">
        <f t="shared" si="18"/>
        <v>100</v>
      </c>
      <c r="L63" s="1113">
        <f t="shared" si="18"/>
        <v>100</v>
      </c>
      <c r="M63" s="1163">
        <f t="shared" si="18"/>
        <v>100</v>
      </c>
      <c r="N63" s="1159"/>
      <c r="O63" s="1159"/>
      <c r="P63" s="1157"/>
      <c r="Q63" s="1080"/>
    </row>
    <row r="64" spans="1:17" s="868" customFormat="1" ht="15">
      <c r="A64" s="1117"/>
      <c r="B64" s="1110">
        <f>B12</f>
        <v>111</v>
      </c>
      <c r="C64" s="1118"/>
      <c r="D64" s="1118"/>
      <c r="E64" s="1118"/>
      <c r="F64" s="1118"/>
      <c r="G64" s="1118"/>
      <c r="H64" s="1119"/>
      <c r="I64" s="1119"/>
      <c r="J64" s="1119"/>
      <c r="K64" s="1119"/>
      <c r="L64" s="1167"/>
      <c r="M64" s="1168"/>
      <c r="N64" s="1169"/>
      <c r="O64" s="1169"/>
      <c r="P64" s="1170"/>
      <c r="Q64" s="1200"/>
    </row>
    <row r="65" spans="1:17" s="868" customFormat="1" ht="15">
      <c r="A65" s="1117"/>
      <c r="B65" s="1112"/>
      <c r="C65" s="1120"/>
      <c r="D65" s="1109"/>
      <c r="E65" s="1109"/>
      <c r="F65" s="1109"/>
      <c r="G65" s="1109"/>
      <c r="H65" s="1109"/>
      <c r="I65" s="1109"/>
      <c r="J65" s="1109"/>
      <c r="K65" s="1109"/>
      <c r="L65" s="1109"/>
      <c r="M65" s="1158"/>
      <c r="N65" s="1159"/>
      <c r="O65" s="1159"/>
      <c r="P65" s="1170"/>
      <c r="Q65" s="1200"/>
    </row>
    <row r="66" spans="1:17" s="868" customFormat="1" ht="15">
      <c r="A66" s="1117"/>
      <c r="B66" s="1110">
        <f>B13</f>
        <v>111</v>
      </c>
      <c r="C66" s="1118"/>
      <c r="D66" s="1118"/>
      <c r="E66" s="1118"/>
      <c r="F66" s="1118"/>
      <c r="G66" s="1118"/>
      <c r="H66" s="1119"/>
      <c r="I66" s="1119"/>
      <c r="J66" s="1119"/>
      <c r="K66" s="1119"/>
      <c r="L66" s="1167"/>
      <c r="M66" s="1168"/>
      <c r="N66" s="1169"/>
      <c r="O66" s="1169"/>
      <c r="P66" s="1171"/>
      <c r="Q66" s="1201"/>
    </row>
    <row r="67" spans="1:17" s="868" customFormat="1" ht="15">
      <c r="A67" s="1117"/>
      <c r="B67" s="1112"/>
      <c r="C67" s="1120"/>
      <c r="D67" s="1109"/>
      <c r="E67" s="1109"/>
      <c r="F67" s="1109"/>
      <c r="G67" s="1120"/>
      <c r="H67" s="1121"/>
      <c r="I67" s="1121"/>
      <c r="J67" s="1121"/>
      <c r="K67" s="1121"/>
      <c r="L67" s="1121"/>
      <c r="M67" s="1172"/>
      <c r="N67" s="1169"/>
      <c r="O67" s="1169"/>
      <c r="P67" s="1170"/>
      <c r="Q67" s="1200"/>
    </row>
    <row r="68" spans="1:17" s="868" customFormat="1" ht="15">
      <c r="A68" s="1117"/>
      <c r="B68" s="1114">
        <f>B14</f>
        <v>111</v>
      </c>
      <c r="C68" s="1102"/>
      <c r="D68" s="1102"/>
      <c r="E68" s="1102"/>
      <c r="F68" s="1102"/>
      <c r="G68" s="1102"/>
      <c r="H68" s="1122"/>
      <c r="I68" s="1122"/>
      <c r="J68" s="1122"/>
      <c r="K68" s="1122"/>
      <c r="L68" s="1173"/>
      <c r="M68" s="1174"/>
      <c r="N68" s="1169"/>
      <c r="O68" s="1169"/>
      <c r="P68" s="1175"/>
      <c r="Q68" s="1200"/>
    </row>
    <row r="69" spans="1:17" s="868" customFormat="1" ht="15">
      <c r="A69" s="1123"/>
      <c r="B69" s="1124"/>
      <c r="C69" s="1125"/>
      <c r="D69" s="1125"/>
      <c r="E69" s="1125"/>
      <c r="F69" s="1125"/>
      <c r="G69" s="1125"/>
      <c r="H69" s="1126"/>
      <c r="I69" s="1126"/>
      <c r="J69" s="1126"/>
      <c r="K69" s="1126"/>
      <c r="L69" s="1126"/>
      <c r="M69" s="1176"/>
      <c r="N69" s="1169"/>
      <c r="O69" s="1169"/>
      <c r="P69" s="1170"/>
      <c r="Q69" s="1200"/>
    </row>
    <row r="70" spans="1:17">
      <c r="A70" s="1105" t="s">
        <v>1345</v>
      </c>
      <c r="B70" s="1106" t="s">
        <v>644</v>
      </c>
      <c r="C70" s="1127" t="s">
        <v>1378</v>
      </c>
      <c r="D70" s="1127" t="s">
        <v>1379</v>
      </c>
      <c r="E70" s="1127" t="s">
        <v>1380</v>
      </c>
      <c r="F70" s="1127" t="s">
        <v>1381</v>
      </c>
      <c r="G70" s="1127" t="s">
        <v>1382</v>
      </c>
      <c r="H70" s="1128"/>
      <c r="I70" s="1128"/>
      <c r="J70" s="1128"/>
      <c r="K70" s="1177"/>
      <c r="L70" s="1178"/>
      <c r="M70" s="1179"/>
      <c r="N70" s="1156"/>
      <c r="O70" s="1156"/>
      <c r="P70" s="1180"/>
      <c r="Q70" s="1080"/>
    </row>
    <row r="71" spans="1:17" ht="15">
      <c r="A71" s="1107"/>
      <c r="B71" s="1112"/>
      <c r="C71" s="1113">
        <v>100</v>
      </c>
      <c r="D71" s="1113">
        <f>C71-$K15</f>
        <v>100</v>
      </c>
      <c r="E71" s="1113">
        <f>D71-$K15</f>
        <v>100</v>
      </c>
      <c r="F71" s="1113">
        <f>E71-$K15</f>
        <v>100</v>
      </c>
      <c r="G71" s="1113">
        <f>F71-$K15</f>
        <v>100</v>
      </c>
      <c r="H71" s="1113"/>
      <c r="I71" s="1113"/>
      <c r="J71" s="1113"/>
      <c r="K71" s="1113"/>
      <c r="L71" s="1113"/>
      <c r="M71" s="1163"/>
      <c r="N71" s="1159"/>
      <c r="O71" s="1159"/>
      <c r="P71" s="1157"/>
      <c r="Q71" s="1080"/>
    </row>
    <row r="72" spans="1:17" ht="15">
      <c r="A72" s="1107"/>
      <c r="B72" s="1110" t="s">
        <v>648</v>
      </c>
      <c r="C72" s="1129" t="s">
        <v>1378</v>
      </c>
      <c r="D72" s="1129" t="s">
        <v>1379</v>
      </c>
      <c r="E72" s="1129" t="s">
        <v>1380</v>
      </c>
      <c r="F72" s="1129" t="s">
        <v>1381</v>
      </c>
      <c r="G72" s="1129" t="s">
        <v>1382</v>
      </c>
      <c r="H72" s="1111"/>
      <c r="I72" s="1111"/>
      <c r="J72" s="1111"/>
      <c r="K72" s="1160"/>
      <c r="L72" s="1161"/>
      <c r="M72" s="1162"/>
      <c r="N72" s="1156"/>
      <c r="O72" s="1156"/>
      <c r="P72" s="1157"/>
      <c r="Q72" s="1080"/>
    </row>
    <row r="73" spans="1:17" ht="15">
      <c r="A73" s="1107"/>
      <c r="B73" s="1112"/>
      <c r="C73" s="1113">
        <v>100</v>
      </c>
      <c r="D73" s="1113">
        <f>C73-$K17</f>
        <v>100</v>
      </c>
      <c r="E73" s="1113">
        <f>D73-$K17</f>
        <v>100</v>
      </c>
      <c r="F73" s="1113">
        <f>E73-$K17</f>
        <v>100</v>
      </c>
      <c r="G73" s="1113">
        <f>F73-$K17</f>
        <v>100</v>
      </c>
      <c r="H73" s="1113"/>
      <c r="I73" s="1113"/>
      <c r="J73" s="1113"/>
      <c r="K73" s="1113"/>
      <c r="L73" s="1113"/>
      <c r="M73" s="1163"/>
      <c r="N73" s="1159"/>
      <c r="O73" s="1159"/>
      <c r="P73" s="1157"/>
      <c r="Q73" s="1080"/>
    </row>
    <row r="74" spans="1:17" ht="15">
      <c r="A74" s="1107"/>
      <c r="B74" s="1110" t="s">
        <v>652</v>
      </c>
      <c r="C74" s="1129" t="s">
        <v>1378</v>
      </c>
      <c r="D74" s="1129" t="s">
        <v>1379</v>
      </c>
      <c r="E74" s="1129" t="s">
        <v>1380</v>
      </c>
      <c r="F74" s="1129" t="s">
        <v>1381</v>
      </c>
      <c r="G74" s="1129" t="s">
        <v>1382</v>
      </c>
      <c r="H74" s="1111"/>
      <c r="I74" s="1111"/>
      <c r="J74" s="1111"/>
      <c r="K74" s="1160"/>
      <c r="L74" s="1161"/>
      <c r="M74" s="1162"/>
      <c r="N74" s="1156"/>
      <c r="O74" s="1156"/>
      <c r="P74" s="1157"/>
      <c r="Q74" s="1080"/>
    </row>
    <row r="75" spans="1:17" ht="15">
      <c r="A75" s="1107"/>
      <c r="B75" s="1112"/>
      <c r="C75" s="1113">
        <v>100</v>
      </c>
      <c r="D75" s="1113">
        <f>C75-$K19</f>
        <v>100</v>
      </c>
      <c r="E75" s="1113">
        <f>D75-$K19</f>
        <v>100</v>
      </c>
      <c r="F75" s="1113">
        <f>E75-$K19</f>
        <v>100</v>
      </c>
      <c r="G75" s="1113">
        <f>F75-$K19</f>
        <v>100</v>
      </c>
      <c r="H75" s="1113"/>
      <c r="I75" s="1113"/>
      <c r="J75" s="1113"/>
      <c r="K75" s="1113"/>
      <c r="L75" s="1113"/>
      <c r="M75" s="1163"/>
      <c r="N75" s="1159"/>
      <c r="O75" s="1159"/>
      <c r="P75" s="1157"/>
      <c r="Q75" s="1080"/>
    </row>
    <row r="76" spans="1:17" ht="15">
      <c r="A76" s="1107"/>
      <c r="B76" s="1114" t="s">
        <v>654</v>
      </c>
      <c r="C76" s="1134" t="s">
        <v>1383</v>
      </c>
      <c r="D76" s="1134" t="s">
        <v>1384</v>
      </c>
      <c r="E76" s="1134" t="s">
        <v>1385</v>
      </c>
      <c r="F76" s="1134" t="s">
        <v>1386</v>
      </c>
      <c r="G76" s="1134" t="s">
        <v>1387</v>
      </c>
      <c r="H76" s="1111"/>
      <c r="I76" s="1111"/>
      <c r="J76" s="1111"/>
      <c r="K76" s="1111"/>
      <c r="L76" s="1111"/>
      <c r="M76" s="1381"/>
      <c r="N76" s="1159"/>
      <c r="O76" s="1159"/>
      <c r="P76" s="1157"/>
      <c r="Q76" s="1080"/>
    </row>
    <row r="77" spans="1:17" ht="15">
      <c r="A77" s="1107"/>
      <c r="B77" s="1114"/>
      <c r="C77" s="1113">
        <v>100</v>
      </c>
      <c r="D77" s="1113">
        <f>C77-$K21</f>
        <v>100</v>
      </c>
      <c r="E77" s="1113">
        <f>D77-$K21</f>
        <v>100</v>
      </c>
      <c r="F77" s="1113">
        <f>E77-$K21</f>
        <v>100</v>
      </c>
      <c r="G77" s="1113">
        <f>F77-$K21</f>
        <v>100</v>
      </c>
      <c r="H77" s="1134"/>
      <c r="I77" s="1134"/>
      <c r="J77" s="1134"/>
      <c r="K77" s="1134"/>
      <c r="L77" s="1134"/>
      <c r="M77" s="930"/>
      <c r="N77" s="1159"/>
      <c r="O77" s="1159"/>
      <c r="P77" s="1157"/>
      <c r="Q77" s="1080"/>
    </row>
    <row r="78" spans="1:17" ht="15">
      <c r="A78" s="1107"/>
      <c r="B78" s="1110" t="s">
        <v>1420</v>
      </c>
      <c r="C78" s="1129" t="s">
        <v>1378</v>
      </c>
      <c r="D78" s="1129" t="s">
        <v>1379</v>
      </c>
      <c r="E78" s="1129" t="s">
        <v>1380</v>
      </c>
      <c r="F78" s="1129" t="s">
        <v>1381</v>
      </c>
      <c r="G78" s="1129" t="s">
        <v>1382</v>
      </c>
      <c r="H78" s="1111"/>
      <c r="I78" s="1111"/>
      <c r="J78" s="1111"/>
      <c r="K78" s="1160"/>
      <c r="L78" s="1161"/>
      <c r="M78" s="1162"/>
      <c r="N78" s="1156"/>
      <c r="O78" s="1156"/>
      <c r="P78" s="1157"/>
      <c r="Q78" s="1080"/>
    </row>
    <row r="79" spans="1:17" ht="15">
      <c r="A79" s="1107"/>
      <c r="B79" s="1112"/>
      <c r="C79" s="1113">
        <v>100</v>
      </c>
      <c r="D79" s="1113">
        <f>C79-$K23</f>
        <v>100</v>
      </c>
      <c r="E79" s="1113">
        <f>D79-$K23</f>
        <v>100</v>
      </c>
      <c r="F79" s="1113">
        <f>E79-$K23</f>
        <v>100</v>
      </c>
      <c r="G79" s="1113">
        <f>F79-$K23</f>
        <v>100</v>
      </c>
      <c r="H79" s="1113"/>
      <c r="I79" s="1113"/>
      <c r="J79" s="1113"/>
      <c r="K79" s="1113"/>
      <c r="L79" s="1113"/>
      <c r="M79" s="1163"/>
      <c r="N79" s="1159"/>
      <c r="O79" s="1159"/>
      <c r="P79" s="1157"/>
      <c r="Q79" s="1080"/>
    </row>
    <row r="80" spans="1:17" s="866" customFormat="1" ht="15">
      <c r="A80" s="1130"/>
      <c r="B80" s="1110">
        <f>B25</f>
        <v>111</v>
      </c>
      <c r="C80" s="1118"/>
      <c r="D80" s="1118"/>
      <c r="E80" s="1118"/>
      <c r="F80" s="1118"/>
      <c r="G80" s="1118"/>
      <c r="H80" s="1118"/>
      <c r="I80" s="1118"/>
      <c r="J80" s="1118"/>
      <c r="K80" s="1118"/>
      <c r="L80" s="1382"/>
      <c r="M80" s="1383"/>
      <c r="N80" s="1150"/>
      <c r="O80" s="1150"/>
      <c r="P80" s="1157"/>
      <c r="Q80" s="1080"/>
    </row>
    <row r="81" spans="1:17" s="866" customFormat="1" ht="15">
      <c r="A81" s="1130"/>
      <c r="B81" s="1112"/>
      <c r="C81" s="1120"/>
      <c r="D81" s="1109"/>
      <c r="E81" s="1109"/>
      <c r="F81" s="1109"/>
      <c r="G81" s="1109"/>
      <c r="H81" s="1109"/>
      <c r="I81" s="1109"/>
      <c r="J81" s="1109"/>
      <c r="K81" s="1109"/>
      <c r="L81" s="1109"/>
      <c r="M81" s="1158"/>
      <c r="N81" s="1159"/>
      <c r="O81" s="1159"/>
      <c r="P81" s="1157"/>
      <c r="Q81" s="1080"/>
    </row>
    <row r="82" spans="1:17" s="866" customFormat="1" ht="15">
      <c r="A82" s="1130"/>
      <c r="B82" s="1110">
        <f>B26</f>
        <v>111</v>
      </c>
      <c r="C82" s="1118"/>
      <c r="D82" s="1118"/>
      <c r="E82" s="1118"/>
      <c r="F82" s="1118"/>
      <c r="G82" s="1118"/>
      <c r="H82" s="1118"/>
      <c r="I82" s="1118"/>
      <c r="J82" s="1118"/>
      <c r="K82" s="1118"/>
      <c r="L82" s="1382"/>
      <c r="M82" s="1383"/>
      <c r="N82" s="1150"/>
      <c r="O82" s="1150"/>
      <c r="P82" s="1157"/>
      <c r="Q82" s="1080"/>
    </row>
    <row r="83" spans="1:17" s="866" customFormat="1" ht="15">
      <c r="A83" s="1130"/>
      <c r="B83" s="1112"/>
      <c r="C83" s="1120"/>
      <c r="D83" s="1109"/>
      <c r="E83" s="1109"/>
      <c r="F83" s="1109"/>
      <c r="G83" s="1109"/>
      <c r="H83" s="1109"/>
      <c r="I83" s="1109"/>
      <c r="J83" s="1109"/>
      <c r="K83" s="1109"/>
      <c r="L83" s="1109"/>
      <c r="M83" s="1158"/>
      <c r="N83" s="1159"/>
      <c r="O83" s="1159"/>
      <c r="P83" s="1157"/>
      <c r="Q83" s="1080"/>
    </row>
    <row r="84" spans="1:17" s="868" customFormat="1" ht="15">
      <c r="A84" s="1117"/>
      <c r="B84" s="1110">
        <f>B27</f>
        <v>111</v>
      </c>
      <c r="C84" s="1118"/>
      <c r="D84" s="1118"/>
      <c r="E84" s="1118"/>
      <c r="F84" s="1118"/>
      <c r="G84" s="1118"/>
      <c r="H84" s="1118"/>
      <c r="I84" s="1118"/>
      <c r="J84" s="1118"/>
      <c r="K84" s="1118"/>
      <c r="L84" s="1382"/>
      <c r="M84" s="1383"/>
      <c r="N84" s="1169"/>
      <c r="O84" s="1169"/>
      <c r="P84" s="1170"/>
      <c r="Q84" s="1200"/>
    </row>
    <row r="85" spans="1:17" s="868" customFormat="1" ht="15">
      <c r="A85" s="1117"/>
      <c r="B85" s="1112"/>
      <c r="C85" s="1120"/>
      <c r="D85" s="1109"/>
      <c r="E85" s="1109"/>
      <c r="F85" s="1109"/>
      <c r="G85" s="1109"/>
      <c r="H85" s="1109"/>
      <c r="I85" s="1109"/>
      <c r="J85" s="1109"/>
      <c r="K85" s="1109"/>
      <c r="L85" s="1109"/>
      <c r="M85" s="1158"/>
      <c r="N85" s="1169"/>
      <c r="O85" s="1169"/>
      <c r="P85" s="1170"/>
      <c r="Q85" s="1200"/>
    </row>
    <row r="86" spans="1:17" ht="15">
      <c r="A86" s="1107"/>
      <c r="B86" s="1114">
        <f>B28</f>
        <v>111</v>
      </c>
      <c r="C86" s="1102"/>
      <c r="D86" s="1102"/>
      <c r="E86" s="1102"/>
      <c r="F86" s="1102"/>
      <c r="G86" s="1136"/>
      <c r="H86" s="1136"/>
      <c r="I86" s="1136"/>
      <c r="J86" s="1136"/>
      <c r="K86" s="1190"/>
      <c r="L86" s="1191"/>
      <c r="M86" s="1192"/>
      <c r="N86" s="1156"/>
      <c r="O86" s="1156"/>
      <c r="P86" s="1157"/>
      <c r="Q86" s="1080"/>
    </row>
    <row r="87" spans="1:17" ht="15">
      <c r="A87" s="1460"/>
      <c r="B87" s="1124"/>
      <c r="C87" s="1125"/>
      <c r="D87" s="1125"/>
      <c r="E87" s="1125"/>
      <c r="F87" s="1125"/>
      <c r="G87" s="1137"/>
      <c r="H87" s="1137"/>
      <c r="I87" s="1137"/>
      <c r="J87" s="1137"/>
      <c r="K87" s="1137"/>
      <c r="L87" s="1137"/>
      <c r="M87" s="1193"/>
      <c r="N87" s="1159"/>
      <c r="O87" s="1159"/>
      <c r="P87" s="1157"/>
      <c r="Q87" s="1080"/>
    </row>
    <row r="88" spans="1:17">
      <c r="A88" s="1105" t="s">
        <v>1349</v>
      </c>
      <c r="B88" s="1106" t="s">
        <v>1350</v>
      </c>
      <c r="C88" s="1050"/>
      <c r="D88" s="1050"/>
      <c r="E88" s="1050"/>
      <c r="F88" s="1050"/>
      <c r="G88" s="1050"/>
      <c r="H88" s="1050"/>
      <c r="I88" s="1050"/>
      <c r="J88" s="1050"/>
      <c r="K88" s="1153"/>
      <c r="L88" s="1154"/>
      <c r="M88" s="1155"/>
      <c r="N88" s="1156"/>
      <c r="O88" s="1156"/>
      <c r="P88" s="1157"/>
      <c r="Q88" s="1080"/>
    </row>
    <row r="89" spans="1:17" ht="15">
      <c r="A89" s="1107"/>
      <c r="B89" s="1112"/>
      <c r="C89" s="1113">
        <v>100</v>
      </c>
      <c r="D89" s="1113">
        <f t="shared" ref="D89:M89" si="19">C89-$K29</f>
        <v>100</v>
      </c>
      <c r="E89" s="1113">
        <f t="shared" si="19"/>
        <v>100</v>
      </c>
      <c r="F89" s="1113">
        <f t="shared" si="19"/>
        <v>100</v>
      </c>
      <c r="G89" s="1113">
        <f t="shared" si="19"/>
        <v>100</v>
      </c>
      <c r="H89" s="1113">
        <f t="shared" si="19"/>
        <v>100</v>
      </c>
      <c r="I89" s="1113">
        <f t="shared" si="19"/>
        <v>100</v>
      </c>
      <c r="J89" s="1113">
        <f t="shared" si="19"/>
        <v>100</v>
      </c>
      <c r="K89" s="1113">
        <f t="shared" si="19"/>
        <v>100</v>
      </c>
      <c r="L89" s="1113">
        <f t="shared" si="19"/>
        <v>100</v>
      </c>
      <c r="M89" s="1163">
        <f t="shared" si="19"/>
        <v>100</v>
      </c>
      <c r="N89" s="1159"/>
      <c r="O89" s="1159"/>
      <c r="P89" s="1157"/>
      <c r="Q89" s="1080"/>
    </row>
    <row r="90" spans="1:17" ht="15">
      <c r="A90" s="1107"/>
      <c r="B90" s="1110" t="s">
        <v>1352</v>
      </c>
      <c r="C90" s="1129" t="str">
        <f>C91&amp;"(含)"&amp;"-"&amp;D91</f>
        <v>(含)-</v>
      </c>
      <c r="D90" s="1129" t="str">
        <f t="shared" ref="D90:L90" si="20">D91&amp;"(含)"&amp;"-"&amp;E91</f>
        <v>(含)-</v>
      </c>
      <c r="E90" s="1129" t="str">
        <f t="shared" si="20"/>
        <v>(含)-</v>
      </c>
      <c r="F90" s="1129" t="str">
        <f t="shared" si="20"/>
        <v>(含)-</v>
      </c>
      <c r="G90" s="1129" t="str">
        <f t="shared" si="20"/>
        <v>(含)-</v>
      </c>
      <c r="H90" s="1129" t="str">
        <f t="shared" si="20"/>
        <v>(含)-</v>
      </c>
      <c r="I90" s="1129" t="str">
        <f t="shared" si="20"/>
        <v>(含)-</v>
      </c>
      <c r="J90" s="1129" t="str">
        <f t="shared" si="20"/>
        <v>(含)-</v>
      </c>
      <c r="K90" s="1129" t="str">
        <f t="shared" si="20"/>
        <v>(含)-</v>
      </c>
      <c r="L90" s="1129" t="str">
        <f t="shared" si="20"/>
        <v>(含)-</v>
      </c>
      <c r="M90" s="1182" t="str">
        <f>M91&amp;"(含)"&amp;"-"&amp;P91</f>
        <v>(含)-</v>
      </c>
      <c r="N90" s="1150"/>
      <c r="O90" s="1150"/>
      <c r="P90" s="1157"/>
      <c r="Q90" s="1080"/>
    </row>
    <row r="91" spans="1:17" s="868" customFormat="1">
      <c r="A91" s="1138"/>
      <c r="B91" s="1139"/>
      <c r="C91" s="1094"/>
      <c r="D91" s="1094"/>
      <c r="E91" s="1094"/>
      <c r="F91" s="1094"/>
      <c r="G91" s="1094"/>
      <c r="H91" s="1094"/>
      <c r="I91" s="1094"/>
      <c r="J91" s="1194"/>
      <c r="K91" s="1194"/>
      <c r="L91" s="1195"/>
      <c r="M91" s="1196"/>
      <c r="N91" s="1169"/>
      <c r="O91" s="1169"/>
      <c r="P91" s="1170"/>
      <c r="Q91" s="1200"/>
    </row>
    <row r="92" spans="1:17" s="868" customFormat="1" ht="15">
      <c r="A92" s="1117"/>
      <c r="B92" s="1112"/>
      <c r="C92" s="1120"/>
      <c r="D92" s="1109"/>
      <c r="E92" s="1109"/>
      <c r="F92" s="1109"/>
      <c r="G92" s="1109"/>
      <c r="H92" s="1109"/>
      <c r="I92" s="1109"/>
      <c r="J92" s="1109"/>
      <c r="K92" s="1109"/>
      <c r="L92" s="1109"/>
      <c r="M92" s="1158"/>
      <c r="N92" s="1159"/>
      <c r="O92" s="1159"/>
      <c r="P92" s="1170"/>
      <c r="Q92" s="1200"/>
    </row>
    <row r="93" spans="1:17">
      <c r="A93" s="1141"/>
      <c r="B93" s="1110" t="s">
        <v>1353</v>
      </c>
      <c r="C93" s="1118"/>
      <c r="D93" s="1118"/>
      <c r="E93" s="1135"/>
      <c r="F93" s="1135"/>
      <c r="G93" s="1135"/>
      <c r="H93" s="1135"/>
      <c r="I93" s="1135"/>
      <c r="J93" s="1135"/>
      <c r="K93" s="1187"/>
      <c r="L93" s="1188"/>
      <c r="M93" s="1189"/>
      <c r="N93" s="1156"/>
      <c r="O93" s="1156"/>
      <c r="P93" s="1157"/>
      <c r="Q93" s="1080"/>
    </row>
    <row r="94" spans="1:17" ht="15">
      <c r="A94" s="1107"/>
      <c r="B94" s="1112"/>
      <c r="C94" s="1113">
        <v>100</v>
      </c>
      <c r="D94" s="1113">
        <f t="shared" ref="D94:M94" si="21">C94-$K31</f>
        <v>100</v>
      </c>
      <c r="E94" s="1113">
        <f t="shared" si="21"/>
        <v>100</v>
      </c>
      <c r="F94" s="1113">
        <f t="shared" si="21"/>
        <v>100</v>
      </c>
      <c r="G94" s="1113">
        <f t="shared" si="21"/>
        <v>100</v>
      </c>
      <c r="H94" s="1113">
        <f t="shared" si="21"/>
        <v>100</v>
      </c>
      <c r="I94" s="1113">
        <f t="shared" si="21"/>
        <v>100</v>
      </c>
      <c r="J94" s="1113">
        <f t="shared" si="21"/>
        <v>100</v>
      </c>
      <c r="K94" s="1113">
        <f t="shared" si="21"/>
        <v>100</v>
      </c>
      <c r="L94" s="1113">
        <f t="shared" si="21"/>
        <v>100</v>
      </c>
      <c r="M94" s="1163">
        <f t="shared" si="21"/>
        <v>100</v>
      </c>
      <c r="N94" s="1159"/>
      <c r="O94" s="1159"/>
      <c r="P94" s="1157"/>
      <c r="Q94" s="1080"/>
    </row>
    <row r="95" spans="1:17">
      <c r="A95" s="1141"/>
      <c r="B95" s="1110" t="s">
        <v>1355</v>
      </c>
      <c r="C95" s="1118"/>
      <c r="D95" s="1118"/>
      <c r="E95" s="1118"/>
      <c r="F95" s="1135"/>
      <c r="G95" s="1135"/>
      <c r="H95" s="1135"/>
      <c r="I95" s="1135"/>
      <c r="J95" s="1135"/>
      <c r="K95" s="1187"/>
      <c r="L95" s="1188"/>
      <c r="M95" s="1189"/>
      <c r="N95" s="1156"/>
      <c r="O95" s="1156"/>
      <c r="P95" s="1157"/>
      <c r="Q95" s="1080"/>
    </row>
    <row r="96" spans="1:17" ht="15">
      <c r="A96" s="1107"/>
      <c r="B96" s="1112"/>
      <c r="C96" s="1113">
        <v>100</v>
      </c>
      <c r="D96" s="1113">
        <f t="shared" ref="D96:M96" si="22">C96-$K32</f>
        <v>100</v>
      </c>
      <c r="E96" s="1113">
        <f t="shared" si="22"/>
        <v>100</v>
      </c>
      <c r="F96" s="1113">
        <f t="shared" si="22"/>
        <v>100</v>
      </c>
      <c r="G96" s="1113">
        <f t="shared" si="22"/>
        <v>100</v>
      </c>
      <c r="H96" s="1113">
        <f t="shared" si="22"/>
        <v>100</v>
      </c>
      <c r="I96" s="1113">
        <f t="shared" si="22"/>
        <v>100</v>
      </c>
      <c r="J96" s="1113">
        <f t="shared" si="22"/>
        <v>100</v>
      </c>
      <c r="K96" s="1113">
        <f t="shared" si="22"/>
        <v>100</v>
      </c>
      <c r="L96" s="1113">
        <f t="shared" si="22"/>
        <v>100</v>
      </c>
      <c r="M96" s="1163">
        <f t="shared" si="22"/>
        <v>100</v>
      </c>
      <c r="N96" s="1159"/>
      <c r="O96" s="1159"/>
      <c r="P96" s="1157"/>
      <c r="Q96" s="1080"/>
    </row>
    <row r="97" spans="1:17">
      <c r="A97" s="1141"/>
      <c r="B97" s="1110" t="s">
        <v>557</v>
      </c>
      <c r="C97" s="1129" t="str">
        <f>C98&amp;"(含)"&amp;"-"&amp;D98</f>
        <v>0.5(含)-0.6</v>
      </c>
      <c r="D97" s="1129" t="str">
        <f>D98&amp;"(含)"&amp;"-"&amp;E98</f>
        <v>0.6(含)-0.7</v>
      </c>
      <c r="E97" s="1129" t="str">
        <f>E98&amp;"(含)"&amp;"-"&amp;F98</f>
        <v>0.7(含)-0.8</v>
      </c>
      <c r="F97" s="1129" t="str">
        <f>F98&amp;"(含)"&amp;"-"&amp;G98</f>
        <v>0.8(含)-0.9</v>
      </c>
      <c r="G97" s="1129" t="str">
        <f>G98&amp;"(含)"&amp;"-"&amp;ROUND(H98,0)&amp;"(含)"</f>
        <v>0.9(含)-1(含)</v>
      </c>
      <c r="H97" s="1129"/>
      <c r="I97" s="1135"/>
      <c r="J97" s="1135"/>
      <c r="K97" s="1187"/>
      <c r="L97" s="1188"/>
      <c r="M97" s="1189"/>
      <c r="N97" s="1156"/>
      <c r="O97" s="1156"/>
      <c r="P97" s="1157"/>
      <c r="Q97" s="1080"/>
    </row>
    <row r="98" spans="1:17">
      <c r="A98" s="1141"/>
      <c r="B98" s="1114"/>
      <c r="C98" s="801">
        <v>0.5</v>
      </c>
      <c r="D98" s="801">
        <v>0.6</v>
      </c>
      <c r="E98" s="801">
        <v>0.7</v>
      </c>
      <c r="F98" s="801">
        <v>0.8</v>
      </c>
      <c r="G98" s="801">
        <v>0.9</v>
      </c>
      <c r="H98" s="801">
        <v>1.0001</v>
      </c>
      <c r="I98" s="1450"/>
      <c r="J98" s="1450"/>
      <c r="K98" s="1451"/>
      <c r="L98" s="1452"/>
      <c r="M98" s="1453"/>
      <c r="N98" s="1156"/>
      <c r="O98" s="1156"/>
      <c r="P98" s="1157"/>
      <c r="Q98" s="1080"/>
    </row>
    <row r="99" spans="1:17" ht="15">
      <c r="A99" s="1107"/>
      <c r="B99" s="1112"/>
      <c r="C99" s="1131">
        <v>100</v>
      </c>
      <c r="D99" s="1113">
        <f>C99+$K33</f>
        <v>100</v>
      </c>
      <c r="E99" s="1113">
        <f t="shared" ref="E99:M99" si="23">D99+$K33</f>
        <v>100</v>
      </c>
      <c r="F99" s="1113">
        <f t="shared" si="23"/>
        <v>100</v>
      </c>
      <c r="G99" s="1113">
        <f t="shared" si="23"/>
        <v>100</v>
      </c>
      <c r="H99" s="1113">
        <f t="shared" si="23"/>
        <v>100</v>
      </c>
      <c r="I99" s="1113">
        <f t="shared" si="23"/>
        <v>100</v>
      </c>
      <c r="J99" s="1113">
        <f t="shared" si="23"/>
        <v>100</v>
      </c>
      <c r="K99" s="1113">
        <f t="shared" si="23"/>
        <v>100</v>
      </c>
      <c r="L99" s="1113">
        <f t="shared" si="23"/>
        <v>100</v>
      </c>
      <c r="M99" s="1113">
        <f t="shared" si="23"/>
        <v>100</v>
      </c>
      <c r="N99" s="1159"/>
      <c r="O99" s="1159"/>
      <c r="P99" s="1157"/>
      <c r="Q99" s="1080"/>
    </row>
    <row r="100" spans="1:17" s="868" customFormat="1">
      <c r="A100" s="1138"/>
      <c r="B100" s="1110" t="s">
        <v>1356</v>
      </c>
      <c r="C100" s="1118"/>
      <c r="D100" s="1118"/>
      <c r="E100" s="1118"/>
      <c r="F100" s="1118"/>
      <c r="G100" s="1118"/>
      <c r="H100" s="1135"/>
      <c r="I100" s="1135"/>
      <c r="J100" s="1135"/>
      <c r="K100" s="1187"/>
      <c r="L100" s="1188"/>
      <c r="M100" s="1189"/>
      <c r="N100" s="1169"/>
      <c r="O100" s="1169"/>
      <c r="P100" s="1170"/>
      <c r="Q100" s="1200"/>
    </row>
    <row r="101" spans="1:17" s="868" customFormat="1" ht="15">
      <c r="A101" s="1117"/>
      <c r="B101" s="1112"/>
      <c r="C101" s="1113">
        <v>100</v>
      </c>
      <c r="D101" s="1113">
        <f>C101-$K34</f>
        <v>100</v>
      </c>
      <c r="E101" s="1113">
        <f t="shared" ref="E101:M101" si="24">D101-$K34</f>
        <v>100</v>
      </c>
      <c r="F101" s="1113">
        <f t="shared" si="24"/>
        <v>100</v>
      </c>
      <c r="G101" s="1113">
        <f t="shared" si="24"/>
        <v>100</v>
      </c>
      <c r="H101" s="1113">
        <f t="shared" si="24"/>
        <v>100</v>
      </c>
      <c r="I101" s="1113">
        <f t="shared" si="24"/>
        <v>100</v>
      </c>
      <c r="J101" s="1113">
        <f t="shared" si="24"/>
        <v>100</v>
      </c>
      <c r="K101" s="1113">
        <f t="shared" si="24"/>
        <v>100</v>
      </c>
      <c r="L101" s="1113">
        <f t="shared" si="24"/>
        <v>100</v>
      </c>
      <c r="M101" s="1113">
        <f t="shared" si="24"/>
        <v>100</v>
      </c>
      <c r="N101" s="1169"/>
      <c r="O101" s="1169"/>
      <c r="P101" s="1170"/>
      <c r="Q101" s="1200"/>
    </row>
    <row r="102" spans="1:17">
      <c r="A102" s="1141"/>
      <c r="B102" s="1110" t="s">
        <v>1357</v>
      </c>
      <c r="C102" s="1118"/>
      <c r="D102" s="1118"/>
      <c r="E102" s="1118"/>
      <c r="F102" s="1118"/>
      <c r="G102" s="1118"/>
      <c r="H102" s="1135"/>
      <c r="I102" s="1135"/>
      <c r="J102" s="1135"/>
      <c r="K102" s="1187"/>
      <c r="L102" s="1188"/>
      <c r="M102" s="1189"/>
      <c r="N102" s="1156"/>
      <c r="O102" s="1156"/>
      <c r="P102" s="1157"/>
      <c r="Q102" s="1080"/>
    </row>
    <row r="103" spans="1:17" ht="15">
      <c r="A103" s="1107"/>
      <c r="B103" s="1112"/>
      <c r="C103" s="1113">
        <v>100</v>
      </c>
      <c r="D103" s="1113">
        <f t="shared" ref="D103:M103" si="25">C103-$K35</f>
        <v>100</v>
      </c>
      <c r="E103" s="1113">
        <f t="shared" si="25"/>
        <v>100</v>
      </c>
      <c r="F103" s="1113">
        <f t="shared" si="25"/>
        <v>100</v>
      </c>
      <c r="G103" s="1113">
        <f t="shared" si="25"/>
        <v>100</v>
      </c>
      <c r="H103" s="1113">
        <f t="shared" si="25"/>
        <v>100</v>
      </c>
      <c r="I103" s="1113">
        <f t="shared" si="25"/>
        <v>100</v>
      </c>
      <c r="J103" s="1113">
        <f t="shared" si="25"/>
        <v>100</v>
      </c>
      <c r="K103" s="1113">
        <f t="shared" si="25"/>
        <v>100</v>
      </c>
      <c r="L103" s="1113">
        <f t="shared" si="25"/>
        <v>100</v>
      </c>
      <c r="M103" s="1163">
        <f t="shared" si="25"/>
        <v>100</v>
      </c>
      <c r="N103" s="1159"/>
      <c r="O103" s="1159"/>
      <c r="P103" s="1157"/>
      <c r="Q103" s="1080"/>
    </row>
    <row r="104" spans="1:17">
      <c r="A104" s="1141"/>
      <c r="B104" s="1110" t="s">
        <v>1360</v>
      </c>
      <c r="C104" s="1118"/>
      <c r="D104" s="1118"/>
      <c r="E104" s="1118"/>
      <c r="F104" s="1118"/>
      <c r="G104" s="1118"/>
      <c r="H104" s="1135"/>
      <c r="I104" s="1135"/>
      <c r="J104" s="1135"/>
      <c r="K104" s="1187"/>
      <c r="L104" s="1188"/>
      <c r="M104" s="1189"/>
      <c r="N104" s="1156"/>
      <c r="O104" s="1156"/>
      <c r="P104" s="1157"/>
      <c r="Q104" s="1080"/>
    </row>
    <row r="105" spans="1:17" ht="15">
      <c r="A105" s="1107"/>
      <c r="B105" s="1112"/>
      <c r="C105" s="1113">
        <v>100</v>
      </c>
      <c r="D105" s="1113">
        <f>C105-$K36</f>
        <v>100</v>
      </c>
      <c r="E105" s="1113">
        <f>D105-$K36</f>
        <v>100</v>
      </c>
      <c r="F105" s="1113">
        <f>E105-$K36</f>
        <v>100</v>
      </c>
      <c r="G105" s="1113">
        <f>F105-$K36</f>
        <v>100</v>
      </c>
      <c r="H105" s="1113"/>
      <c r="I105" s="1113"/>
      <c r="J105" s="1113"/>
      <c r="K105" s="1113"/>
      <c r="L105" s="1113"/>
      <c r="M105" s="1163"/>
      <c r="N105" s="1159"/>
      <c r="O105" s="1159"/>
      <c r="P105" s="1157"/>
      <c r="Q105" s="1080"/>
    </row>
    <row r="106" spans="1:17">
      <c r="A106" s="1141"/>
      <c r="B106" s="1379" t="s">
        <v>1426</v>
      </c>
      <c r="C106" s="1129" t="s">
        <v>1378</v>
      </c>
      <c r="D106" s="1129" t="s">
        <v>1379</v>
      </c>
      <c r="E106" s="1129" t="s">
        <v>1380</v>
      </c>
      <c r="F106" s="1129" t="s">
        <v>1381</v>
      </c>
      <c r="G106" s="1129" t="s">
        <v>1382</v>
      </c>
      <c r="H106" s="1111"/>
      <c r="I106" s="1111"/>
      <c r="J106" s="1111"/>
      <c r="K106" s="1160"/>
      <c r="L106" s="1161"/>
      <c r="M106" s="1162"/>
      <c r="N106" s="1159"/>
      <c r="O106" s="1159"/>
      <c r="P106" s="1387"/>
      <c r="Q106" s="1390"/>
    </row>
    <row r="107" spans="1:17" ht="15">
      <c r="A107" s="1107"/>
      <c r="B107" s="1112"/>
      <c r="C107" s="1131">
        <v>100</v>
      </c>
      <c r="D107" s="1113">
        <f t="shared" ref="D107:M107" si="26">C107-$K37</f>
        <v>100</v>
      </c>
      <c r="E107" s="1113">
        <f t="shared" si="26"/>
        <v>100</v>
      </c>
      <c r="F107" s="1113">
        <f t="shared" si="26"/>
        <v>100</v>
      </c>
      <c r="G107" s="1113">
        <f t="shared" si="26"/>
        <v>100</v>
      </c>
      <c r="H107" s="1113">
        <f t="shared" si="26"/>
        <v>100</v>
      </c>
      <c r="I107" s="1113">
        <f t="shared" si="26"/>
        <v>100</v>
      </c>
      <c r="J107" s="1113">
        <f t="shared" si="26"/>
        <v>100</v>
      </c>
      <c r="K107" s="1113">
        <f t="shared" si="26"/>
        <v>100</v>
      </c>
      <c r="L107" s="1113">
        <f t="shared" si="26"/>
        <v>100</v>
      </c>
      <c r="M107" s="1113">
        <f t="shared" si="26"/>
        <v>100</v>
      </c>
      <c r="N107" s="1159"/>
      <c r="O107" s="1159"/>
      <c r="P107" s="1157"/>
      <c r="Q107" s="1080"/>
    </row>
    <row r="108" spans="1:17" s="868" customFormat="1">
      <c r="A108" s="1138"/>
      <c r="B108" s="1110">
        <f>B38</f>
        <v>111</v>
      </c>
      <c r="C108" s="1118"/>
      <c r="D108" s="1118"/>
      <c r="E108" s="1118"/>
      <c r="F108" s="1118"/>
      <c r="G108" s="1118"/>
      <c r="H108" s="1119"/>
      <c r="I108" s="1119"/>
      <c r="J108" s="1119"/>
      <c r="K108" s="1119"/>
      <c r="L108" s="1167"/>
      <c r="M108" s="1168"/>
      <c r="N108" s="1169"/>
      <c r="O108" s="1169"/>
      <c r="P108" s="1170"/>
      <c r="Q108" s="1200"/>
    </row>
    <row r="109" spans="1:17" s="868" customFormat="1" ht="15">
      <c r="A109" s="1117"/>
      <c r="B109" s="1108"/>
      <c r="C109" s="1120"/>
      <c r="D109" s="1109"/>
      <c r="E109" s="1109"/>
      <c r="F109" s="1109"/>
      <c r="G109" s="1120"/>
      <c r="H109" s="1121"/>
      <c r="I109" s="1121"/>
      <c r="J109" s="1121"/>
      <c r="K109" s="1121"/>
      <c r="L109" s="1121"/>
      <c r="M109" s="1172"/>
      <c r="N109" s="1169"/>
      <c r="O109" s="1169"/>
      <c r="P109" s="1170"/>
      <c r="Q109" s="1200"/>
    </row>
    <row r="110" spans="1:17">
      <c r="A110" s="1141"/>
      <c r="B110" s="1110">
        <f>B39</f>
        <v>111</v>
      </c>
      <c r="C110" s="1118"/>
      <c r="D110" s="1118"/>
      <c r="E110" s="1118"/>
      <c r="F110" s="1118"/>
      <c r="G110" s="1118"/>
      <c r="H110" s="1119"/>
      <c r="I110" s="1119"/>
      <c r="J110" s="1119"/>
      <c r="K110" s="1119"/>
      <c r="L110" s="1167"/>
      <c r="M110" s="1168"/>
      <c r="N110" s="1156"/>
      <c r="O110" s="1156"/>
      <c r="P110" s="1157"/>
      <c r="Q110" s="1080"/>
    </row>
    <row r="111" spans="1:17" ht="15">
      <c r="A111" s="1107"/>
      <c r="B111" s="1112"/>
      <c r="C111" s="1120"/>
      <c r="D111" s="1109"/>
      <c r="E111" s="1109"/>
      <c r="F111" s="1109"/>
      <c r="G111" s="1120"/>
      <c r="H111" s="1121"/>
      <c r="I111" s="1121"/>
      <c r="J111" s="1121"/>
      <c r="K111" s="1121"/>
      <c r="L111" s="1121"/>
      <c r="M111" s="1172"/>
      <c r="N111" s="1159"/>
      <c r="O111" s="1159"/>
      <c r="P111" s="1157"/>
      <c r="Q111" s="1080"/>
    </row>
    <row r="112" spans="1:17">
      <c r="A112" s="1141"/>
      <c r="B112" s="1114">
        <f>B40</f>
        <v>111</v>
      </c>
      <c r="C112" s="1102"/>
      <c r="D112" s="1102"/>
      <c r="E112" s="1102"/>
      <c r="F112" s="1102"/>
      <c r="G112" s="1136"/>
      <c r="H112" s="1136"/>
      <c r="I112" s="1136"/>
      <c r="J112" s="1136"/>
      <c r="K112" s="1102"/>
      <c r="L112" s="1148"/>
      <c r="M112" s="1192"/>
      <c r="N112" s="1156"/>
      <c r="O112" s="1156"/>
      <c r="P112" s="1157"/>
      <c r="Q112" s="1080"/>
    </row>
    <row r="113" spans="1:17" ht="15">
      <c r="A113" s="1460"/>
      <c r="B113" s="1124"/>
      <c r="C113" s="1125"/>
      <c r="D113" s="1125"/>
      <c r="E113" s="1125"/>
      <c r="F113" s="1125"/>
      <c r="G113" s="1137"/>
      <c r="H113" s="1137"/>
      <c r="I113" s="1137"/>
      <c r="J113" s="1137"/>
      <c r="K113" s="1137"/>
      <c r="L113" s="1137"/>
      <c r="M113" s="1193"/>
      <c r="N113" s="1159"/>
      <c r="O113" s="1159"/>
      <c r="P113" s="1157"/>
      <c r="Q113" s="1080"/>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E46">
    <cfRule type="expression" dxfId="62" priority="12" stopIfTrue="1">
      <formula>$F$46="超过30%"</formula>
    </cfRule>
  </conditionalFormatting>
  <conditionalFormatting sqref="G46">
    <cfRule type="expression" dxfId="61" priority="8" stopIfTrue="1">
      <formula>$H$46="超过30%"</formula>
    </cfRule>
  </conditionalFormatting>
  <conditionalFormatting sqref="I46">
    <cfRule type="expression" dxfId="60" priority="3" stopIfTrue="1">
      <formula>$J$46="超过30%"</formula>
    </cfRule>
  </conditionalFormatting>
  <conditionalFormatting sqref="J46">
    <cfRule type="containsText" dxfId="59" priority="6" stopIfTrue="1" operator="containsText" text="超过">
      <formula>NOT(ISERROR(SEARCH("超过",J46)))</formula>
    </cfRule>
  </conditionalFormatting>
  <conditionalFormatting sqref="E47">
    <cfRule type="expression" dxfId="58" priority="11" stopIfTrue="1">
      <formula>$F$47="超过20%"</formula>
    </cfRule>
  </conditionalFormatting>
  <conditionalFormatting sqref="G47">
    <cfRule type="expression" dxfId="57" priority="7" stopIfTrue="1">
      <formula>$H$47="超过20%"</formula>
    </cfRule>
  </conditionalFormatting>
  <conditionalFormatting sqref="I47">
    <cfRule type="expression" dxfId="56" priority="2" stopIfTrue="1">
      <formula>$J$47="超过20%"</formula>
    </cfRule>
  </conditionalFormatting>
  <conditionalFormatting sqref="J47">
    <cfRule type="containsText" dxfId="55" priority="4" stopIfTrue="1" operator="containsText" text="超过">
      <formula>NOT(ISERROR(SEARCH("超过",J47)))</formula>
    </cfRule>
  </conditionalFormatting>
  <conditionalFormatting sqref="E48">
    <cfRule type="expression" dxfId="54" priority="10" stopIfTrue="1">
      <formula>$F$48="超过30%"</formula>
    </cfRule>
  </conditionalFormatting>
  <conditionalFormatting sqref="F48">
    <cfRule type="containsText" dxfId="53" priority="14" stopIfTrue="1" operator="containsText" text="超过">
      <formula>NOT(ISERROR(SEARCH("超过",F48)))</formula>
    </cfRule>
  </conditionalFormatting>
  <conditionalFormatting sqref="G48">
    <cfRule type="expression" dxfId="52" priority="9" stopIfTrue="1">
      <formula>$H$48="超过30%"</formula>
    </cfRule>
  </conditionalFormatting>
  <conditionalFormatting sqref="H48">
    <cfRule type="containsText" dxfId="51" priority="15" stopIfTrue="1" operator="containsText" text="超过">
      <formula>NOT(ISERROR(SEARCH("超过",H48)))</formula>
    </cfRule>
  </conditionalFormatting>
  <conditionalFormatting sqref="I48">
    <cfRule type="expression" dxfId="50" priority="1" stopIfTrue="1">
      <formula>$J$48="超过30%"</formula>
    </cfRule>
  </conditionalFormatting>
  <conditionalFormatting sqref="J48">
    <cfRule type="containsText" dxfId="49" priority="5" stopIfTrue="1" operator="containsText" text="超过">
      <formula>NOT(ISERROR(SEARCH("超过",J48)))</formula>
    </cfRule>
  </conditionalFormatting>
  <conditionalFormatting sqref="F46 H46">
    <cfRule type="containsText" dxfId="48" priority="16" stopIfTrue="1" operator="containsText" text="超过">
      <formula>NOT(ISERROR(SEARCH("超过",F46)))</formula>
    </cfRule>
  </conditionalFormatting>
  <conditionalFormatting sqref="F47 H47">
    <cfRule type="containsText" dxfId="47" priority="13" stopIfTrue="1" operator="containsText" text="超过">
      <formula>NOT(ISERROR(SEARCH("超过",F47)))</formula>
    </cfRule>
  </conditionalFormatting>
  <dataValidations count="19">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0 E10 G10 I10">
      <formula1>土地年限区间</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33333333333304" right="0.70833333333333304" top="1.0625" bottom="0.94444444444444398" header="0.31458333333333299" footer="0.31458333333333299"/>
  <pageSetup paperSize="9" scale="28" fitToHeight="0" orientation="portrait"/>
  <legacy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02"/>
  <sheetViews>
    <sheetView zoomScale="93" zoomScaleNormal="93" workbookViewId="0">
      <selection sqref="A1:XFD1048576"/>
    </sheetView>
  </sheetViews>
  <sheetFormatPr defaultColWidth="9" defaultRowHeight="14.25"/>
  <cols>
    <col min="1" max="1" width="10.5" style="872" customWidth="1"/>
    <col min="2" max="2" width="15.75" style="872" customWidth="1"/>
    <col min="3" max="3" width="14.375" style="872" customWidth="1"/>
    <col min="4" max="4" width="12.25" style="872" customWidth="1"/>
    <col min="5" max="5" width="14.375" style="872" customWidth="1"/>
    <col min="6" max="6" width="12.25" style="872" customWidth="1"/>
    <col min="7" max="7" width="14.5" style="872" customWidth="1"/>
    <col min="8" max="8" width="12.25" style="872" customWidth="1"/>
    <col min="9" max="9" width="15.5" style="872" customWidth="1"/>
    <col min="10" max="10" width="12.25" style="872" customWidth="1"/>
    <col min="11" max="11" width="12.25" style="873" customWidth="1"/>
    <col min="12" max="12" width="12.25" style="874" customWidth="1"/>
    <col min="13" max="15" width="12.25" style="872" customWidth="1"/>
    <col min="16" max="16" width="4.75" style="1391" customWidth="1"/>
    <col min="17" max="17" width="19.5" style="872" customWidth="1"/>
    <col min="18" max="22" width="6.125" style="872" customWidth="1"/>
    <col min="23" max="23" width="5.75" style="872" customWidth="1"/>
    <col min="24" max="24" width="4.25" style="872" customWidth="1"/>
    <col min="25" max="25" width="3.5" style="872" customWidth="1"/>
    <col min="26" max="26" width="19.75" style="872" customWidth="1"/>
    <col min="27" max="28" width="9.375" style="872" customWidth="1"/>
    <col min="29" max="16384" width="9" style="872"/>
  </cols>
  <sheetData>
    <row r="1" spans="1:29" s="1312" customFormat="1" ht="28.5" customHeight="1">
      <c r="A1" s="1313" t="s">
        <v>1427</v>
      </c>
      <c r="B1" s="1314"/>
      <c r="C1" s="1315" t="s">
        <v>1317</v>
      </c>
      <c r="D1" s="1316"/>
      <c r="E1" s="1392"/>
      <c r="F1" s="1318"/>
      <c r="G1" s="1393" t="s">
        <v>1319</v>
      </c>
      <c r="H1" s="1392"/>
      <c r="I1" s="1392"/>
      <c r="J1" s="1392"/>
      <c r="K1" s="1422"/>
      <c r="L1" s="1423"/>
      <c r="M1" s="1424"/>
      <c r="N1" s="1424"/>
      <c r="O1" s="1424"/>
      <c r="P1" s="1425"/>
      <c r="Q1" s="1315"/>
      <c r="R1" s="1315"/>
      <c r="S1" s="1315"/>
      <c r="T1" s="1315"/>
      <c r="U1" s="1315"/>
      <c r="V1" s="1315"/>
      <c r="W1" s="1315"/>
      <c r="X1" s="1315"/>
      <c r="Y1" s="1315"/>
      <c r="Z1" s="1315"/>
      <c r="AA1" s="1315"/>
      <c r="AB1" s="1315"/>
      <c r="AC1" s="1378"/>
    </row>
    <row r="2" spans="1:29" s="865" customFormat="1" ht="28.5" customHeight="1">
      <c r="A2" s="1320" t="s">
        <v>895</v>
      </c>
      <c r="B2" s="1321" t="e">
        <f ca="1">IF(C2="——",IF(B37="元/平方米",ROUND(C39*D3/10000,0),ROUND(F3*C39/10000,0)),IF(B37="元/平方米",ROUND(C39*D3/10000,0),ROUND(F3*C39/10000,0))-D2)</f>
        <v>#DIV/0!</v>
      </c>
      <c r="C2" s="1322"/>
      <c r="D2" s="1281" t="e">
        <f ca="1">SUMIF(INDIRECT("'"&amp;F2&amp;"'"&amp;"!A:A"),"承租人权益价值",INDIRECT("'"&amp;F2&amp;"'"&amp;"!c:c"))</f>
        <v>#REF!</v>
      </c>
      <c r="E2" s="1323" t="s">
        <v>896</v>
      </c>
      <c r="F2" s="1324"/>
      <c r="G2" s="881"/>
      <c r="H2" s="881"/>
      <c r="I2" s="881"/>
      <c r="J2" s="881"/>
      <c r="K2" s="1024"/>
      <c r="L2" s="1025"/>
      <c r="M2" s="1026"/>
      <c r="N2" s="1026"/>
      <c r="O2" s="1026"/>
      <c r="P2" s="1426"/>
      <c r="Q2" s="1023"/>
      <c r="R2" s="1023"/>
      <c r="S2" s="1023"/>
      <c r="T2" s="1023"/>
      <c r="U2" s="1023"/>
      <c r="V2" s="1023"/>
      <c r="W2" s="1023"/>
      <c r="X2" s="1023"/>
      <c r="Y2" s="1023"/>
      <c r="Z2" s="1023"/>
      <c r="AA2" s="1023"/>
      <c r="AB2" s="1023"/>
      <c r="AC2" s="1081"/>
    </row>
    <row r="3" spans="1:29" s="865" customFormat="1" ht="28.5" customHeight="1">
      <c r="A3" s="147" t="s">
        <v>897</v>
      </c>
      <c r="B3" s="883" t="e">
        <f ca="1">IF(AND(C2="——",B37="元/平方米"),C39,ROUND(B2*10000/D3,0))</f>
        <v>#DIV/0!</v>
      </c>
      <c r="C3" s="1325" t="s">
        <v>1320</v>
      </c>
      <c r="D3" s="1326">
        <f>SUMIF('数据-汇总表'!$C19:$C33,D1,'数据-汇总表'!$E19:$E33)</f>
        <v>0</v>
      </c>
      <c r="E3" s="1325" t="s">
        <v>1428</v>
      </c>
      <c r="F3" s="1326">
        <f>SUMIF('数据-取费表'!A5:A15,D1,'数据-取费表'!AH5:AH15)</f>
        <v>0</v>
      </c>
      <c r="G3" s="881"/>
      <c r="H3" s="881"/>
      <c r="I3" s="881"/>
      <c r="J3" s="881"/>
      <c r="K3" s="1024"/>
      <c r="L3" s="1025"/>
      <c r="M3" s="1026"/>
      <c r="N3" s="1026"/>
      <c r="O3" s="1026"/>
      <c r="P3" s="1426"/>
      <c r="Q3" s="1023"/>
      <c r="R3" s="1023"/>
      <c r="S3" s="1023"/>
      <c r="T3" s="1023"/>
      <c r="U3" s="1023"/>
      <c r="V3" s="1023"/>
      <c r="W3" s="1023"/>
      <c r="X3" s="1023"/>
      <c r="Y3" s="1023"/>
      <c r="Z3" s="1023"/>
      <c r="AA3" s="1023"/>
      <c r="AB3" s="1082"/>
      <c r="AC3" s="1083"/>
    </row>
    <row r="4" spans="1:29" ht="15">
      <c r="A4" s="885" t="s">
        <v>1321</v>
      </c>
      <c r="B4" s="886"/>
      <c r="C4" s="3457" t="s">
        <v>1322</v>
      </c>
      <c r="D4" s="3458"/>
      <c r="E4" s="3459" t="s">
        <v>1323</v>
      </c>
      <c r="F4" s="3460"/>
      <c r="G4" s="3457" t="s">
        <v>1324</v>
      </c>
      <c r="H4" s="3458"/>
      <c r="I4" s="3457" t="s">
        <v>1325</v>
      </c>
      <c r="J4" s="3458"/>
      <c r="K4" s="1027" t="s">
        <v>1326</v>
      </c>
      <c r="L4" s="1028"/>
      <c r="M4" s="1029"/>
      <c r="N4" s="1029"/>
      <c r="O4" s="1029"/>
      <c r="P4" s="3487" t="s">
        <v>1327</v>
      </c>
      <c r="Q4" s="3488"/>
      <c r="R4" s="3493" t="s">
        <v>1323</v>
      </c>
      <c r="S4" s="3494"/>
      <c r="T4" s="3493" t="s">
        <v>1324</v>
      </c>
      <c r="U4" s="3494"/>
      <c r="V4" s="3481" t="s">
        <v>1325</v>
      </c>
      <c r="W4" s="3481"/>
      <c r="X4" s="1069"/>
      <c r="Y4" s="3493" t="s">
        <v>1327</v>
      </c>
      <c r="Z4" s="3494"/>
      <c r="AA4" s="3482" t="s">
        <v>1323</v>
      </c>
      <c r="AB4" s="3483" t="s">
        <v>1324</v>
      </c>
      <c r="AC4" s="3482" t="s">
        <v>1325</v>
      </c>
    </row>
    <row r="5" spans="1:29" ht="15">
      <c r="A5" s="887"/>
      <c r="B5" s="888"/>
      <c r="C5" s="3461" t="s">
        <v>1328</v>
      </c>
      <c r="D5" s="3462"/>
      <c r="E5" s="3531" t="s">
        <v>1329</v>
      </c>
      <c r="F5" s="3532"/>
      <c r="G5" s="3461" t="s">
        <v>1330</v>
      </c>
      <c r="H5" s="3462"/>
      <c r="I5" s="3461" t="s">
        <v>1331</v>
      </c>
      <c r="J5" s="3462"/>
      <c r="K5" s="1027"/>
      <c r="L5" s="1028"/>
      <c r="M5" s="1029"/>
      <c r="N5" s="1029"/>
      <c r="O5" s="1029"/>
      <c r="P5" s="3489"/>
      <c r="Q5" s="3490"/>
      <c r="R5" s="3495"/>
      <c r="S5" s="3496"/>
      <c r="T5" s="3495"/>
      <c r="U5" s="3496"/>
      <c r="V5" s="3481"/>
      <c r="W5" s="3481"/>
      <c r="X5" s="1069"/>
      <c r="Y5" s="3495"/>
      <c r="Z5" s="3496"/>
      <c r="AA5" s="3483"/>
      <c r="AB5" s="3483"/>
      <c r="AC5" s="3483"/>
    </row>
    <row r="6" spans="1:29" ht="15">
      <c r="A6" s="889"/>
      <c r="B6" s="890"/>
      <c r="C6" s="3464" t="s">
        <v>1332</v>
      </c>
      <c r="D6" s="3465"/>
      <c r="E6" s="3533" t="s">
        <v>1332</v>
      </c>
      <c r="F6" s="3534"/>
      <c r="G6" s="3464" t="s">
        <v>1332</v>
      </c>
      <c r="H6" s="3465"/>
      <c r="I6" s="3464" t="s">
        <v>1332</v>
      </c>
      <c r="J6" s="3465"/>
      <c r="K6" s="1027" t="s">
        <v>1333</v>
      </c>
      <c r="L6" s="1028"/>
      <c r="M6" s="1029"/>
      <c r="N6" s="1029"/>
      <c r="O6" s="1029"/>
      <c r="P6" s="3491"/>
      <c r="Q6" s="3492"/>
      <c r="R6" s="3495"/>
      <c r="S6" s="3496"/>
      <c r="T6" s="3497"/>
      <c r="U6" s="3498"/>
      <c r="V6" s="3481"/>
      <c r="W6" s="3481"/>
      <c r="X6" s="1069"/>
      <c r="Y6" s="3497"/>
      <c r="Z6" s="3498"/>
      <c r="AA6" s="3484"/>
      <c r="AB6" s="3484"/>
      <c r="AC6" s="3484"/>
    </row>
    <row r="7" spans="1:29" s="866" customFormat="1" ht="15">
      <c r="A7" s="891" t="s">
        <v>1334</v>
      </c>
      <c r="B7" s="892"/>
      <c r="C7" s="893">
        <f>'数据-取费表'!B2</f>
        <v>43361</v>
      </c>
      <c r="D7" s="894">
        <v>100</v>
      </c>
      <c r="E7" s="895"/>
      <c r="F7" s="896">
        <f>SUMIF(48:48,YEAR(E7)&amp;"-"&amp;MONTH(E7),49:49)</f>
        <v>0</v>
      </c>
      <c r="G7" s="895"/>
      <c r="H7" s="894">
        <f>SUMIF(48:48,YEAR(G7)&amp;"-"&amp;MONTH(G7),49:49)</f>
        <v>0</v>
      </c>
      <c r="I7" s="895"/>
      <c r="J7" s="894">
        <f>SUMIF(48:48,YEAR(I7)&amp;"-"&amp;MONTH(I7),49:49)</f>
        <v>0</v>
      </c>
      <c r="K7" s="1030"/>
      <c r="L7" s="1031"/>
      <c r="M7" s="1032"/>
      <c r="N7" s="1032"/>
      <c r="O7" s="1032"/>
      <c r="P7" s="3469" t="s">
        <v>1335</v>
      </c>
      <c r="Q7" s="3470"/>
      <c r="R7" s="1070" t="s">
        <v>1336</v>
      </c>
      <c r="S7" s="1071">
        <f t="shared" ref="S7:S14" si="0">F7</f>
        <v>0</v>
      </c>
      <c r="T7" s="1070" t="s">
        <v>1336</v>
      </c>
      <c r="U7" s="1071">
        <f t="shared" ref="U7:U14" si="1">H7</f>
        <v>0</v>
      </c>
      <c r="V7" s="1070" t="s">
        <v>1336</v>
      </c>
      <c r="W7" s="1071">
        <f t="shared" ref="W7:W14" si="2">J7</f>
        <v>0</v>
      </c>
      <c r="X7" s="1072"/>
      <c r="Y7" s="3469" t="s">
        <v>1335</v>
      </c>
      <c r="Z7" s="3499"/>
      <c r="AA7" s="1084" t="e">
        <f>D7/F7</f>
        <v>#DIV/0!</v>
      </c>
      <c r="AB7" s="1084" t="e">
        <f>D7/H7</f>
        <v>#DIV/0!</v>
      </c>
      <c r="AC7" s="1084" t="e">
        <f>D7/J7</f>
        <v>#DIV/0!</v>
      </c>
    </row>
    <row r="8" spans="1:29" s="866" customFormat="1" ht="15">
      <c r="A8" s="891" t="s">
        <v>1337</v>
      </c>
      <c r="B8" s="892"/>
      <c r="C8" s="898" t="s">
        <v>1338</v>
      </c>
      <c r="D8" s="894">
        <v>100</v>
      </c>
      <c r="E8" s="898"/>
      <c r="F8" s="896">
        <f>SUMIF(51:51,E8,52:52)-SUMIF(51:51,C8,52:52)+100</f>
        <v>0</v>
      </c>
      <c r="G8" s="898"/>
      <c r="H8" s="894">
        <f>SUMIF(51:51,G8,52:52)-SUMIF(51:51,C8,52:52)+100</f>
        <v>0</v>
      </c>
      <c r="I8" s="898"/>
      <c r="J8" s="894">
        <f>SUMIF(51:51,I8,52:52)-SUMIF(51:51,C8,52:52)+100</f>
        <v>0</v>
      </c>
      <c r="K8" s="1030"/>
      <c r="L8" s="1031"/>
      <c r="M8" s="1032"/>
      <c r="N8" s="1032"/>
      <c r="O8" s="1032"/>
      <c r="P8" s="3469" t="s">
        <v>1339</v>
      </c>
      <c r="Q8" s="3499"/>
      <c r="R8" s="1070" t="s">
        <v>1336</v>
      </c>
      <c r="S8" s="1071">
        <f t="shared" si="0"/>
        <v>0</v>
      </c>
      <c r="T8" s="1070" t="s">
        <v>1336</v>
      </c>
      <c r="U8" s="1071">
        <f t="shared" si="1"/>
        <v>0</v>
      </c>
      <c r="V8" s="1070" t="s">
        <v>1336</v>
      </c>
      <c r="W8" s="1071">
        <f t="shared" si="2"/>
        <v>0</v>
      </c>
      <c r="X8" s="1072"/>
      <c r="Y8" s="3469" t="s">
        <v>1339</v>
      </c>
      <c r="Z8" s="3499"/>
      <c r="AA8" s="1084" t="e">
        <f t="shared" ref="AA8:AA36" si="3">D8/F8</f>
        <v>#DIV/0!</v>
      </c>
      <c r="AB8" s="1084" t="e">
        <f t="shared" ref="AB8:AB36" si="4">D8/H8</f>
        <v>#DIV/0!</v>
      </c>
      <c r="AC8" s="1084" t="e">
        <f t="shared" ref="AC8:AC36" si="5">D8/J8</f>
        <v>#DIV/0!</v>
      </c>
    </row>
    <row r="9" spans="1:29" s="866" customFormat="1">
      <c r="A9" s="1394" t="s">
        <v>1340</v>
      </c>
      <c r="B9" s="1395" t="s">
        <v>346</v>
      </c>
      <c r="C9" s="1327"/>
      <c r="D9" s="902">
        <v>100</v>
      </c>
      <c r="E9" s="1328"/>
      <c r="F9" s="902">
        <f>SUMIF(53:53,E9,54:54)-SUMIF(53:53,C9,54:54)+100</f>
        <v>100</v>
      </c>
      <c r="G9" s="1396"/>
      <c r="H9" s="902">
        <f>SUMIF(53:53,G9,54:54)-SUMIF(53:53,C9,54:54)+100</f>
        <v>100</v>
      </c>
      <c r="I9" s="1396"/>
      <c r="J9" s="902">
        <f>SUMIF(53:53,I9,54:54)-SUMIF(53:53,C9,54:54)+100</f>
        <v>100</v>
      </c>
      <c r="K9" s="1030"/>
      <c r="L9" s="1031"/>
      <c r="M9" s="1032"/>
      <c r="N9" s="1032"/>
      <c r="O9" s="1032"/>
      <c r="P9" s="3472" t="s">
        <v>1341</v>
      </c>
      <c r="Q9" s="1074" t="str">
        <f t="shared" ref="Q9:Q14" si="6">B9</f>
        <v>用途</v>
      </c>
      <c r="R9" s="1070" t="s">
        <v>1336</v>
      </c>
      <c r="S9" s="1071">
        <f t="shared" si="0"/>
        <v>100</v>
      </c>
      <c r="T9" s="1070" t="s">
        <v>1336</v>
      </c>
      <c r="U9" s="1071">
        <f t="shared" si="1"/>
        <v>100</v>
      </c>
      <c r="V9" s="1070" t="s">
        <v>1336</v>
      </c>
      <c r="W9" s="1071">
        <f t="shared" si="2"/>
        <v>100</v>
      </c>
      <c r="X9" s="1072"/>
      <c r="Y9" s="3245" t="s">
        <v>1342</v>
      </c>
      <c r="Z9" s="1085" t="str">
        <f t="shared" ref="Z9:Z14" si="7">Q9</f>
        <v>用途</v>
      </c>
      <c r="AA9" s="1084">
        <f t="shared" si="3"/>
        <v>1</v>
      </c>
      <c r="AB9" s="1084">
        <f t="shared" si="4"/>
        <v>1</v>
      </c>
      <c r="AC9" s="1084">
        <f t="shared" si="5"/>
        <v>1</v>
      </c>
    </row>
    <row r="10" spans="1:29" s="867" customFormat="1" ht="27">
      <c r="A10" s="1397"/>
      <c r="B10" s="1398" t="s">
        <v>1343</v>
      </c>
      <c r="C10" s="1330"/>
      <c r="D10" s="906">
        <v>100</v>
      </c>
      <c r="E10" s="1330"/>
      <c r="F10" s="906">
        <f>SUMIF(55:55,E10,56:56)-SUMIF(55:55,C10,56:56)+100</f>
        <v>100</v>
      </c>
      <c r="G10" s="1399"/>
      <c r="H10" s="906">
        <f>SUMIF(55:55,G10,56:56)-SUMIF(55:55,C10,56:56)+100</f>
        <v>100</v>
      </c>
      <c r="I10" s="1330"/>
      <c r="J10" s="906">
        <f>SUMIF(55:55,I10,56:56)-SUMIF(55:55,C10,56:56)+100</f>
        <v>100</v>
      </c>
      <c r="K10" s="1047"/>
      <c r="L10" s="1035"/>
      <c r="M10" s="1036"/>
      <c r="N10" s="1036"/>
      <c r="O10" s="1036"/>
      <c r="P10" s="3472"/>
      <c r="Q10" s="1074" t="str">
        <f t="shared" si="6"/>
        <v>土地使用年限（年）</v>
      </c>
      <c r="R10" s="1070" t="s">
        <v>1336</v>
      </c>
      <c r="S10" s="1071">
        <f t="shared" si="0"/>
        <v>100</v>
      </c>
      <c r="T10" s="1070" t="s">
        <v>1336</v>
      </c>
      <c r="U10" s="1071">
        <f t="shared" si="1"/>
        <v>100</v>
      </c>
      <c r="V10" s="1070" t="s">
        <v>1336</v>
      </c>
      <c r="W10" s="1071">
        <f t="shared" si="2"/>
        <v>100</v>
      </c>
      <c r="X10" s="1072"/>
      <c r="Y10" s="3245"/>
      <c r="Z10" s="1085" t="str">
        <f t="shared" si="7"/>
        <v>土地使用年限（年）</v>
      </c>
      <c r="AA10" s="1084">
        <f t="shared" si="3"/>
        <v>1</v>
      </c>
      <c r="AB10" s="1084">
        <f t="shared" si="4"/>
        <v>1</v>
      </c>
      <c r="AC10" s="1084">
        <f t="shared" si="5"/>
        <v>1</v>
      </c>
    </row>
    <row r="11" spans="1:29" ht="15">
      <c r="A11" s="1400"/>
      <c r="B11" s="1401">
        <v>111</v>
      </c>
      <c r="C11" s="905"/>
      <c r="D11" s="906">
        <v>100</v>
      </c>
      <c r="E11" s="905"/>
      <c r="F11" s="906">
        <f>SUMIF(57:57,E11,58:58)-SUMIF(57:57,C11,58:58)+100</f>
        <v>100</v>
      </c>
      <c r="G11" s="905"/>
      <c r="H11" s="906">
        <f>SUMIF(57:57,G11,58:58)-SUMIF(57:57,C11,58:58)+100</f>
        <v>100</v>
      </c>
      <c r="I11" s="905"/>
      <c r="J11" s="906">
        <f>SUMIF(57:57,I11,58:58)-SUMIF(57:57,C11,58:58)+100</f>
        <v>100</v>
      </c>
      <c r="K11" s="1046"/>
      <c r="L11" s="1039"/>
      <c r="M11" s="1029"/>
      <c r="N11" s="1029"/>
      <c r="O11" s="1029"/>
      <c r="P11" s="3472"/>
      <c r="Q11" s="1074">
        <f t="shared" si="6"/>
        <v>111</v>
      </c>
      <c r="R11" s="1070" t="s">
        <v>1336</v>
      </c>
      <c r="S11" s="1071">
        <f t="shared" si="0"/>
        <v>100</v>
      </c>
      <c r="T11" s="1070" t="s">
        <v>1336</v>
      </c>
      <c r="U11" s="1071">
        <f t="shared" si="1"/>
        <v>100</v>
      </c>
      <c r="V11" s="1070" t="s">
        <v>1336</v>
      </c>
      <c r="W11" s="1071">
        <f t="shared" si="2"/>
        <v>100</v>
      </c>
      <c r="X11" s="1072"/>
      <c r="Y11" s="3245"/>
      <c r="Z11" s="1085">
        <f t="shared" si="7"/>
        <v>111</v>
      </c>
      <c r="AA11" s="1084">
        <f t="shared" si="3"/>
        <v>1</v>
      </c>
      <c r="AB11" s="1084">
        <f t="shared" si="4"/>
        <v>1</v>
      </c>
      <c r="AC11" s="1084">
        <f t="shared" si="5"/>
        <v>1</v>
      </c>
    </row>
    <row r="12" spans="1:29" s="866" customFormat="1" ht="15">
      <c r="A12" s="1402"/>
      <c r="B12" s="1401">
        <v>111</v>
      </c>
      <c r="C12" s="905"/>
      <c r="D12" s="912">
        <v>100</v>
      </c>
      <c r="E12" s="905"/>
      <c r="F12" s="906">
        <f>SUMIF(59:59,E12,60:60)-SUMIF(59:59,C12,60:60)+100</f>
        <v>100</v>
      </c>
      <c r="G12" s="905"/>
      <c r="H12" s="906">
        <f>SUMIF(59:59,G12,60:60)-SUMIF(59:59,C12,60:60)+100</f>
        <v>100</v>
      </c>
      <c r="I12" s="905"/>
      <c r="J12" s="906">
        <f>SUMIF(59:59,I12,60:60)-SUMIF(59:59,C12,60:60)+100</f>
        <v>100</v>
      </c>
      <c r="K12" s="1046"/>
      <c r="L12" s="1031"/>
      <c r="M12" s="1032"/>
      <c r="N12" s="1032"/>
      <c r="O12" s="1032"/>
      <c r="P12" s="3472"/>
      <c r="Q12" s="1074">
        <f t="shared" si="6"/>
        <v>111</v>
      </c>
      <c r="R12" s="1070" t="s">
        <v>1336</v>
      </c>
      <c r="S12" s="1071">
        <f t="shared" si="0"/>
        <v>100</v>
      </c>
      <c r="T12" s="1070" t="s">
        <v>1336</v>
      </c>
      <c r="U12" s="1071">
        <f t="shared" si="1"/>
        <v>100</v>
      </c>
      <c r="V12" s="1070" t="s">
        <v>1336</v>
      </c>
      <c r="W12" s="1071">
        <f t="shared" si="2"/>
        <v>100</v>
      </c>
      <c r="X12" s="1072"/>
      <c r="Y12" s="3245"/>
      <c r="Z12" s="1085">
        <f t="shared" si="7"/>
        <v>111</v>
      </c>
      <c r="AA12" s="1084">
        <f t="shared" si="3"/>
        <v>1</v>
      </c>
      <c r="AB12" s="1084">
        <f t="shared" si="4"/>
        <v>1</v>
      </c>
      <c r="AC12" s="1084">
        <f t="shared" si="5"/>
        <v>1</v>
      </c>
    </row>
    <row r="13" spans="1:29" ht="15">
      <c r="A13" s="1403"/>
      <c r="B13" s="1401">
        <v>111</v>
      </c>
      <c r="C13" s="915"/>
      <c r="D13" s="916">
        <v>100</v>
      </c>
      <c r="E13" s="905"/>
      <c r="F13" s="906">
        <f>SUMIF(61:61,E13,62:62)-SUMIF(61:61,C13,62:62)+100</f>
        <v>100</v>
      </c>
      <c r="G13" s="905"/>
      <c r="H13" s="916">
        <f>SUMIF(61:61,G13,62:62)-SUMIF(61:61,C13,62:62)+100</f>
        <v>100</v>
      </c>
      <c r="I13" s="905"/>
      <c r="J13" s="916">
        <f>SUMIF(61:61,I13,62:62)-SUMIF(61:61,C13,62:62)+100</f>
        <v>100</v>
      </c>
      <c r="K13" s="1046"/>
      <c r="L13" s="1041"/>
      <c r="M13" s="1029"/>
      <c r="N13" s="1029"/>
      <c r="O13" s="1029"/>
      <c r="P13" s="3472"/>
      <c r="Q13" s="1074">
        <f t="shared" si="6"/>
        <v>111</v>
      </c>
      <c r="R13" s="1070" t="s">
        <v>1336</v>
      </c>
      <c r="S13" s="1071">
        <f t="shared" si="0"/>
        <v>100</v>
      </c>
      <c r="T13" s="1070" t="s">
        <v>1336</v>
      </c>
      <c r="U13" s="1071">
        <f t="shared" si="1"/>
        <v>100</v>
      </c>
      <c r="V13" s="1070" t="s">
        <v>1336</v>
      </c>
      <c r="W13" s="1071">
        <f t="shared" si="2"/>
        <v>100</v>
      </c>
      <c r="X13" s="1072"/>
      <c r="Y13" s="3245"/>
      <c r="Z13" s="1085">
        <f t="shared" si="7"/>
        <v>111</v>
      </c>
      <c r="AA13" s="1084">
        <f t="shared" si="3"/>
        <v>1</v>
      </c>
      <c r="AB13" s="1084">
        <f t="shared" si="4"/>
        <v>1</v>
      </c>
      <c r="AC13" s="1084">
        <f t="shared" si="5"/>
        <v>1</v>
      </c>
    </row>
    <row r="14" spans="1:29" ht="85.5">
      <c r="A14" s="885" t="s">
        <v>1345</v>
      </c>
      <c r="B14" s="922" t="s">
        <v>648</v>
      </c>
      <c r="C14" s="923" t="str">
        <f>IF(B1="工业",估价对象房地状况!G4,估价对象房地状况!C6)</f>
        <v>估价对象周边道路状况、公共交通通达情况、停车便捷程度，综合评价交通便捷度较好</v>
      </c>
      <c r="D14" s="924">
        <v>100</v>
      </c>
      <c r="E14" s="925"/>
      <c r="F14" s="1334">
        <f>SUMIF(63:63,E15,64:64)-SUMIF(63:63,C15,64:64)+100</f>
        <v>100</v>
      </c>
      <c r="G14" s="1042"/>
      <c r="H14" s="924">
        <f>SUMIF(63:63,G15,64:64)-SUMIF(63:63,C15,64:64)+100</f>
        <v>100</v>
      </c>
      <c r="I14" s="925"/>
      <c r="J14" s="924">
        <f>SUMIF(63:63,I15,64:64)-SUMIF(63:63,C15,64:64)+100</f>
        <v>100</v>
      </c>
      <c r="K14" s="1373"/>
      <c r="L14" s="1041"/>
      <c r="M14" s="1029"/>
      <c r="N14" s="1029"/>
      <c r="O14" s="1029"/>
      <c r="P14" s="3473" t="s">
        <v>1346</v>
      </c>
      <c r="Q14" s="652" t="str">
        <f t="shared" si="6"/>
        <v>交通便捷度</v>
      </c>
      <c r="R14" s="1075" t="s">
        <v>1336</v>
      </c>
      <c r="S14" s="1076">
        <f t="shared" si="0"/>
        <v>100</v>
      </c>
      <c r="T14" s="1075" t="s">
        <v>1336</v>
      </c>
      <c r="U14" s="1076">
        <f t="shared" si="1"/>
        <v>100</v>
      </c>
      <c r="V14" s="1075" t="s">
        <v>1336</v>
      </c>
      <c r="W14" s="1076">
        <f t="shared" si="2"/>
        <v>100</v>
      </c>
      <c r="X14" s="1069"/>
      <c r="Y14" s="3473" t="s">
        <v>1346</v>
      </c>
      <c r="Z14" s="1061" t="str">
        <f t="shared" si="7"/>
        <v>交通便捷度</v>
      </c>
      <c r="AA14" s="1086">
        <f t="shared" si="3"/>
        <v>1</v>
      </c>
      <c r="AB14" s="1086">
        <f t="shared" si="4"/>
        <v>1</v>
      </c>
      <c r="AC14" s="1086">
        <f t="shared" si="5"/>
        <v>1</v>
      </c>
    </row>
    <row r="15" spans="1:29" ht="15">
      <c r="A15" s="887"/>
      <c r="B15" s="1404"/>
      <c r="C15" s="927"/>
      <c r="D15" s="928"/>
      <c r="E15" s="927"/>
      <c r="F15" s="1335"/>
      <c r="G15" s="927"/>
      <c r="H15" s="930"/>
      <c r="I15" s="927"/>
      <c r="J15" s="928"/>
      <c r="K15" s="1374"/>
      <c r="L15" s="1041"/>
      <c r="M15" s="1029"/>
      <c r="N15" s="1029"/>
      <c r="O15" s="1029"/>
      <c r="P15" s="3474"/>
      <c r="Q15" s="652"/>
      <c r="R15" s="1075"/>
      <c r="S15" s="1076"/>
      <c r="T15" s="1075"/>
      <c r="U15" s="1076"/>
      <c r="V15" s="1075"/>
      <c r="W15" s="1076"/>
      <c r="X15" s="1069"/>
      <c r="Y15" s="3474"/>
      <c r="Z15" s="1061"/>
      <c r="AA15" s="1086">
        <v>1</v>
      </c>
      <c r="AB15" s="1086">
        <v>1</v>
      </c>
      <c r="AC15" s="1086">
        <v>1</v>
      </c>
    </row>
    <row r="16" spans="1:29" ht="42.75">
      <c r="A16" s="887"/>
      <c r="B16" s="931" t="s">
        <v>652</v>
      </c>
      <c r="C16" s="932" t="str">
        <f>IF(B1="工业",估价对象房地状况!G5,估价对象房地状况!C7)</f>
        <v>估价对象所在区域公共配套设施齐备情况</v>
      </c>
      <c r="D16" s="934">
        <v>100</v>
      </c>
      <c r="E16" s="1290"/>
      <c r="F16" s="1336">
        <f>SUMIF(65:65,E17,66:66)-SUMIF(65:65,C17,66:66)+100</f>
        <v>100</v>
      </c>
      <c r="G16" s="1298"/>
      <c r="H16" s="934">
        <f>SUMIF(65:65,G17,66:66)-SUMIF(65:65,C17,66:66)+100</f>
        <v>100</v>
      </c>
      <c r="I16" s="1290"/>
      <c r="J16" s="934">
        <f>SUMIF(65:65,I17,66:66)-SUMIF(65:65,C17,66:66)+100</f>
        <v>100</v>
      </c>
      <c r="K16" s="1373"/>
      <c r="L16" s="1041"/>
      <c r="M16" s="1029"/>
      <c r="N16" s="1029"/>
      <c r="O16" s="1029"/>
      <c r="P16" s="3474"/>
      <c r="Q16" s="652" t="str">
        <f>B16</f>
        <v>公共配套设施</v>
      </c>
      <c r="R16" s="1075" t="s">
        <v>1336</v>
      </c>
      <c r="S16" s="1076">
        <f>F16</f>
        <v>100</v>
      </c>
      <c r="T16" s="1075" t="s">
        <v>1336</v>
      </c>
      <c r="U16" s="1076">
        <f>H16</f>
        <v>100</v>
      </c>
      <c r="V16" s="1075" t="s">
        <v>1336</v>
      </c>
      <c r="W16" s="1076">
        <f>J16</f>
        <v>100</v>
      </c>
      <c r="X16" s="1069"/>
      <c r="Y16" s="3474"/>
      <c r="Z16" s="1061" t="str">
        <f>Q16</f>
        <v>公共配套设施</v>
      </c>
      <c r="AA16" s="1086">
        <f t="shared" si="3"/>
        <v>1</v>
      </c>
      <c r="AB16" s="1086">
        <f t="shared" si="4"/>
        <v>1</v>
      </c>
      <c r="AC16" s="1086">
        <f t="shared" si="5"/>
        <v>1</v>
      </c>
    </row>
    <row r="17" spans="1:29" ht="15">
      <c r="A17" s="887"/>
      <c r="B17" s="935"/>
      <c r="C17" s="1288"/>
      <c r="D17" s="928"/>
      <c r="E17" s="927"/>
      <c r="F17" s="1335"/>
      <c r="G17" s="927"/>
      <c r="H17" s="928"/>
      <c r="I17" s="927"/>
      <c r="J17" s="928"/>
      <c r="K17" s="1374"/>
      <c r="L17" s="1041"/>
      <c r="M17" s="1029"/>
      <c r="N17" s="1029"/>
      <c r="O17" s="1029"/>
      <c r="P17" s="3474"/>
      <c r="Q17" s="652"/>
      <c r="R17" s="1075"/>
      <c r="S17" s="1076"/>
      <c r="T17" s="1075"/>
      <c r="U17" s="1076"/>
      <c r="V17" s="1075"/>
      <c r="W17" s="1076"/>
      <c r="X17" s="1069"/>
      <c r="Y17" s="3474"/>
      <c r="Z17" s="1061"/>
      <c r="AA17" s="1086">
        <v>1</v>
      </c>
      <c r="AB17" s="1086">
        <v>1</v>
      </c>
      <c r="AC17" s="1086">
        <v>1</v>
      </c>
    </row>
    <row r="18" spans="1:29" ht="28.5">
      <c r="A18" s="887"/>
      <c r="B18" s="938" t="s">
        <v>654</v>
      </c>
      <c r="C18" s="932" t="str">
        <f>IF(B1="工业",估价对象房地状况!G6,估价对象房地状况!C8)</f>
        <v>估价对象所在区域基础设施水平</v>
      </c>
      <c r="D18" s="930">
        <v>100</v>
      </c>
      <c r="E18" s="933"/>
      <c r="F18" s="1336">
        <f>SUMIF(67:67,E19,68:68)-SUMIF(67:67,C19,68:68)+100</f>
        <v>100</v>
      </c>
      <c r="G18" s="1043"/>
      <c r="H18" s="934">
        <f>SUMIF(67:67,G19,68:68)-SUMIF(67:67,C19,68:68)+100</f>
        <v>100</v>
      </c>
      <c r="I18" s="933"/>
      <c r="J18" s="934">
        <f>SUMIF(67:67,I19,68:68)-SUMIF(67:67,C19,68:68)+100</f>
        <v>100</v>
      </c>
      <c r="K18" s="1373"/>
      <c r="L18" s="1041"/>
      <c r="M18" s="1029"/>
      <c r="N18" s="1029"/>
      <c r="O18" s="1029"/>
      <c r="P18" s="3474"/>
      <c r="Q18" s="652" t="str">
        <f>B18</f>
        <v>基础设施水平</v>
      </c>
      <c r="R18" s="1075" t="s">
        <v>1336</v>
      </c>
      <c r="S18" s="1076">
        <f>F18</f>
        <v>100</v>
      </c>
      <c r="T18" s="1075" t="s">
        <v>1336</v>
      </c>
      <c r="U18" s="1076">
        <f>H18</f>
        <v>100</v>
      </c>
      <c r="V18" s="1075" t="s">
        <v>1336</v>
      </c>
      <c r="W18" s="1076">
        <f>J18</f>
        <v>100</v>
      </c>
      <c r="X18" s="1069"/>
      <c r="Y18" s="3474"/>
      <c r="Z18" s="1061" t="str">
        <f>Q18</f>
        <v>基础设施水平</v>
      </c>
      <c r="AA18" s="1086">
        <f t="shared" ref="AA18" si="8">D18/F18</f>
        <v>1</v>
      </c>
      <c r="AB18" s="1086">
        <f t="shared" ref="AB18" si="9">D18/H18</f>
        <v>1</v>
      </c>
      <c r="AC18" s="1086">
        <f t="shared" ref="AC18" si="10">D18/J18</f>
        <v>1</v>
      </c>
    </row>
    <row r="19" spans="1:29" ht="15">
      <c r="A19" s="887"/>
      <c r="B19" s="938"/>
      <c r="C19" s="1288"/>
      <c r="D19" s="930"/>
      <c r="E19" s="1288"/>
      <c r="F19" s="1337"/>
      <c r="G19" s="1288"/>
      <c r="H19" s="928"/>
      <c r="I19" s="927"/>
      <c r="J19" s="928"/>
      <c r="K19" s="1375"/>
      <c r="L19" s="1041"/>
      <c r="M19" s="1029"/>
      <c r="N19" s="1029"/>
      <c r="O19" s="1029"/>
      <c r="P19" s="3474"/>
      <c r="Q19" s="652"/>
      <c r="R19" s="1075"/>
      <c r="S19" s="1076"/>
      <c r="T19" s="1075"/>
      <c r="U19" s="1076"/>
      <c r="V19" s="1075"/>
      <c r="W19" s="1076"/>
      <c r="X19" s="1069"/>
      <c r="Y19" s="3474"/>
      <c r="Z19" s="1061"/>
      <c r="AA19" s="1086">
        <v>1</v>
      </c>
      <c r="AB19" s="1086">
        <v>1</v>
      </c>
      <c r="AC19" s="1086">
        <v>1</v>
      </c>
    </row>
    <row r="20" spans="1:29" ht="57">
      <c r="A20" s="887"/>
      <c r="B20" s="931" t="s">
        <v>658</v>
      </c>
      <c r="C20" s="932" t="str">
        <f>IF(B1="工业",估价对象房地状况!G7,估价对象房地状况!C9)</f>
        <v>区域自然环境：；人文环境；综合评价环境状况一般</v>
      </c>
      <c r="D20" s="934">
        <v>100</v>
      </c>
      <c r="E20" s="1290"/>
      <c r="F20" s="1336">
        <f>SUMIF(69:69,E21,70:70)-SUMIF(69:69,C21,70:70)+100</f>
        <v>100</v>
      </c>
      <c r="G20" s="1298"/>
      <c r="H20" s="930">
        <f>SUMIF(69:69,G21,70:70)-SUMIF(69:69,C21,70:70)+100</f>
        <v>100</v>
      </c>
      <c r="I20" s="933"/>
      <c r="J20" s="930">
        <f>SUMIF(69:69,I21,70:70)-SUMIF(69:69,C21,70:70)+100</f>
        <v>100</v>
      </c>
      <c r="K20" s="1373"/>
      <c r="L20" s="1041"/>
      <c r="M20" s="1029"/>
      <c r="N20" s="1029"/>
      <c r="O20" s="1029"/>
      <c r="P20" s="3474"/>
      <c r="Q20" s="652" t="str">
        <f>B20</f>
        <v>自然及人文环境</v>
      </c>
      <c r="R20" s="1075" t="s">
        <v>1336</v>
      </c>
      <c r="S20" s="1076">
        <f>F20</f>
        <v>100</v>
      </c>
      <c r="T20" s="1075" t="s">
        <v>1336</v>
      </c>
      <c r="U20" s="1076">
        <f>H20</f>
        <v>100</v>
      </c>
      <c r="V20" s="1075" t="s">
        <v>1336</v>
      </c>
      <c r="W20" s="1076">
        <f>J20</f>
        <v>100</v>
      </c>
      <c r="X20" s="1069"/>
      <c r="Y20" s="3474"/>
      <c r="Z20" s="1061" t="str">
        <f>Q20</f>
        <v>自然及人文环境</v>
      </c>
      <c r="AA20" s="1086">
        <f t="shared" si="3"/>
        <v>1</v>
      </c>
      <c r="AB20" s="1086">
        <f t="shared" si="4"/>
        <v>1</v>
      </c>
      <c r="AC20" s="1086">
        <f t="shared" si="5"/>
        <v>1</v>
      </c>
    </row>
    <row r="21" spans="1:29" ht="15">
      <c r="A21" s="887"/>
      <c r="B21" s="935"/>
      <c r="C21" s="927"/>
      <c r="D21" s="928"/>
      <c r="E21" s="927"/>
      <c r="F21" s="1335"/>
      <c r="G21" s="927"/>
      <c r="H21" s="928"/>
      <c r="I21" s="927"/>
      <c r="J21" s="928"/>
      <c r="K21" s="1374"/>
      <c r="L21" s="1041"/>
      <c r="M21" s="1029"/>
      <c r="N21" s="1029"/>
      <c r="O21" s="1029"/>
      <c r="P21" s="3474"/>
      <c r="Q21" s="652"/>
      <c r="R21" s="1075"/>
      <c r="S21" s="1076"/>
      <c r="T21" s="1075"/>
      <c r="U21" s="1076"/>
      <c r="V21" s="1075"/>
      <c r="W21" s="1076"/>
      <c r="X21" s="1069"/>
      <c r="Y21" s="3474"/>
      <c r="Z21" s="1061"/>
      <c r="AA21" s="1086">
        <v>1</v>
      </c>
      <c r="AB21" s="1086">
        <v>1</v>
      </c>
      <c r="AC21" s="1086">
        <v>1</v>
      </c>
    </row>
    <row r="22" spans="1:29" ht="15">
      <c r="A22" s="887"/>
      <c r="B22" s="931" t="s">
        <v>1411</v>
      </c>
      <c r="C22" s="941"/>
      <c r="D22" s="930">
        <v>100</v>
      </c>
      <c r="E22" s="941"/>
      <c r="F22" s="1338">
        <f>SUMIF(71:71,E22,72:72)-SUMIF(71:71,C22,72:72)+100</f>
        <v>100</v>
      </c>
      <c r="G22" s="941"/>
      <c r="H22" s="916">
        <f>SUMIF(71:71,G22,72:72)-SUMIF(71:71,C22,72:72)+100</f>
        <v>100</v>
      </c>
      <c r="I22" s="941"/>
      <c r="J22" s="916">
        <f>SUMIF(71:71,I22,72:72)-SUMIF(71:71,C22,72:72)+100</f>
        <v>100</v>
      </c>
      <c r="K22" s="1047"/>
      <c r="L22" s="1041"/>
      <c r="M22" s="1029"/>
      <c r="N22" s="1029"/>
      <c r="O22" s="1029"/>
      <c r="P22" s="3474"/>
      <c r="Q22" s="652" t="str">
        <f>B22</f>
        <v>楼层</v>
      </c>
      <c r="R22" s="1075" t="s">
        <v>1336</v>
      </c>
      <c r="S22" s="1076">
        <f>F22</f>
        <v>100</v>
      </c>
      <c r="T22" s="1075" t="s">
        <v>1336</v>
      </c>
      <c r="U22" s="1076">
        <f>H22</f>
        <v>100</v>
      </c>
      <c r="V22" s="1075" t="s">
        <v>1336</v>
      </c>
      <c r="W22" s="1076">
        <f>J22</f>
        <v>100</v>
      </c>
      <c r="X22" s="1069"/>
      <c r="Y22" s="3474"/>
      <c r="Z22" s="1061" t="str">
        <f>Q22</f>
        <v>楼层</v>
      </c>
      <c r="AA22" s="1086">
        <f t="shared" si="3"/>
        <v>1</v>
      </c>
      <c r="AB22" s="1086">
        <f t="shared" si="4"/>
        <v>1</v>
      </c>
      <c r="AC22" s="1086">
        <f t="shared" si="5"/>
        <v>1</v>
      </c>
    </row>
    <row r="23" spans="1:29" ht="15">
      <c r="A23" s="887"/>
      <c r="B23" s="1405">
        <v>111</v>
      </c>
      <c r="C23" s="905"/>
      <c r="D23" s="916">
        <v>100</v>
      </c>
      <c r="E23" s="905"/>
      <c r="F23" s="1338">
        <f>SUMIF(73:73,E23,74:74)-SUMIF(73:73,C23,74:74)+100</f>
        <v>100</v>
      </c>
      <c r="G23" s="905"/>
      <c r="H23" s="916">
        <f>SUMIF(73:73,G23,74:74)-SUMIF(73:73,C23,74:74)+100</f>
        <v>100</v>
      </c>
      <c r="I23" s="905"/>
      <c r="J23" s="916">
        <f>SUMIF(73:73,I23,74:74)-SUMIF(73:73,C23,74:74)+100</f>
        <v>100</v>
      </c>
      <c r="K23" s="1046"/>
      <c r="L23" s="1041"/>
      <c r="M23" s="1029"/>
      <c r="N23" s="1029"/>
      <c r="O23" s="1029"/>
      <c r="P23" s="3474"/>
      <c r="Q23" s="652">
        <f>B23</f>
        <v>111</v>
      </c>
      <c r="R23" s="1075" t="s">
        <v>1336</v>
      </c>
      <c r="S23" s="1076">
        <f>F23</f>
        <v>100</v>
      </c>
      <c r="T23" s="1075" t="s">
        <v>1336</v>
      </c>
      <c r="U23" s="1076">
        <f>H23</f>
        <v>100</v>
      </c>
      <c r="V23" s="1075" t="s">
        <v>1336</v>
      </c>
      <c r="W23" s="1076">
        <f>J23</f>
        <v>100</v>
      </c>
      <c r="X23" s="1069"/>
      <c r="Y23" s="3474"/>
      <c r="Z23" s="1061">
        <f>Q23</f>
        <v>111</v>
      </c>
      <c r="AA23" s="1086">
        <f t="shared" si="3"/>
        <v>1</v>
      </c>
      <c r="AB23" s="1086">
        <f t="shared" si="4"/>
        <v>1</v>
      </c>
      <c r="AC23" s="1086">
        <f t="shared" si="5"/>
        <v>1</v>
      </c>
    </row>
    <row r="24" spans="1:29" ht="15">
      <c r="A24" s="887"/>
      <c r="B24" s="1405">
        <v>111</v>
      </c>
      <c r="C24" s="905"/>
      <c r="D24" s="916">
        <v>100</v>
      </c>
      <c r="E24" s="905"/>
      <c r="F24" s="1338">
        <f>SUMIF(75:75,E24,76:76)-SUMIF(75:75,C24,76:76)+100</f>
        <v>100</v>
      </c>
      <c r="G24" s="905"/>
      <c r="H24" s="916">
        <f>SUMIF(75:75,G24,76:76)-SUMIF(75:75,C24,76:76)+100</f>
        <v>100</v>
      </c>
      <c r="I24" s="905"/>
      <c r="J24" s="916">
        <f>SUMIF(75:75,I24,76:76)-SUMIF(75:75,C24,76:76)+100</f>
        <v>100</v>
      </c>
      <c r="K24" s="1046"/>
      <c r="L24" s="1041"/>
      <c r="M24" s="1029"/>
      <c r="N24" s="1029"/>
      <c r="O24" s="1029"/>
      <c r="P24" s="3474"/>
      <c r="Q24" s="652">
        <f t="shared" ref="Q24:Q36" si="11">B24</f>
        <v>111</v>
      </c>
      <c r="R24" s="1075" t="s">
        <v>1336</v>
      </c>
      <c r="S24" s="1076">
        <f>F24</f>
        <v>100</v>
      </c>
      <c r="T24" s="1075" t="s">
        <v>1336</v>
      </c>
      <c r="U24" s="1076">
        <f>H24</f>
        <v>100</v>
      </c>
      <c r="V24" s="1075" t="s">
        <v>1336</v>
      </c>
      <c r="W24" s="1076">
        <f>J24</f>
        <v>100</v>
      </c>
      <c r="X24" s="1069"/>
      <c r="Y24" s="3474"/>
      <c r="Z24" s="1061">
        <f>Q24</f>
        <v>111</v>
      </c>
      <c r="AA24" s="1086">
        <f t="shared" si="3"/>
        <v>1</v>
      </c>
      <c r="AB24" s="1086">
        <f t="shared" si="4"/>
        <v>1</v>
      </c>
      <c r="AC24" s="1086">
        <f t="shared" si="5"/>
        <v>1</v>
      </c>
    </row>
    <row r="25" spans="1:29" s="866" customFormat="1" ht="15">
      <c r="A25" s="937"/>
      <c r="B25" s="1406">
        <v>111</v>
      </c>
      <c r="C25" s="919"/>
      <c r="D25" s="1407">
        <v>100</v>
      </c>
      <c r="E25" s="1408"/>
      <c r="F25" s="1409">
        <f>SUMIF(77:77,E25,78:78)-SUMIF(77:77,C25,78:78)+100</f>
        <v>100</v>
      </c>
      <c r="G25" s="1408"/>
      <c r="H25" s="1407">
        <f>SUMIF(77:77,G25,78:78)-SUMIF(77:77,C25,78:78)+100</f>
        <v>100</v>
      </c>
      <c r="I25" s="1408"/>
      <c r="J25" s="1407">
        <f>SUMIF(77:77,I25,78:78)-SUMIF(77:77,C25,78:78)+100</f>
        <v>100</v>
      </c>
      <c r="K25" s="1046"/>
      <c r="L25" s="1031"/>
      <c r="M25" s="1032"/>
      <c r="N25" s="1032"/>
      <c r="O25" s="1032"/>
      <c r="P25" s="3474"/>
      <c r="Q25" s="1074">
        <f t="shared" si="11"/>
        <v>111</v>
      </c>
      <c r="R25" s="1070" t="s">
        <v>1336</v>
      </c>
      <c r="S25" s="1071">
        <f>F25</f>
        <v>100</v>
      </c>
      <c r="T25" s="1070" t="s">
        <v>1336</v>
      </c>
      <c r="U25" s="1071">
        <f>H25</f>
        <v>100</v>
      </c>
      <c r="V25" s="1070" t="s">
        <v>1336</v>
      </c>
      <c r="W25" s="1071">
        <f>J25</f>
        <v>100</v>
      </c>
      <c r="X25" s="1072"/>
      <c r="Y25" s="3474"/>
      <c r="Z25" s="1085">
        <f>Q25</f>
        <v>111</v>
      </c>
      <c r="AA25" s="1086">
        <f t="shared" si="3"/>
        <v>1</v>
      </c>
      <c r="AB25" s="1086">
        <f t="shared" si="4"/>
        <v>1</v>
      </c>
      <c r="AC25" s="1086">
        <f t="shared" si="5"/>
        <v>1</v>
      </c>
    </row>
    <row r="26" spans="1:29" ht="15">
      <c r="A26" s="1410" t="s">
        <v>1349</v>
      </c>
      <c r="B26" s="1411" t="s">
        <v>1429</v>
      </c>
      <c r="C26" s="1412">
        <f>B1</f>
        <v>0</v>
      </c>
      <c r="D26" s="928">
        <v>100</v>
      </c>
      <c r="E26" s="927"/>
      <c r="F26" s="1335">
        <f>SUMIF(79:79,E26,80:80)-SUMIF(79:79,C26,80:80)+100</f>
        <v>100</v>
      </c>
      <c r="G26" s="927"/>
      <c r="H26" s="928">
        <f>SUMIF(79:79,G26,80:80)-SUMIF(79:79,C26,80:80)+100</f>
        <v>100</v>
      </c>
      <c r="I26" s="927"/>
      <c r="J26" s="928">
        <f>SUMIF(79:79,I26,80:80)-SUMIF(79:79,C26,80:80)+100</f>
        <v>100</v>
      </c>
      <c r="K26" s="1047"/>
      <c r="L26" s="1041"/>
      <c r="M26" s="1029"/>
      <c r="N26" s="1029"/>
      <c r="O26" s="1029"/>
      <c r="P26" s="3475" t="s">
        <v>1351</v>
      </c>
      <c r="Q26" s="652" t="str">
        <f t="shared" si="11"/>
        <v>配套类型</v>
      </c>
      <c r="R26" s="1075" t="s">
        <v>1336</v>
      </c>
      <c r="S26" s="1076">
        <f t="shared" ref="S26:S36" si="12">F26</f>
        <v>100</v>
      </c>
      <c r="T26" s="1075" t="s">
        <v>1336</v>
      </c>
      <c r="U26" s="1076">
        <f t="shared" ref="U26:U36" si="13">H26</f>
        <v>100</v>
      </c>
      <c r="V26" s="1075" t="s">
        <v>1336</v>
      </c>
      <c r="W26" s="1076">
        <f t="shared" ref="W26:W36" si="14">J26</f>
        <v>100</v>
      </c>
      <c r="X26" s="1069"/>
      <c r="Y26" s="3476" t="s">
        <v>1351</v>
      </c>
      <c r="Z26" s="1061" t="str">
        <f t="shared" ref="Z26:Z36" si="15">Q26</f>
        <v>配套类型</v>
      </c>
      <c r="AA26" s="1086">
        <f t="shared" si="3"/>
        <v>1</v>
      </c>
      <c r="AB26" s="1086">
        <f t="shared" si="4"/>
        <v>1</v>
      </c>
      <c r="AC26" s="1086">
        <f t="shared" si="5"/>
        <v>1</v>
      </c>
    </row>
    <row r="27" spans="1:29" s="868" customFormat="1" ht="15">
      <c r="A27" s="1413"/>
      <c r="B27" s="944" t="s">
        <v>1430</v>
      </c>
      <c r="C27" s="1414"/>
      <c r="D27" s="906">
        <v>100</v>
      </c>
      <c r="E27" s="1414"/>
      <c r="F27" s="1338">
        <f>SUMIF(81:81,E27,82:82)-SUMIF(81:81,C27,82:82)+100</f>
        <v>100</v>
      </c>
      <c r="G27" s="1414"/>
      <c r="H27" s="916">
        <f>SUMIF(81:81,G27,82:82)-SUMIF(81:81,C27,82:82)+100</f>
        <v>100</v>
      </c>
      <c r="I27" s="1414"/>
      <c r="J27" s="916">
        <f>SUMIF(81:81,I27,82:82)-SUMIF(81:81,C27,82:82)+100</f>
        <v>100</v>
      </c>
      <c r="K27" s="1046"/>
      <c r="L27" s="1039"/>
      <c r="M27" s="1048"/>
      <c r="N27" s="1048"/>
      <c r="O27" s="1048"/>
      <c r="P27" s="3476"/>
      <c r="Q27" s="1377" t="str">
        <f t="shared" si="11"/>
        <v>项目停车位配比</v>
      </c>
      <c r="R27" s="1077" t="s">
        <v>1336</v>
      </c>
      <c r="S27" s="1078">
        <f t="shared" si="12"/>
        <v>100</v>
      </c>
      <c r="T27" s="1077" t="s">
        <v>1336</v>
      </c>
      <c r="U27" s="1078">
        <f t="shared" si="13"/>
        <v>100</v>
      </c>
      <c r="V27" s="1077" t="s">
        <v>1336</v>
      </c>
      <c r="W27" s="1078">
        <f t="shared" si="14"/>
        <v>100</v>
      </c>
      <c r="X27" s="1079"/>
      <c r="Y27" s="3476"/>
      <c r="Z27" s="1087" t="str">
        <f t="shared" si="15"/>
        <v>项目停车位配比</v>
      </c>
      <c r="AA27" s="1086">
        <f t="shared" si="3"/>
        <v>1</v>
      </c>
      <c r="AB27" s="1086">
        <f t="shared" si="4"/>
        <v>1</v>
      </c>
      <c r="AC27" s="1086">
        <f t="shared" si="5"/>
        <v>1</v>
      </c>
    </row>
    <row r="28" spans="1:29" ht="15">
      <c r="A28" s="1415"/>
      <c r="B28" s="944" t="s">
        <v>1355</v>
      </c>
      <c r="C28" s="1348"/>
      <c r="D28" s="916">
        <v>100</v>
      </c>
      <c r="E28" s="1348"/>
      <c r="F28" s="1338">
        <f>SUMIF(83:83,E28,84:84)-SUMIF(83:83,C28,84:84)+100</f>
        <v>100</v>
      </c>
      <c r="G28" s="1348"/>
      <c r="H28" s="916">
        <f>SUMIF(83:83,G28,84:84)-SUMIF(83:83,C28,84:84)+100</f>
        <v>100</v>
      </c>
      <c r="I28" s="1348"/>
      <c r="J28" s="916">
        <f>SUMIF(83:83,I28,84:84)-SUMIF(83:83,C28,84:84)+100</f>
        <v>100</v>
      </c>
      <c r="K28" s="1047"/>
      <c r="L28" s="1041"/>
      <c r="M28" s="1029"/>
      <c r="N28" s="1029"/>
      <c r="O28" s="1029"/>
      <c r="P28" s="3476"/>
      <c r="Q28" s="652" t="str">
        <f t="shared" si="11"/>
        <v>公共部分装修</v>
      </c>
      <c r="R28" s="1075" t="s">
        <v>1336</v>
      </c>
      <c r="S28" s="1076">
        <f t="shared" si="12"/>
        <v>100</v>
      </c>
      <c r="T28" s="1075" t="s">
        <v>1336</v>
      </c>
      <c r="U28" s="1076">
        <f t="shared" si="13"/>
        <v>100</v>
      </c>
      <c r="V28" s="1075" t="s">
        <v>1336</v>
      </c>
      <c r="W28" s="1076">
        <f t="shared" si="14"/>
        <v>100</v>
      </c>
      <c r="X28" s="1069"/>
      <c r="Y28" s="3476"/>
      <c r="Z28" s="1061" t="str">
        <f t="shared" si="15"/>
        <v>公共部分装修</v>
      </c>
      <c r="AA28" s="1086">
        <f t="shared" si="3"/>
        <v>1</v>
      </c>
      <c r="AB28" s="1086">
        <f t="shared" si="4"/>
        <v>1</v>
      </c>
      <c r="AC28" s="1086">
        <f t="shared" si="5"/>
        <v>1</v>
      </c>
    </row>
    <row r="29" spans="1:29" ht="15">
      <c r="A29" s="1415"/>
      <c r="B29" s="944" t="s">
        <v>1431</v>
      </c>
      <c r="C29" s="1332"/>
      <c r="D29" s="916">
        <v>100</v>
      </c>
      <c r="E29" s="1345"/>
      <c r="F29" s="1338" t="e">
        <f>LOOKUP(E29,86:86,87:87)-LOOKUP(C29,86:86,87:87)+100</f>
        <v>#N/A</v>
      </c>
      <c r="G29" s="1345"/>
      <c r="H29" s="1338" t="e">
        <f>LOOKUP(G29,86:86,87:87)-LOOKUP(C29,86:86,87:87)+100</f>
        <v>#N/A</v>
      </c>
      <c r="I29" s="1345"/>
      <c r="J29" s="916" t="e">
        <f>LOOKUP(I29,86:86,87:87)-LOOKUP(C29,86:86,87:87)+100</f>
        <v>#N/A</v>
      </c>
      <c r="K29" s="1047"/>
      <c r="L29" s="1041"/>
      <c r="M29" s="1029"/>
      <c r="N29" s="1029"/>
      <c r="O29" s="1029"/>
      <c r="P29" s="3476"/>
      <c r="Q29" s="652" t="str">
        <f t="shared" si="11"/>
        <v>成新率</v>
      </c>
      <c r="R29" s="1075" t="s">
        <v>1336</v>
      </c>
      <c r="S29" s="1076" t="e">
        <f t="shared" si="12"/>
        <v>#N/A</v>
      </c>
      <c r="T29" s="1075" t="s">
        <v>1336</v>
      </c>
      <c r="U29" s="1076" t="e">
        <f t="shared" si="13"/>
        <v>#N/A</v>
      </c>
      <c r="V29" s="1075" t="s">
        <v>1336</v>
      </c>
      <c r="W29" s="1076" t="e">
        <f t="shared" si="14"/>
        <v>#N/A</v>
      </c>
      <c r="X29" s="1069"/>
      <c r="Y29" s="3476"/>
      <c r="Z29" s="1061" t="str">
        <f t="shared" si="15"/>
        <v>成新率</v>
      </c>
      <c r="AA29" s="1086" t="e">
        <f t="shared" si="3"/>
        <v>#N/A</v>
      </c>
      <c r="AB29" s="1086" t="e">
        <f t="shared" si="4"/>
        <v>#N/A</v>
      </c>
      <c r="AC29" s="1086" t="e">
        <f t="shared" si="5"/>
        <v>#N/A</v>
      </c>
    </row>
    <row r="30" spans="1:29" ht="15">
      <c r="A30" s="1415"/>
      <c r="B30" s="944" t="s">
        <v>1432</v>
      </c>
      <c r="C30" s="1349"/>
      <c r="D30" s="916">
        <v>100</v>
      </c>
      <c r="E30" s="1349"/>
      <c r="F30" s="1338">
        <f>SUMIF(88:88,E30,89:89)-SUMIF(88:88,C30,89:89)+100</f>
        <v>100</v>
      </c>
      <c r="G30" s="1349"/>
      <c r="H30" s="916">
        <f>SUMIF(88:88,E30,89:89)-SUMIF(88:88,C30,89:89)+100</f>
        <v>100</v>
      </c>
      <c r="I30" s="1349"/>
      <c r="J30" s="916">
        <f>SUMIF(88:88,E30,89:89)-SUMIF(88:88,C30,89:89)+100</f>
        <v>100</v>
      </c>
      <c r="K30" s="1047"/>
      <c r="L30" s="1041"/>
      <c r="M30" s="1029"/>
      <c r="N30" s="1029"/>
      <c r="O30" s="1029"/>
      <c r="P30" s="3476"/>
      <c r="Q30" s="652" t="str">
        <f t="shared" si="11"/>
        <v>物业等级</v>
      </c>
      <c r="R30" s="1075" t="s">
        <v>1336</v>
      </c>
      <c r="S30" s="1076">
        <f t="shared" si="12"/>
        <v>100</v>
      </c>
      <c r="T30" s="1075" t="s">
        <v>1336</v>
      </c>
      <c r="U30" s="1076">
        <f t="shared" si="13"/>
        <v>100</v>
      </c>
      <c r="V30" s="1075" t="s">
        <v>1336</v>
      </c>
      <c r="W30" s="1076">
        <f t="shared" si="14"/>
        <v>100</v>
      </c>
      <c r="X30" s="1069"/>
      <c r="Y30" s="3476"/>
      <c r="Z30" s="1061" t="str">
        <f t="shared" si="15"/>
        <v>物业等级</v>
      </c>
      <c r="AA30" s="1086">
        <f t="shared" si="3"/>
        <v>1</v>
      </c>
      <c r="AB30" s="1086">
        <f t="shared" si="4"/>
        <v>1</v>
      </c>
      <c r="AC30" s="1086">
        <f t="shared" si="5"/>
        <v>1</v>
      </c>
    </row>
    <row r="31" spans="1:29" s="866" customFormat="1" ht="15">
      <c r="A31" s="1416"/>
      <c r="B31" s="944" t="s">
        <v>1433</v>
      </c>
      <c r="C31" s="1332"/>
      <c r="D31" s="906">
        <v>100</v>
      </c>
      <c r="E31" s="1332"/>
      <c r="F31" s="1338" t="e">
        <f>LOOKUP(E31,91:91,92:92)-LOOKUP(C31,91:91,92:92)+100</f>
        <v>#N/A</v>
      </c>
      <c r="G31" s="1332"/>
      <c r="H31" s="916" t="e">
        <f>LOOKUP(G31,91:91,92:92)-LOOKUP(C31,91:91,92:92)+100</f>
        <v>#N/A</v>
      </c>
      <c r="I31" s="1332"/>
      <c r="J31" s="916" t="e">
        <f>LOOKUP(I31,91:91,92:92)-LOOKUP(C31,91:91,92:92)+100</f>
        <v>#N/A</v>
      </c>
      <c r="K31" s="1047"/>
      <c r="L31" s="1031"/>
      <c r="M31" s="1032"/>
      <c r="N31" s="1032"/>
      <c r="O31" s="1032"/>
      <c r="P31" s="3476"/>
      <c r="Q31" s="1074" t="str">
        <f t="shared" si="11"/>
        <v>停车位面积</v>
      </c>
      <c r="R31" s="1070" t="s">
        <v>1336</v>
      </c>
      <c r="S31" s="1071" t="e">
        <f t="shared" si="12"/>
        <v>#N/A</v>
      </c>
      <c r="T31" s="1070" t="s">
        <v>1336</v>
      </c>
      <c r="U31" s="1071" t="e">
        <f t="shared" si="13"/>
        <v>#N/A</v>
      </c>
      <c r="V31" s="1070" t="s">
        <v>1336</v>
      </c>
      <c r="W31" s="1071" t="e">
        <f t="shared" si="14"/>
        <v>#N/A</v>
      </c>
      <c r="X31" s="1072"/>
      <c r="Y31" s="3476"/>
      <c r="Z31" s="1085" t="str">
        <f t="shared" si="15"/>
        <v>停车位面积</v>
      </c>
      <c r="AA31" s="1084" t="e">
        <f t="shared" si="3"/>
        <v>#N/A</v>
      </c>
      <c r="AB31" s="1084" t="e">
        <f t="shared" si="4"/>
        <v>#N/A</v>
      </c>
      <c r="AC31" s="1084" t="e">
        <f t="shared" si="5"/>
        <v>#N/A</v>
      </c>
    </row>
    <row r="32" spans="1:29" ht="15">
      <c r="A32" s="1415"/>
      <c r="B32" s="944" t="s">
        <v>1434</v>
      </c>
      <c r="C32" s="1348"/>
      <c r="D32" s="916">
        <v>100</v>
      </c>
      <c r="E32" s="1348"/>
      <c r="F32" s="1338">
        <f>SUMIF(93:93,E32,94:94)-SUMIF(93:93,C32,94:94)+100</f>
        <v>100</v>
      </c>
      <c r="G32" s="1348"/>
      <c r="H32" s="916">
        <f>SUMIF(93:93,G32,94:94)-SUMIF(93:93,C32,94:94)+100</f>
        <v>100</v>
      </c>
      <c r="I32" s="1348"/>
      <c r="J32" s="916">
        <f>SUMIF(93:93,I32,94:94)-SUMIF(93:93,C32,94:94)+100</f>
        <v>100</v>
      </c>
      <c r="K32" s="1047"/>
      <c r="L32" s="1041"/>
      <c r="M32" s="1029"/>
      <c r="N32" s="1029"/>
      <c r="O32" s="1029"/>
      <c r="P32" s="3476" t="s">
        <v>1351</v>
      </c>
      <c r="Q32" s="652" t="str">
        <f t="shared" si="11"/>
        <v>车位类型</v>
      </c>
      <c r="R32" s="1075" t="s">
        <v>1336</v>
      </c>
      <c r="S32" s="1076">
        <f t="shared" si="12"/>
        <v>100</v>
      </c>
      <c r="T32" s="1075" t="s">
        <v>1336</v>
      </c>
      <c r="U32" s="1076">
        <f t="shared" si="13"/>
        <v>100</v>
      </c>
      <c r="V32" s="1075" t="s">
        <v>1336</v>
      </c>
      <c r="W32" s="1076">
        <f t="shared" si="14"/>
        <v>100</v>
      </c>
      <c r="X32" s="1069"/>
      <c r="Y32" s="3476" t="s">
        <v>1351</v>
      </c>
      <c r="Z32" s="1061" t="str">
        <f t="shared" si="15"/>
        <v>车位类型</v>
      </c>
      <c r="AA32" s="1086">
        <f t="shared" si="3"/>
        <v>1</v>
      </c>
      <c r="AB32" s="1086">
        <f t="shared" si="4"/>
        <v>1</v>
      </c>
      <c r="AC32" s="1086">
        <f t="shared" si="5"/>
        <v>1</v>
      </c>
    </row>
    <row r="33" spans="1:29" ht="15">
      <c r="A33" s="1415"/>
      <c r="B33" s="944" t="s">
        <v>1435</v>
      </c>
      <c r="C33" s="1348"/>
      <c r="D33" s="916">
        <v>100</v>
      </c>
      <c r="E33" s="1348"/>
      <c r="F33" s="1338">
        <f>SUMIF(95:95,E33,96:96)-SUMIF(95:95,C33,96:96)+100</f>
        <v>100</v>
      </c>
      <c r="G33" s="1348"/>
      <c r="H33" s="916">
        <f>SUMIF(95:95,G33,96:96)-SUMIF(95:95,C33,96:96)+100</f>
        <v>100</v>
      </c>
      <c r="I33" s="1348"/>
      <c r="J33" s="916">
        <f>SUMIF(95:95,I33,96:96)-SUMIF(95:95,C33,96:96)+100</f>
        <v>100</v>
      </c>
      <c r="K33" s="1047"/>
      <c r="L33" s="1041"/>
      <c r="M33" s="1029"/>
      <c r="N33" s="1029"/>
      <c r="O33" s="1029"/>
      <c r="P33" s="3476"/>
      <c r="Q33" s="652" t="str">
        <f t="shared" si="11"/>
        <v>是否直接入户</v>
      </c>
      <c r="R33" s="1075" t="s">
        <v>1336</v>
      </c>
      <c r="S33" s="1076">
        <f t="shared" si="12"/>
        <v>100</v>
      </c>
      <c r="T33" s="1075" t="s">
        <v>1336</v>
      </c>
      <c r="U33" s="1076">
        <f t="shared" si="13"/>
        <v>100</v>
      </c>
      <c r="V33" s="1075" t="s">
        <v>1336</v>
      </c>
      <c r="W33" s="1076">
        <f t="shared" si="14"/>
        <v>100</v>
      </c>
      <c r="X33" s="1069"/>
      <c r="Y33" s="3476"/>
      <c r="Z33" s="1061" t="str">
        <f t="shared" si="15"/>
        <v>是否直接入户</v>
      </c>
      <c r="AA33" s="1086">
        <f t="shared" si="3"/>
        <v>1</v>
      </c>
      <c r="AB33" s="1086">
        <f t="shared" si="4"/>
        <v>1</v>
      </c>
      <c r="AC33" s="1086">
        <f t="shared" si="5"/>
        <v>1</v>
      </c>
    </row>
    <row r="34" spans="1:29" ht="15">
      <c r="A34" s="1415"/>
      <c r="B34" s="1405">
        <v>111</v>
      </c>
      <c r="C34" s="905"/>
      <c r="D34" s="916">
        <v>100</v>
      </c>
      <c r="E34" s="905"/>
      <c r="F34" s="1338">
        <f>SUMIF(97:97,E34,98:98)-SUMIF(97:97,C34,98:98)+100</f>
        <v>100</v>
      </c>
      <c r="G34" s="905"/>
      <c r="H34" s="916">
        <f>SUMIF(97:97,G34,98:98)-SUMIF(97:97,C34,98:98)+100</f>
        <v>100</v>
      </c>
      <c r="I34" s="905"/>
      <c r="J34" s="916">
        <f>SUMIF(97:97,I34,98:98)-SUMIF(97:97,C34,98:98)+100</f>
        <v>100</v>
      </c>
      <c r="K34" s="1046"/>
      <c r="L34" s="1041"/>
      <c r="M34" s="1029"/>
      <c r="N34" s="1029"/>
      <c r="O34" s="1029"/>
      <c r="P34" s="3476"/>
      <c r="Q34" s="652">
        <f t="shared" si="11"/>
        <v>111</v>
      </c>
      <c r="R34" s="1075" t="s">
        <v>1336</v>
      </c>
      <c r="S34" s="1076">
        <f t="shared" si="12"/>
        <v>100</v>
      </c>
      <c r="T34" s="1075" t="s">
        <v>1336</v>
      </c>
      <c r="U34" s="1076">
        <f t="shared" si="13"/>
        <v>100</v>
      </c>
      <c r="V34" s="1075" t="s">
        <v>1336</v>
      </c>
      <c r="W34" s="1076">
        <f t="shared" si="14"/>
        <v>100</v>
      </c>
      <c r="X34" s="1069"/>
      <c r="Y34" s="3476"/>
      <c r="Z34" s="1061">
        <f t="shared" si="15"/>
        <v>111</v>
      </c>
      <c r="AA34" s="1086">
        <f t="shared" si="3"/>
        <v>1</v>
      </c>
      <c r="AB34" s="1086">
        <f t="shared" si="4"/>
        <v>1</v>
      </c>
      <c r="AC34" s="1086">
        <f t="shared" si="5"/>
        <v>1</v>
      </c>
    </row>
    <row r="35" spans="1:29" s="868" customFormat="1" ht="15">
      <c r="A35" s="1413"/>
      <c r="B35" s="1405">
        <v>111</v>
      </c>
      <c r="C35" s="905"/>
      <c r="D35" s="916">
        <v>100</v>
      </c>
      <c r="E35" s="905"/>
      <c r="F35" s="1338">
        <f>SUMIF(99:99,E35,100:100)-SUMIF(99:99,C35,100:100)+100</f>
        <v>100</v>
      </c>
      <c r="G35" s="905"/>
      <c r="H35" s="916">
        <f>SUMIF(99:99,G35,100:100)-SUMIF(99:99,C35,100:100)+100</f>
        <v>100</v>
      </c>
      <c r="I35" s="905"/>
      <c r="J35" s="916">
        <f>SUMIF(99:99,I35,100:100)-SUMIF(99:99,C35,100:100)+100</f>
        <v>100</v>
      </c>
      <c r="K35" s="1046"/>
      <c r="L35" s="1039"/>
      <c r="M35" s="1048"/>
      <c r="N35" s="1048"/>
      <c r="O35" s="1048"/>
      <c r="P35" s="3476"/>
      <c r="Q35" s="1377">
        <f t="shared" si="11"/>
        <v>111</v>
      </c>
      <c r="R35" s="1077" t="s">
        <v>1336</v>
      </c>
      <c r="S35" s="1078">
        <f t="shared" si="12"/>
        <v>100</v>
      </c>
      <c r="T35" s="1077" t="s">
        <v>1336</v>
      </c>
      <c r="U35" s="1078">
        <f t="shared" si="13"/>
        <v>100</v>
      </c>
      <c r="V35" s="1077" t="s">
        <v>1336</v>
      </c>
      <c r="W35" s="1078">
        <f t="shared" si="14"/>
        <v>100</v>
      </c>
      <c r="X35" s="1079"/>
      <c r="Y35" s="3476"/>
      <c r="Z35" s="1087">
        <f t="shared" si="15"/>
        <v>111</v>
      </c>
      <c r="AA35" s="1086">
        <f t="shared" si="3"/>
        <v>1</v>
      </c>
      <c r="AB35" s="1086">
        <f t="shared" si="4"/>
        <v>1</v>
      </c>
      <c r="AC35" s="1086">
        <f t="shared" si="5"/>
        <v>1</v>
      </c>
    </row>
    <row r="36" spans="1:29" ht="15">
      <c r="A36" s="1417"/>
      <c r="B36" s="1406">
        <v>111</v>
      </c>
      <c r="C36" s="915"/>
      <c r="D36" s="916">
        <v>100</v>
      </c>
      <c r="E36" s="905"/>
      <c r="F36" s="1338">
        <f>SUMIF(101:101,E36,102:102)-SUMIF(101:101,C36,102:102)+100</f>
        <v>100</v>
      </c>
      <c r="G36" s="905"/>
      <c r="H36" s="916">
        <f>SUMIF(101:101,G36,102:102)-SUMIF(101:101,C36,102:102)+100</f>
        <v>100</v>
      </c>
      <c r="I36" s="905"/>
      <c r="J36" s="916">
        <f>SUMIF(101:101,I36,102:102)-SUMIF(101:101,C36,102:102)+100</f>
        <v>100</v>
      </c>
      <c r="K36" s="1046"/>
      <c r="L36" s="1041"/>
      <c r="M36" s="1029"/>
      <c r="N36" s="1029"/>
      <c r="O36" s="1029"/>
      <c r="P36" s="3476"/>
      <c r="Q36" s="652">
        <f t="shared" si="11"/>
        <v>111</v>
      </c>
      <c r="R36" s="1075" t="s">
        <v>1336</v>
      </c>
      <c r="S36" s="1076">
        <f t="shared" si="12"/>
        <v>100</v>
      </c>
      <c r="T36" s="1075" t="s">
        <v>1336</v>
      </c>
      <c r="U36" s="1076">
        <f t="shared" si="13"/>
        <v>100</v>
      </c>
      <c r="V36" s="1075" t="s">
        <v>1336</v>
      </c>
      <c r="W36" s="1076">
        <f t="shared" si="14"/>
        <v>100</v>
      </c>
      <c r="X36" s="1069"/>
      <c r="Y36" s="3476"/>
      <c r="Z36" s="1061">
        <f t="shared" si="15"/>
        <v>111</v>
      </c>
      <c r="AA36" s="1086">
        <f t="shared" si="3"/>
        <v>1</v>
      </c>
      <c r="AB36" s="1086">
        <f t="shared" si="4"/>
        <v>1</v>
      </c>
      <c r="AC36" s="1086">
        <f t="shared" si="5"/>
        <v>1</v>
      </c>
    </row>
    <row r="37" spans="1:29" ht="15">
      <c r="A37" s="965" t="s">
        <v>1436</v>
      </c>
      <c r="B37" s="1418" t="s">
        <v>1437</v>
      </c>
      <c r="C37" s="1353" t="s">
        <v>124</v>
      </c>
      <c r="D37" s="1354"/>
      <c r="E37" s="1355"/>
      <c r="F37" s="1356"/>
      <c r="G37" s="1357"/>
      <c r="H37" s="1358"/>
      <c r="I37" s="1355"/>
      <c r="J37" s="1358"/>
      <c r="K37" s="1427"/>
      <c r="L37" s="1053"/>
      <c r="M37" s="982"/>
      <c r="N37" s="1029"/>
      <c r="O37" s="982"/>
      <c r="P37" s="3472" t="str">
        <f>A37</f>
        <v>成交单价</v>
      </c>
      <c r="Q37" s="3472"/>
      <c r="R37" s="3535">
        <f>E37</f>
        <v>0</v>
      </c>
      <c r="S37" s="3535"/>
      <c r="T37" s="3535">
        <f>G37</f>
        <v>0</v>
      </c>
      <c r="U37" s="3535"/>
      <c r="V37" s="3535">
        <f>I37</f>
        <v>0</v>
      </c>
      <c r="W37" s="3535"/>
      <c r="X37" s="1017"/>
      <c r="Y37" s="1088"/>
      <c r="Z37" s="1017"/>
      <c r="AA37" s="1017"/>
      <c r="AB37" s="1017"/>
      <c r="AC37" s="1017"/>
    </row>
    <row r="38" spans="1:29" ht="15">
      <c r="A38" s="973" t="s">
        <v>1363</v>
      </c>
      <c r="B38" s="1359" t="str">
        <f>B37</f>
        <v>元/车位</v>
      </c>
      <c r="C38" s="1360" t="e">
        <f>R39</f>
        <v>#DIV/0!</v>
      </c>
      <c r="D38" s="1361"/>
      <c r="E38" s="1362" t="e">
        <f>R38</f>
        <v>#DIV/0!</v>
      </c>
      <c r="F38" s="1362"/>
      <c r="G38" s="1360" t="e">
        <f>T38</f>
        <v>#DIV/0!</v>
      </c>
      <c r="H38" s="1361"/>
      <c r="I38" s="1362" t="e">
        <f>V38</f>
        <v>#DIV/0!</v>
      </c>
      <c r="J38" s="1361"/>
      <c r="K38" s="1428"/>
      <c r="L38" s="1053"/>
      <c r="M38" s="982"/>
      <c r="N38" s="982"/>
      <c r="O38" s="982"/>
      <c r="P38" s="3472" t="str">
        <f>A38</f>
        <v>比较价值（元/平方米）</v>
      </c>
      <c r="Q38" s="3472"/>
      <c r="R38" s="3535" t="e">
        <f>IF(F1="售价",ROUND(PRODUCT(R37,AA7:AA36),0),ROUND(PRODUCT(R37,AA7:AA36),1))</f>
        <v>#DIV/0!</v>
      </c>
      <c r="S38" s="3535"/>
      <c r="T38" s="3535" t="e">
        <f>IF(F1="售价",ROUND(PRODUCT(T37,AB7:AB36),0),ROUND(PRODUCT(T37,AB7:AB36),1))</f>
        <v>#DIV/0!</v>
      </c>
      <c r="U38" s="3535"/>
      <c r="V38" s="3535" t="e">
        <f>IF(F1="售价",ROUND(PRODUCT(V37,AC7:AC36),0),ROUND(PRODUCT(V37,AC7:AC36),1))</f>
        <v>#DIV/0!</v>
      </c>
      <c r="W38" s="3535"/>
      <c r="X38" s="1017"/>
      <c r="Y38" s="1017"/>
      <c r="Z38" s="1017"/>
      <c r="AA38" s="1017"/>
      <c r="AB38" s="1017"/>
      <c r="AC38" s="1017"/>
    </row>
    <row r="39" spans="1:29" ht="15">
      <c r="A39" s="979" t="s">
        <v>1438</v>
      </c>
      <c r="B39" s="980"/>
      <c r="C39" s="1363" t="e">
        <f>R39</f>
        <v>#DIV/0!</v>
      </c>
      <c r="D39" s="1363"/>
      <c r="E39" s="1363"/>
      <c r="F39" s="1363"/>
      <c r="G39" s="1363"/>
      <c r="H39" s="1363"/>
      <c r="I39" s="1363"/>
      <c r="J39" s="1363"/>
      <c r="K39" s="1429"/>
      <c r="L39" s="1053"/>
      <c r="M39" s="982"/>
      <c r="N39" s="982"/>
      <c r="O39" s="982"/>
      <c r="P39" s="3478" t="str">
        <f>A39</f>
        <v>估价对象XX用房的比较价值（楼面单价，元/平方米）</v>
      </c>
      <c r="Q39" s="3479"/>
      <c r="R39" s="3542" t="e">
        <f>IF(F1="售价",ROUND(AVERAGE(R38:V38),0),ROUND(AVERAGE(R38:V38),1))</f>
        <v>#DIV/0!</v>
      </c>
      <c r="S39" s="3542"/>
      <c r="T39" s="3542"/>
      <c r="U39" s="3542"/>
      <c r="V39" s="3542"/>
      <c r="W39" s="3542"/>
      <c r="X39" s="1017"/>
      <c r="Y39" s="1017"/>
      <c r="Z39" s="1017"/>
      <c r="AA39" s="1017"/>
      <c r="AB39" s="1017"/>
      <c r="AC39" s="1017"/>
    </row>
    <row r="40" spans="1:29">
      <c r="A40" s="982"/>
      <c r="B40" s="982"/>
      <c r="C40" s="982"/>
      <c r="D40" s="982"/>
      <c r="E40" s="982"/>
      <c r="F40" s="982"/>
      <c r="G40" s="983"/>
      <c r="H40" s="982"/>
      <c r="I40" s="982"/>
      <c r="J40" s="982"/>
      <c r="K40" s="1057"/>
      <c r="L40" s="1058"/>
      <c r="M40" s="982"/>
      <c r="N40" s="982"/>
      <c r="O40" s="982"/>
      <c r="P40" s="1430"/>
      <c r="Q40" s="982"/>
      <c r="R40" s="982"/>
      <c r="S40" s="982"/>
      <c r="T40" s="982"/>
      <c r="U40" s="982"/>
      <c r="V40" s="982"/>
      <c r="W40" s="982"/>
      <c r="X40" s="982"/>
      <c r="Y40" s="982"/>
      <c r="Z40" s="982"/>
      <c r="AA40" s="982"/>
      <c r="AB40" s="982"/>
      <c r="AC40" s="982"/>
    </row>
    <row r="41" spans="1:29">
      <c r="A41" s="982"/>
      <c r="B41" s="982"/>
      <c r="C41" s="982"/>
      <c r="D41" s="982"/>
      <c r="E41" s="982"/>
      <c r="F41" s="982"/>
      <c r="G41" s="982"/>
      <c r="H41" s="982"/>
      <c r="I41" s="982"/>
      <c r="J41" s="982"/>
      <c r="K41" s="1057"/>
      <c r="L41" s="1058"/>
      <c r="M41" s="982"/>
      <c r="N41" s="982"/>
      <c r="O41" s="982"/>
      <c r="P41" s="1430"/>
      <c r="Q41" s="982"/>
      <c r="R41" s="982"/>
      <c r="S41" s="982"/>
      <c r="T41" s="982"/>
      <c r="U41" s="982"/>
      <c r="V41" s="982"/>
      <c r="W41" s="982"/>
      <c r="X41" s="982"/>
      <c r="Y41" s="982"/>
      <c r="Z41" s="982"/>
      <c r="AA41" s="982"/>
      <c r="AB41" s="982"/>
      <c r="AC41" s="982"/>
    </row>
    <row r="42" spans="1:29" ht="13.5" customHeight="1">
      <c r="A42" s="982"/>
      <c r="B42" s="982"/>
      <c r="C42" s="984" t="s">
        <v>1365</v>
      </c>
      <c r="D42" s="692"/>
      <c r="E42" s="985" t="e">
        <f>IF(E37&lt;E38,E38/E37-1,E37/E38-1)</f>
        <v>#DIV/0!</v>
      </c>
      <c r="F42" s="986" t="e">
        <f>IF(OR(E42&gt;=0.3,E42&lt;=-0.3),"超过30%","")</f>
        <v>#DIV/0!</v>
      </c>
      <c r="G42" s="985" t="e">
        <f>IF(G37&lt;G38,G38/G37-1,G37/G38-1)</f>
        <v>#DIV/0!</v>
      </c>
      <c r="H42" s="986" t="e">
        <f>IF(OR(G42&gt;=0.3,G42&lt;=-0.3),"超过30%","")</f>
        <v>#DIV/0!</v>
      </c>
      <c r="I42" s="985" t="e">
        <f>IF(I37&lt;I38,I38/I37-1,I37/I38-1)</f>
        <v>#DIV/0!</v>
      </c>
      <c r="J42" s="986" t="e">
        <f>IF(OR(I42&gt;=0.3,I42&lt;=-0.3),"超过30%","")</f>
        <v>#DIV/0!</v>
      </c>
      <c r="K42" s="1057"/>
      <c r="L42" s="1058"/>
      <c r="M42" s="982"/>
      <c r="N42" s="982"/>
      <c r="O42" s="982"/>
      <c r="P42" s="1430"/>
      <c r="Q42" s="982"/>
      <c r="R42" s="982"/>
      <c r="S42" s="982"/>
      <c r="T42" s="982"/>
      <c r="U42" s="982"/>
      <c r="V42" s="982"/>
      <c r="W42" s="982"/>
      <c r="X42" s="982"/>
      <c r="Y42" s="982"/>
      <c r="Z42" s="982"/>
      <c r="AA42" s="982"/>
      <c r="AB42" s="982"/>
      <c r="AC42" s="982"/>
    </row>
    <row r="43" spans="1:29" ht="13.5" customHeight="1">
      <c r="A43" s="982"/>
      <c r="B43" s="982"/>
      <c r="C43" s="984" t="s">
        <v>1366</v>
      </c>
      <c r="D43" s="691"/>
      <c r="E43" s="985" t="e">
        <f>IF(E38&lt;G38,G38/E38-1,E38/G38-1)</f>
        <v>#DIV/0!</v>
      </c>
      <c r="F43" s="986" t="e">
        <f>IF(OR(E43&gt;=0.2,E43&lt;=-0.2),"超过20%","")</f>
        <v>#DIV/0!</v>
      </c>
      <c r="G43" s="985" t="e">
        <f>IF(G38&lt;I38,I38/G38-1,G38/I38-1)</f>
        <v>#DIV/0!</v>
      </c>
      <c r="H43" s="986" t="e">
        <f>IF(OR(G43&gt;=0.2,G43&lt;=-0.2),"超过20%","")</f>
        <v>#DIV/0!</v>
      </c>
      <c r="I43" s="985" t="e">
        <f>IF(I38&lt;E38,E38/I38-1,I38/E38-1)</f>
        <v>#DIV/0!</v>
      </c>
      <c r="J43" s="986" t="e">
        <f>IF(OR(I43&gt;=0.2,I43&lt;=-0.2),"超过20%","")</f>
        <v>#DIV/0!</v>
      </c>
      <c r="K43" s="1057"/>
      <c r="L43" s="1058"/>
      <c r="M43" s="982"/>
      <c r="N43" s="982"/>
      <c r="O43" s="982"/>
      <c r="P43" s="1430"/>
      <c r="Q43" s="982"/>
      <c r="R43" s="982"/>
      <c r="S43" s="982"/>
      <c r="T43" s="982"/>
      <c r="U43" s="982"/>
      <c r="V43" s="982"/>
      <c r="W43" s="982"/>
      <c r="X43" s="982"/>
      <c r="Y43" s="982"/>
      <c r="Z43" s="982"/>
      <c r="AA43" s="982"/>
      <c r="AB43" s="982"/>
      <c r="AC43" s="982"/>
    </row>
    <row r="44" spans="1:29" s="869" customFormat="1" ht="13.5" customHeight="1">
      <c r="A44" s="987"/>
      <c r="B44" s="987"/>
      <c r="C44" s="984" t="s">
        <v>1367</v>
      </c>
      <c r="D44" s="691"/>
      <c r="E44" s="985" t="e">
        <f>IF(E37&lt;G37,G37/E37-1,E37/G37-1)</f>
        <v>#DIV/0!</v>
      </c>
      <c r="F44" s="986" t="e">
        <f>IF(OR(E44&gt;=0.3,E44&lt;=-0.3),"超过30%","")</f>
        <v>#DIV/0!</v>
      </c>
      <c r="G44" s="985" t="e">
        <f>IF(G37&lt;I37,I37/G37-1,G37/I37-1)</f>
        <v>#DIV/0!</v>
      </c>
      <c r="H44" s="986" t="e">
        <f>IF(OR(G44&gt;=0.3,G44&lt;=-0.3),"超过30%","")</f>
        <v>#DIV/0!</v>
      </c>
      <c r="I44" s="985" t="e">
        <f>IF(I37&lt;E37,E37/I37-1,I37/E37-1)</f>
        <v>#DIV/0!</v>
      </c>
      <c r="J44" s="986" t="e">
        <f>IF(OR(I44&gt;=0.3,I44&lt;=-0.3),"超过30%","")</f>
        <v>#DIV/0!</v>
      </c>
      <c r="K44" s="1059"/>
      <c r="L44" s="1060"/>
      <c r="M44" s="987"/>
      <c r="N44" s="987"/>
      <c r="O44" s="987"/>
      <c r="P44" s="1431"/>
      <c r="Q44" s="987"/>
      <c r="R44" s="987"/>
      <c r="S44" s="987"/>
      <c r="T44" s="987"/>
      <c r="U44" s="987"/>
      <c r="V44" s="987"/>
      <c r="W44" s="987"/>
      <c r="X44" s="987"/>
      <c r="Y44" s="987"/>
      <c r="Z44" s="987"/>
      <c r="AA44" s="987"/>
      <c r="AB44" s="987"/>
      <c r="AC44" s="987"/>
    </row>
    <row r="45" spans="1:29" s="869" customFormat="1">
      <c r="A45" s="987"/>
      <c r="B45" s="988"/>
      <c r="C45" s="1014"/>
      <c r="D45" s="987"/>
      <c r="E45" s="987"/>
      <c r="F45" s="987"/>
      <c r="G45" s="987"/>
      <c r="H45" s="987"/>
      <c r="I45" s="987"/>
      <c r="J45" s="987"/>
      <c r="K45" s="1059"/>
      <c r="L45" s="1060"/>
      <c r="M45" s="987"/>
      <c r="N45" s="987"/>
      <c r="O45" s="987"/>
      <c r="P45" s="1431"/>
      <c r="Q45" s="987"/>
      <c r="R45" s="987"/>
      <c r="S45" s="987"/>
      <c r="T45" s="987"/>
      <c r="U45" s="987"/>
      <c r="V45" s="987"/>
      <c r="W45" s="987"/>
      <c r="X45" s="987"/>
      <c r="Y45" s="987"/>
      <c r="Z45" s="987"/>
      <c r="AA45" s="987"/>
      <c r="AB45" s="987"/>
      <c r="AC45" s="987"/>
    </row>
    <row r="46" spans="1:29">
      <c r="A46" s="982"/>
      <c r="B46" s="988"/>
      <c r="C46" s="1014"/>
      <c r="D46" s="982"/>
      <c r="E46" s="982"/>
      <c r="F46" s="982"/>
      <c r="G46" s="982"/>
      <c r="H46" s="982"/>
      <c r="I46" s="982"/>
      <c r="J46" s="982"/>
      <c r="K46" s="1057"/>
      <c r="L46" s="1058"/>
      <c r="M46" s="982"/>
      <c r="N46" s="982"/>
      <c r="O46" s="982"/>
      <c r="P46" s="1430"/>
      <c r="Q46" s="982"/>
      <c r="R46" s="982"/>
      <c r="S46" s="982"/>
      <c r="T46" s="982"/>
      <c r="U46" s="982"/>
      <c r="V46" s="982"/>
      <c r="W46" s="982"/>
      <c r="X46" s="982"/>
      <c r="Y46" s="982"/>
      <c r="Z46" s="982"/>
      <c r="AA46" s="982"/>
      <c r="AB46" s="982"/>
      <c r="AC46" s="982"/>
    </row>
    <row r="47" spans="1:29" ht="21">
      <c r="A47" s="1419" t="s">
        <v>1368</v>
      </c>
      <c r="B47" s="982"/>
      <c r="C47" s="1067"/>
      <c r="D47" s="1067"/>
      <c r="E47" s="1067"/>
      <c r="F47" s="1420"/>
      <c r="G47" s="1420"/>
      <c r="H47" s="1067"/>
      <c r="I47" s="1067"/>
      <c r="J47" s="1067"/>
      <c r="K47" s="1309"/>
      <c r="L47" s="1310"/>
      <c r="M47" s="1067"/>
      <c r="N47" s="1067"/>
      <c r="O47" s="1067"/>
      <c r="P47" s="1432"/>
      <c r="Q47" s="1440"/>
      <c r="R47" s="982"/>
      <c r="S47" s="982"/>
      <c r="T47" s="982"/>
      <c r="U47" s="982"/>
      <c r="V47" s="982"/>
      <c r="W47" s="982"/>
      <c r="X47" s="982"/>
      <c r="Y47" s="982"/>
      <c r="Z47" s="982"/>
      <c r="AA47" s="982"/>
      <c r="AB47" s="982"/>
      <c r="AC47" s="982"/>
    </row>
    <row r="48" spans="1:29" s="871" customFormat="1" ht="15">
      <c r="A48" s="1364" t="s">
        <v>1334</v>
      </c>
      <c r="B48" s="1365"/>
      <c r="C48" s="1366" t="str">
        <f>YEAR(C7)&amp;"-"&amp;MONTH(C7)</f>
        <v>2018-9</v>
      </c>
      <c r="D48" s="1367">
        <f>EDATE(C48,-1)</f>
        <v>43313</v>
      </c>
      <c r="E48" s="1367">
        <f t="shared" ref="E48:O48" si="16">EDATE(D48,-1)</f>
        <v>43282</v>
      </c>
      <c r="F48" s="1367">
        <f t="shared" si="16"/>
        <v>43252</v>
      </c>
      <c r="G48" s="1367">
        <f t="shared" si="16"/>
        <v>43221</v>
      </c>
      <c r="H48" s="1367">
        <f t="shared" si="16"/>
        <v>43191</v>
      </c>
      <c r="I48" s="1367">
        <f t="shared" si="16"/>
        <v>43160</v>
      </c>
      <c r="J48" s="1367">
        <f t="shared" si="16"/>
        <v>43132</v>
      </c>
      <c r="K48" s="1367">
        <f t="shared" si="16"/>
        <v>43101</v>
      </c>
      <c r="L48" s="1367">
        <f t="shared" si="16"/>
        <v>43070</v>
      </c>
      <c r="M48" s="1367">
        <f t="shared" si="16"/>
        <v>43040</v>
      </c>
      <c r="N48" s="1367">
        <f t="shared" si="16"/>
        <v>43009</v>
      </c>
      <c r="O48" s="1367">
        <f t="shared" si="16"/>
        <v>42979</v>
      </c>
      <c r="P48" s="1433"/>
      <c r="Q48" s="1441"/>
      <c r="R48" s="1441"/>
      <c r="S48" s="1441"/>
      <c r="T48" s="1441"/>
      <c r="U48" s="1441"/>
      <c r="V48" s="1441"/>
      <c r="W48" s="1441"/>
      <c r="X48" s="1441"/>
      <c r="Y48" s="1441"/>
      <c r="Z48" s="1441"/>
      <c r="AA48" s="1441"/>
      <c r="AB48" s="1441"/>
      <c r="AC48" s="1441"/>
    </row>
    <row r="49" spans="1:29" s="866" customFormat="1" ht="15">
      <c r="A49" s="1368"/>
      <c r="B49" s="1100"/>
      <c r="C49" s="1421">
        <v>100</v>
      </c>
      <c r="D49" s="1104"/>
      <c r="E49" s="1104"/>
      <c r="F49" s="1104"/>
      <c r="G49" s="1104"/>
      <c r="H49" s="1104"/>
      <c r="I49" s="1104"/>
      <c r="J49" s="1104"/>
      <c r="K49" s="1104"/>
      <c r="L49" s="1104"/>
      <c r="M49" s="1376"/>
      <c r="N49" s="1104"/>
      <c r="O49" s="1376"/>
      <c r="P49" s="1434"/>
      <c r="Q49" s="1442"/>
      <c r="R49" s="1442"/>
      <c r="S49" s="1442"/>
      <c r="T49" s="1442"/>
      <c r="U49" s="1442"/>
      <c r="V49" s="1442"/>
      <c r="W49" s="1442"/>
      <c r="X49" s="1442"/>
      <c r="Y49" s="1442"/>
      <c r="Z49" s="1442"/>
      <c r="AA49" s="1442"/>
      <c r="AB49" s="1442"/>
      <c r="AC49" s="1442"/>
    </row>
    <row r="50" spans="1:29" s="866" customFormat="1" ht="15">
      <c r="A50" s="1095" t="s">
        <v>1369</v>
      </c>
      <c r="B50" s="1096"/>
      <c r="C50" s="1097"/>
      <c r="D50" s="1098"/>
      <c r="E50" s="1098"/>
      <c r="F50" s="1098"/>
      <c r="G50" s="1098"/>
      <c r="H50" s="1098"/>
      <c r="I50" s="1098"/>
      <c r="J50" s="1098"/>
      <c r="K50" s="1098"/>
      <c r="L50" s="1098"/>
      <c r="M50" s="1146"/>
      <c r="N50" s="1098"/>
      <c r="O50" s="1146"/>
      <c r="P50" s="1434"/>
      <c r="Q50" s="1440"/>
      <c r="R50" s="1442"/>
      <c r="S50" s="1442"/>
      <c r="T50" s="1442"/>
      <c r="U50" s="1442"/>
      <c r="V50" s="1442"/>
      <c r="W50" s="1442"/>
      <c r="X50" s="1442"/>
      <c r="Y50" s="1442"/>
      <c r="Z50" s="1442"/>
      <c r="AA50" s="1442"/>
      <c r="AB50" s="1442"/>
      <c r="AC50" s="1442"/>
    </row>
    <row r="51" spans="1:29" s="866" customFormat="1" ht="15">
      <c r="A51" s="1099" t="s">
        <v>1337</v>
      </c>
      <c r="B51" s="1100"/>
      <c r="C51" s="1101" t="s">
        <v>1338</v>
      </c>
      <c r="D51" s="1102"/>
      <c r="E51" s="1102"/>
      <c r="F51" s="1102"/>
      <c r="G51" s="1102"/>
      <c r="H51" s="1102"/>
      <c r="I51" s="1102"/>
      <c r="J51" s="1102"/>
      <c r="K51" s="1102"/>
      <c r="L51" s="1148"/>
      <c r="M51" s="1149"/>
      <c r="N51" s="1150"/>
      <c r="O51" s="1150"/>
      <c r="P51" s="1435"/>
      <c r="Q51" s="1440"/>
      <c r="R51" s="1442"/>
      <c r="S51" s="1442"/>
      <c r="T51" s="1442"/>
      <c r="U51" s="1442"/>
      <c r="V51" s="1442"/>
      <c r="W51" s="1442"/>
      <c r="X51" s="1442"/>
      <c r="Y51" s="1442"/>
      <c r="Z51" s="1442"/>
      <c r="AA51" s="1442"/>
      <c r="AB51" s="1442"/>
      <c r="AC51" s="1442"/>
    </row>
    <row r="52" spans="1:29" s="866" customFormat="1" ht="15">
      <c r="A52" s="1099"/>
      <c r="B52" s="1100"/>
      <c r="C52" s="1103">
        <v>100</v>
      </c>
      <c r="D52" s="1104"/>
      <c r="E52" s="1104"/>
      <c r="F52" s="1104"/>
      <c r="G52" s="1104"/>
      <c r="H52" s="1104"/>
      <c r="I52" s="1104"/>
      <c r="J52" s="1104"/>
      <c r="K52" s="1104"/>
      <c r="L52" s="1104"/>
      <c r="M52" s="1152"/>
      <c r="N52" s="1150"/>
      <c r="O52" s="1150"/>
      <c r="P52" s="1434"/>
      <c r="Q52" s="1440"/>
      <c r="R52" s="1442"/>
      <c r="S52" s="1442"/>
      <c r="T52" s="1442"/>
      <c r="U52" s="1442"/>
      <c r="V52" s="1442"/>
      <c r="W52" s="1442"/>
      <c r="X52" s="1442"/>
      <c r="Y52" s="1442"/>
      <c r="Z52" s="1442"/>
      <c r="AA52" s="1442"/>
      <c r="AB52" s="1442"/>
      <c r="AC52" s="1442"/>
    </row>
    <row r="53" spans="1:29">
      <c r="A53" s="1105" t="s">
        <v>1370</v>
      </c>
      <c r="B53" s="1106" t="s">
        <v>346</v>
      </c>
      <c r="C53" s="1128">
        <f>C9</f>
        <v>0</v>
      </c>
      <c r="D53" s="1050"/>
      <c r="E53" s="1050"/>
      <c r="F53" s="1050"/>
      <c r="G53" s="1050"/>
      <c r="H53" s="1050"/>
      <c r="I53" s="1050"/>
      <c r="J53" s="1050"/>
      <c r="K53" s="1153"/>
      <c r="L53" s="1154"/>
      <c r="M53" s="1155"/>
      <c r="N53" s="1156"/>
      <c r="O53" s="1156"/>
      <c r="P53" s="1436"/>
      <c r="Q53" s="1440"/>
      <c r="R53" s="982"/>
      <c r="S53" s="982"/>
      <c r="T53" s="982"/>
      <c r="U53" s="982"/>
      <c r="V53" s="982"/>
      <c r="W53" s="982"/>
      <c r="X53" s="982"/>
      <c r="Y53" s="982"/>
      <c r="Z53" s="982"/>
      <c r="AA53" s="982"/>
      <c r="AB53" s="982"/>
      <c r="AC53" s="982"/>
    </row>
    <row r="54" spans="1:29" ht="15">
      <c r="A54" s="1107"/>
      <c r="B54" s="1108"/>
      <c r="C54" s="1109">
        <v>100</v>
      </c>
      <c r="D54" s="1109"/>
      <c r="E54" s="1109"/>
      <c r="F54" s="1109"/>
      <c r="G54" s="1109"/>
      <c r="H54" s="1109"/>
      <c r="I54" s="1109"/>
      <c r="J54" s="1109"/>
      <c r="K54" s="1109"/>
      <c r="L54" s="1109"/>
      <c r="M54" s="1158"/>
      <c r="N54" s="1159"/>
      <c r="O54" s="1159"/>
      <c r="P54" s="1436"/>
      <c r="Q54" s="1440"/>
      <c r="R54" s="982"/>
      <c r="S54" s="982"/>
      <c r="T54" s="982"/>
      <c r="U54" s="982"/>
      <c r="V54" s="982"/>
      <c r="W54" s="982"/>
      <c r="X54" s="982"/>
      <c r="Y54" s="982"/>
      <c r="Z54" s="982"/>
      <c r="AA54" s="982"/>
      <c r="AB54" s="982"/>
      <c r="AC54" s="982"/>
    </row>
    <row r="55" spans="1:29" ht="27">
      <c r="A55" s="1107"/>
      <c r="B55" s="1110" t="s">
        <v>1343</v>
      </c>
      <c r="C55" s="1111" t="s">
        <v>1371</v>
      </c>
      <c r="D55" s="1111" t="s">
        <v>1372</v>
      </c>
      <c r="E55" s="1111" t="s">
        <v>1373</v>
      </c>
      <c r="F55" s="1111" t="s">
        <v>1374</v>
      </c>
      <c r="G55" s="1111" t="s">
        <v>1375</v>
      </c>
      <c r="H55" s="1111" t="s">
        <v>1376</v>
      </c>
      <c r="I55" s="1111" t="s">
        <v>1377</v>
      </c>
      <c r="J55" s="1111"/>
      <c r="K55" s="1160"/>
      <c r="L55" s="1161"/>
      <c r="M55" s="1162"/>
      <c r="N55" s="1156"/>
      <c r="O55" s="1156"/>
      <c r="P55" s="1436"/>
      <c r="Q55" s="1440"/>
      <c r="R55" s="982"/>
      <c r="S55" s="982"/>
      <c r="T55" s="982"/>
      <c r="U55" s="982"/>
      <c r="V55" s="982"/>
      <c r="W55" s="982"/>
      <c r="X55" s="982"/>
      <c r="Y55" s="982"/>
      <c r="Z55" s="982"/>
      <c r="AA55" s="982"/>
      <c r="AB55" s="982"/>
      <c r="AC55" s="982"/>
    </row>
    <row r="56" spans="1:29" ht="15">
      <c r="A56" s="1107"/>
      <c r="B56" s="1112"/>
      <c r="C56" s="1113" t="s">
        <v>1417</v>
      </c>
      <c r="D56" s="1113" t="s">
        <v>1417</v>
      </c>
      <c r="E56" s="1113">
        <v>100</v>
      </c>
      <c r="F56" s="1113">
        <f>E56-$K10</f>
        <v>100</v>
      </c>
      <c r="G56" s="1113">
        <f>F56-$K10</f>
        <v>100</v>
      </c>
      <c r="H56" s="1113">
        <f>G56-$K10</f>
        <v>100</v>
      </c>
      <c r="I56" s="1113">
        <f>H56-$K10</f>
        <v>100</v>
      </c>
      <c r="J56" s="1113"/>
      <c r="K56" s="1113"/>
      <c r="L56" s="1113"/>
      <c r="M56" s="1163"/>
      <c r="N56" s="1159"/>
      <c r="O56" s="1159"/>
      <c r="P56" s="1436"/>
      <c r="Q56" s="1440"/>
      <c r="R56" s="982"/>
      <c r="S56" s="982"/>
      <c r="T56" s="982"/>
      <c r="U56" s="982"/>
      <c r="V56" s="982"/>
      <c r="W56" s="982"/>
      <c r="X56" s="982"/>
      <c r="Y56" s="982"/>
      <c r="Z56" s="982"/>
      <c r="AA56" s="982"/>
      <c r="AB56" s="982"/>
      <c r="AC56" s="982"/>
    </row>
    <row r="57" spans="1:29" ht="15">
      <c r="A57" s="1107"/>
      <c r="B57" s="1134">
        <f>B11</f>
        <v>111</v>
      </c>
      <c r="C57" s="913"/>
      <c r="D57" s="913"/>
      <c r="E57" s="913"/>
      <c r="F57" s="913"/>
      <c r="G57" s="913"/>
      <c r="H57" s="913"/>
      <c r="I57" s="913"/>
      <c r="J57" s="913"/>
      <c r="K57" s="1164"/>
      <c r="L57" s="1165"/>
      <c r="M57" s="1166"/>
      <c r="N57" s="1156"/>
      <c r="O57" s="1156"/>
      <c r="P57" s="1436"/>
      <c r="Q57" s="1440"/>
      <c r="R57" s="982"/>
      <c r="S57" s="982"/>
      <c r="T57" s="982"/>
      <c r="U57" s="982"/>
      <c r="V57" s="982"/>
      <c r="W57" s="982"/>
      <c r="X57" s="982"/>
      <c r="Y57" s="982"/>
      <c r="Z57" s="982"/>
      <c r="AA57" s="982"/>
      <c r="AB57" s="982"/>
      <c r="AC57" s="982"/>
    </row>
    <row r="58" spans="1:29" ht="15">
      <c r="A58" s="1107"/>
      <c r="B58" s="1108"/>
      <c r="C58" s="1120"/>
      <c r="D58" s="1109"/>
      <c r="E58" s="1109"/>
      <c r="F58" s="1109"/>
      <c r="G58" s="1109"/>
      <c r="H58" s="1109"/>
      <c r="I58" s="1109"/>
      <c r="J58" s="1109"/>
      <c r="K58" s="1109"/>
      <c r="L58" s="1109"/>
      <c r="M58" s="1158"/>
      <c r="N58" s="1159"/>
      <c r="O58" s="1159"/>
      <c r="P58" s="1436"/>
      <c r="Q58" s="1440"/>
      <c r="R58" s="982"/>
      <c r="S58" s="982"/>
      <c r="T58" s="982"/>
      <c r="U58" s="982"/>
      <c r="V58" s="982"/>
      <c r="W58" s="982"/>
      <c r="X58" s="982"/>
      <c r="Y58" s="982"/>
      <c r="Z58" s="982"/>
      <c r="AA58" s="982"/>
      <c r="AB58" s="982"/>
      <c r="AC58" s="982"/>
    </row>
    <row r="59" spans="1:29" s="868" customFormat="1" ht="15">
      <c r="A59" s="1117"/>
      <c r="B59" s="1110">
        <f>B12</f>
        <v>111</v>
      </c>
      <c r="C59" s="913"/>
      <c r="D59" s="913"/>
      <c r="E59" s="913"/>
      <c r="F59" s="913"/>
      <c r="G59" s="1118"/>
      <c r="H59" s="1119"/>
      <c r="I59" s="1119"/>
      <c r="J59" s="1119"/>
      <c r="K59" s="1119"/>
      <c r="L59" s="1167"/>
      <c r="M59" s="1168"/>
      <c r="N59" s="1169"/>
      <c r="O59" s="1169"/>
      <c r="P59" s="1437"/>
      <c r="Q59" s="1443"/>
      <c r="R59" s="1444"/>
      <c r="S59" s="1444"/>
      <c r="T59" s="1444"/>
      <c r="U59" s="1444"/>
      <c r="V59" s="1444"/>
      <c r="W59" s="1444"/>
      <c r="X59" s="1444"/>
      <c r="Y59" s="1444"/>
      <c r="Z59" s="1444"/>
      <c r="AA59" s="1444"/>
      <c r="AB59" s="1444"/>
      <c r="AC59" s="1444"/>
    </row>
    <row r="60" spans="1:29" s="868" customFormat="1" ht="15">
      <c r="A60" s="1117"/>
      <c r="B60" s="1112"/>
      <c r="C60" s="1120"/>
      <c r="D60" s="1109"/>
      <c r="E60" s="1109"/>
      <c r="F60" s="1109"/>
      <c r="G60" s="1109"/>
      <c r="H60" s="1109"/>
      <c r="I60" s="1109"/>
      <c r="J60" s="1109"/>
      <c r="K60" s="1109"/>
      <c r="L60" s="1109"/>
      <c r="M60" s="1158"/>
      <c r="N60" s="1159"/>
      <c r="O60" s="1159"/>
      <c r="P60" s="1437"/>
      <c r="Q60" s="1443"/>
      <c r="R60" s="1444"/>
      <c r="S60" s="1444"/>
      <c r="T60" s="1444"/>
      <c r="U60" s="1444"/>
      <c r="V60" s="1444"/>
      <c r="W60" s="1444"/>
      <c r="X60" s="1444"/>
      <c r="Y60" s="1444"/>
      <c r="Z60" s="1444"/>
      <c r="AA60" s="1444"/>
      <c r="AB60" s="1444"/>
      <c r="AC60" s="1444"/>
    </row>
    <row r="61" spans="1:29" s="868" customFormat="1" ht="15">
      <c r="A61" s="1117"/>
      <c r="B61" s="1110">
        <f>B13</f>
        <v>111</v>
      </c>
      <c r="C61" s="1118"/>
      <c r="D61" s="1118"/>
      <c r="E61" s="1118"/>
      <c r="F61" s="1118"/>
      <c r="G61" s="1118"/>
      <c r="H61" s="1119"/>
      <c r="I61" s="1119"/>
      <c r="J61" s="1119"/>
      <c r="K61" s="1119"/>
      <c r="L61" s="1167"/>
      <c r="M61" s="1168"/>
      <c r="N61" s="1169"/>
      <c r="O61" s="1169"/>
      <c r="P61" s="1438"/>
      <c r="Q61" s="1445"/>
      <c r="R61" s="1444"/>
      <c r="S61" s="1444"/>
      <c r="T61" s="1444"/>
      <c r="U61" s="1444"/>
      <c r="V61" s="1444"/>
      <c r="W61" s="1444"/>
      <c r="X61" s="1444"/>
      <c r="Y61" s="1444"/>
      <c r="Z61" s="1444"/>
      <c r="AA61" s="1444"/>
      <c r="AB61" s="1444"/>
      <c r="AC61" s="1444"/>
    </row>
    <row r="62" spans="1:29" s="868" customFormat="1" ht="15">
      <c r="A62" s="1117"/>
      <c r="B62" s="1112"/>
      <c r="C62" s="1120"/>
      <c r="D62" s="1120"/>
      <c r="E62" s="1120"/>
      <c r="F62" s="1120"/>
      <c r="G62" s="1120"/>
      <c r="H62" s="1121"/>
      <c r="I62" s="1121"/>
      <c r="J62" s="1121"/>
      <c r="K62" s="1121"/>
      <c r="L62" s="1121"/>
      <c r="M62" s="1172"/>
      <c r="N62" s="1169"/>
      <c r="O62" s="1169"/>
      <c r="P62" s="1437"/>
      <c r="Q62" s="1443"/>
      <c r="R62" s="1444"/>
      <c r="S62" s="1444"/>
      <c r="T62" s="1444"/>
      <c r="U62" s="1444"/>
      <c r="V62" s="1444"/>
      <c r="W62" s="1444"/>
      <c r="X62" s="1444"/>
      <c r="Y62" s="1444"/>
      <c r="Z62" s="1444"/>
      <c r="AA62" s="1444"/>
      <c r="AB62" s="1444"/>
      <c r="AC62" s="1444"/>
    </row>
    <row r="63" spans="1:29">
      <c r="A63" s="1105" t="s">
        <v>1345</v>
      </c>
      <c r="B63" s="1106" t="s">
        <v>648</v>
      </c>
      <c r="C63" s="1127" t="s">
        <v>1378</v>
      </c>
      <c r="D63" s="1127" t="s">
        <v>1379</v>
      </c>
      <c r="E63" s="1127" t="s">
        <v>1380</v>
      </c>
      <c r="F63" s="1127" t="s">
        <v>1381</v>
      </c>
      <c r="G63" s="1127" t="s">
        <v>1382</v>
      </c>
      <c r="H63" s="1128"/>
      <c r="I63" s="1128"/>
      <c r="J63" s="1128"/>
      <c r="K63" s="1177"/>
      <c r="L63" s="1178"/>
      <c r="M63" s="1179"/>
      <c r="N63" s="1156"/>
      <c r="O63" s="1156"/>
      <c r="P63" s="1439"/>
      <c r="Q63" s="1440"/>
      <c r="R63" s="982"/>
      <c r="S63" s="982"/>
      <c r="T63" s="982"/>
      <c r="U63" s="982"/>
      <c r="V63" s="982"/>
      <c r="W63" s="982"/>
      <c r="X63" s="982"/>
      <c r="Y63" s="982"/>
      <c r="Z63" s="982"/>
      <c r="AA63" s="982"/>
      <c r="AB63" s="982"/>
      <c r="AC63" s="982"/>
    </row>
    <row r="64" spans="1:29" ht="15">
      <c r="A64" s="1107"/>
      <c r="B64" s="1112"/>
      <c r="C64" s="1113">
        <v>100</v>
      </c>
      <c r="D64" s="1113">
        <f>C64-$K14</f>
        <v>100</v>
      </c>
      <c r="E64" s="1113">
        <f>D64-$K14</f>
        <v>100</v>
      </c>
      <c r="F64" s="1113">
        <f>E64-$K14</f>
        <v>100</v>
      </c>
      <c r="G64" s="1113">
        <f>F64-$K14</f>
        <v>100</v>
      </c>
      <c r="H64" s="1113"/>
      <c r="I64" s="1113"/>
      <c r="J64" s="1113"/>
      <c r="K64" s="1113"/>
      <c r="L64" s="1113"/>
      <c r="M64" s="1163"/>
      <c r="N64" s="1159"/>
      <c r="O64" s="1159"/>
      <c r="P64" s="1436"/>
      <c r="Q64" s="1440"/>
      <c r="R64" s="982"/>
      <c r="S64" s="982"/>
      <c r="T64" s="982"/>
      <c r="U64" s="982"/>
      <c r="V64" s="982"/>
      <c r="W64" s="982"/>
      <c r="X64" s="982"/>
      <c r="Y64" s="982"/>
      <c r="Z64" s="982"/>
      <c r="AA64" s="982"/>
      <c r="AB64" s="982"/>
      <c r="AC64" s="982"/>
    </row>
    <row r="65" spans="1:29" ht="15">
      <c r="A65" s="1107"/>
      <c r="B65" s="1110" t="s">
        <v>652</v>
      </c>
      <c r="C65" s="1129" t="s">
        <v>1378</v>
      </c>
      <c r="D65" s="1129" t="s">
        <v>1379</v>
      </c>
      <c r="E65" s="1129" t="s">
        <v>1380</v>
      </c>
      <c r="F65" s="1129" t="s">
        <v>1381</v>
      </c>
      <c r="G65" s="1129" t="s">
        <v>1382</v>
      </c>
      <c r="H65" s="1111"/>
      <c r="I65" s="1111"/>
      <c r="J65" s="1111"/>
      <c r="K65" s="1160"/>
      <c r="L65" s="1161"/>
      <c r="M65" s="1162"/>
      <c r="N65" s="1156"/>
      <c r="O65" s="1156"/>
      <c r="P65" s="1436"/>
      <c r="Q65" s="1440"/>
      <c r="R65" s="982"/>
      <c r="S65" s="982"/>
      <c r="T65" s="982"/>
      <c r="U65" s="982"/>
      <c r="V65" s="982"/>
      <c r="W65" s="982"/>
      <c r="X65" s="982"/>
      <c r="Y65" s="982"/>
      <c r="Z65" s="982"/>
      <c r="AA65" s="982"/>
      <c r="AB65" s="982"/>
      <c r="AC65" s="982"/>
    </row>
    <row r="66" spans="1:29" ht="15">
      <c r="A66" s="1107"/>
      <c r="B66" s="1112"/>
      <c r="C66" s="1113">
        <v>100</v>
      </c>
      <c r="D66" s="1113">
        <f>C66-$K16</f>
        <v>100</v>
      </c>
      <c r="E66" s="1113">
        <f>D66-$K16</f>
        <v>100</v>
      </c>
      <c r="F66" s="1113">
        <f>E66-$K16</f>
        <v>100</v>
      </c>
      <c r="G66" s="1113">
        <f>F66-$K16</f>
        <v>100</v>
      </c>
      <c r="H66" s="1113"/>
      <c r="I66" s="1113"/>
      <c r="J66" s="1113"/>
      <c r="K66" s="1113"/>
      <c r="L66" s="1113"/>
      <c r="M66" s="1163"/>
      <c r="N66" s="1159"/>
      <c r="O66" s="1159"/>
      <c r="P66" s="1436"/>
      <c r="Q66" s="1440"/>
      <c r="R66" s="982"/>
      <c r="S66" s="982"/>
      <c r="T66" s="982"/>
      <c r="U66" s="982"/>
      <c r="V66" s="982"/>
      <c r="W66" s="982"/>
      <c r="X66" s="982"/>
      <c r="Y66" s="982"/>
      <c r="Z66" s="982"/>
      <c r="AA66" s="982"/>
      <c r="AB66" s="982"/>
      <c r="AC66" s="982"/>
    </row>
    <row r="67" spans="1:29" ht="15">
      <c r="A67" s="1107"/>
      <c r="B67" s="1114" t="s">
        <v>654</v>
      </c>
      <c r="C67" s="1134" t="s">
        <v>1383</v>
      </c>
      <c r="D67" s="1134" t="s">
        <v>1384</v>
      </c>
      <c r="E67" s="1134" t="s">
        <v>1385</v>
      </c>
      <c r="F67" s="1134" t="s">
        <v>1386</v>
      </c>
      <c r="G67" s="1134" t="s">
        <v>1387</v>
      </c>
      <c r="H67" s="1111"/>
      <c r="I67" s="1111"/>
      <c r="J67" s="1111"/>
      <c r="K67" s="1111"/>
      <c r="L67" s="1111"/>
      <c r="M67" s="1381"/>
      <c r="N67" s="1159"/>
      <c r="O67" s="1159"/>
      <c r="P67" s="1436"/>
      <c r="Q67" s="1440"/>
      <c r="R67" s="982"/>
      <c r="S67" s="982"/>
      <c r="T67" s="982"/>
      <c r="U67" s="982"/>
      <c r="V67" s="982"/>
      <c r="W67" s="982"/>
      <c r="X67" s="982"/>
      <c r="Y67" s="982"/>
      <c r="Z67" s="982"/>
      <c r="AA67" s="982"/>
      <c r="AB67" s="982"/>
      <c r="AC67" s="982"/>
    </row>
    <row r="68" spans="1:29" ht="15">
      <c r="A68" s="1107"/>
      <c r="B68" s="1114"/>
      <c r="C68" s="1113">
        <v>100</v>
      </c>
      <c r="D68" s="1113">
        <f>C68-$K18</f>
        <v>100</v>
      </c>
      <c r="E68" s="1113">
        <f>D68-$K18</f>
        <v>100</v>
      </c>
      <c r="F68" s="1113">
        <f>E68-$K18</f>
        <v>100</v>
      </c>
      <c r="G68" s="1113">
        <f>F68-$K18</f>
        <v>100</v>
      </c>
      <c r="H68" s="1134"/>
      <c r="I68" s="1134"/>
      <c r="J68" s="1134"/>
      <c r="K68" s="1134"/>
      <c r="L68" s="1134"/>
      <c r="M68" s="930"/>
      <c r="N68" s="1159"/>
      <c r="O68" s="1159"/>
      <c r="P68" s="1436"/>
      <c r="Q68" s="1440"/>
      <c r="R68" s="982"/>
      <c r="S68" s="982"/>
      <c r="T68" s="982"/>
      <c r="U68" s="982"/>
      <c r="V68" s="982"/>
      <c r="W68" s="982"/>
      <c r="X68" s="982"/>
      <c r="Y68" s="982"/>
      <c r="Z68" s="982"/>
      <c r="AA68" s="982"/>
      <c r="AB68" s="982"/>
      <c r="AC68" s="982"/>
    </row>
    <row r="69" spans="1:29" ht="15">
      <c r="A69" s="1107"/>
      <c r="B69" s="1110" t="s">
        <v>658</v>
      </c>
      <c r="C69" s="1129" t="s">
        <v>1378</v>
      </c>
      <c r="D69" s="1129" t="s">
        <v>1379</v>
      </c>
      <c r="E69" s="1129" t="s">
        <v>1380</v>
      </c>
      <c r="F69" s="1129" t="s">
        <v>1381</v>
      </c>
      <c r="G69" s="1129" t="s">
        <v>1382</v>
      </c>
      <c r="H69" s="1111"/>
      <c r="I69" s="1111"/>
      <c r="J69" s="1111"/>
      <c r="K69" s="1160"/>
      <c r="L69" s="1161"/>
      <c r="M69" s="1162"/>
      <c r="N69" s="1156"/>
      <c r="O69" s="1156"/>
      <c r="P69" s="1436"/>
      <c r="Q69" s="1440"/>
      <c r="R69" s="982"/>
      <c r="S69" s="982"/>
      <c r="T69" s="982"/>
      <c r="U69" s="982"/>
      <c r="V69" s="982"/>
      <c r="W69" s="982"/>
      <c r="X69" s="982"/>
      <c r="Y69" s="982"/>
      <c r="Z69" s="982"/>
      <c r="AA69" s="982"/>
      <c r="AB69" s="982"/>
      <c r="AC69" s="982"/>
    </row>
    <row r="70" spans="1:29" ht="15">
      <c r="A70" s="1107"/>
      <c r="B70" s="1112"/>
      <c r="C70" s="1113">
        <v>100</v>
      </c>
      <c r="D70" s="1113">
        <f>C70-$K20</f>
        <v>100</v>
      </c>
      <c r="E70" s="1113">
        <f>D70-$K20</f>
        <v>100</v>
      </c>
      <c r="F70" s="1113">
        <f>E70-$K20</f>
        <v>100</v>
      </c>
      <c r="G70" s="1113">
        <f>F70-$K20</f>
        <v>100</v>
      </c>
      <c r="H70" s="1113"/>
      <c r="I70" s="1113"/>
      <c r="J70" s="1113"/>
      <c r="K70" s="1113"/>
      <c r="L70" s="1113"/>
      <c r="M70" s="1163"/>
      <c r="N70" s="1159"/>
      <c r="O70" s="1159"/>
      <c r="P70" s="1436"/>
      <c r="Q70" s="1440"/>
      <c r="R70" s="982"/>
      <c r="S70" s="982"/>
      <c r="T70" s="982"/>
      <c r="U70" s="982"/>
      <c r="V70" s="982"/>
      <c r="W70" s="982"/>
      <c r="X70" s="982"/>
      <c r="Y70" s="982"/>
      <c r="Z70" s="982"/>
      <c r="AA70" s="982"/>
      <c r="AB70" s="982"/>
      <c r="AC70" s="982"/>
    </row>
    <row r="71" spans="1:29" ht="15">
      <c r="A71" s="1107"/>
      <c r="B71" s="1110" t="s">
        <v>1411</v>
      </c>
      <c r="C71" s="1118"/>
      <c r="D71" s="1118"/>
      <c r="E71" s="1118"/>
      <c r="F71" s="1118"/>
      <c r="G71" s="1118"/>
      <c r="H71" s="1135"/>
      <c r="I71" s="1135"/>
      <c r="J71" s="1135"/>
      <c r="K71" s="1187"/>
      <c r="L71" s="1188"/>
      <c r="M71" s="1189"/>
      <c r="N71" s="1156"/>
      <c r="O71" s="1156"/>
      <c r="P71" s="1436"/>
      <c r="Q71" s="1440"/>
      <c r="R71" s="982"/>
      <c r="S71" s="982"/>
      <c r="T71" s="982"/>
      <c r="U71" s="982"/>
      <c r="V71" s="982"/>
      <c r="W71" s="982"/>
      <c r="X71" s="982"/>
      <c r="Y71" s="982"/>
      <c r="Z71" s="982"/>
      <c r="AA71" s="982"/>
      <c r="AB71" s="982"/>
      <c r="AC71" s="982"/>
    </row>
    <row r="72" spans="1:29" ht="15">
      <c r="A72" s="1107"/>
      <c r="B72" s="1112"/>
      <c r="C72" s="1113">
        <v>100</v>
      </c>
      <c r="D72" s="1113">
        <f>C72-$K22</f>
        <v>100</v>
      </c>
      <c r="E72" s="1113">
        <f>D72-$K22</f>
        <v>100</v>
      </c>
      <c r="F72" s="1113">
        <f>E72-$K22</f>
        <v>100</v>
      </c>
      <c r="G72" s="1113">
        <f>F72-$K22</f>
        <v>100</v>
      </c>
      <c r="H72" s="1113"/>
      <c r="I72" s="1113"/>
      <c r="J72" s="1113"/>
      <c r="K72" s="1113"/>
      <c r="L72" s="1113"/>
      <c r="M72" s="1163"/>
      <c r="N72" s="1159"/>
      <c r="O72" s="1159"/>
      <c r="P72" s="1436"/>
      <c r="Q72" s="1440"/>
      <c r="R72" s="982"/>
      <c r="S72" s="982"/>
      <c r="T72" s="982"/>
      <c r="U72" s="982"/>
      <c r="V72" s="982"/>
      <c r="W72" s="982"/>
      <c r="X72" s="982"/>
      <c r="Y72" s="982"/>
      <c r="Z72" s="982"/>
      <c r="AA72" s="982"/>
      <c r="AB72" s="982"/>
      <c r="AC72" s="982"/>
    </row>
    <row r="73" spans="1:29" s="866" customFormat="1" ht="15">
      <c r="A73" s="1130"/>
      <c r="B73" s="1110">
        <f>B23</f>
        <v>111</v>
      </c>
      <c r="C73" s="913"/>
      <c r="D73" s="913"/>
      <c r="E73" s="913"/>
      <c r="F73" s="913"/>
      <c r="G73" s="1118"/>
      <c r="H73" s="1118"/>
      <c r="I73" s="1118"/>
      <c r="J73" s="1118"/>
      <c r="K73" s="1118"/>
      <c r="L73" s="1382"/>
      <c r="M73" s="1383"/>
      <c r="N73" s="1150"/>
      <c r="O73" s="1150"/>
      <c r="P73" s="1436"/>
      <c r="Q73" s="1440"/>
      <c r="R73" s="1442"/>
      <c r="S73" s="1442"/>
      <c r="T73" s="1442"/>
      <c r="U73" s="1442"/>
      <c r="V73" s="1442"/>
      <c r="W73" s="1442"/>
      <c r="X73" s="1442"/>
      <c r="Y73" s="1442"/>
      <c r="Z73" s="1442"/>
      <c r="AA73" s="1442"/>
      <c r="AB73" s="1442"/>
      <c r="AC73" s="1442"/>
    </row>
    <row r="74" spans="1:29" s="866" customFormat="1" ht="15">
      <c r="A74" s="1130"/>
      <c r="B74" s="1112"/>
      <c r="C74" s="1120"/>
      <c r="D74" s="1109"/>
      <c r="E74" s="1109"/>
      <c r="F74" s="1109"/>
      <c r="G74" s="1109"/>
      <c r="H74" s="1109"/>
      <c r="I74" s="1109"/>
      <c r="J74" s="1109"/>
      <c r="K74" s="1109"/>
      <c r="L74" s="1109"/>
      <c r="M74" s="1158"/>
      <c r="N74" s="1159"/>
      <c r="O74" s="1159"/>
      <c r="P74" s="1436"/>
      <c r="Q74" s="1440"/>
      <c r="R74" s="1442"/>
      <c r="S74" s="1442"/>
      <c r="T74" s="1442"/>
      <c r="U74" s="1442"/>
      <c r="V74" s="1442"/>
      <c r="W74" s="1442"/>
      <c r="X74" s="1442"/>
      <c r="Y74" s="1442"/>
      <c r="Z74" s="1442"/>
      <c r="AA74" s="1442"/>
      <c r="AB74" s="1442"/>
      <c r="AC74" s="1442"/>
    </row>
    <row r="75" spans="1:29" s="866" customFormat="1" ht="15">
      <c r="A75" s="1130"/>
      <c r="B75" s="1110">
        <f>B24</f>
        <v>111</v>
      </c>
      <c r="C75" s="913"/>
      <c r="D75" s="913"/>
      <c r="E75" s="913"/>
      <c r="F75" s="913"/>
      <c r="G75" s="1118"/>
      <c r="H75" s="1118"/>
      <c r="I75" s="1118"/>
      <c r="J75" s="1118"/>
      <c r="K75" s="1118"/>
      <c r="L75" s="1118"/>
      <c r="M75" s="1383"/>
      <c r="N75" s="1150"/>
      <c r="O75" s="1150"/>
      <c r="P75" s="1436"/>
      <c r="Q75" s="1440"/>
      <c r="R75" s="1442"/>
      <c r="S75" s="1442"/>
      <c r="T75" s="1442"/>
      <c r="U75" s="1442"/>
      <c r="V75" s="1442"/>
      <c r="W75" s="1442"/>
      <c r="X75" s="1442"/>
      <c r="Y75" s="1442"/>
      <c r="Z75" s="1442"/>
      <c r="AA75" s="1442"/>
      <c r="AB75" s="1442"/>
      <c r="AC75" s="1442"/>
    </row>
    <row r="76" spans="1:29" s="866" customFormat="1" ht="15">
      <c r="A76" s="1130"/>
      <c r="B76" s="1112"/>
      <c r="C76" s="1120"/>
      <c r="D76" s="1109"/>
      <c r="E76" s="1109"/>
      <c r="F76" s="1109"/>
      <c r="G76" s="1109"/>
      <c r="H76" s="1109"/>
      <c r="I76" s="1109"/>
      <c r="J76" s="1109"/>
      <c r="K76" s="1109"/>
      <c r="L76" s="1109"/>
      <c r="M76" s="1158"/>
      <c r="N76" s="1159"/>
      <c r="O76" s="1159"/>
      <c r="P76" s="1436"/>
      <c r="Q76" s="1440"/>
      <c r="R76" s="1442"/>
      <c r="S76" s="1442"/>
      <c r="T76" s="1442"/>
      <c r="U76" s="1442"/>
      <c r="V76" s="1442"/>
      <c r="W76" s="1442"/>
      <c r="X76" s="1442"/>
      <c r="Y76" s="1442"/>
      <c r="Z76" s="1442"/>
      <c r="AA76" s="1442"/>
      <c r="AB76" s="1442"/>
      <c r="AC76" s="1442"/>
    </row>
    <row r="77" spans="1:29" s="868" customFormat="1" ht="15">
      <c r="A77" s="1117"/>
      <c r="B77" s="1110">
        <f>B25</f>
        <v>111</v>
      </c>
      <c r="C77" s="1118"/>
      <c r="D77" s="1118"/>
      <c r="E77" s="1118"/>
      <c r="F77" s="1118"/>
      <c r="G77" s="1118"/>
      <c r="H77" s="1119"/>
      <c r="I77" s="1119"/>
      <c r="J77" s="1119"/>
      <c r="K77" s="1119"/>
      <c r="L77" s="1167"/>
      <c r="M77" s="1168"/>
      <c r="N77" s="1169"/>
      <c r="O77" s="1169"/>
      <c r="P77" s="1437"/>
      <c r="Q77" s="1443"/>
      <c r="R77" s="1444"/>
      <c r="S77" s="1444"/>
      <c r="T77" s="1444"/>
      <c r="U77" s="1444"/>
      <c r="V77" s="1444"/>
      <c r="W77" s="1444"/>
      <c r="X77" s="1444"/>
      <c r="Y77" s="1444"/>
      <c r="Z77" s="1444"/>
      <c r="AA77" s="1444"/>
      <c r="AB77" s="1444"/>
      <c r="AC77" s="1444"/>
    </row>
    <row r="78" spans="1:29" s="868" customFormat="1" ht="15">
      <c r="A78" s="1117"/>
      <c r="B78" s="1112"/>
      <c r="C78" s="1120"/>
      <c r="D78" s="1120"/>
      <c r="E78" s="1120"/>
      <c r="F78" s="1120"/>
      <c r="G78" s="1109"/>
      <c r="H78" s="1109"/>
      <c r="I78" s="1109"/>
      <c r="J78" s="1109"/>
      <c r="K78" s="1109"/>
      <c r="L78" s="1109"/>
      <c r="M78" s="1158"/>
      <c r="N78" s="1169"/>
      <c r="O78" s="1169"/>
      <c r="P78" s="1437"/>
      <c r="Q78" s="1443"/>
      <c r="R78" s="1444"/>
      <c r="S78" s="1444"/>
      <c r="T78" s="1444"/>
      <c r="U78" s="1444"/>
      <c r="V78" s="1444"/>
      <c r="W78" s="1444"/>
      <c r="X78" s="1444"/>
      <c r="Y78" s="1444"/>
      <c r="Z78" s="1444"/>
      <c r="AA78" s="1444"/>
      <c r="AB78" s="1444"/>
      <c r="AC78" s="1444"/>
    </row>
    <row r="79" spans="1:29" ht="27">
      <c r="A79" s="1105" t="s">
        <v>1349</v>
      </c>
      <c r="B79" s="1106" t="s">
        <v>1439</v>
      </c>
      <c r="C79" s="1128">
        <f>C26</f>
        <v>0</v>
      </c>
      <c r="D79" s="1050"/>
      <c r="E79" s="1050"/>
      <c r="F79" s="1050"/>
      <c r="G79" s="1050"/>
      <c r="H79" s="1050"/>
      <c r="I79" s="1050"/>
      <c r="J79" s="1050"/>
      <c r="K79" s="1153"/>
      <c r="L79" s="1154"/>
      <c r="M79" s="1155"/>
      <c r="N79" s="1156"/>
      <c r="O79" s="1156"/>
      <c r="P79" s="1436"/>
      <c r="Q79" s="1440"/>
      <c r="R79" s="982"/>
      <c r="S79" s="982"/>
      <c r="T79" s="982"/>
      <c r="U79" s="982"/>
      <c r="V79" s="982"/>
      <c r="W79" s="982"/>
      <c r="X79" s="982"/>
      <c r="Y79" s="982"/>
      <c r="Z79" s="982"/>
      <c r="AA79" s="982"/>
      <c r="AB79" s="982"/>
      <c r="AC79" s="982"/>
    </row>
    <row r="80" spans="1:29" ht="15">
      <c r="A80" s="1107"/>
      <c r="B80" s="1112"/>
      <c r="C80" s="1113">
        <v>100</v>
      </c>
      <c r="D80" s="1113">
        <f t="shared" ref="D80:M80" si="17">C80-$K26</f>
        <v>100</v>
      </c>
      <c r="E80" s="1113">
        <f t="shared" si="17"/>
        <v>100</v>
      </c>
      <c r="F80" s="1113">
        <f t="shared" si="17"/>
        <v>100</v>
      </c>
      <c r="G80" s="1113">
        <f t="shared" si="17"/>
        <v>100</v>
      </c>
      <c r="H80" s="1113">
        <f t="shared" si="17"/>
        <v>100</v>
      </c>
      <c r="I80" s="1113">
        <f t="shared" si="17"/>
        <v>100</v>
      </c>
      <c r="J80" s="1113">
        <f t="shared" si="17"/>
        <v>100</v>
      </c>
      <c r="K80" s="1113">
        <f t="shared" si="17"/>
        <v>100</v>
      </c>
      <c r="L80" s="1113">
        <f t="shared" si="17"/>
        <v>100</v>
      </c>
      <c r="M80" s="1163">
        <f t="shared" si="17"/>
        <v>100</v>
      </c>
      <c r="N80" s="1159"/>
      <c r="O80" s="1159"/>
      <c r="P80" s="1436"/>
      <c r="Q80" s="1440"/>
      <c r="R80" s="982"/>
      <c r="S80" s="982"/>
      <c r="T80" s="982"/>
      <c r="U80" s="982"/>
      <c r="V80" s="982"/>
      <c r="W80" s="982"/>
      <c r="X80" s="982"/>
      <c r="Y80" s="982"/>
      <c r="Z80" s="982"/>
      <c r="AA80" s="982"/>
      <c r="AB80" s="982"/>
      <c r="AC80" s="982"/>
    </row>
    <row r="81" spans="1:29" ht="15">
      <c r="A81" s="1107"/>
      <c r="B81" s="1110" t="s">
        <v>1430</v>
      </c>
      <c r="C81" s="1446"/>
      <c r="D81" s="1446"/>
      <c r="E81" s="1446"/>
      <c r="F81" s="1446"/>
      <c r="G81" s="1446"/>
      <c r="H81" s="1446"/>
      <c r="I81" s="1446"/>
      <c r="J81" s="1446"/>
      <c r="K81" s="1447"/>
      <c r="L81" s="1448"/>
      <c r="M81" s="1449"/>
      <c r="N81" s="1150"/>
      <c r="O81" s="1150"/>
      <c r="P81" s="1436"/>
      <c r="Q81" s="1440"/>
      <c r="R81" s="982"/>
      <c r="S81" s="982"/>
      <c r="T81" s="982"/>
      <c r="U81" s="982"/>
      <c r="V81" s="982"/>
      <c r="W81" s="982"/>
      <c r="X81" s="982"/>
      <c r="Y81" s="982"/>
      <c r="Z81" s="982"/>
      <c r="AA81" s="982"/>
      <c r="AB81" s="982"/>
      <c r="AC81" s="982"/>
    </row>
    <row r="82" spans="1:29" s="868" customFormat="1" ht="15">
      <c r="A82" s="1117"/>
      <c r="B82" s="1112"/>
      <c r="C82" s="1120"/>
      <c r="D82" s="1109"/>
      <c r="E82" s="1109"/>
      <c r="F82" s="1109"/>
      <c r="G82" s="1109"/>
      <c r="H82" s="1109"/>
      <c r="I82" s="1109"/>
      <c r="J82" s="1109"/>
      <c r="K82" s="1109"/>
      <c r="L82" s="1109"/>
      <c r="M82" s="1158"/>
      <c r="N82" s="1159"/>
      <c r="O82" s="1159"/>
      <c r="P82" s="1437"/>
      <c r="Q82" s="1443"/>
      <c r="R82" s="1444"/>
      <c r="S82" s="1444"/>
      <c r="T82" s="1444"/>
      <c r="U82" s="1444"/>
      <c r="V82" s="1444"/>
      <c r="W82" s="1444"/>
      <c r="X82" s="1444"/>
      <c r="Y82" s="1444"/>
      <c r="Z82" s="1444"/>
      <c r="AA82" s="1444"/>
      <c r="AB82" s="1444"/>
      <c r="AC82" s="1444"/>
    </row>
    <row r="83" spans="1:29">
      <c r="A83" s="1141"/>
      <c r="B83" s="1110" t="s">
        <v>1355</v>
      </c>
      <c r="C83" s="1118"/>
      <c r="D83" s="1118"/>
      <c r="E83" s="1135"/>
      <c r="F83" s="1135"/>
      <c r="G83" s="1135"/>
      <c r="H83" s="1135"/>
      <c r="I83" s="1135"/>
      <c r="J83" s="1135"/>
      <c r="K83" s="1187"/>
      <c r="L83" s="1188"/>
      <c r="M83" s="1189"/>
      <c r="N83" s="1156"/>
      <c r="O83" s="1156"/>
      <c r="P83" s="1436"/>
      <c r="Q83" s="1440"/>
      <c r="R83" s="982"/>
      <c r="S83" s="982"/>
      <c r="T83" s="982"/>
      <c r="U83" s="982"/>
      <c r="V83" s="982"/>
      <c r="W83" s="982"/>
      <c r="X83" s="982"/>
      <c r="Y83" s="982"/>
      <c r="Z83" s="982"/>
      <c r="AA83" s="982"/>
      <c r="AB83" s="982"/>
      <c r="AC83" s="982"/>
    </row>
    <row r="84" spans="1:29" ht="15">
      <c r="A84" s="1107"/>
      <c r="B84" s="1112"/>
      <c r="C84" s="1113">
        <v>100</v>
      </c>
      <c r="D84" s="1113">
        <f t="shared" ref="D84:M84" si="18">C84-$K28</f>
        <v>100</v>
      </c>
      <c r="E84" s="1113">
        <f t="shared" si="18"/>
        <v>100</v>
      </c>
      <c r="F84" s="1113">
        <f t="shared" si="18"/>
        <v>100</v>
      </c>
      <c r="G84" s="1113">
        <f t="shared" si="18"/>
        <v>100</v>
      </c>
      <c r="H84" s="1113">
        <f t="shared" si="18"/>
        <v>100</v>
      </c>
      <c r="I84" s="1113">
        <f t="shared" si="18"/>
        <v>100</v>
      </c>
      <c r="J84" s="1113">
        <f t="shared" si="18"/>
        <v>100</v>
      </c>
      <c r="K84" s="1113">
        <f t="shared" si="18"/>
        <v>100</v>
      </c>
      <c r="L84" s="1113">
        <f t="shared" si="18"/>
        <v>100</v>
      </c>
      <c r="M84" s="1163">
        <f t="shared" si="18"/>
        <v>100</v>
      </c>
      <c r="N84" s="1159"/>
      <c r="O84" s="1159"/>
      <c r="P84" s="1436"/>
      <c r="Q84" s="1440"/>
      <c r="R84" s="982"/>
      <c r="S84" s="982"/>
      <c r="T84" s="982"/>
      <c r="U84" s="982"/>
      <c r="V84" s="982"/>
      <c r="W84" s="982"/>
      <c r="X84" s="982"/>
      <c r="Y84" s="982"/>
      <c r="Z84" s="982"/>
      <c r="AA84" s="982"/>
      <c r="AB84" s="982"/>
      <c r="AC84" s="982"/>
    </row>
    <row r="85" spans="1:29">
      <c r="A85" s="1141"/>
      <c r="B85" s="1110" t="s">
        <v>1431</v>
      </c>
      <c r="C85" s="1129" t="str">
        <f>C86&amp;"(含)"&amp;"-"&amp;D86</f>
        <v>0.5(含)-0.6</v>
      </c>
      <c r="D85" s="1129" t="str">
        <f>D86&amp;"(含)"&amp;"-"&amp;E86</f>
        <v>0.6(含)-0.7</v>
      </c>
      <c r="E85" s="1129" t="str">
        <f>E86&amp;"(含)"&amp;"-"&amp;F86</f>
        <v>0.7(含)-0.8</v>
      </c>
      <c r="F85" s="1129" t="str">
        <f>F86&amp;"(含)"&amp;"-"&amp;G86</f>
        <v>0.8(含)-0.9</v>
      </c>
      <c r="G85" s="1129" t="str">
        <f>G86&amp;"(含)"&amp;"-"&amp;ROUND(H86,0)&amp;"(含)"</f>
        <v>0.9(含)-1(含)</v>
      </c>
      <c r="H85" s="1129"/>
      <c r="I85" s="1135"/>
      <c r="J85" s="1135"/>
      <c r="K85" s="1187"/>
      <c r="L85" s="1188"/>
      <c r="M85" s="1189"/>
      <c r="N85" s="1156"/>
      <c r="O85" s="1156"/>
      <c r="P85" s="1436"/>
      <c r="Q85" s="1440"/>
      <c r="R85" s="982"/>
      <c r="S85" s="982"/>
      <c r="T85" s="982"/>
      <c r="U85" s="982"/>
      <c r="V85" s="982"/>
      <c r="W85" s="982"/>
      <c r="X85" s="982"/>
      <c r="Y85" s="982"/>
      <c r="Z85" s="982"/>
      <c r="AA85" s="982"/>
      <c r="AB85" s="982"/>
      <c r="AC85" s="982"/>
    </row>
    <row r="86" spans="1:29">
      <c r="A86" s="1141"/>
      <c r="B86" s="1114"/>
      <c r="C86" s="801">
        <v>0.5</v>
      </c>
      <c r="D86" s="801">
        <v>0.6</v>
      </c>
      <c r="E86" s="801">
        <v>0.7</v>
      </c>
      <c r="F86" s="801">
        <v>0.8</v>
      </c>
      <c r="G86" s="801">
        <v>0.9</v>
      </c>
      <c r="H86" s="801">
        <v>1.0001</v>
      </c>
      <c r="I86" s="1450"/>
      <c r="J86" s="1450"/>
      <c r="K86" s="1451"/>
      <c r="L86" s="1452"/>
      <c r="M86" s="1453"/>
      <c r="N86" s="1156"/>
      <c r="O86" s="1156"/>
      <c r="P86" s="1436"/>
      <c r="Q86" s="1440"/>
      <c r="R86" s="982"/>
      <c r="S86" s="982"/>
      <c r="T86" s="982"/>
      <c r="U86" s="982"/>
      <c r="V86" s="982"/>
      <c r="W86" s="982"/>
      <c r="X86" s="982"/>
      <c r="Y86" s="982"/>
      <c r="Z86" s="982"/>
      <c r="AA86" s="982"/>
      <c r="AB86" s="982"/>
      <c r="AC86" s="982"/>
    </row>
    <row r="87" spans="1:29" ht="15">
      <c r="A87" s="1107"/>
      <c r="B87" s="1112"/>
      <c r="C87" s="1131">
        <v>100</v>
      </c>
      <c r="D87" s="1113">
        <f>C87+$K$29</f>
        <v>100</v>
      </c>
      <c r="E87" s="1113">
        <f t="shared" ref="E87:M87" si="19">D87+$K$29</f>
        <v>100</v>
      </c>
      <c r="F87" s="1113">
        <f t="shared" si="19"/>
        <v>100</v>
      </c>
      <c r="G87" s="1113">
        <f t="shared" si="19"/>
        <v>100</v>
      </c>
      <c r="H87" s="1113">
        <f t="shared" si="19"/>
        <v>100</v>
      </c>
      <c r="I87" s="1113">
        <f t="shared" si="19"/>
        <v>100</v>
      </c>
      <c r="J87" s="1113">
        <f t="shared" si="19"/>
        <v>100</v>
      </c>
      <c r="K87" s="1113">
        <f t="shared" si="19"/>
        <v>100</v>
      </c>
      <c r="L87" s="1113">
        <f t="shared" si="19"/>
        <v>100</v>
      </c>
      <c r="M87" s="1113">
        <f t="shared" si="19"/>
        <v>100</v>
      </c>
      <c r="N87" s="1159"/>
      <c r="O87" s="1159"/>
      <c r="P87" s="1436"/>
      <c r="Q87" s="1440"/>
      <c r="R87" s="982"/>
      <c r="S87" s="982"/>
      <c r="T87" s="982"/>
      <c r="U87" s="982"/>
      <c r="V87" s="982"/>
      <c r="W87" s="982"/>
      <c r="X87" s="982"/>
      <c r="Y87" s="982"/>
      <c r="Z87" s="982"/>
      <c r="AA87" s="982"/>
      <c r="AB87" s="982"/>
      <c r="AC87" s="982"/>
    </row>
    <row r="88" spans="1:29">
      <c r="A88" s="1141"/>
      <c r="B88" s="1114" t="s">
        <v>1432</v>
      </c>
      <c r="C88" s="1050"/>
      <c r="D88" s="1050"/>
      <c r="E88" s="1050"/>
      <c r="F88" s="1050"/>
      <c r="G88" s="1050"/>
      <c r="H88" s="1050"/>
      <c r="I88" s="1050"/>
      <c r="J88" s="1050"/>
      <c r="K88" s="1153"/>
      <c r="L88" s="1154"/>
      <c r="M88" s="1155"/>
      <c r="N88" s="1156"/>
      <c r="O88" s="1156"/>
      <c r="P88" s="1436"/>
      <c r="Q88" s="1440"/>
      <c r="R88" s="982"/>
      <c r="S88" s="982"/>
      <c r="T88" s="982"/>
      <c r="U88" s="982"/>
      <c r="V88" s="982"/>
      <c r="W88" s="982"/>
      <c r="X88" s="982"/>
      <c r="Y88" s="982"/>
      <c r="Z88" s="982"/>
      <c r="AA88" s="982"/>
      <c r="AB88" s="982"/>
      <c r="AC88" s="982"/>
    </row>
    <row r="89" spans="1:29" ht="15">
      <c r="A89" s="1107"/>
      <c r="B89" s="1112"/>
      <c r="C89" s="1131">
        <v>100</v>
      </c>
      <c r="D89" s="1113">
        <f t="shared" ref="D89:M89" si="20">C89+$K30</f>
        <v>100</v>
      </c>
      <c r="E89" s="1113">
        <f t="shared" si="20"/>
        <v>100</v>
      </c>
      <c r="F89" s="1113">
        <f t="shared" si="20"/>
        <v>100</v>
      </c>
      <c r="G89" s="1113">
        <f t="shared" si="20"/>
        <v>100</v>
      </c>
      <c r="H89" s="1113">
        <f t="shared" si="20"/>
        <v>100</v>
      </c>
      <c r="I89" s="1113">
        <f t="shared" si="20"/>
        <v>100</v>
      </c>
      <c r="J89" s="1113">
        <f t="shared" si="20"/>
        <v>100</v>
      </c>
      <c r="K89" s="1113">
        <f t="shared" si="20"/>
        <v>100</v>
      </c>
      <c r="L89" s="1113">
        <f t="shared" si="20"/>
        <v>100</v>
      </c>
      <c r="M89" s="1113">
        <f t="shared" si="20"/>
        <v>100</v>
      </c>
      <c r="N89" s="1159"/>
      <c r="O89" s="1159"/>
      <c r="P89" s="1436"/>
      <c r="Q89" s="1440"/>
      <c r="R89" s="982"/>
      <c r="S89" s="982"/>
      <c r="T89" s="982"/>
      <c r="U89" s="982"/>
      <c r="V89" s="982"/>
      <c r="W89" s="982"/>
      <c r="X89" s="982"/>
      <c r="Y89" s="982"/>
      <c r="Z89" s="982"/>
      <c r="AA89" s="982"/>
      <c r="AB89" s="982"/>
      <c r="AC89" s="982"/>
    </row>
    <row r="90" spans="1:29" s="868" customFormat="1">
      <c r="A90" s="1138"/>
      <c r="B90" s="1110" t="s">
        <v>1433</v>
      </c>
      <c r="C90" s="1129" t="str">
        <f>C91&amp;"(含)"&amp;"-"&amp;D91</f>
        <v>(含)-</v>
      </c>
      <c r="D90" s="1129" t="str">
        <f t="shared" ref="D90:L90" si="21">D91&amp;"(含)"&amp;"-"&amp;E91</f>
        <v>(含)-</v>
      </c>
      <c r="E90" s="1129" t="str">
        <f t="shared" si="21"/>
        <v>(含)-</v>
      </c>
      <c r="F90" s="1129" t="str">
        <f t="shared" si="21"/>
        <v>(含)-</v>
      </c>
      <c r="G90" s="1129" t="str">
        <f t="shared" si="21"/>
        <v>(含)-</v>
      </c>
      <c r="H90" s="1129" t="str">
        <f t="shared" si="21"/>
        <v>(含)-</v>
      </c>
      <c r="I90" s="1129" t="str">
        <f t="shared" si="21"/>
        <v>(含)-</v>
      </c>
      <c r="J90" s="1129" t="str">
        <f t="shared" si="21"/>
        <v>(含)-</v>
      </c>
      <c r="K90" s="1129" t="str">
        <f t="shared" si="21"/>
        <v>(含)-</v>
      </c>
      <c r="L90" s="1129" t="str">
        <f t="shared" si="21"/>
        <v>(含)-</v>
      </c>
      <c r="M90" s="1182" t="str">
        <f>M91&amp;"(含)"&amp;"-"&amp;P91</f>
        <v>(含)-</v>
      </c>
      <c r="N90" s="1169"/>
      <c r="O90" s="1169"/>
      <c r="P90" s="1437"/>
      <c r="Q90" s="1443"/>
      <c r="R90" s="1444"/>
      <c r="S90" s="1444"/>
      <c r="T90" s="1444"/>
      <c r="U90" s="1444"/>
      <c r="V90" s="1444"/>
      <c r="W90" s="1444"/>
      <c r="X90" s="1444"/>
      <c r="Y90" s="1444"/>
      <c r="Z90" s="1444"/>
      <c r="AA90" s="1444"/>
      <c r="AB90" s="1444"/>
      <c r="AC90" s="1444"/>
    </row>
    <row r="91" spans="1:29" s="868" customFormat="1">
      <c r="A91" s="1138"/>
      <c r="B91" s="1114"/>
      <c r="C91" s="1094"/>
      <c r="D91" s="1094"/>
      <c r="E91" s="1094"/>
      <c r="F91" s="1094"/>
      <c r="G91" s="1094"/>
      <c r="H91" s="1094"/>
      <c r="I91" s="1094"/>
      <c r="J91" s="1194"/>
      <c r="K91" s="1194"/>
      <c r="L91" s="1195"/>
      <c r="M91" s="1196"/>
      <c r="N91" s="1169"/>
      <c r="O91" s="1169"/>
      <c r="P91" s="1437"/>
      <c r="Q91" s="1443"/>
      <c r="R91" s="1444"/>
      <c r="S91" s="1444"/>
      <c r="T91" s="1444"/>
      <c r="U91" s="1444"/>
      <c r="V91" s="1444"/>
      <c r="W91" s="1444"/>
      <c r="X91" s="1444"/>
      <c r="Y91" s="1444"/>
      <c r="Z91" s="1444"/>
      <c r="AA91" s="1444"/>
      <c r="AB91" s="1444"/>
      <c r="AC91" s="1444"/>
    </row>
    <row r="92" spans="1:29" s="868" customFormat="1" ht="15">
      <c r="A92" s="1117"/>
      <c r="B92" s="1112"/>
      <c r="C92" s="1120"/>
      <c r="D92" s="1109"/>
      <c r="E92" s="1109"/>
      <c r="F92" s="1109"/>
      <c r="G92" s="1109"/>
      <c r="H92" s="1109"/>
      <c r="I92" s="1109"/>
      <c r="J92" s="1109"/>
      <c r="K92" s="1109"/>
      <c r="L92" s="1109"/>
      <c r="M92" s="1158"/>
      <c r="N92" s="1169"/>
      <c r="O92" s="1169"/>
      <c r="P92" s="1437"/>
      <c r="Q92" s="1443"/>
      <c r="R92" s="1444"/>
      <c r="S92" s="1444"/>
      <c r="T92" s="1444"/>
      <c r="U92" s="1444"/>
      <c r="V92" s="1444"/>
      <c r="W92" s="1444"/>
      <c r="X92" s="1444"/>
      <c r="Y92" s="1444"/>
      <c r="Z92" s="1444"/>
      <c r="AA92" s="1444"/>
      <c r="AB92" s="1444"/>
      <c r="AC92" s="1444"/>
    </row>
    <row r="93" spans="1:29">
      <c r="A93" s="1141"/>
      <c r="B93" s="1110" t="s">
        <v>1434</v>
      </c>
      <c r="C93" s="1118"/>
      <c r="D93" s="1118"/>
      <c r="E93" s="1135"/>
      <c r="F93" s="1135"/>
      <c r="G93" s="1135"/>
      <c r="H93" s="1135"/>
      <c r="I93" s="1135"/>
      <c r="J93" s="1135"/>
      <c r="K93" s="1187"/>
      <c r="L93" s="1188"/>
      <c r="M93" s="1189"/>
      <c r="N93" s="1156"/>
      <c r="O93" s="1156"/>
      <c r="P93" s="1436"/>
      <c r="Q93" s="1440"/>
      <c r="R93" s="982"/>
      <c r="S93" s="982"/>
      <c r="T93" s="982"/>
      <c r="U93" s="982"/>
      <c r="V93" s="982"/>
      <c r="W93" s="982"/>
      <c r="X93" s="982"/>
      <c r="Y93" s="982"/>
      <c r="Z93" s="982"/>
      <c r="AA93" s="982"/>
      <c r="AB93" s="982"/>
      <c r="AC93" s="982"/>
    </row>
    <row r="94" spans="1:29" ht="15">
      <c r="A94" s="1107"/>
      <c r="B94" s="1112"/>
      <c r="C94" s="1113">
        <v>100</v>
      </c>
      <c r="D94" s="1113">
        <f t="shared" ref="D94:M94" si="22">C94-$K32</f>
        <v>100</v>
      </c>
      <c r="E94" s="1113">
        <f t="shared" si="22"/>
        <v>100</v>
      </c>
      <c r="F94" s="1113">
        <f t="shared" si="22"/>
        <v>100</v>
      </c>
      <c r="G94" s="1113">
        <f t="shared" si="22"/>
        <v>100</v>
      </c>
      <c r="H94" s="1113">
        <f t="shared" si="22"/>
        <v>100</v>
      </c>
      <c r="I94" s="1113">
        <f t="shared" si="22"/>
        <v>100</v>
      </c>
      <c r="J94" s="1113">
        <f t="shared" si="22"/>
        <v>100</v>
      </c>
      <c r="K94" s="1113">
        <f t="shared" si="22"/>
        <v>100</v>
      </c>
      <c r="L94" s="1113">
        <f t="shared" si="22"/>
        <v>100</v>
      </c>
      <c r="M94" s="1163">
        <f t="shared" si="22"/>
        <v>100</v>
      </c>
      <c r="N94" s="1159"/>
      <c r="O94" s="1159"/>
      <c r="P94" s="1436"/>
      <c r="Q94" s="1440"/>
      <c r="R94" s="982"/>
      <c r="S94" s="982"/>
      <c r="T94" s="982"/>
      <c r="U94" s="982"/>
      <c r="V94" s="982"/>
      <c r="W94" s="982"/>
      <c r="X94" s="982"/>
      <c r="Y94" s="982"/>
      <c r="Z94" s="982"/>
      <c r="AA94" s="982"/>
      <c r="AB94" s="982"/>
      <c r="AC94" s="982"/>
    </row>
    <row r="95" spans="1:29">
      <c r="A95" s="1141"/>
      <c r="B95" s="1110" t="s">
        <v>1435</v>
      </c>
      <c r="C95" s="1050"/>
      <c r="D95" s="1050"/>
      <c r="E95" s="1050"/>
      <c r="F95" s="1050"/>
      <c r="G95" s="1050"/>
      <c r="H95" s="1050"/>
      <c r="I95" s="1050"/>
      <c r="J95" s="1050"/>
      <c r="K95" s="1153"/>
      <c r="L95" s="1154"/>
      <c r="M95" s="1155"/>
      <c r="N95" s="1156"/>
      <c r="O95" s="1156"/>
      <c r="P95" s="1436"/>
      <c r="Q95" s="1440"/>
      <c r="R95" s="982"/>
      <c r="S95" s="982"/>
      <c r="T95" s="982"/>
      <c r="U95" s="982"/>
      <c r="V95" s="982"/>
      <c r="W95" s="982"/>
      <c r="X95" s="982"/>
      <c r="Y95" s="982"/>
      <c r="Z95" s="982"/>
      <c r="AA95" s="982"/>
      <c r="AB95" s="982"/>
      <c r="AC95" s="982"/>
    </row>
    <row r="96" spans="1:29" ht="15">
      <c r="A96" s="1107"/>
      <c r="B96" s="1112"/>
      <c r="C96" s="1113">
        <v>100</v>
      </c>
      <c r="D96" s="1113">
        <f>C96-$K33</f>
        <v>100</v>
      </c>
      <c r="E96" s="1113">
        <f>D96-$K33</f>
        <v>100</v>
      </c>
      <c r="F96" s="1113">
        <f>E96-$K33</f>
        <v>100</v>
      </c>
      <c r="G96" s="1113">
        <f>F96-$K33</f>
        <v>100</v>
      </c>
      <c r="H96" s="1113"/>
      <c r="I96" s="1113"/>
      <c r="J96" s="1113"/>
      <c r="K96" s="1113"/>
      <c r="L96" s="1113"/>
      <c r="M96" s="1163"/>
      <c r="N96" s="1159"/>
      <c r="O96" s="1159"/>
      <c r="P96" s="1436"/>
      <c r="Q96" s="1440"/>
      <c r="R96" s="982"/>
      <c r="S96" s="982"/>
      <c r="T96" s="982"/>
      <c r="U96" s="982"/>
      <c r="V96" s="982"/>
      <c r="W96" s="982"/>
      <c r="X96" s="982"/>
      <c r="Y96" s="982"/>
      <c r="Z96" s="982"/>
      <c r="AA96" s="982"/>
      <c r="AB96" s="982"/>
      <c r="AC96" s="982"/>
    </row>
    <row r="97" spans="1:29">
      <c r="A97" s="1141"/>
      <c r="B97" s="1379">
        <f>B34</f>
        <v>111</v>
      </c>
      <c r="C97" s="913"/>
      <c r="D97" s="913"/>
      <c r="E97" s="913"/>
      <c r="F97" s="913"/>
      <c r="G97" s="1118"/>
      <c r="H97" s="1119"/>
      <c r="I97" s="1119"/>
      <c r="J97" s="1119"/>
      <c r="K97" s="1119"/>
      <c r="L97" s="1167"/>
      <c r="M97" s="1168"/>
      <c r="N97" s="1159"/>
      <c r="O97" s="1159"/>
      <c r="P97" s="1454"/>
      <c r="Q97" s="1455"/>
      <c r="R97" s="982"/>
      <c r="S97" s="982"/>
      <c r="T97" s="982"/>
      <c r="U97" s="982"/>
      <c r="V97" s="982"/>
      <c r="W97" s="982"/>
      <c r="X97" s="982"/>
      <c r="Y97" s="982"/>
      <c r="Z97" s="982"/>
      <c r="AA97" s="982"/>
      <c r="AB97" s="982"/>
      <c r="AC97" s="982"/>
    </row>
    <row r="98" spans="1:29" ht="15">
      <c r="A98" s="1107"/>
      <c r="B98" s="1112"/>
      <c r="C98" s="1120"/>
      <c r="D98" s="1109"/>
      <c r="E98" s="1109"/>
      <c r="F98" s="1109"/>
      <c r="G98" s="1120"/>
      <c r="H98" s="1121"/>
      <c r="I98" s="1121"/>
      <c r="J98" s="1121"/>
      <c r="K98" s="1121"/>
      <c r="L98" s="1121"/>
      <c r="M98" s="1172"/>
      <c r="N98" s="1159"/>
      <c r="O98" s="1159"/>
      <c r="P98" s="1436"/>
      <c r="Q98" s="1440"/>
      <c r="R98" s="982"/>
      <c r="S98" s="982"/>
      <c r="T98" s="982"/>
      <c r="U98" s="982"/>
      <c r="V98" s="982"/>
      <c r="W98" s="982"/>
      <c r="X98" s="982"/>
      <c r="Y98" s="982"/>
      <c r="Z98" s="982"/>
      <c r="AA98" s="982"/>
      <c r="AB98" s="982"/>
      <c r="AC98" s="982"/>
    </row>
    <row r="99" spans="1:29" s="868" customFormat="1">
      <c r="A99" s="1138"/>
      <c r="B99" s="1110">
        <f>B35</f>
        <v>111</v>
      </c>
      <c r="C99" s="913"/>
      <c r="D99" s="913"/>
      <c r="E99" s="913"/>
      <c r="F99" s="913"/>
      <c r="G99" s="1118"/>
      <c r="H99" s="1119"/>
      <c r="I99" s="1119"/>
      <c r="J99" s="1119"/>
      <c r="K99" s="1119"/>
      <c r="L99" s="1167"/>
      <c r="M99" s="1168"/>
      <c r="N99" s="1169"/>
      <c r="O99" s="1169"/>
      <c r="P99" s="1437"/>
      <c r="Q99" s="1443"/>
      <c r="R99" s="1444"/>
      <c r="S99" s="1444"/>
      <c r="T99" s="1444"/>
      <c r="U99" s="1444"/>
      <c r="V99" s="1444"/>
      <c r="W99" s="1444"/>
      <c r="X99" s="1444"/>
      <c r="Y99" s="1444"/>
      <c r="Z99" s="1444"/>
      <c r="AA99" s="1444"/>
      <c r="AB99" s="1444"/>
      <c r="AC99" s="1444"/>
    </row>
    <row r="100" spans="1:29" s="868" customFormat="1" ht="15">
      <c r="A100" s="1117"/>
      <c r="B100" s="1108"/>
      <c r="C100" s="1120"/>
      <c r="D100" s="1109"/>
      <c r="E100" s="1109"/>
      <c r="F100" s="1109"/>
      <c r="G100" s="1120"/>
      <c r="H100" s="1121"/>
      <c r="I100" s="1121"/>
      <c r="J100" s="1121"/>
      <c r="K100" s="1121"/>
      <c r="L100" s="1121"/>
      <c r="M100" s="1172"/>
      <c r="N100" s="1169"/>
      <c r="O100" s="1169"/>
      <c r="P100" s="1437"/>
      <c r="Q100" s="1443"/>
      <c r="R100" s="1444"/>
      <c r="S100" s="1444"/>
      <c r="T100" s="1444"/>
      <c r="U100" s="1444"/>
      <c r="V100" s="1444"/>
      <c r="W100" s="1444"/>
      <c r="X100" s="1444"/>
      <c r="Y100" s="1444"/>
      <c r="Z100" s="1444"/>
      <c r="AA100" s="1444"/>
      <c r="AB100" s="1444"/>
      <c r="AC100" s="1444"/>
    </row>
    <row r="101" spans="1:29">
      <c r="A101" s="1141"/>
      <c r="B101" s="1110">
        <f>B36</f>
        <v>111</v>
      </c>
      <c r="C101" s="1118"/>
      <c r="D101" s="1118"/>
      <c r="E101" s="1118"/>
      <c r="F101" s="1118"/>
      <c r="G101" s="1118"/>
      <c r="H101" s="1119"/>
      <c r="I101" s="1119"/>
      <c r="J101" s="1119"/>
      <c r="K101" s="1119"/>
      <c r="L101" s="1167"/>
      <c r="M101" s="1168"/>
      <c r="N101" s="1156"/>
      <c r="O101" s="1156"/>
      <c r="P101" s="1436"/>
      <c r="Q101" s="1440"/>
      <c r="R101" s="982"/>
      <c r="S101" s="982"/>
      <c r="T101" s="982"/>
      <c r="U101" s="982"/>
      <c r="V101" s="982"/>
      <c r="W101" s="982"/>
      <c r="X101" s="982"/>
      <c r="Y101" s="982"/>
      <c r="Z101" s="982"/>
      <c r="AA101" s="982"/>
      <c r="AB101" s="982"/>
      <c r="AC101" s="982"/>
    </row>
    <row r="102" spans="1:29" ht="15">
      <c r="A102" s="1107"/>
      <c r="B102" s="1112"/>
      <c r="C102" s="1120"/>
      <c r="D102" s="1120"/>
      <c r="E102" s="1120"/>
      <c r="F102" s="1120"/>
      <c r="G102" s="1120"/>
      <c r="H102" s="1121"/>
      <c r="I102" s="1121"/>
      <c r="J102" s="1121"/>
      <c r="K102" s="1121"/>
      <c r="L102" s="1121"/>
      <c r="M102" s="1172"/>
      <c r="N102" s="1159"/>
      <c r="O102" s="1159"/>
      <c r="P102" s="1436"/>
      <c r="Q102" s="1440"/>
      <c r="R102" s="982"/>
      <c r="S102" s="982"/>
      <c r="T102" s="982"/>
      <c r="U102" s="982"/>
      <c r="V102" s="982"/>
      <c r="W102" s="982"/>
      <c r="X102" s="982"/>
      <c r="Y102" s="982"/>
      <c r="Z102" s="982"/>
      <c r="AA102" s="982"/>
      <c r="AB102" s="982"/>
      <c r="AC102" s="982"/>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E42">
    <cfRule type="expression" dxfId="46" priority="9" stopIfTrue="1">
      <formula>$F$42="超过30%"</formula>
    </cfRule>
  </conditionalFormatting>
  <conditionalFormatting sqref="G42">
    <cfRule type="expression" dxfId="45" priority="5" stopIfTrue="1">
      <formula>$H$52+$H$42="超过30%"</formula>
    </cfRule>
  </conditionalFormatting>
  <conditionalFormatting sqref="I42">
    <cfRule type="expression" dxfId="44" priority="3" stopIfTrue="1">
      <formula>$J$52+$J$42="超过30%"</formula>
    </cfRule>
  </conditionalFormatting>
  <conditionalFormatting sqref="E43">
    <cfRule type="expression" dxfId="43" priority="7" stopIfTrue="1">
      <formula>$F$43="超过20%"</formula>
    </cfRule>
  </conditionalFormatting>
  <conditionalFormatting sqref="G43">
    <cfRule type="expression" dxfId="42" priority="4" stopIfTrue="1">
      <formula>$H$43="超过20%"</formula>
    </cfRule>
  </conditionalFormatting>
  <conditionalFormatting sqref="I43">
    <cfRule type="expression" dxfId="41" priority="2" stopIfTrue="1">
      <formula>$J$53+$J$43="超过20%"</formula>
    </cfRule>
  </conditionalFormatting>
  <conditionalFormatting sqref="E44">
    <cfRule type="expression" dxfId="40" priority="6" stopIfTrue="1">
      <formula>$F$44="超过30%"</formula>
    </cfRule>
  </conditionalFormatting>
  <conditionalFormatting sqref="F44">
    <cfRule type="containsText" dxfId="39" priority="11" stopIfTrue="1" operator="containsText" text="超过">
      <formula>NOT(ISERROR(SEARCH("超过",F44)))</formula>
    </cfRule>
  </conditionalFormatting>
  <conditionalFormatting sqref="G44">
    <cfRule type="expression" dxfId="38" priority="8" stopIfTrue="1">
      <formula>$H$54+$H$44="超过30%"</formula>
    </cfRule>
  </conditionalFormatting>
  <conditionalFormatting sqref="H44">
    <cfRule type="containsText" dxfId="37" priority="12" stopIfTrue="1" operator="containsText" text="超过">
      <formula>NOT(ISERROR(SEARCH("超过",H44)))</formula>
    </cfRule>
  </conditionalFormatting>
  <conditionalFormatting sqref="I44">
    <cfRule type="expression" dxfId="36" priority="1" stopIfTrue="1">
      <formula>$J$44="超过30%"</formula>
    </cfRule>
  </conditionalFormatting>
  <conditionalFormatting sqref="J44">
    <cfRule type="containsText" dxfId="35" priority="13" stopIfTrue="1" operator="containsText" text="超过">
      <formula>NOT(ISERROR(SEARCH("超过",J44)))</formula>
    </cfRule>
  </conditionalFormatting>
  <conditionalFormatting sqref="F42 H42 J42">
    <cfRule type="containsText" dxfId="34" priority="14" stopIfTrue="1" operator="containsText" text="超过">
      <formula>NOT(ISERROR(SEARCH("超过",F42)))</formula>
    </cfRule>
  </conditionalFormatting>
  <conditionalFormatting sqref="F43 H43 J43">
    <cfRule type="containsText" dxfId="33" priority="10" stopIfTrue="1" operator="containsText" text="超过">
      <formula>NOT(ISERROR(SEARCH("超过",F43)))</formula>
    </cfRule>
  </conditionalFormatting>
  <dataValidations count="19">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833333333333304" right="0.70833333333333304" top="1.0625" bottom="0.94444444444444398" header="0.31458333333333299" footer="0.31458333333333299"/>
  <pageSetup paperSize="9" scale="28" fitToHeight="0" orientation="portrait"/>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zoomScale="80" zoomScaleNormal="80" workbookViewId="0">
      <selection activeCell="A3" sqref="A3:E3"/>
    </sheetView>
  </sheetViews>
  <sheetFormatPr defaultColWidth="9" defaultRowHeight="14.25"/>
  <cols>
    <col min="1" max="1" width="0.875" style="2947" customWidth="1"/>
    <col min="2" max="2" width="37.25" style="2947" customWidth="1"/>
    <col min="3" max="3" width="11.375" style="2947" customWidth="1"/>
    <col min="4" max="4" width="31.75" style="2947" customWidth="1"/>
    <col min="5" max="5" width="0.5" style="2947" customWidth="1"/>
    <col min="6" max="7" width="13" style="2947" customWidth="1"/>
    <col min="8" max="16384" width="9" style="2947"/>
  </cols>
  <sheetData>
    <row r="1" spans="1:5" ht="18.75">
      <c r="A1" s="2948" t="s">
        <v>94</v>
      </c>
      <c r="B1" s="2949"/>
      <c r="C1" s="2949"/>
      <c r="D1" s="2949"/>
      <c r="E1" s="2949"/>
    </row>
    <row r="2" spans="1:5" ht="78" customHeight="1">
      <c r="A2" s="318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87"/>
      <c r="C2" s="3187"/>
      <c r="D2" s="3187"/>
      <c r="E2" s="3187"/>
    </row>
    <row r="3" spans="1:5" ht="18">
      <c r="A3" s="3188" t="str">
        <f>IF(项目基本情况!B9="房地产市场价值","估价结果一览表（市场价值不需“结果表-1”）","估价结果一览表")</f>
        <v>估价结果一览表</v>
      </c>
      <c r="B3" s="3188"/>
      <c r="C3" s="3188"/>
      <c r="D3" s="3188"/>
      <c r="E3" s="3188"/>
    </row>
    <row r="4" spans="1:5" ht="18.75">
      <c r="A4" s="2950"/>
      <c r="B4" s="3189" t="s">
        <v>95</v>
      </c>
      <c r="C4" s="3189"/>
      <c r="D4" s="3189"/>
      <c r="E4" s="2950"/>
    </row>
    <row r="5" spans="1:5" ht="15.75">
      <c r="A5" s="2949"/>
      <c r="B5" s="3181" t="s">
        <v>96</v>
      </c>
      <c r="C5" s="2951" t="s">
        <v>97</v>
      </c>
      <c r="D5" s="2952">
        <f ca="1">结果表!H101</f>
        <v>93418</v>
      </c>
      <c r="E5" s="2949"/>
    </row>
    <row r="6" spans="1:5" ht="15.75">
      <c r="A6" s="2949"/>
      <c r="B6" s="3181"/>
      <c r="C6" s="2951" t="s">
        <v>98</v>
      </c>
      <c r="D6" s="2952" t="str">
        <f ca="1">NUMBERSTRING(INT(D5*10000),2)&amp;"元整"</f>
        <v>玖亿叁仟肆佰壹拾捌万元整</v>
      </c>
      <c r="E6" s="2949"/>
    </row>
    <row r="7" spans="1:5" ht="15.75">
      <c r="A7" s="2949"/>
      <c r="B7" s="3182"/>
      <c r="C7" s="2953" t="s">
        <v>99</v>
      </c>
      <c r="D7" s="2954">
        <f ca="1">结果表!H102</f>
        <v>9448</v>
      </c>
      <c r="E7" s="2949"/>
    </row>
    <row r="8" spans="1:5" ht="15.75">
      <c r="A8" s="2949"/>
      <c r="B8" s="3183" t="str">
        <f>结果表!E103</f>
        <v>2.估价师知悉的法定优先受偿款</v>
      </c>
      <c r="C8" s="2955" t="s">
        <v>100</v>
      </c>
      <c r="D8" s="2954">
        <f>结果表!H103</f>
        <v>0</v>
      </c>
      <c r="E8" s="2949"/>
    </row>
    <row r="9" spans="1:5" ht="15.75">
      <c r="A9" s="2949"/>
      <c r="B9" s="3185"/>
      <c r="C9" s="2951" t="s">
        <v>98</v>
      </c>
      <c r="D9" s="2952" t="str">
        <f>NUMBERSTRING(INT(D8*10000),2)&amp;"元整"</f>
        <v>零元整</v>
      </c>
      <c r="E9" s="2949"/>
    </row>
    <row r="10" spans="1:5" ht="15">
      <c r="A10" s="2949"/>
      <c r="B10" s="2956" t="s">
        <v>101</v>
      </c>
      <c r="C10" s="2957" t="s">
        <v>102</v>
      </c>
      <c r="D10" s="2958">
        <f>结果表!H104</f>
        <v>0</v>
      </c>
      <c r="E10" s="2949"/>
    </row>
    <row r="11" spans="1:5" ht="15">
      <c r="A11" s="2949"/>
      <c r="B11" s="2956" t="s">
        <v>103</v>
      </c>
      <c r="C11" s="2957" t="s">
        <v>102</v>
      </c>
      <c r="D11" s="2958">
        <f>结果表!H105</f>
        <v>0</v>
      </c>
      <c r="E11" s="2949"/>
    </row>
    <row r="12" spans="1:5" ht="15">
      <c r="A12" s="2949"/>
      <c r="B12" s="2956" t="s">
        <v>104</v>
      </c>
      <c r="C12" s="2957" t="s">
        <v>102</v>
      </c>
      <c r="D12" s="2958">
        <f>结果表!H106</f>
        <v>0</v>
      </c>
      <c r="E12" s="2949"/>
    </row>
    <row r="13" spans="1:5" ht="15.75">
      <c r="A13" s="2949"/>
      <c r="B13" s="3180" t="str">
        <f>结果表!E107</f>
        <v>3.房地产抵押价值</v>
      </c>
      <c r="C13" s="2959" t="s">
        <v>97</v>
      </c>
      <c r="D13" s="2960">
        <f ca="1">结果表!H107</f>
        <v>93418</v>
      </c>
      <c r="E13" s="2949"/>
    </row>
    <row r="14" spans="1:5" ht="15.75">
      <c r="A14" s="2949"/>
      <c r="B14" s="3181"/>
      <c r="C14" s="2951" t="s">
        <v>98</v>
      </c>
      <c r="D14" s="2952" t="str">
        <f ca="1">NUMBERSTRING(INT(D13*10000),2)&amp;"元整"</f>
        <v>玖亿叁仟肆佰壹拾捌万元整</v>
      </c>
      <c r="E14" s="2949"/>
    </row>
    <row r="15" spans="1:5" ht="15">
      <c r="A15" s="2949"/>
      <c r="B15" s="3182"/>
      <c r="C15" s="2953" t="s">
        <v>99</v>
      </c>
      <c r="D15" s="2961">
        <f ca="1">结果表!H108</f>
        <v>9448</v>
      </c>
      <c r="E15" s="2949"/>
    </row>
    <row r="16" spans="1:5" ht="15">
      <c r="A16" s="2949"/>
      <c r="B16" s="3183" t="str">
        <f>结果表!E109</f>
        <v>4.抵押担保权已注销时的房地产抵押价值</v>
      </c>
      <c r="C16" s="2959" t="s">
        <v>97</v>
      </c>
      <c r="D16" s="2962">
        <f ca="1">结果表!H109</f>
        <v>93418</v>
      </c>
      <c r="E16" s="2949"/>
    </row>
    <row r="17" spans="1:5" ht="15.75">
      <c r="A17" s="2949"/>
      <c r="B17" s="3184"/>
      <c r="C17" s="2951" t="s">
        <v>98</v>
      </c>
      <c r="D17" s="2952" t="str">
        <f ca="1">NUMBERSTRING(INT(D16*10000),2)&amp;"元整"</f>
        <v>玖亿叁仟肆佰壹拾捌万元整</v>
      </c>
      <c r="E17" s="2949"/>
    </row>
    <row r="18" spans="1:5" ht="15">
      <c r="A18" s="2949"/>
      <c r="B18" s="3185"/>
      <c r="C18" s="2953" t="s">
        <v>99</v>
      </c>
      <c r="D18" s="2961">
        <f ca="1">结果表!H110</f>
        <v>9448</v>
      </c>
      <c r="E18" s="2949"/>
    </row>
    <row r="19" spans="1:5" ht="15.75">
      <c r="A19" s="2949"/>
      <c r="B19" s="3180" t="str">
        <f>结果表!E111</f>
        <v>——</v>
      </c>
      <c r="C19" s="2959" t="s">
        <v>97</v>
      </c>
      <c r="D19" s="2954" t="str">
        <f>结果表!H111</f>
        <v>——</v>
      </c>
      <c r="E19" s="2949"/>
    </row>
    <row r="20" spans="1:5" ht="15.75">
      <c r="A20" s="2949"/>
      <c r="B20" s="3181"/>
      <c r="C20" s="2951" t="s">
        <v>98</v>
      </c>
      <c r="D20" s="2952" t="e">
        <f>NUMBERSTRING(INT(D19*10000),2)&amp;"元整"</f>
        <v>#VALUE!</v>
      </c>
      <c r="E20" s="2949"/>
    </row>
    <row r="21" spans="1:5" ht="15">
      <c r="A21" s="2949"/>
      <c r="B21" s="3186"/>
      <c r="C21" s="2963" t="s">
        <v>99</v>
      </c>
      <c r="D21" s="2964" t="str">
        <f>结果表!H112</f>
        <v>——</v>
      </c>
      <c r="E21" s="2949"/>
    </row>
    <row r="22" spans="1:5">
      <c r="A22" s="2949"/>
      <c r="B22" s="2965" t="s">
        <v>105</v>
      </c>
      <c r="C22" s="2949"/>
      <c r="D22" s="2949"/>
      <c r="E22" s="2949"/>
    </row>
    <row r="23" spans="1:5">
      <c r="A23" s="2949"/>
      <c r="B23" s="2949"/>
      <c r="C23" s="2949"/>
      <c r="D23" s="2949"/>
      <c r="E23" s="2949"/>
    </row>
    <row r="24" spans="1:5" ht="18.75">
      <c r="A24" s="2966"/>
      <c r="B24" s="2967" t="s">
        <v>106</v>
      </c>
      <c r="C24" s="2966"/>
      <c r="D24" s="2966"/>
      <c r="E24" s="2966"/>
    </row>
    <row r="25" spans="1:5">
      <c r="A25" s="2966"/>
      <c r="B25" s="2966"/>
      <c r="C25" s="2966"/>
      <c r="D25" s="2966"/>
      <c r="E25" s="2966"/>
    </row>
    <row r="26" spans="1:5">
      <c r="A26" s="2966"/>
      <c r="B26" s="2966"/>
      <c r="C26" s="2966"/>
      <c r="D26" s="2966"/>
      <c r="E26" s="2966"/>
    </row>
    <row r="27" spans="1:5">
      <c r="A27" s="2966"/>
      <c r="B27" s="2966"/>
      <c r="C27" s="2966"/>
      <c r="D27" s="2966"/>
      <c r="E27" s="2966"/>
    </row>
    <row r="28" spans="1:5">
      <c r="A28" s="2966"/>
      <c r="B28" s="2966"/>
      <c r="C28" s="2966"/>
      <c r="D28" s="2966"/>
      <c r="E28" s="2966"/>
    </row>
    <row r="29" spans="1:5">
      <c r="A29" s="2966"/>
      <c r="B29" s="2966"/>
      <c r="C29" s="2966"/>
      <c r="D29" s="2966"/>
      <c r="E29" s="2966"/>
    </row>
    <row r="30" spans="1:5">
      <c r="A30" s="2966"/>
      <c r="B30" s="2966"/>
      <c r="C30" s="2966"/>
      <c r="D30" s="2966"/>
      <c r="E30" s="2966"/>
    </row>
    <row r="31" spans="1:5">
      <c r="A31" s="2966"/>
      <c r="B31" s="2966"/>
      <c r="C31" s="2966"/>
      <c r="D31" s="2966"/>
      <c r="E31" s="2966"/>
    </row>
    <row r="32" spans="1:5">
      <c r="A32" s="2966"/>
      <c r="B32" s="2966"/>
      <c r="C32" s="2966"/>
      <c r="D32" s="2966"/>
      <c r="E32" s="2966"/>
    </row>
    <row r="33" spans="1:5">
      <c r="A33" s="2966"/>
      <c r="B33" s="2966"/>
      <c r="C33" s="2966"/>
      <c r="D33" s="2966"/>
      <c r="E33" s="2966"/>
    </row>
    <row r="34" spans="1:5">
      <c r="A34" s="2966"/>
      <c r="B34" s="2966"/>
      <c r="C34" s="2966"/>
      <c r="D34" s="2966"/>
      <c r="E34" s="2966"/>
    </row>
    <row r="35" spans="1:5">
      <c r="A35" s="2966"/>
      <c r="B35" s="2966"/>
      <c r="C35" s="2966"/>
      <c r="D35" s="2966"/>
      <c r="E35" s="2966"/>
    </row>
    <row r="36" spans="1:5">
      <c r="A36" s="2966"/>
      <c r="B36" s="2966"/>
      <c r="C36" s="2966"/>
      <c r="D36" s="2966"/>
      <c r="E36" s="2966"/>
    </row>
    <row r="37" spans="1:5">
      <c r="A37" s="2966"/>
      <c r="B37" s="2966"/>
      <c r="C37" s="2966"/>
      <c r="D37" s="2966"/>
      <c r="E37" s="2966"/>
    </row>
    <row r="38" spans="1:5">
      <c r="A38" s="2966"/>
      <c r="B38" s="2966"/>
      <c r="C38" s="2966"/>
      <c r="D38" s="2966"/>
      <c r="E38" s="2966"/>
    </row>
    <row r="39" spans="1:5">
      <c r="A39" s="2966"/>
      <c r="B39" s="2966"/>
      <c r="C39" s="2966"/>
      <c r="D39" s="2966"/>
      <c r="E39" s="2966"/>
    </row>
    <row r="40" spans="1:5">
      <c r="A40" s="2966"/>
      <c r="B40" s="2966"/>
      <c r="C40" s="2966"/>
      <c r="D40" s="2966"/>
      <c r="E40" s="2966"/>
    </row>
    <row r="41" spans="1:5">
      <c r="A41" s="2966"/>
      <c r="B41" s="2966"/>
      <c r="C41" s="2966"/>
      <c r="D41" s="2966"/>
      <c r="E41" s="2966"/>
    </row>
    <row r="42" spans="1:5">
      <c r="A42" s="2966"/>
      <c r="B42" s="2966"/>
      <c r="C42" s="2966"/>
      <c r="D42" s="2966"/>
      <c r="E42" s="2966"/>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5" type="noConversion"/>
  <printOptions horizontalCentered="1"/>
  <pageMargins left="0.98402777777777795" right="0.78680555555555598" top="0.98402777777777795" bottom="0.98402777777777795" header="0.59027777777777801" footer="0.78680555555555598"/>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41"/>
  <sheetViews>
    <sheetView zoomScale="89" zoomScaleNormal="89" workbookViewId="0">
      <selection sqref="A1:XFD1048576"/>
    </sheetView>
  </sheetViews>
  <sheetFormatPr defaultColWidth="9" defaultRowHeight="14.25"/>
  <cols>
    <col min="1" max="1" width="10.5" style="872" customWidth="1"/>
    <col min="2" max="2" width="15.75" style="872" customWidth="1"/>
    <col min="3" max="3" width="14.375" style="872" customWidth="1"/>
    <col min="4" max="4" width="12.25" style="872" customWidth="1"/>
    <col min="5" max="5" width="14.375" style="872" customWidth="1"/>
    <col min="6" max="6" width="12.25" style="872" customWidth="1"/>
    <col min="7" max="7" width="14.5" style="872" customWidth="1"/>
    <col min="8" max="8" width="12.25" style="872" customWidth="1"/>
    <col min="9" max="9" width="14.5" style="872" customWidth="1"/>
    <col min="10" max="10" width="12.25" style="872" customWidth="1"/>
    <col min="11" max="11" width="12.25" style="873" customWidth="1"/>
    <col min="12" max="12" width="12.25" style="874" customWidth="1"/>
    <col min="13" max="15" width="12.25" style="872" customWidth="1"/>
    <col min="16" max="16" width="4.75" style="872" customWidth="1"/>
    <col min="17" max="17" width="19.5" style="872" customWidth="1"/>
    <col min="18" max="22" width="6.125" style="872" customWidth="1"/>
    <col min="23" max="23" width="5.75" style="872" customWidth="1"/>
    <col min="24" max="24" width="4.25" style="872" customWidth="1"/>
    <col min="25" max="25" width="3.5" style="872" customWidth="1"/>
    <col min="26" max="26" width="19.75" style="872" customWidth="1"/>
    <col min="27" max="28" width="9.375" style="872" customWidth="1"/>
    <col min="29" max="16384" width="9" style="872"/>
  </cols>
  <sheetData>
    <row r="1" spans="1:29" s="1312" customFormat="1" ht="28.5" customHeight="1">
      <c r="A1" s="1313" t="s">
        <v>1427</v>
      </c>
      <c r="B1" s="1314"/>
      <c r="C1" s="1315" t="s">
        <v>1317</v>
      </c>
      <c r="D1" s="1316"/>
      <c r="E1" s="1317"/>
      <c r="F1" s="1318"/>
      <c r="G1" s="1319" t="s">
        <v>1319</v>
      </c>
      <c r="H1" s="1317"/>
      <c r="I1" s="1317"/>
      <c r="J1" s="1317"/>
      <c r="K1" s="1370"/>
      <c r="L1" s="1371"/>
      <c r="M1" s="1372"/>
      <c r="N1" s="1372"/>
      <c r="O1" s="1372"/>
      <c r="P1" s="1315"/>
      <c r="Q1" s="1315"/>
      <c r="R1" s="1315"/>
      <c r="S1" s="1315"/>
      <c r="T1" s="1315"/>
      <c r="U1" s="1315"/>
      <c r="V1" s="1315"/>
      <c r="W1" s="1315"/>
      <c r="X1" s="1315"/>
      <c r="Y1" s="1315"/>
      <c r="Z1" s="1315"/>
      <c r="AA1" s="1315"/>
      <c r="AB1" s="1315"/>
      <c r="AC1" s="1378"/>
    </row>
    <row r="2" spans="1:29" s="865" customFormat="1" ht="28.5" customHeight="1">
      <c r="A2" s="1320" t="s">
        <v>895</v>
      </c>
      <c r="B2" s="1321" t="e">
        <f ca="1">IF(C2="——",ROUND(C37*D3/10000,0),ROUND(C37*D3/10000,0)-D2)</f>
        <v>#DIV/0!</v>
      </c>
      <c r="C2" s="1322"/>
      <c r="D2" s="1281" t="e">
        <f ca="1">SUMIF(INDIRECT("'"&amp;F2&amp;"'"&amp;"!A:A"),"承租人权益价值",INDIRECT("'"&amp;F2&amp;"'"&amp;"!c:c"))</f>
        <v>#REF!</v>
      </c>
      <c r="E2" s="1323" t="s">
        <v>896</v>
      </c>
      <c r="F2" s="1324"/>
      <c r="G2" s="881"/>
      <c r="H2" s="881"/>
      <c r="I2" s="881"/>
      <c r="J2" s="881"/>
      <c r="K2" s="1024"/>
      <c r="L2" s="1025"/>
      <c r="M2" s="1026"/>
      <c r="N2" s="1026"/>
      <c r="O2" s="1026"/>
      <c r="P2" s="1023"/>
      <c r="Q2" s="1023"/>
      <c r="R2" s="1023"/>
      <c r="S2" s="1023"/>
      <c r="T2" s="1023"/>
      <c r="U2" s="1023"/>
      <c r="V2" s="1023"/>
      <c r="W2" s="1023"/>
      <c r="X2" s="1023"/>
      <c r="Y2" s="1023"/>
      <c r="Z2" s="1023"/>
      <c r="AA2" s="1023"/>
      <c r="AB2" s="1023"/>
      <c r="AC2" s="1081"/>
    </row>
    <row r="3" spans="1:29" s="865" customFormat="1" ht="28.5" customHeight="1">
      <c r="A3" s="147" t="s">
        <v>897</v>
      </c>
      <c r="B3" s="883" t="e">
        <f ca="1">IF(C2="——",C37,ROUND(B2*10000/D3,0))</f>
        <v>#DIV/0!</v>
      </c>
      <c r="C3" s="1325" t="s">
        <v>1320</v>
      </c>
      <c r="D3" s="1326">
        <f>SUMIF('数据-汇总表'!$C19:$C33,D1,'数据-汇总表'!$E19:$E33)</f>
        <v>0</v>
      </c>
      <c r="E3" s="881"/>
      <c r="F3" s="882"/>
      <c r="G3" s="881"/>
      <c r="H3" s="881"/>
      <c r="I3" s="881"/>
      <c r="J3" s="881"/>
      <c r="K3" s="1024"/>
      <c r="L3" s="1025"/>
      <c r="M3" s="1026"/>
      <c r="N3" s="1026"/>
      <c r="O3" s="1026"/>
      <c r="P3" s="1023"/>
      <c r="Q3" s="1023"/>
      <c r="R3" s="1023"/>
      <c r="S3" s="1023"/>
      <c r="T3" s="1023"/>
      <c r="U3" s="1023"/>
      <c r="V3" s="1023"/>
      <c r="W3" s="1023"/>
      <c r="X3" s="1023"/>
      <c r="Y3" s="1023"/>
      <c r="Z3" s="1023"/>
      <c r="AA3" s="1023"/>
      <c r="AB3" s="1082"/>
      <c r="AC3" s="1083"/>
    </row>
    <row r="4" spans="1:29" ht="15">
      <c r="A4" s="885" t="s">
        <v>1321</v>
      </c>
      <c r="B4" s="886"/>
      <c r="C4" s="3457" t="s">
        <v>1322</v>
      </c>
      <c r="D4" s="3458"/>
      <c r="E4" s="3459" t="s">
        <v>1323</v>
      </c>
      <c r="F4" s="3460"/>
      <c r="G4" s="3457" t="s">
        <v>1324</v>
      </c>
      <c r="H4" s="3458"/>
      <c r="I4" s="3457" t="s">
        <v>1325</v>
      </c>
      <c r="J4" s="3458"/>
      <c r="K4" s="1027" t="s">
        <v>1326</v>
      </c>
      <c r="L4" s="1028"/>
      <c r="M4" s="1029"/>
      <c r="N4" s="1029"/>
      <c r="O4" s="1029"/>
      <c r="P4" s="3487" t="s">
        <v>1327</v>
      </c>
      <c r="Q4" s="3488"/>
      <c r="R4" s="3493" t="s">
        <v>1323</v>
      </c>
      <c r="S4" s="3494"/>
      <c r="T4" s="3493" t="s">
        <v>1324</v>
      </c>
      <c r="U4" s="3494"/>
      <c r="V4" s="3481" t="s">
        <v>1325</v>
      </c>
      <c r="W4" s="3481"/>
      <c r="X4" s="1069"/>
      <c r="Y4" s="3493" t="s">
        <v>1327</v>
      </c>
      <c r="Z4" s="3494"/>
      <c r="AA4" s="3482" t="s">
        <v>1323</v>
      </c>
      <c r="AB4" s="3483" t="s">
        <v>1324</v>
      </c>
      <c r="AC4" s="3482" t="s">
        <v>1325</v>
      </c>
    </row>
    <row r="5" spans="1:29" ht="15">
      <c r="A5" s="887"/>
      <c r="B5" s="888"/>
      <c r="C5" s="3461" t="s">
        <v>1328</v>
      </c>
      <c r="D5" s="3462"/>
      <c r="E5" s="3531" t="s">
        <v>1329</v>
      </c>
      <c r="F5" s="3532"/>
      <c r="G5" s="3461" t="s">
        <v>1330</v>
      </c>
      <c r="H5" s="3462"/>
      <c r="I5" s="3461" t="s">
        <v>1331</v>
      </c>
      <c r="J5" s="3462"/>
      <c r="K5" s="1027"/>
      <c r="L5" s="1028"/>
      <c r="M5" s="1029"/>
      <c r="N5" s="1029"/>
      <c r="O5" s="1029"/>
      <c r="P5" s="3489"/>
      <c r="Q5" s="3490"/>
      <c r="R5" s="3495"/>
      <c r="S5" s="3496"/>
      <c r="T5" s="3495"/>
      <c r="U5" s="3496"/>
      <c r="V5" s="3481"/>
      <c r="W5" s="3481"/>
      <c r="X5" s="1069"/>
      <c r="Y5" s="3495"/>
      <c r="Z5" s="3496"/>
      <c r="AA5" s="3483"/>
      <c r="AB5" s="3483"/>
      <c r="AC5" s="3483"/>
    </row>
    <row r="6" spans="1:29" ht="15">
      <c r="A6" s="889"/>
      <c r="B6" s="890"/>
      <c r="C6" s="3464" t="s">
        <v>1332</v>
      </c>
      <c r="D6" s="3465"/>
      <c r="E6" s="3533" t="s">
        <v>1332</v>
      </c>
      <c r="F6" s="3534"/>
      <c r="G6" s="3464" t="s">
        <v>1332</v>
      </c>
      <c r="H6" s="3465"/>
      <c r="I6" s="3464" t="s">
        <v>1332</v>
      </c>
      <c r="J6" s="3465"/>
      <c r="K6" s="1027" t="s">
        <v>1333</v>
      </c>
      <c r="L6" s="1028"/>
      <c r="M6" s="1029"/>
      <c r="N6" s="1029"/>
      <c r="O6" s="1029"/>
      <c r="P6" s="3491"/>
      <c r="Q6" s="3492"/>
      <c r="R6" s="3495"/>
      <c r="S6" s="3496"/>
      <c r="T6" s="3497"/>
      <c r="U6" s="3498"/>
      <c r="V6" s="3481"/>
      <c r="W6" s="3481"/>
      <c r="X6" s="1069"/>
      <c r="Y6" s="3497"/>
      <c r="Z6" s="3498"/>
      <c r="AA6" s="3484"/>
      <c r="AB6" s="3484"/>
      <c r="AC6" s="3484"/>
    </row>
    <row r="7" spans="1:29" s="866" customFormat="1" ht="15">
      <c r="A7" s="891" t="s">
        <v>1334</v>
      </c>
      <c r="B7" s="892"/>
      <c r="C7" s="893">
        <f>'数据-取费表'!B2</f>
        <v>43361</v>
      </c>
      <c r="D7" s="894">
        <v>100</v>
      </c>
      <c r="E7" s="895"/>
      <c r="F7" s="896">
        <f>SUMIF(46:46,YEAR(E7)&amp;"-"&amp;MONTH(E7),47:47)</f>
        <v>0</v>
      </c>
      <c r="G7" s="897"/>
      <c r="H7" s="894">
        <f>SUMIF(46:46,YEAR(G7)&amp;"-"&amp;MONTH(G7),47:47)</f>
        <v>0</v>
      </c>
      <c r="I7" s="895"/>
      <c r="J7" s="894">
        <f>SUMIF(46:46,YEAR(I7)&amp;"-"&amp;MONTH(I7),47:47)</f>
        <v>0</v>
      </c>
      <c r="K7" s="1030"/>
      <c r="L7" s="1031"/>
      <c r="M7" s="1032"/>
      <c r="N7" s="1032"/>
      <c r="O7" s="1032"/>
      <c r="P7" s="3469" t="s">
        <v>1335</v>
      </c>
      <c r="Q7" s="3470"/>
      <c r="R7" s="1070" t="s">
        <v>1336</v>
      </c>
      <c r="S7" s="1071">
        <f t="shared" ref="S7:S14" si="0">F7</f>
        <v>0</v>
      </c>
      <c r="T7" s="1070" t="s">
        <v>1336</v>
      </c>
      <c r="U7" s="1071">
        <f t="shared" ref="U7:U14" si="1">H7</f>
        <v>0</v>
      </c>
      <c r="V7" s="1070" t="s">
        <v>1336</v>
      </c>
      <c r="W7" s="1071">
        <f t="shared" ref="W7:W14" si="2">J7</f>
        <v>0</v>
      </c>
      <c r="X7" s="1072"/>
      <c r="Y7" s="3469" t="s">
        <v>1335</v>
      </c>
      <c r="Z7" s="3499"/>
      <c r="AA7" s="1084" t="e">
        <f>D7/F7</f>
        <v>#DIV/0!</v>
      </c>
      <c r="AB7" s="1084" t="e">
        <f>D7/H7</f>
        <v>#DIV/0!</v>
      </c>
      <c r="AC7" s="1084" t="e">
        <f>D7/J7</f>
        <v>#DIV/0!</v>
      </c>
    </row>
    <row r="8" spans="1:29" s="866" customFormat="1" ht="15">
      <c r="A8" s="891" t="s">
        <v>1337</v>
      </c>
      <c r="B8" s="892"/>
      <c r="C8" s="898" t="s">
        <v>1338</v>
      </c>
      <c r="D8" s="894">
        <v>100</v>
      </c>
      <c r="E8" s="898"/>
      <c r="F8" s="896">
        <f>SUMIF(49:49,E8,50:50)-SUMIF(49:49,C8,50:50)+100</f>
        <v>0</v>
      </c>
      <c r="G8" s="898"/>
      <c r="H8" s="894">
        <f>SUMIF(49:49,G8,50:50)-SUMIF(49:49,C8,50:50)+100</f>
        <v>0</v>
      </c>
      <c r="I8" s="898"/>
      <c r="J8" s="894">
        <f>SUMIF(49:49,I8,50:50)-SUMIF(49:49,C8,50:50)+100</f>
        <v>0</v>
      </c>
      <c r="K8" s="1030"/>
      <c r="L8" s="1031"/>
      <c r="M8" s="1032"/>
      <c r="N8" s="1032"/>
      <c r="O8" s="1032"/>
      <c r="P8" s="3469" t="s">
        <v>1339</v>
      </c>
      <c r="Q8" s="3499"/>
      <c r="R8" s="1070" t="s">
        <v>1336</v>
      </c>
      <c r="S8" s="1071">
        <f t="shared" si="0"/>
        <v>0</v>
      </c>
      <c r="T8" s="1070" t="s">
        <v>1336</v>
      </c>
      <c r="U8" s="1071">
        <f t="shared" si="1"/>
        <v>0</v>
      </c>
      <c r="V8" s="1070" t="s">
        <v>1336</v>
      </c>
      <c r="W8" s="1071">
        <f t="shared" si="2"/>
        <v>0</v>
      </c>
      <c r="X8" s="1072"/>
      <c r="Y8" s="3469" t="s">
        <v>1339</v>
      </c>
      <c r="Z8" s="3499"/>
      <c r="AA8" s="1084" t="e">
        <f t="shared" ref="AA8:AA34" si="3">D8/F8</f>
        <v>#DIV/0!</v>
      </c>
      <c r="AB8" s="1084" t="e">
        <f t="shared" ref="AB8:AB34" si="4">D8/H8</f>
        <v>#DIV/0!</v>
      </c>
      <c r="AC8" s="1084" t="e">
        <f t="shared" ref="AC8:AC34" si="5">D8/J8</f>
        <v>#DIV/0!</v>
      </c>
    </row>
    <row r="9" spans="1:29" s="866" customFormat="1">
      <c r="A9" s="899" t="s">
        <v>1340</v>
      </c>
      <c r="B9" s="900" t="s">
        <v>346</v>
      </c>
      <c r="C9" s="1327"/>
      <c r="D9" s="902">
        <v>100</v>
      </c>
      <c r="E9" s="1328"/>
      <c r="F9" s="1329">
        <f>SUMIF(51:51,E9,52:52)-SUMIF(51:51,C9,52:52)+100</f>
        <v>100</v>
      </c>
      <c r="G9" s="1328"/>
      <c r="H9" s="902">
        <f>SUMIF(51:51,G9,52:52)-SUMIF(51:51,C9,52:52)+100</f>
        <v>100</v>
      </c>
      <c r="I9" s="1328"/>
      <c r="J9" s="902">
        <f>SUMIF(51:51,I9,52:52)-SUMIF(51:51,C9,52:52)+100</f>
        <v>100</v>
      </c>
      <c r="K9" s="1030"/>
      <c r="L9" s="1031"/>
      <c r="M9" s="1032"/>
      <c r="N9" s="1032"/>
      <c r="O9" s="1033"/>
      <c r="P9" s="3472" t="s">
        <v>1341</v>
      </c>
      <c r="Q9" s="1074" t="str">
        <f t="shared" ref="Q9:Q14" si="6">B9</f>
        <v>用途</v>
      </c>
      <c r="R9" s="1070" t="s">
        <v>1336</v>
      </c>
      <c r="S9" s="1071">
        <f t="shared" si="0"/>
        <v>100</v>
      </c>
      <c r="T9" s="1070" t="s">
        <v>1336</v>
      </c>
      <c r="U9" s="1071">
        <f t="shared" si="1"/>
        <v>100</v>
      </c>
      <c r="V9" s="1070" t="s">
        <v>1336</v>
      </c>
      <c r="W9" s="1071">
        <f t="shared" si="2"/>
        <v>100</v>
      </c>
      <c r="X9" s="1072"/>
      <c r="Y9" s="3245" t="s">
        <v>1342</v>
      </c>
      <c r="Z9" s="1085" t="str">
        <f t="shared" ref="Z9:Z14" si="7">Q9</f>
        <v>用途</v>
      </c>
      <c r="AA9" s="1084">
        <f t="shared" si="3"/>
        <v>1</v>
      </c>
      <c r="AB9" s="1084">
        <f t="shared" si="4"/>
        <v>1</v>
      </c>
      <c r="AC9" s="1084">
        <f t="shared" si="5"/>
        <v>1</v>
      </c>
    </row>
    <row r="10" spans="1:29" s="867" customFormat="1" ht="27">
      <c r="A10" s="903"/>
      <c r="B10" s="904" t="s">
        <v>1343</v>
      </c>
      <c r="C10" s="1330"/>
      <c r="D10" s="906">
        <v>100</v>
      </c>
      <c r="E10" s="1330"/>
      <c r="F10" s="1331">
        <f>SUMIF(53:53,E10,54:54)-SUMIF(53:53,C10,54:54)+100</f>
        <v>100</v>
      </c>
      <c r="G10" s="1330"/>
      <c r="H10" s="906">
        <f>SUMIF(53:53,G10,54:54)-SUMIF(53:53,C10,54:54)+100</f>
        <v>100</v>
      </c>
      <c r="I10" s="1330"/>
      <c r="J10" s="906">
        <f>SUMIF(53:53,I10,54:54)-SUMIF(53:53,C10,54:54)+100</f>
        <v>100</v>
      </c>
      <c r="K10" s="1047"/>
      <c r="L10" s="1035"/>
      <c r="M10" s="1036"/>
      <c r="N10" s="1036"/>
      <c r="O10" s="1037"/>
      <c r="P10" s="3472"/>
      <c r="Q10" s="1074" t="str">
        <f t="shared" si="6"/>
        <v>土地使用年限（年）</v>
      </c>
      <c r="R10" s="1070" t="s">
        <v>1336</v>
      </c>
      <c r="S10" s="1071">
        <f t="shared" si="0"/>
        <v>100</v>
      </c>
      <c r="T10" s="1070" t="s">
        <v>1336</v>
      </c>
      <c r="U10" s="1071">
        <f t="shared" si="1"/>
        <v>100</v>
      </c>
      <c r="V10" s="1070" t="s">
        <v>1336</v>
      </c>
      <c r="W10" s="1071">
        <f t="shared" si="2"/>
        <v>100</v>
      </c>
      <c r="X10" s="1072"/>
      <c r="Y10" s="3245"/>
      <c r="Z10" s="1085" t="str">
        <f t="shared" si="7"/>
        <v>土地使用年限（年）</v>
      </c>
      <c r="AA10" s="1084">
        <f t="shared" si="3"/>
        <v>1</v>
      </c>
      <c r="AB10" s="1084">
        <f t="shared" si="4"/>
        <v>1</v>
      </c>
      <c r="AC10" s="1084">
        <f t="shared" si="5"/>
        <v>1</v>
      </c>
    </row>
    <row r="11" spans="1:29" ht="15">
      <c r="A11" s="907"/>
      <c r="B11" s="911">
        <v>111</v>
      </c>
      <c r="C11" s="905"/>
      <c r="D11" s="906">
        <v>100</v>
      </c>
      <c r="E11" s="1332"/>
      <c r="F11" s="1331">
        <f>SUMIF(55:55,E11,56:56)-SUMIF(55:55,C11,56:56)+100</f>
        <v>100</v>
      </c>
      <c r="G11" s="1332"/>
      <c r="H11" s="906">
        <f>SUMIF(55:55,G11,56:56)-SUMIF(55:55,C11,56:56)+100</f>
        <v>100</v>
      </c>
      <c r="I11" s="1332"/>
      <c r="J11" s="906">
        <f>SUMIF(55:55,I11,56:56)-SUMIF(55:55,C11,56:56)+100</f>
        <v>100</v>
      </c>
      <c r="K11" s="1046"/>
      <c r="L11" s="1039"/>
      <c r="M11" s="1029"/>
      <c r="N11" s="1029"/>
      <c r="O11" s="1040"/>
      <c r="P11" s="3472"/>
      <c r="Q11" s="1074">
        <f t="shared" si="6"/>
        <v>111</v>
      </c>
      <c r="R11" s="1070" t="s">
        <v>1336</v>
      </c>
      <c r="S11" s="1071">
        <f t="shared" si="0"/>
        <v>100</v>
      </c>
      <c r="T11" s="1070" t="s">
        <v>1336</v>
      </c>
      <c r="U11" s="1071">
        <f t="shared" si="1"/>
        <v>100</v>
      </c>
      <c r="V11" s="1070" t="s">
        <v>1336</v>
      </c>
      <c r="W11" s="1071">
        <f t="shared" si="2"/>
        <v>100</v>
      </c>
      <c r="X11" s="1072"/>
      <c r="Y11" s="3245"/>
      <c r="Z11" s="1085">
        <f t="shared" si="7"/>
        <v>111</v>
      </c>
      <c r="AA11" s="1084">
        <f t="shared" si="3"/>
        <v>1</v>
      </c>
      <c r="AB11" s="1084">
        <f t="shared" si="4"/>
        <v>1</v>
      </c>
      <c r="AC11" s="1084">
        <f t="shared" si="5"/>
        <v>1</v>
      </c>
    </row>
    <row r="12" spans="1:29" s="866" customFormat="1" ht="15">
      <c r="A12" s="910"/>
      <c r="B12" s="911">
        <v>111</v>
      </c>
      <c r="C12" s="905"/>
      <c r="D12" s="912">
        <v>100</v>
      </c>
      <c r="E12" s="1332"/>
      <c r="F12" s="1331">
        <f>SUMIF(57:57,E12,58:58)-SUMIF(57:57,C12,58:58)+100</f>
        <v>100</v>
      </c>
      <c r="G12" s="1332"/>
      <c r="H12" s="906">
        <f>SUMIF(57:57,G12,58:58)-SUMIF(57:57,C12,58:58)+100</f>
        <v>100</v>
      </c>
      <c r="I12" s="1332"/>
      <c r="J12" s="906">
        <f>SUMIF(57:57,I12,58:58)-SUMIF(57:57,C12,58:58)+100</f>
        <v>100</v>
      </c>
      <c r="K12" s="1046"/>
      <c r="L12" s="1031"/>
      <c r="M12" s="1032"/>
      <c r="N12" s="1032"/>
      <c r="O12" s="1033"/>
      <c r="P12" s="3472"/>
      <c r="Q12" s="1074">
        <f t="shared" si="6"/>
        <v>111</v>
      </c>
      <c r="R12" s="1070" t="s">
        <v>1336</v>
      </c>
      <c r="S12" s="1071">
        <f t="shared" si="0"/>
        <v>100</v>
      </c>
      <c r="T12" s="1070" t="s">
        <v>1336</v>
      </c>
      <c r="U12" s="1071">
        <f t="shared" si="1"/>
        <v>100</v>
      </c>
      <c r="V12" s="1070" t="s">
        <v>1336</v>
      </c>
      <c r="W12" s="1071">
        <f t="shared" si="2"/>
        <v>100</v>
      </c>
      <c r="X12" s="1072"/>
      <c r="Y12" s="3245"/>
      <c r="Z12" s="1085">
        <f t="shared" si="7"/>
        <v>111</v>
      </c>
      <c r="AA12" s="1084">
        <f t="shared" si="3"/>
        <v>1</v>
      </c>
      <c r="AB12" s="1084">
        <f t="shared" si="4"/>
        <v>1</v>
      </c>
      <c r="AC12" s="1084">
        <f t="shared" si="5"/>
        <v>1</v>
      </c>
    </row>
    <row r="13" spans="1:29" ht="15">
      <c r="A13" s="907"/>
      <c r="B13" s="911">
        <v>111</v>
      </c>
      <c r="C13" s="915"/>
      <c r="D13" s="916">
        <v>100</v>
      </c>
      <c r="E13" s="1332"/>
      <c r="F13" s="1331">
        <f>SUMIF(59:59,E13,60:60)-SUMIF(59:59,C13,60:60)+100</f>
        <v>100</v>
      </c>
      <c r="G13" s="1333"/>
      <c r="H13" s="920">
        <f>SUMIF(59:59,G13,60:60)-SUMIF(59:59,C13,60:60)+100</f>
        <v>100</v>
      </c>
      <c r="I13" s="1332"/>
      <c r="J13" s="916">
        <f>SUMIF(59:59,I13,60:60)-SUMIF(59:59,C13,60:60)+100</f>
        <v>100</v>
      </c>
      <c r="K13" s="1046"/>
      <c r="L13" s="1041"/>
      <c r="M13" s="1029"/>
      <c r="N13" s="1029"/>
      <c r="O13" s="1040"/>
      <c r="P13" s="3472"/>
      <c r="Q13" s="1074">
        <f t="shared" si="6"/>
        <v>111</v>
      </c>
      <c r="R13" s="1070" t="s">
        <v>1336</v>
      </c>
      <c r="S13" s="1071">
        <f t="shared" si="0"/>
        <v>100</v>
      </c>
      <c r="T13" s="1070" t="s">
        <v>1336</v>
      </c>
      <c r="U13" s="1071">
        <f t="shared" si="1"/>
        <v>100</v>
      </c>
      <c r="V13" s="1070" t="s">
        <v>1336</v>
      </c>
      <c r="W13" s="1071">
        <f t="shared" si="2"/>
        <v>100</v>
      </c>
      <c r="X13" s="1072"/>
      <c r="Y13" s="3245"/>
      <c r="Z13" s="1085">
        <f t="shared" si="7"/>
        <v>111</v>
      </c>
      <c r="AA13" s="1084">
        <f t="shared" si="3"/>
        <v>1</v>
      </c>
      <c r="AB13" s="1084">
        <f t="shared" si="4"/>
        <v>1</v>
      </c>
      <c r="AC13" s="1084">
        <f t="shared" si="5"/>
        <v>1</v>
      </c>
    </row>
    <row r="14" spans="1:29" ht="85.5">
      <c r="A14" s="921" t="s">
        <v>1345</v>
      </c>
      <c r="B14" s="1284" t="s">
        <v>648</v>
      </c>
      <c r="C14" s="923" t="str">
        <f>IF(B1="工业",估价对象房地状况!G4,估价对象房地状况!C6)</f>
        <v>估价对象周边道路状况、公共交通通达情况、停车便捷程度，综合评价交通便捷度较好</v>
      </c>
      <c r="D14" s="924">
        <v>100</v>
      </c>
      <c r="E14" s="925"/>
      <c r="F14" s="1334">
        <f>SUMIF(61:61,E15,62:62)-SUMIF(61:61,C15,62:62)+100</f>
        <v>100</v>
      </c>
      <c r="G14" s="1042"/>
      <c r="H14" s="924">
        <f>SUMIF(61:61,G15,62:62)-SUMIF(61:61,C15,62:62)+100</f>
        <v>100</v>
      </c>
      <c r="I14" s="925"/>
      <c r="J14" s="924">
        <f>SUMIF(61:61,I15,62:62)-SUMIF(61:61,C15,62:62)+100</f>
        <v>100</v>
      </c>
      <c r="K14" s="1373"/>
      <c r="L14" s="1041"/>
      <c r="M14" s="1029"/>
      <c r="N14" s="1029"/>
      <c r="O14" s="1040"/>
      <c r="P14" s="3473" t="s">
        <v>1346</v>
      </c>
      <c r="Q14" s="652" t="str">
        <f t="shared" si="6"/>
        <v>交通便捷度</v>
      </c>
      <c r="R14" s="1075" t="s">
        <v>1336</v>
      </c>
      <c r="S14" s="1076">
        <f t="shared" si="0"/>
        <v>100</v>
      </c>
      <c r="T14" s="1075" t="s">
        <v>1336</v>
      </c>
      <c r="U14" s="1076">
        <f t="shared" si="1"/>
        <v>100</v>
      </c>
      <c r="V14" s="1075" t="s">
        <v>1336</v>
      </c>
      <c r="W14" s="1076">
        <f t="shared" si="2"/>
        <v>100</v>
      </c>
      <c r="X14" s="1069"/>
      <c r="Y14" s="3473" t="s">
        <v>1346</v>
      </c>
      <c r="Z14" s="1061" t="str">
        <f t="shared" si="7"/>
        <v>交通便捷度</v>
      </c>
      <c r="AA14" s="1086">
        <f t="shared" si="3"/>
        <v>1</v>
      </c>
      <c r="AB14" s="1086">
        <f t="shared" si="4"/>
        <v>1</v>
      </c>
      <c r="AC14" s="1086">
        <f t="shared" si="5"/>
        <v>1</v>
      </c>
    </row>
    <row r="15" spans="1:29" ht="15">
      <c r="A15" s="907"/>
      <c r="B15" s="1286"/>
      <c r="C15" s="927"/>
      <c r="D15" s="928"/>
      <c r="E15" s="927"/>
      <c r="F15" s="1335"/>
      <c r="G15" s="927"/>
      <c r="H15" s="930"/>
      <c r="I15" s="927"/>
      <c r="J15" s="928"/>
      <c r="K15" s="1374"/>
      <c r="L15" s="1041"/>
      <c r="M15" s="1029"/>
      <c r="N15" s="1029"/>
      <c r="O15" s="1040"/>
      <c r="P15" s="3474"/>
      <c r="Q15" s="652"/>
      <c r="R15" s="1075"/>
      <c r="S15" s="1076"/>
      <c r="T15" s="1075"/>
      <c r="U15" s="1076"/>
      <c r="V15" s="1075"/>
      <c r="W15" s="1076"/>
      <c r="X15" s="1069"/>
      <c r="Y15" s="3474"/>
      <c r="Z15" s="1061"/>
      <c r="AA15" s="1086">
        <v>1</v>
      </c>
      <c r="AB15" s="1086">
        <v>1</v>
      </c>
      <c r="AC15" s="1086">
        <v>1</v>
      </c>
    </row>
    <row r="16" spans="1:29" ht="42.75">
      <c r="A16" s="907"/>
      <c r="B16" s="1287" t="s">
        <v>652</v>
      </c>
      <c r="C16" s="932" t="str">
        <f>IF(B1="工业",估价对象房地状况!G5,估价对象房地状况!C7)</f>
        <v>估价对象所在区域公共配套设施齐备情况</v>
      </c>
      <c r="D16" s="934">
        <v>100</v>
      </c>
      <c r="E16" s="1290"/>
      <c r="F16" s="1336">
        <f>SUMIF(63:63,E17,64:64)-SUMIF(63:63,C17,64:64)+100</f>
        <v>100</v>
      </c>
      <c r="G16" s="1298"/>
      <c r="H16" s="934">
        <f>SUMIF(63:63,G17,64:64)-SUMIF(63:63,C17,64:64)+100</f>
        <v>100</v>
      </c>
      <c r="I16" s="1290"/>
      <c r="J16" s="934">
        <f>SUMIF(63:63,I17,64:64)-SUMIF(63:63,C17,64:64)+100</f>
        <v>100</v>
      </c>
      <c r="K16" s="1373"/>
      <c r="L16" s="1041"/>
      <c r="M16" s="1029"/>
      <c r="N16" s="1029"/>
      <c r="O16" s="1040"/>
      <c r="P16" s="3474"/>
      <c r="Q16" s="652" t="str">
        <f>B16</f>
        <v>公共配套设施</v>
      </c>
      <c r="R16" s="1075" t="s">
        <v>1336</v>
      </c>
      <c r="S16" s="1076">
        <f>F16</f>
        <v>100</v>
      </c>
      <c r="T16" s="1075" t="s">
        <v>1336</v>
      </c>
      <c r="U16" s="1076">
        <f>H16</f>
        <v>100</v>
      </c>
      <c r="V16" s="1075" t="s">
        <v>1336</v>
      </c>
      <c r="W16" s="1076">
        <f>J16</f>
        <v>100</v>
      </c>
      <c r="X16" s="1069"/>
      <c r="Y16" s="3474"/>
      <c r="Z16" s="1061" t="str">
        <f>Q16</f>
        <v>公共配套设施</v>
      </c>
      <c r="AA16" s="1086">
        <f t="shared" si="3"/>
        <v>1</v>
      </c>
      <c r="AB16" s="1086">
        <f t="shared" si="4"/>
        <v>1</v>
      </c>
      <c r="AC16" s="1086">
        <f t="shared" si="5"/>
        <v>1</v>
      </c>
    </row>
    <row r="17" spans="1:29" ht="15">
      <c r="A17" s="907"/>
      <c r="B17" s="955"/>
      <c r="C17" s="1288"/>
      <c r="D17" s="928"/>
      <c r="E17" s="927"/>
      <c r="F17" s="1335"/>
      <c r="G17" s="927"/>
      <c r="H17" s="928"/>
      <c r="I17" s="927"/>
      <c r="J17" s="928"/>
      <c r="K17" s="1374"/>
      <c r="L17" s="1041"/>
      <c r="M17" s="1029"/>
      <c r="N17" s="1029"/>
      <c r="O17" s="1040"/>
      <c r="P17" s="3474"/>
      <c r="Q17" s="652"/>
      <c r="R17" s="1075"/>
      <c r="S17" s="1076"/>
      <c r="T17" s="1075"/>
      <c r="U17" s="1076"/>
      <c r="V17" s="1075"/>
      <c r="W17" s="1076"/>
      <c r="X17" s="1069"/>
      <c r="Y17" s="3474"/>
      <c r="Z17" s="1061"/>
      <c r="AA17" s="1086">
        <v>1</v>
      </c>
      <c r="AB17" s="1086">
        <v>1</v>
      </c>
      <c r="AC17" s="1086">
        <v>1</v>
      </c>
    </row>
    <row r="18" spans="1:29" ht="28.5">
      <c r="A18" s="907"/>
      <c r="B18" s="1291" t="s">
        <v>654</v>
      </c>
      <c r="C18" s="932" t="str">
        <f>IF(B1="工业",估价对象房地状况!G6,估价对象房地状况!C8)</f>
        <v>估价对象所在区域基础设施水平</v>
      </c>
      <c r="D18" s="934">
        <v>100</v>
      </c>
      <c r="E18" s="933"/>
      <c r="F18" s="1336">
        <f>SUMIF(65:65,E19,66:66)-SUMIF(65:65,C19,66:66)+100</f>
        <v>100</v>
      </c>
      <c r="G18" s="1043"/>
      <c r="H18" s="934">
        <f>SUMIF(65:65,G19,66:66)-SUMIF(65:65,C19,66:66)+100</f>
        <v>100</v>
      </c>
      <c r="I18" s="1290"/>
      <c r="J18" s="934">
        <f>SUMIF(65:65,I19,66:66)-SUMIF(65:65,C19,66:66)+100</f>
        <v>100</v>
      </c>
      <c r="K18" s="1373"/>
      <c r="L18" s="1041"/>
      <c r="M18" s="1029"/>
      <c r="N18" s="1029"/>
      <c r="O18" s="1040"/>
      <c r="P18" s="3474"/>
      <c r="Q18" s="652" t="str">
        <f>B18</f>
        <v>基础设施水平</v>
      </c>
      <c r="R18" s="1075" t="s">
        <v>1336</v>
      </c>
      <c r="S18" s="1076">
        <f>F18</f>
        <v>100</v>
      </c>
      <c r="T18" s="1075" t="s">
        <v>1336</v>
      </c>
      <c r="U18" s="1076">
        <f>H18</f>
        <v>100</v>
      </c>
      <c r="V18" s="1075" t="s">
        <v>1336</v>
      </c>
      <c r="W18" s="1076">
        <f>J18</f>
        <v>100</v>
      </c>
      <c r="X18" s="1069"/>
      <c r="Y18" s="3474"/>
      <c r="Z18" s="1061" t="str">
        <f>Q18</f>
        <v>基础设施水平</v>
      </c>
      <c r="AA18" s="1086">
        <f t="shared" ref="AA18" si="8">D18/F18</f>
        <v>1</v>
      </c>
      <c r="AB18" s="1086">
        <f t="shared" ref="AB18" si="9">D18/H18</f>
        <v>1</v>
      </c>
      <c r="AC18" s="1086">
        <f t="shared" ref="AC18" si="10">D18/J18</f>
        <v>1</v>
      </c>
    </row>
    <row r="19" spans="1:29" ht="15">
      <c r="A19" s="907"/>
      <c r="B19" s="1291"/>
      <c r="C19" s="1288"/>
      <c r="D19" s="930"/>
      <c r="E19" s="1288"/>
      <c r="F19" s="1337"/>
      <c r="G19" s="1288"/>
      <c r="H19" s="928"/>
      <c r="I19" s="927"/>
      <c r="J19" s="928"/>
      <c r="K19" s="1375"/>
      <c r="L19" s="1041"/>
      <c r="M19" s="1029"/>
      <c r="N19" s="1029"/>
      <c r="O19" s="1040"/>
      <c r="P19" s="3474"/>
      <c r="Q19" s="652"/>
      <c r="R19" s="1075"/>
      <c r="S19" s="1076"/>
      <c r="T19" s="1075"/>
      <c r="U19" s="1076"/>
      <c r="V19" s="1075"/>
      <c r="W19" s="1076"/>
      <c r="X19" s="1069"/>
      <c r="Y19" s="3474"/>
      <c r="Z19" s="1061"/>
      <c r="AA19" s="1086">
        <v>1</v>
      </c>
      <c r="AB19" s="1086">
        <v>1</v>
      </c>
      <c r="AC19" s="1086">
        <v>1</v>
      </c>
    </row>
    <row r="20" spans="1:29" ht="57">
      <c r="A20" s="907"/>
      <c r="B20" s="1287" t="s">
        <v>658</v>
      </c>
      <c r="C20" s="932" t="str">
        <f>IF(B1="工业",估价对象房地状况!G7,估价对象房地状况!C9)</f>
        <v>区域自然环境：；人文环境；综合评价环境状况一般</v>
      </c>
      <c r="D20" s="934">
        <v>100</v>
      </c>
      <c r="E20" s="1290"/>
      <c r="F20" s="1336">
        <f>SUMIF(67:67,E21,68:68)-SUMIF(67:67,C21,68:68)+100</f>
        <v>100</v>
      </c>
      <c r="G20" s="1298"/>
      <c r="H20" s="930">
        <f>SUMIF(67:67,G21,68:68)-SUMIF(67:67,C21,68:68)+100</f>
        <v>100</v>
      </c>
      <c r="I20" s="933"/>
      <c r="J20" s="930">
        <f>SUMIF(67:67,I21,68:68)-SUMIF(67:67,C21,68:68)+100</f>
        <v>100</v>
      </c>
      <c r="K20" s="1373"/>
      <c r="L20" s="1041"/>
      <c r="M20" s="1029"/>
      <c r="N20" s="1029"/>
      <c r="O20" s="1040"/>
      <c r="P20" s="3474"/>
      <c r="Q20" s="652" t="str">
        <f>B20</f>
        <v>自然及人文环境</v>
      </c>
      <c r="R20" s="1075" t="s">
        <v>1336</v>
      </c>
      <c r="S20" s="1076">
        <f>F20</f>
        <v>100</v>
      </c>
      <c r="T20" s="1075" t="s">
        <v>1336</v>
      </c>
      <c r="U20" s="1076">
        <f>H20</f>
        <v>100</v>
      </c>
      <c r="V20" s="1075" t="s">
        <v>1336</v>
      </c>
      <c r="W20" s="1076">
        <f>J20</f>
        <v>100</v>
      </c>
      <c r="X20" s="1069"/>
      <c r="Y20" s="3474"/>
      <c r="Z20" s="1061" t="str">
        <f>Q20</f>
        <v>自然及人文环境</v>
      </c>
      <c r="AA20" s="1086">
        <f t="shared" si="3"/>
        <v>1</v>
      </c>
      <c r="AB20" s="1086">
        <f t="shared" si="4"/>
        <v>1</v>
      </c>
      <c r="AC20" s="1086">
        <f t="shared" si="5"/>
        <v>1</v>
      </c>
    </row>
    <row r="21" spans="1:29" ht="15">
      <c r="A21" s="907"/>
      <c r="B21" s="955"/>
      <c r="C21" s="927"/>
      <c r="D21" s="928"/>
      <c r="E21" s="927"/>
      <c r="F21" s="1335"/>
      <c r="G21" s="927"/>
      <c r="H21" s="928"/>
      <c r="I21" s="927"/>
      <c r="J21" s="928"/>
      <c r="K21" s="1374"/>
      <c r="L21" s="1041"/>
      <c r="M21" s="1029"/>
      <c r="N21" s="1029"/>
      <c r="O21" s="1040"/>
      <c r="P21" s="3474"/>
      <c r="Q21" s="652"/>
      <c r="R21" s="1075"/>
      <c r="S21" s="1076"/>
      <c r="T21" s="1075"/>
      <c r="U21" s="1076"/>
      <c r="V21" s="1075"/>
      <c r="W21" s="1076"/>
      <c r="X21" s="1069"/>
      <c r="Y21" s="3474"/>
      <c r="Z21" s="1061"/>
      <c r="AA21" s="1086">
        <v>1</v>
      </c>
      <c r="AB21" s="1086">
        <v>1</v>
      </c>
      <c r="AC21" s="1086">
        <v>1</v>
      </c>
    </row>
    <row r="22" spans="1:29" ht="15">
      <c r="A22" s="907"/>
      <c r="B22" s="1287" t="s">
        <v>1411</v>
      </c>
      <c r="C22" s="941"/>
      <c r="D22" s="930">
        <v>100</v>
      </c>
      <c r="E22" s="941"/>
      <c r="F22" s="1338">
        <f>SUMIF(69:69,E22,70:70)-SUMIF(69:69,C22,70:70)+100</f>
        <v>100</v>
      </c>
      <c r="G22" s="941"/>
      <c r="H22" s="916">
        <f>SUMIF(69:69,G22,70:70)-SUMIF(69:69,C22,70:70)+100</f>
        <v>100</v>
      </c>
      <c r="I22" s="941"/>
      <c r="J22" s="916">
        <f>SUMIF(69:69,I22,70:70)-SUMIF(69:69,C22,70:70)+100</f>
        <v>100</v>
      </c>
      <c r="K22" s="1047"/>
      <c r="L22" s="1041"/>
      <c r="M22" s="1029"/>
      <c r="N22" s="1029"/>
      <c r="O22" s="1040"/>
      <c r="P22" s="3474"/>
      <c r="Q22" s="652" t="str">
        <f>B22</f>
        <v>楼层</v>
      </c>
      <c r="R22" s="1075" t="s">
        <v>1336</v>
      </c>
      <c r="S22" s="1076">
        <f>F22</f>
        <v>100</v>
      </c>
      <c r="T22" s="1075" t="s">
        <v>1336</v>
      </c>
      <c r="U22" s="1076">
        <f>H22</f>
        <v>100</v>
      </c>
      <c r="V22" s="1075" t="s">
        <v>1336</v>
      </c>
      <c r="W22" s="1076">
        <f>J22</f>
        <v>100</v>
      </c>
      <c r="X22" s="1069"/>
      <c r="Y22" s="3474"/>
      <c r="Z22" s="1061" t="str">
        <f>Q22</f>
        <v>楼层</v>
      </c>
      <c r="AA22" s="1086">
        <f t="shared" si="3"/>
        <v>1</v>
      </c>
      <c r="AB22" s="1086">
        <f t="shared" si="4"/>
        <v>1</v>
      </c>
      <c r="AC22" s="1086">
        <f t="shared" si="5"/>
        <v>1</v>
      </c>
    </row>
    <row r="23" spans="1:29" ht="15">
      <c r="A23" s="887"/>
      <c r="B23" s="911">
        <v>111</v>
      </c>
      <c r="C23" s="905"/>
      <c r="D23" s="916">
        <v>100</v>
      </c>
      <c r="E23" s="915"/>
      <c r="F23" s="1338">
        <f>SUMIF(71:71,E23,72:72)-SUMIF(71:71,C23,72:72)+100</f>
        <v>100</v>
      </c>
      <c r="G23" s="915"/>
      <c r="H23" s="916">
        <f>SUMIF(71:71,G23,72:72)-SUMIF(71:71,C23,72:72)+100</f>
        <v>100</v>
      </c>
      <c r="I23" s="915"/>
      <c r="J23" s="916">
        <f>SUMIF(71:71,I23,72:72)-SUMIF(71:71,C23,72:72)+100</f>
        <v>100</v>
      </c>
      <c r="K23" s="1046"/>
      <c r="L23" s="1041"/>
      <c r="M23" s="1029"/>
      <c r="N23" s="1029"/>
      <c r="O23" s="1040"/>
      <c r="P23" s="3474"/>
      <c r="Q23" s="652">
        <f>B23</f>
        <v>111</v>
      </c>
      <c r="R23" s="1075" t="s">
        <v>1336</v>
      </c>
      <c r="S23" s="1076">
        <f>F23</f>
        <v>100</v>
      </c>
      <c r="T23" s="1075" t="s">
        <v>1336</v>
      </c>
      <c r="U23" s="1076">
        <f>H23</f>
        <v>100</v>
      </c>
      <c r="V23" s="1075" t="s">
        <v>1336</v>
      </c>
      <c r="W23" s="1076">
        <f>J23</f>
        <v>100</v>
      </c>
      <c r="X23" s="1069"/>
      <c r="Y23" s="3474"/>
      <c r="Z23" s="1061">
        <f>Q23</f>
        <v>111</v>
      </c>
      <c r="AA23" s="1086">
        <f t="shared" si="3"/>
        <v>1</v>
      </c>
      <c r="AB23" s="1086">
        <f t="shared" si="4"/>
        <v>1</v>
      </c>
      <c r="AC23" s="1086">
        <f t="shared" si="5"/>
        <v>1</v>
      </c>
    </row>
    <row r="24" spans="1:29" ht="15">
      <c r="A24" s="907"/>
      <c r="B24" s="911">
        <v>111</v>
      </c>
      <c r="C24" s="905"/>
      <c r="D24" s="916">
        <v>100</v>
      </c>
      <c r="E24" s="915"/>
      <c r="F24" s="1338">
        <f>SUMIF(73:73,E24,74:74)-SUMIF(73:73,C24,74:74)+100</f>
        <v>100</v>
      </c>
      <c r="G24" s="915"/>
      <c r="H24" s="916">
        <f>SUMIF(73:73,G24,74:74)-SUMIF(73:73,C24,74:74)+100</f>
        <v>100</v>
      </c>
      <c r="I24" s="915"/>
      <c r="J24" s="916">
        <f>SUMIF(73:73,I24,74:74)-SUMIF(73:73,C24,74:74)+100</f>
        <v>100</v>
      </c>
      <c r="K24" s="1046"/>
      <c r="L24" s="1041"/>
      <c r="M24" s="1029"/>
      <c r="N24" s="1029"/>
      <c r="O24" s="1040"/>
      <c r="P24" s="3474"/>
      <c r="Q24" s="652">
        <f t="shared" ref="Q24:Q34" si="11">B24</f>
        <v>111</v>
      </c>
      <c r="R24" s="1075" t="s">
        <v>1336</v>
      </c>
      <c r="S24" s="1076">
        <f>F24</f>
        <v>100</v>
      </c>
      <c r="T24" s="1075" t="s">
        <v>1336</v>
      </c>
      <c r="U24" s="1076">
        <f>H24</f>
        <v>100</v>
      </c>
      <c r="V24" s="1075" t="s">
        <v>1336</v>
      </c>
      <c r="W24" s="1076">
        <f>J24</f>
        <v>100</v>
      </c>
      <c r="X24" s="1069"/>
      <c r="Y24" s="3474"/>
      <c r="Z24" s="1061">
        <f>Q24</f>
        <v>111</v>
      </c>
      <c r="AA24" s="1086">
        <f t="shared" si="3"/>
        <v>1</v>
      </c>
      <c r="AB24" s="1086">
        <f t="shared" si="4"/>
        <v>1</v>
      </c>
      <c r="AC24" s="1086">
        <f t="shared" si="5"/>
        <v>1</v>
      </c>
    </row>
    <row r="25" spans="1:29" s="866" customFormat="1" ht="15">
      <c r="A25" s="910"/>
      <c r="B25" s="911">
        <v>111</v>
      </c>
      <c r="C25" s="1339"/>
      <c r="D25" s="1340">
        <v>100</v>
      </c>
      <c r="E25" s="1339"/>
      <c r="F25" s="1341">
        <f>SUMIF(75:75,E25,76:76)-SUMIF(75:75,C25,76:76)+100</f>
        <v>100</v>
      </c>
      <c r="G25" s="1339"/>
      <c r="H25" s="1340">
        <f>SUMIF(75:75,G25,76:76)-SUMIF(75:75,C25,76:76)+100</f>
        <v>100</v>
      </c>
      <c r="I25" s="1339"/>
      <c r="J25" s="1340">
        <f>SUMIF(75:75,I25,76:76)-SUMIF(75:75,C25,76:76)+100</f>
        <v>100</v>
      </c>
      <c r="K25" s="1046"/>
      <c r="L25" s="1031"/>
      <c r="M25" s="1032"/>
      <c r="N25" s="1032"/>
      <c r="O25" s="1033"/>
      <c r="P25" s="3474"/>
      <c r="Q25" s="1074">
        <f t="shared" si="11"/>
        <v>111</v>
      </c>
      <c r="R25" s="1070" t="s">
        <v>1336</v>
      </c>
      <c r="S25" s="1071">
        <f>F25</f>
        <v>100</v>
      </c>
      <c r="T25" s="1070" t="s">
        <v>1336</v>
      </c>
      <c r="U25" s="1071">
        <f>H25</f>
        <v>100</v>
      </c>
      <c r="V25" s="1070" t="s">
        <v>1336</v>
      </c>
      <c r="W25" s="1071">
        <f>J25</f>
        <v>100</v>
      </c>
      <c r="X25" s="1072"/>
      <c r="Y25" s="3474"/>
      <c r="Z25" s="1085">
        <f>Q25</f>
        <v>111</v>
      </c>
      <c r="AA25" s="1086">
        <f t="shared" si="3"/>
        <v>1</v>
      </c>
      <c r="AB25" s="1086">
        <f t="shared" si="4"/>
        <v>1</v>
      </c>
      <c r="AC25" s="1086">
        <f t="shared" si="5"/>
        <v>1</v>
      </c>
    </row>
    <row r="26" spans="1:29" ht="15">
      <c r="A26" s="1342" t="s">
        <v>1349</v>
      </c>
      <c r="B26" s="900" t="s">
        <v>1355</v>
      </c>
      <c r="C26" s="1343"/>
      <c r="D26" s="957">
        <v>100</v>
      </c>
      <c r="E26" s="1343"/>
      <c r="F26" s="1344">
        <f>SUMIF(77:77,E26,78:78)-SUMIF(77:77,C26,78:78)+100</f>
        <v>100</v>
      </c>
      <c r="G26" s="1343"/>
      <c r="H26" s="957">
        <f>SUMIF(77:77,G26,78:78)-SUMIF(77:77,C26,78:78)+100</f>
        <v>100</v>
      </c>
      <c r="I26" s="1343"/>
      <c r="J26" s="957">
        <f>SUMIF(77:77,I26,78:78)-SUMIF(77:77,C26,78:78)+100</f>
        <v>100</v>
      </c>
      <c r="K26" s="1047"/>
      <c r="L26" s="1041"/>
      <c r="M26" s="1029"/>
      <c r="N26" s="1029"/>
      <c r="O26" s="1040"/>
      <c r="P26" s="3475" t="s">
        <v>1351</v>
      </c>
      <c r="Q26" s="652" t="str">
        <f t="shared" si="11"/>
        <v>公共部分装修</v>
      </c>
      <c r="R26" s="1075" t="s">
        <v>1336</v>
      </c>
      <c r="S26" s="1076">
        <f t="shared" ref="S26:S34" si="12">F26</f>
        <v>100</v>
      </c>
      <c r="T26" s="1075" t="s">
        <v>1336</v>
      </c>
      <c r="U26" s="1076">
        <f t="shared" ref="U26:U34" si="13">H26</f>
        <v>100</v>
      </c>
      <c r="V26" s="1075" t="s">
        <v>1336</v>
      </c>
      <c r="W26" s="1076">
        <f t="shared" ref="W26:W34" si="14">J26</f>
        <v>100</v>
      </c>
      <c r="X26" s="1069"/>
      <c r="Y26" s="3476" t="s">
        <v>1351</v>
      </c>
      <c r="Z26" s="1061" t="str">
        <f t="shared" ref="Z26:Z34" si="15">Q26</f>
        <v>公共部分装修</v>
      </c>
      <c r="AA26" s="1086">
        <f t="shared" si="3"/>
        <v>1</v>
      </c>
      <c r="AB26" s="1086">
        <f t="shared" si="4"/>
        <v>1</v>
      </c>
      <c r="AC26" s="1086">
        <f t="shared" si="5"/>
        <v>1</v>
      </c>
    </row>
    <row r="27" spans="1:29" s="868" customFormat="1" ht="15">
      <c r="A27" s="963"/>
      <c r="B27" s="904" t="s">
        <v>1431</v>
      </c>
      <c r="C27" s="1345"/>
      <c r="D27" s="906">
        <v>100</v>
      </c>
      <c r="E27" s="1346"/>
      <c r="F27" s="1338" t="e">
        <f>LOOKUP(E27,80:80,81:81)-LOOKUP(C27,80:80,81:81)+100</f>
        <v>#N/A</v>
      </c>
      <c r="G27" s="1347"/>
      <c r="H27" s="916" t="e">
        <f>LOOKUP(G27,80:80,81:81)-LOOKUP(C27,80:80,81:81)+100</f>
        <v>#N/A</v>
      </c>
      <c r="I27" s="1347"/>
      <c r="J27" s="916" t="e">
        <f>LOOKUP(I27,80:80,81:81)-LOOKUP(C27,80:80,81:81)+100</f>
        <v>#N/A</v>
      </c>
      <c r="K27" s="1047"/>
      <c r="L27" s="1039"/>
      <c r="M27" s="1048"/>
      <c r="N27" s="1048"/>
      <c r="O27" s="1049"/>
      <c r="P27" s="3476"/>
      <c r="Q27" s="1377" t="str">
        <f t="shared" si="11"/>
        <v>成新率</v>
      </c>
      <c r="R27" s="1077" t="s">
        <v>1336</v>
      </c>
      <c r="S27" s="1078" t="e">
        <f t="shared" si="12"/>
        <v>#N/A</v>
      </c>
      <c r="T27" s="1077" t="s">
        <v>1336</v>
      </c>
      <c r="U27" s="1078" t="e">
        <f t="shared" si="13"/>
        <v>#N/A</v>
      </c>
      <c r="V27" s="1077" t="s">
        <v>1336</v>
      </c>
      <c r="W27" s="1078" t="e">
        <f t="shared" si="14"/>
        <v>#N/A</v>
      </c>
      <c r="X27" s="1079"/>
      <c r="Y27" s="3476"/>
      <c r="Z27" s="1087" t="str">
        <f t="shared" si="15"/>
        <v>成新率</v>
      </c>
      <c r="AA27" s="1086" t="e">
        <f t="shared" si="3"/>
        <v>#N/A</v>
      </c>
      <c r="AB27" s="1086" t="e">
        <f t="shared" si="4"/>
        <v>#N/A</v>
      </c>
      <c r="AC27" s="1086" t="e">
        <f t="shared" si="5"/>
        <v>#N/A</v>
      </c>
    </row>
    <row r="28" spans="1:29" ht="15">
      <c r="A28" s="958"/>
      <c r="B28" s="904" t="s">
        <v>1432</v>
      </c>
      <c r="C28" s="1348"/>
      <c r="D28" s="916">
        <v>100</v>
      </c>
      <c r="E28" s="1348"/>
      <c r="F28" s="1338">
        <f>SUMIF(82:82,E28,83:83)-SUMIF(82:82,C28,83:83)+100</f>
        <v>100</v>
      </c>
      <c r="G28" s="1348"/>
      <c r="H28" s="916">
        <f>SUMIF(82:82,G28,83:83)-SUMIF(82:82,C28,83:83)+100</f>
        <v>100</v>
      </c>
      <c r="I28" s="1348"/>
      <c r="J28" s="916">
        <f>SUMIF(82:82,I28,83:83)-SUMIF(82:82,C28,83:83)+100</f>
        <v>100</v>
      </c>
      <c r="K28" s="1047"/>
      <c r="L28" s="1041"/>
      <c r="M28" s="1029"/>
      <c r="N28" s="1029"/>
      <c r="O28" s="1040"/>
      <c r="P28" s="3476"/>
      <c r="Q28" s="652" t="str">
        <f t="shared" si="11"/>
        <v>物业等级</v>
      </c>
      <c r="R28" s="1075" t="s">
        <v>1336</v>
      </c>
      <c r="S28" s="1076">
        <f t="shared" si="12"/>
        <v>100</v>
      </c>
      <c r="T28" s="1075" t="s">
        <v>1336</v>
      </c>
      <c r="U28" s="1076">
        <f t="shared" si="13"/>
        <v>100</v>
      </c>
      <c r="V28" s="1075" t="s">
        <v>1336</v>
      </c>
      <c r="W28" s="1076">
        <f t="shared" si="14"/>
        <v>100</v>
      </c>
      <c r="X28" s="1069"/>
      <c r="Y28" s="3476"/>
      <c r="Z28" s="1061" t="str">
        <f t="shared" si="15"/>
        <v>物业等级</v>
      </c>
      <c r="AA28" s="1086">
        <f t="shared" si="3"/>
        <v>1</v>
      </c>
      <c r="AB28" s="1086">
        <f t="shared" si="4"/>
        <v>1</v>
      </c>
      <c r="AC28" s="1086">
        <f t="shared" si="5"/>
        <v>1</v>
      </c>
    </row>
    <row r="29" spans="1:29" ht="15">
      <c r="A29" s="958"/>
      <c r="B29" s="904" t="s">
        <v>1440</v>
      </c>
      <c r="C29" s="1349"/>
      <c r="D29" s="916">
        <v>100</v>
      </c>
      <c r="E29" s="1349"/>
      <c r="F29" s="1338">
        <f>SUMIF(84:84,E29,85:85)-SUMIF(84:84,C29,85:85)+100</f>
        <v>100</v>
      </c>
      <c r="G29" s="1349"/>
      <c r="H29" s="916">
        <f>SUMIF(84:84,G29,85:85)-SUMIF(84:84,C29,85:85)+100</f>
        <v>100</v>
      </c>
      <c r="I29" s="1349"/>
      <c r="J29" s="916">
        <f>SUMIF(84:84,I29,85:85)-SUMIF(84:84,C29,85:85)+100</f>
        <v>100</v>
      </c>
      <c r="K29" s="1047"/>
      <c r="L29" s="1041"/>
      <c r="M29" s="1029"/>
      <c r="N29" s="1029"/>
      <c r="O29" s="1040"/>
      <c r="P29" s="3476"/>
      <c r="Q29" s="652" t="str">
        <f t="shared" si="11"/>
        <v>有无电梯</v>
      </c>
      <c r="R29" s="1075" t="s">
        <v>1336</v>
      </c>
      <c r="S29" s="1076">
        <f t="shared" si="12"/>
        <v>100</v>
      </c>
      <c r="T29" s="1075" t="s">
        <v>1336</v>
      </c>
      <c r="U29" s="1076">
        <f t="shared" si="13"/>
        <v>100</v>
      </c>
      <c r="V29" s="1075" t="s">
        <v>1336</v>
      </c>
      <c r="W29" s="1076">
        <f t="shared" si="14"/>
        <v>100</v>
      </c>
      <c r="X29" s="1069"/>
      <c r="Y29" s="3476"/>
      <c r="Z29" s="1061" t="str">
        <f t="shared" si="15"/>
        <v>有无电梯</v>
      </c>
      <c r="AA29" s="1086">
        <f t="shared" si="3"/>
        <v>1</v>
      </c>
      <c r="AB29" s="1086">
        <f t="shared" si="4"/>
        <v>1</v>
      </c>
      <c r="AC29" s="1086">
        <f t="shared" si="5"/>
        <v>1</v>
      </c>
    </row>
    <row r="30" spans="1:29" ht="15">
      <c r="A30" s="958"/>
      <c r="B30" s="904" t="s">
        <v>519</v>
      </c>
      <c r="C30" s="1332"/>
      <c r="D30" s="916">
        <v>100</v>
      </c>
      <c r="E30" s="1332"/>
      <c r="F30" s="1338" t="e">
        <f>LOOKUP(E30,87:87,88:88)-LOOKUP(C30,87:87,88:88)+100</f>
        <v>#N/A</v>
      </c>
      <c r="G30" s="1332"/>
      <c r="H30" s="916" t="e">
        <f>LOOKUP(G30,87:87,88:88)-LOOKUP(C30,87:87,88:88)+100</f>
        <v>#N/A</v>
      </c>
      <c r="I30" s="1332"/>
      <c r="J30" s="916" t="e">
        <f>LOOKUP(I30,87:87,88:88)-LOOKUP(C30,87:87,88:88)+100</f>
        <v>#N/A</v>
      </c>
      <c r="K30" s="1046"/>
      <c r="L30" s="1041"/>
      <c r="M30" s="1029"/>
      <c r="N30" s="1029"/>
      <c r="O30" s="1040"/>
      <c r="P30" s="3476"/>
      <c r="Q30" s="652" t="str">
        <f t="shared" si="11"/>
        <v>建筑面积</v>
      </c>
      <c r="R30" s="1075" t="s">
        <v>1336</v>
      </c>
      <c r="S30" s="1076" t="e">
        <f t="shared" si="12"/>
        <v>#N/A</v>
      </c>
      <c r="T30" s="1075" t="s">
        <v>1336</v>
      </c>
      <c r="U30" s="1076" t="e">
        <f t="shared" si="13"/>
        <v>#N/A</v>
      </c>
      <c r="V30" s="1075" t="s">
        <v>1336</v>
      </c>
      <c r="W30" s="1076" t="e">
        <f t="shared" si="14"/>
        <v>#N/A</v>
      </c>
      <c r="X30" s="1069"/>
      <c r="Y30" s="3476"/>
      <c r="Z30" s="1061" t="str">
        <f t="shared" si="15"/>
        <v>建筑面积</v>
      </c>
      <c r="AA30" s="1086" t="e">
        <f t="shared" si="3"/>
        <v>#N/A</v>
      </c>
      <c r="AB30" s="1086" t="e">
        <f t="shared" si="4"/>
        <v>#N/A</v>
      </c>
      <c r="AC30" s="1086" t="e">
        <f t="shared" si="5"/>
        <v>#N/A</v>
      </c>
    </row>
    <row r="31" spans="1:29" s="866" customFormat="1" ht="15">
      <c r="A31" s="960"/>
      <c r="B31" s="904" t="s">
        <v>1441</v>
      </c>
      <c r="C31" s="1349"/>
      <c r="D31" s="906">
        <v>100</v>
      </c>
      <c r="E31" s="1349"/>
      <c r="F31" s="1338">
        <f>SUMIF(89:89,E31,90:90)-SUMIF(89:89,C31,90:90)+100</f>
        <v>100</v>
      </c>
      <c r="G31" s="1349"/>
      <c r="H31" s="916">
        <f>SUMIF(89:89,G31,90:90)-SUMIF(89:89,C31,90:90)+100</f>
        <v>100</v>
      </c>
      <c r="I31" s="1349"/>
      <c r="J31" s="916">
        <f>SUMIF(89:89,I31,90:90)-SUMIF(89:89,C31,90:90)+100</f>
        <v>100</v>
      </c>
      <c r="K31" s="1047"/>
      <c r="L31" s="1031"/>
      <c r="M31" s="1032"/>
      <c r="N31" s="1032"/>
      <c r="O31" s="1033"/>
      <c r="P31" s="3476"/>
      <c r="Q31" s="1074" t="str">
        <f t="shared" si="11"/>
        <v>是否封闭</v>
      </c>
      <c r="R31" s="1070" t="s">
        <v>1336</v>
      </c>
      <c r="S31" s="1071">
        <f t="shared" si="12"/>
        <v>100</v>
      </c>
      <c r="T31" s="1070" t="s">
        <v>1336</v>
      </c>
      <c r="U31" s="1071">
        <f t="shared" si="13"/>
        <v>100</v>
      </c>
      <c r="V31" s="1070" t="s">
        <v>1336</v>
      </c>
      <c r="W31" s="1071">
        <f t="shared" si="14"/>
        <v>100</v>
      </c>
      <c r="X31" s="1072"/>
      <c r="Y31" s="3476"/>
      <c r="Z31" s="1085" t="str">
        <f t="shared" si="15"/>
        <v>是否封闭</v>
      </c>
      <c r="AA31" s="1084">
        <f t="shared" si="3"/>
        <v>1</v>
      </c>
      <c r="AB31" s="1084">
        <f t="shared" si="4"/>
        <v>1</v>
      </c>
      <c r="AC31" s="1084">
        <f t="shared" si="5"/>
        <v>1</v>
      </c>
    </row>
    <row r="32" spans="1:29" ht="15">
      <c r="A32" s="958"/>
      <c r="B32" s="911">
        <v>111</v>
      </c>
      <c r="C32" s="905"/>
      <c r="D32" s="916">
        <v>100</v>
      </c>
      <c r="E32" s="1332"/>
      <c r="F32" s="1338">
        <f>SUMIF(91:91,E32,92:92)-SUMIF(91:91,C32,92:92)+100</f>
        <v>100</v>
      </c>
      <c r="G32" s="1332"/>
      <c r="H32" s="916">
        <f>SUMIF(91:91,G32,92:92)-SUMIF(91:91,C32,92:92)+100</f>
        <v>100</v>
      </c>
      <c r="I32" s="1332"/>
      <c r="J32" s="916">
        <f>SUMIF(91:91,I32,92:92)-SUMIF(91:91,C32,92:92)+100</f>
        <v>100</v>
      </c>
      <c r="K32" s="1046"/>
      <c r="L32" s="1041"/>
      <c r="M32" s="1029"/>
      <c r="N32" s="1029"/>
      <c r="O32" s="1040"/>
      <c r="P32" s="3476" t="s">
        <v>1351</v>
      </c>
      <c r="Q32" s="652">
        <f t="shared" si="11"/>
        <v>111</v>
      </c>
      <c r="R32" s="1075" t="s">
        <v>1336</v>
      </c>
      <c r="S32" s="1076">
        <f t="shared" si="12"/>
        <v>100</v>
      </c>
      <c r="T32" s="1075" t="s">
        <v>1336</v>
      </c>
      <c r="U32" s="1076">
        <f t="shared" si="13"/>
        <v>100</v>
      </c>
      <c r="V32" s="1075" t="s">
        <v>1336</v>
      </c>
      <c r="W32" s="1076">
        <f t="shared" si="14"/>
        <v>100</v>
      </c>
      <c r="X32" s="1069"/>
      <c r="Y32" s="3476" t="s">
        <v>1351</v>
      </c>
      <c r="Z32" s="1061">
        <f t="shared" si="15"/>
        <v>111</v>
      </c>
      <c r="AA32" s="1086">
        <f t="shared" si="3"/>
        <v>1</v>
      </c>
      <c r="AB32" s="1086">
        <f t="shared" si="4"/>
        <v>1</v>
      </c>
      <c r="AC32" s="1086">
        <f t="shared" si="5"/>
        <v>1</v>
      </c>
    </row>
    <row r="33" spans="1:29" ht="15">
      <c r="A33" s="958"/>
      <c r="B33" s="911">
        <v>111</v>
      </c>
      <c r="C33" s="905"/>
      <c r="D33" s="916">
        <v>100</v>
      </c>
      <c r="E33" s="1332"/>
      <c r="F33" s="1338">
        <f>SUMIF(93:93,E33,94:94)-SUMIF(93:93,C33,94:94)+100</f>
        <v>100</v>
      </c>
      <c r="G33" s="1332"/>
      <c r="H33" s="916">
        <f>SUMIF(93:93,G33,94:94)-SUMIF(93:93,C33,94:94)+100</f>
        <v>100</v>
      </c>
      <c r="I33" s="1332"/>
      <c r="J33" s="916">
        <f>SUMIF(93:93,I33,94:94)-SUMIF(93:93,C33,94:94)+100</f>
        <v>100</v>
      </c>
      <c r="K33" s="1046"/>
      <c r="L33" s="1041"/>
      <c r="M33" s="1029"/>
      <c r="N33" s="1029"/>
      <c r="O33" s="1040"/>
      <c r="P33" s="3476"/>
      <c r="Q33" s="652">
        <f t="shared" si="11"/>
        <v>111</v>
      </c>
      <c r="R33" s="1075" t="s">
        <v>1336</v>
      </c>
      <c r="S33" s="1076">
        <f t="shared" si="12"/>
        <v>100</v>
      </c>
      <c r="T33" s="1075" t="s">
        <v>1336</v>
      </c>
      <c r="U33" s="1076">
        <f t="shared" si="13"/>
        <v>100</v>
      </c>
      <c r="V33" s="1075" t="s">
        <v>1336</v>
      </c>
      <c r="W33" s="1076">
        <f t="shared" si="14"/>
        <v>100</v>
      </c>
      <c r="X33" s="1069"/>
      <c r="Y33" s="3476"/>
      <c r="Z33" s="1061">
        <f t="shared" si="15"/>
        <v>111</v>
      </c>
      <c r="AA33" s="1086">
        <f t="shared" si="3"/>
        <v>1</v>
      </c>
      <c r="AB33" s="1086">
        <f t="shared" si="4"/>
        <v>1</v>
      </c>
      <c r="AC33" s="1086">
        <f t="shared" si="5"/>
        <v>1</v>
      </c>
    </row>
    <row r="34" spans="1:29" ht="15">
      <c r="A34" s="1350"/>
      <c r="B34" s="918">
        <v>111</v>
      </c>
      <c r="C34" s="919"/>
      <c r="D34" s="920">
        <v>100</v>
      </c>
      <c r="E34" s="1333"/>
      <c r="F34" s="1351">
        <f>SUMIF(95:95,E34,96:96)-SUMIF(95:95,C34,96:96)+100</f>
        <v>100</v>
      </c>
      <c r="G34" s="1333"/>
      <c r="H34" s="920">
        <f>SUMIF(95:95,G34,96:96)-SUMIF(95:95,C34,96:96)+100</f>
        <v>100</v>
      </c>
      <c r="I34" s="1333"/>
      <c r="J34" s="920">
        <f>SUMIF(95:95,I34,96:96)-SUMIF(95:95,C34,96:96)+100</f>
        <v>100</v>
      </c>
      <c r="K34" s="1046"/>
      <c r="L34" s="1041"/>
      <c r="M34" s="1029"/>
      <c r="N34" s="1029"/>
      <c r="O34" s="1040"/>
      <c r="P34" s="3476"/>
      <c r="Q34" s="652">
        <f t="shared" si="11"/>
        <v>111</v>
      </c>
      <c r="R34" s="1075" t="s">
        <v>1336</v>
      </c>
      <c r="S34" s="1076">
        <f t="shared" si="12"/>
        <v>100</v>
      </c>
      <c r="T34" s="1075" t="s">
        <v>1336</v>
      </c>
      <c r="U34" s="1076">
        <f t="shared" si="13"/>
        <v>100</v>
      </c>
      <c r="V34" s="1075" t="s">
        <v>1336</v>
      </c>
      <c r="W34" s="1076">
        <f t="shared" si="14"/>
        <v>100</v>
      </c>
      <c r="X34" s="1069"/>
      <c r="Y34" s="3476"/>
      <c r="Z34" s="1061">
        <f t="shared" si="15"/>
        <v>111</v>
      </c>
      <c r="AA34" s="1086">
        <f t="shared" si="3"/>
        <v>1</v>
      </c>
      <c r="AB34" s="1086">
        <f t="shared" si="4"/>
        <v>1</v>
      </c>
      <c r="AC34" s="1086">
        <f t="shared" si="5"/>
        <v>1</v>
      </c>
    </row>
    <row r="35" spans="1:29" ht="15">
      <c r="A35" s="965" t="s">
        <v>1362</v>
      </c>
      <c r="B35" s="1352"/>
      <c r="C35" s="1353" t="s">
        <v>124</v>
      </c>
      <c r="D35" s="1354"/>
      <c r="E35" s="1355"/>
      <c r="F35" s="1356"/>
      <c r="G35" s="1357"/>
      <c r="H35" s="1358"/>
      <c r="I35" s="1355"/>
      <c r="J35" s="1358"/>
      <c r="K35" s="1052"/>
      <c r="L35" s="1053"/>
      <c r="M35" s="982"/>
      <c r="N35" s="1029"/>
      <c r="O35" s="982"/>
      <c r="P35" s="3472" t="str">
        <f>A35</f>
        <v>成交单价（元/平方米）</v>
      </c>
      <c r="Q35" s="3472"/>
      <c r="R35" s="3535">
        <f>E35</f>
        <v>0</v>
      </c>
      <c r="S35" s="3535"/>
      <c r="T35" s="3535">
        <f>G35</f>
        <v>0</v>
      </c>
      <c r="U35" s="3535"/>
      <c r="V35" s="3535">
        <f>I35</f>
        <v>0</v>
      </c>
      <c r="W35" s="3535"/>
      <c r="X35" s="1017"/>
      <c r="Y35" s="1088"/>
      <c r="Z35" s="1017"/>
      <c r="AA35" s="1017"/>
      <c r="AB35" s="1017"/>
      <c r="AC35" s="1017"/>
    </row>
    <row r="36" spans="1:29" ht="15">
      <c r="A36" s="973" t="s">
        <v>1363</v>
      </c>
      <c r="B36" s="1359"/>
      <c r="C36" s="1360" t="e">
        <f>R37</f>
        <v>#DIV/0!</v>
      </c>
      <c r="D36" s="1361"/>
      <c r="E36" s="1362" t="e">
        <f>R36</f>
        <v>#DIV/0!</v>
      </c>
      <c r="F36" s="1362"/>
      <c r="G36" s="1360" t="e">
        <f>T36</f>
        <v>#DIV/0!</v>
      </c>
      <c r="H36" s="1361"/>
      <c r="I36" s="1362" t="e">
        <f>V36</f>
        <v>#DIV/0!</v>
      </c>
      <c r="J36" s="1361"/>
      <c r="K36" s="1054"/>
      <c r="L36" s="1053"/>
      <c r="M36" s="982"/>
      <c r="N36" s="1029"/>
      <c r="O36" s="982"/>
      <c r="P36" s="3472" t="str">
        <f>A36</f>
        <v>比较价值（元/平方米）</v>
      </c>
      <c r="Q36" s="3472"/>
      <c r="R36" s="3535" t="e">
        <f>IF(F1="售价",ROUND(PRODUCT(R35,AA7:AA34),0),ROUND(PRODUCT(R35,AA7:AA34),1))</f>
        <v>#DIV/0!</v>
      </c>
      <c r="S36" s="3535"/>
      <c r="T36" s="3535" t="e">
        <f>IF(F1="售价",ROUND(PRODUCT(T35,AB7:AB34),0),ROUND(PRODUCT(T35,AB7:AB34),1))</f>
        <v>#DIV/0!</v>
      </c>
      <c r="U36" s="3535"/>
      <c r="V36" s="3535" t="e">
        <f>IF(F1="售价",ROUND(PRODUCT(V35,AC7:AC34),0),ROUND(PRODUCT(V35,AC7:AC34),1))</f>
        <v>#DIV/0!</v>
      </c>
      <c r="W36" s="3535"/>
      <c r="X36" s="1017"/>
      <c r="Y36" s="1017"/>
      <c r="Z36" s="1017"/>
      <c r="AA36" s="1017"/>
      <c r="AB36" s="1017"/>
      <c r="AC36" s="1017"/>
    </row>
    <row r="37" spans="1:29" ht="15">
      <c r="A37" s="979" t="s">
        <v>1364</v>
      </c>
      <c r="B37" s="980"/>
      <c r="C37" s="1363" t="e">
        <f>R37</f>
        <v>#DIV/0!</v>
      </c>
      <c r="D37" s="1363"/>
      <c r="E37" s="1363"/>
      <c r="F37" s="1363"/>
      <c r="G37" s="1363"/>
      <c r="H37" s="1363"/>
      <c r="I37" s="1363"/>
      <c r="J37" s="1363"/>
      <c r="K37" s="1055"/>
      <c r="L37" s="1053"/>
      <c r="M37" s="982"/>
      <c r="N37" s="982"/>
      <c r="O37" s="982"/>
      <c r="P37" s="3478" t="str">
        <f>A37</f>
        <v>估价对象XX用房的比较价值（楼面单价，元/平方米）</v>
      </c>
      <c r="Q37" s="3479"/>
      <c r="R37" s="3542" t="e">
        <f>IF(F1="售价",ROUND(AVERAGE(R36:V36),0),ROUND(AVERAGE(R36:V36),1))</f>
        <v>#DIV/0!</v>
      </c>
      <c r="S37" s="3542"/>
      <c r="T37" s="3542"/>
      <c r="U37" s="3542"/>
      <c r="V37" s="3542"/>
      <c r="W37" s="3542"/>
      <c r="X37" s="1017"/>
      <c r="Y37" s="1017"/>
      <c r="Z37" s="1017"/>
      <c r="AA37" s="1017"/>
      <c r="AB37" s="1017"/>
      <c r="AC37" s="1017"/>
    </row>
    <row r="38" spans="1:29">
      <c r="A38" s="982"/>
      <c r="B38" s="982"/>
      <c r="C38" s="982"/>
      <c r="D38" s="982"/>
      <c r="E38" s="982"/>
      <c r="F38" s="982"/>
      <c r="G38" s="983"/>
      <c r="H38" s="982"/>
      <c r="I38" s="982"/>
      <c r="J38" s="982"/>
      <c r="K38" s="1057"/>
      <c r="L38" s="1058"/>
      <c r="M38" s="982"/>
      <c r="N38" s="982"/>
      <c r="O38" s="982"/>
    </row>
    <row r="39" spans="1:29">
      <c r="A39" s="982"/>
      <c r="B39" s="982"/>
      <c r="C39" s="982"/>
      <c r="D39" s="982"/>
      <c r="E39" s="982"/>
      <c r="F39" s="982"/>
      <c r="G39" s="982"/>
      <c r="H39" s="982"/>
      <c r="I39" s="982"/>
      <c r="J39" s="982"/>
      <c r="K39" s="1057"/>
      <c r="L39" s="1058"/>
      <c r="M39" s="982"/>
      <c r="N39" s="982"/>
      <c r="O39" s="982"/>
    </row>
    <row r="40" spans="1:29" ht="13.5" customHeight="1">
      <c r="A40" s="982"/>
      <c r="B40" s="982"/>
      <c r="C40" s="984" t="s">
        <v>1365</v>
      </c>
      <c r="D40" s="692"/>
      <c r="E40" s="985" t="e">
        <f>IF(E35&lt;E36,E36/E35-1,E35/E36-1)</f>
        <v>#DIV/0!</v>
      </c>
      <c r="F40" s="986" t="e">
        <f>IF(OR(E40&gt;=0.3,E40&lt;=-0.3),"超过30%","")</f>
        <v>#DIV/0!</v>
      </c>
      <c r="G40" s="985" t="e">
        <f>IF(G35&lt;G36,G36/G35-1,G35/G36-1)</f>
        <v>#DIV/0!</v>
      </c>
      <c r="H40" s="986" t="e">
        <f>IF(OR(G40&gt;=0.3,G40&lt;=-0.3),"超过30%","")</f>
        <v>#DIV/0!</v>
      </c>
      <c r="I40" s="985" t="e">
        <f>IF(I35&lt;I36,I36/I35-1,I35/I36-1)</f>
        <v>#DIV/0!</v>
      </c>
      <c r="J40" s="986" t="e">
        <f>IF(OR(I40&gt;=0.3,I40&lt;=-0.3),"超过30%","")</f>
        <v>#DIV/0!</v>
      </c>
      <c r="K40" s="1057"/>
      <c r="L40" s="1058"/>
      <c r="M40" s="982"/>
      <c r="N40" s="982"/>
      <c r="O40" s="982"/>
    </row>
    <row r="41" spans="1:29" ht="13.5" customHeight="1">
      <c r="A41" s="982"/>
      <c r="B41" s="982"/>
      <c r="C41" s="984" t="s">
        <v>1366</v>
      </c>
      <c r="D41" s="691"/>
      <c r="E41" s="985" t="e">
        <f>IF(E36&lt;G36,G36/E36-1,E36/G36-1)</f>
        <v>#DIV/0!</v>
      </c>
      <c r="F41" s="986" t="e">
        <f>IF(OR(E41&gt;=0.2,E41&lt;=-0.2),"超过20%","")</f>
        <v>#DIV/0!</v>
      </c>
      <c r="G41" s="985" t="e">
        <f>IF(G36&lt;I36,I36/G36-1,G36/I36-1)</f>
        <v>#DIV/0!</v>
      </c>
      <c r="H41" s="986" t="e">
        <f>IF(OR(G41&gt;=0.2,G41&lt;=-0.2),"超过20%","")</f>
        <v>#DIV/0!</v>
      </c>
      <c r="I41" s="985" t="e">
        <f>IF(I36&lt;E36,E36/I36-1,I36/E36-1)</f>
        <v>#DIV/0!</v>
      </c>
      <c r="J41" s="986" t="e">
        <f>IF(OR(I41&gt;=0.2,I41&lt;=-0.2),"超过20%","")</f>
        <v>#DIV/0!</v>
      </c>
      <c r="K41" s="1057"/>
      <c r="L41" s="1058"/>
      <c r="M41" s="982"/>
      <c r="N41" s="982"/>
      <c r="O41" s="982"/>
    </row>
    <row r="42" spans="1:29" s="869" customFormat="1" ht="13.5" customHeight="1">
      <c r="A42" s="987"/>
      <c r="B42" s="987"/>
      <c r="C42" s="984" t="s">
        <v>1367</v>
      </c>
      <c r="D42" s="691"/>
      <c r="E42" s="985" t="e">
        <f>IF(E35&lt;G35,G35/E35-1,E35/G35-1)</f>
        <v>#DIV/0!</v>
      </c>
      <c r="F42" s="986" t="e">
        <f>IF(OR(E42&gt;=0.3,E42&lt;=-0.3),"超过30%","")</f>
        <v>#DIV/0!</v>
      </c>
      <c r="G42" s="985" t="e">
        <f>IF(G35&lt;I35,I35/G35-1,G35/I35-1)</f>
        <v>#DIV/0!</v>
      </c>
      <c r="H42" s="986" t="e">
        <f>IF(OR(G42&gt;=0.3,G42&lt;=-0.3),"超过30%","")</f>
        <v>#DIV/0!</v>
      </c>
      <c r="I42" s="985" t="e">
        <f>IF(I35&lt;E35,E35/I35-1,I35/E35-1)</f>
        <v>#DIV/0!</v>
      </c>
      <c r="J42" s="986" t="e">
        <f>IF(OR(I42&gt;=0.3,I42&lt;=-0.3),"超过30%","")</f>
        <v>#DIV/0!</v>
      </c>
      <c r="K42" s="1059"/>
      <c r="L42" s="1060"/>
      <c r="M42" s="987"/>
      <c r="N42" s="987"/>
      <c r="O42" s="987"/>
    </row>
    <row r="43" spans="1:29" s="869" customFormat="1">
      <c r="A43" s="987"/>
      <c r="B43" s="988"/>
      <c r="C43" s="1014"/>
      <c r="D43" s="987"/>
      <c r="E43" s="987"/>
      <c r="F43" s="987"/>
      <c r="G43" s="987"/>
      <c r="H43" s="987"/>
      <c r="I43" s="987"/>
      <c r="J43" s="987"/>
      <c r="K43" s="1059"/>
      <c r="L43" s="1060"/>
      <c r="M43" s="987"/>
      <c r="N43" s="987"/>
      <c r="O43" s="987"/>
    </row>
    <row r="44" spans="1:29">
      <c r="A44" s="982"/>
      <c r="B44" s="988"/>
      <c r="C44" s="1014"/>
      <c r="D44" s="982"/>
      <c r="E44" s="982"/>
      <c r="F44" s="982"/>
      <c r="G44" s="982"/>
      <c r="H44" s="982"/>
      <c r="I44" s="982"/>
      <c r="J44" s="982"/>
      <c r="K44" s="1057"/>
      <c r="L44" s="1058"/>
      <c r="M44" s="982"/>
      <c r="N44" s="982"/>
      <c r="O44" s="982"/>
    </row>
    <row r="45" spans="1:29" ht="21">
      <c r="A45" s="1016" t="s">
        <v>1368</v>
      </c>
      <c r="B45" s="1017"/>
      <c r="C45" s="1018"/>
      <c r="D45" s="1018"/>
      <c r="E45" s="1018"/>
      <c r="F45" s="1019"/>
      <c r="G45" s="1019"/>
      <c r="H45" s="1018"/>
      <c r="I45" s="1018"/>
      <c r="J45" s="1018"/>
      <c r="K45" s="1065"/>
      <c r="L45" s="1066"/>
      <c r="M45" s="1018"/>
      <c r="N45" s="1018"/>
      <c r="O45" s="1018"/>
      <c r="P45" s="1068"/>
      <c r="Q45" s="1080"/>
    </row>
    <row r="46" spans="1:29" s="871" customFormat="1" ht="15">
      <c r="A46" s="1364" t="s">
        <v>1334</v>
      </c>
      <c r="B46" s="1365"/>
      <c r="C46" s="1366" t="str">
        <f>YEAR(C7)&amp;"-"&amp;MONTH(C7)</f>
        <v>2018-9</v>
      </c>
      <c r="D46" s="1367">
        <f>EDATE(C46,-1)</f>
        <v>43313</v>
      </c>
      <c r="E46" s="1367">
        <f t="shared" ref="E46:O46" si="16">EDATE(D46,-1)</f>
        <v>43282</v>
      </c>
      <c r="F46" s="1367">
        <f t="shared" si="16"/>
        <v>43252</v>
      </c>
      <c r="G46" s="1367">
        <f t="shared" si="16"/>
        <v>43221</v>
      </c>
      <c r="H46" s="1367">
        <f t="shared" si="16"/>
        <v>43191</v>
      </c>
      <c r="I46" s="1367">
        <f t="shared" si="16"/>
        <v>43160</v>
      </c>
      <c r="J46" s="1367">
        <f t="shared" si="16"/>
        <v>43132</v>
      </c>
      <c r="K46" s="1367">
        <f t="shared" si="16"/>
        <v>43101</v>
      </c>
      <c r="L46" s="1367">
        <f t="shared" si="16"/>
        <v>43070</v>
      </c>
      <c r="M46" s="1367">
        <f t="shared" si="16"/>
        <v>43040</v>
      </c>
      <c r="N46" s="1367">
        <f t="shared" si="16"/>
        <v>43009</v>
      </c>
      <c r="O46" s="1367">
        <f t="shared" si="16"/>
        <v>42979</v>
      </c>
      <c r="P46" s="1143"/>
    </row>
    <row r="47" spans="1:29" s="866" customFormat="1" ht="15">
      <c r="A47" s="1368"/>
      <c r="B47" s="1100"/>
      <c r="C47" s="1369">
        <v>100</v>
      </c>
      <c r="D47" s="1104"/>
      <c r="E47" s="1104"/>
      <c r="F47" s="1104"/>
      <c r="G47" s="1104"/>
      <c r="H47" s="1104"/>
      <c r="I47" s="1104"/>
      <c r="J47" s="1104"/>
      <c r="K47" s="1104"/>
      <c r="L47" s="1104"/>
      <c r="M47" s="1376"/>
      <c r="N47" s="1104"/>
      <c r="O47" s="1152"/>
      <c r="P47" s="1080"/>
    </row>
    <row r="48" spans="1:29" s="866" customFormat="1" ht="15">
      <c r="A48" s="1095" t="s">
        <v>1369</v>
      </c>
      <c r="B48" s="1096"/>
      <c r="C48" s="1097"/>
      <c r="D48" s="1098"/>
      <c r="E48" s="1098"/>
      <c r="F48" s="1098"/>
      <c r="G48" s="1098"/>
      <c r="H48" s="1098"/>
      <c r="I48" s="1098"/>
      <c r="J48" s="1098"/>
      <c r="K48" s="1098"/>
      <c r="L48" s="1098"/>
      <c r="M48" s="1146"/>
      <c r="N48" s="1098"/>
      <c r="O48" s="1147"/>
      <c r="P48" s="1080"/>
      <c r="Q48" s="1080"/>
    </row>
    <row r="49" spans="1:17" s="866" customFormat="1" ht="15">
      <c r="A49" s="1099" t="s">
        <v>1337</v>
      </c>
      <c r="B49" s="1100"/>
      <c r="C49" s="1101" t="s">
        <v>1338</v>
      </c>
      <c r="D49" s="1102"/>
      <c r="E49" s="1102"/>
      <c r="F49" s="1102"/>
      <c r="G49" s="1102"/>
      <c r="H49" s="1102"/>
      <c r="I49" s="1102"/>
      <c r="J49" s="1102"/>
      <c r="K49" s="1102"/>
      <c r="L49" s="1148"/>
      <c r="M49" s="1149"/>
      <c r="N49" s="1150"/>
      <c r="O49" s="1150"/>
      <c r="P49" s="1151"/>
      <c r="Q49" s="1080"/>
    </row>
    <row r="50" spans="1:17" s="866" customFormat="1" ht="15">
      <c r="A50" s="1099"/>
      <c r="B50" s="1100"/>
      <c r="C50" s="1103">
        <v>100</v>
      </c>
      <c r="D50" s="1104"/>
      <c r="E50" s="1104"/>
      <c r="F50" s="1104"/>
      <c r="G50" s="1104"/>
      <c r="H50" s="1104"/>
      <c r="I50" s="1104"/>
      <c r="J50" s="1104"/>
      <c r="K50" s="1104"/>
      <c r="L50" s="1104"/>
      <c r="M50" s="1152"/>
      <c r="N50" s="1150"/>
      <c r="O50" s="1150"/>
      <c r="P50" s="1080"/>
      <c r="Q50" s="1080"/>
    </row>
    <row r="51" spans="1:17">
      <c r="A51" s="1105" t="s">
        <v>1370</v>
      </c>
      <c r="B51" s="1106" t="s">
        <v>346</v>
      </c>
      <c r="C51" s="1128">
        <f>C9</f>
        <v>0</v>
      </c>
      <c r="D51" s="1050"/>
      <c r="E51" s="1050"/>
      <c r="F51" s="1050"/>
      <c r="G51" s="1050"/>
      <c r="H51" s="1050"/>
      <c r="I51" s="1050"/>
      <c r="J51" s="1050"/>
      <c r="K51" s="1153"/>
      <c r="L51" s="1154"/>
      <c r="M51" s="1155"/>
      <c r="N51" s="1156"/>
      <c r="O51" s="1156"/>
      <c r="P51" s="1157"/>
      <c r="Q51" s="1080"/>
    </row>
    <row r="52" spans="1:17" ht="15">
      <c r="A52" s="1107"/>
      <c r="B52" s="1108"/>
      <c r="C52" s="1109">
        <v>100</v>
      </c>
      <c r="D52" s="1109"/>
      <c r="E52" s="1109"/>
      <c r="F52" s="1109"/>
      <c r="G52" s="1109"/>
      <c r="H52" s="1109"/>
      <c r="I52" s="1109"/>
      <c r="J52" s="1109"/>
      <c r="K52" s="1109"/>
      <c r="L52" s="1109"/>
      <c r="M52" s="1158"/>
      <c r="N52" s="1159"/>
      <c r="O52" s="1159"/>
      <c r="P52" s="1157"/>
      <c r="Q52" s="1080"/>
    </row>
    <row r="53" spans="1:17" ht="27">
      <c r="A53" s="1107"/>
      <c r="B53" s="1110" t="s">
        <v>1343</v>
      </c>
      <c r="C53" s="1111" t="s">
        <v>1371</v>
      </c>
      <c r="D53" s="1111" t="s">
        <v>1372</v>
      </c>
      <c r="E53" s="1111" t="s">
        <v>1373</v>
      </c>
      <c r="F53" s="1111" t="s">
        <v>1374</v>
      </c>
      <c r="G53" s="1111" t="s">
        <v>1375</v>
      </c>
      <c r="H53" s="1111" t="s">
        <v>1376</v>
      </c>
      <c r="I53" s="1111" t="s">
        <v>1377</v>
      </c>
      <c r="J53" s="1111"/>
      <c r="K53" s="1160"/>
      <c r="L53" s="1161"/>
      <c r="M53" s="1162"/>
      <c r="N53" s="1156"/>
      <c r="O53" s="1156"/>
      <c r="P53" s="1157"/>
      <c r="Q53" s="1080"/>
    </row>
    <row r="54" spans="1:17" ht="15">
      <c r="A54" s="1107"/>
      <c r="B54" s="1112"/>
      <c r="C54" s="1113" t="s">
        <v>1417</v>
      </c>
      <c r="D54" s="1113" t="s">
        <v>1417</v>
      </c>
      <c r="E54" s="1113">
        <v>100</v>
      </c>
      <c r="F54" s="1113">
        <f>E54-$K10</f>
        <v>100</v>
      </c>
      <c r="G54" s="1113">
        <f>F54-$K10</f>
        <v>100</v>
      </c>
      <c r="H54" s="1113">
        <f>G54-$K10</f>
        <v>100</v>
      </c>
      <c r="I54" s="1113">
        <f>H54-$K10</f>
        <v>100</v>
      </c>
      <c r="J54" s="1113"/>
      <c r="K54" s="1113"/>
      <c r="L54" s="1113"/>
      <c r="M54" s="1163"/>
      <c r="N54" s="1159"/>
      <c r="O54" s="1159"/>
      <c r="P54" s="1157"/>
      <c r="Q54" s="1080"/>
    </row>
    <row r="55" spans="1:17" ht="15">
      <c r="A55" s="1107"/>
      <c r="B55" s="1134">
        <f>B11</f>
        <v>111</v>
      </c>
      <c r="C55" s="913"/>
      <c r="D55" s="913"/>
      <c r="E55" s="913"/>
      <c r="F55" s="913"/>
      <c r="G55" s="913"/>
      <c r="H55" s="913"/>
      <c r="I55" s="913"/>
      <c r="J55" s="913"/>
      <c r="K55" s="1164"/>
      <c r="L55" s="1165"/>
      <c r="M55" s="1166"/>
      <c r="N55" s="1156"/>
      <c r="O55" s="1156"/>
      <c r="P55" s="1157"/>
      <c r="Q55" s="1080"/>
    </row>
    <row r="56" spans="1:17" ht="15">
      <c r="A56" s="1107"/>
      <c r="B56" s="1108"/>
      <c r="C56" s="1120"/>
      <c r="D56" s="1109"/>
      <c r="E56" s="1109"/>
      <c r="F56" s="1109"/>
      <c r="G56" s="1109"/>
      <c r="H56" s="1109"/>
      <c r="I56" s="1109"/>
      <c r="J56" s="1109"/>
      <c r="K56" s="1109"/>
      <c r="L56" s="1109"/>
      <c r="M56" s="1158"/>
      <c r="N56" s="1159"/>
      <c r="O56" s="1159"/>
      <c r="P56" s="1157"/>
      <c r="Q56" s="1080"/>
    </row>
    <row r="57" spans="1:17" s="868" customFormat="1" ht="15">
      <c r="A57" s="1117"/>
      <c r="B57" s="1110">
        <f>B12</f>
        <v>111</v>
      </c>
      <c r="C57" s="913"/>
      <c r="D57" s="913"/>
      <c r="E57" s="913"/>
      <c r="F57" s="913"/>
      <c r="G57" s="1118"/>
      <c r="H57" s="1119"/>
      <c r="I57" s="1119"/>
      <c r="J57" s="1119"/>
      <c r="K57" s="1119"/>
      <c r="L57" s="1167"/>
      <c r="M57" s="1168"/>
      <c r="N57" s="1169"/>
      <c r="O57" s="1169"/>
      <c r="P57" s="1170"/>
      <c r="Q57" s="1200"/>
    </row>
    <row r="58" spans="1:17" s="868" customFormat="1" ht="15">
      <c r="A58" s="1117"/>
      <c r="B58" s="1112"/>
      <c r="C58" s="1120"/>
      <c r="D58" s="1109"/>
      <c r="E58" s="1109"/>
      <c r="F58" s="1109"/>
      <c r="G58" s="1109"/>
      <c r="H58" s="1109"/>
      <c r="I58" s="1109"/>
      <c r="J58" s="1109"/>
      <c r="K58" s="1109"/>
      <c r="L58" s="1109"/>
      <c r="M58" s="1158"/>
      <c r="N58" s="1159"/>
      <c r="O58" s="1159"/>
      <c r="P58" s="1170"/>
      <c r="Q58" s="1200"/>
    </row>
    <row r="59" spans="1:17" s="868" customFormat="1" ht="15">
      <c r="A59" s="1117"/>
      <c r="B59" s="1110">
        <f>B13</f>
        <v>111</v>
      </c>
      <c r="C59" s="913"/>
      <c r="D59" s="913"/>
      <c r="E59" s="913"/>
      <c r="F59" s="913"/>
      <c r="G59" s="1118"/>
      <c r="H59" s="1119"/>
      <c r="I59" s="1119"/>
      <c r="J59" s="1119"/>
      <c r="K59" s="1119"/>
      <c r="L59" s="1167"/>
      <c r="M59" s="1168"/>
      <c r="N59" s="1169"/>
      <c r="O59" s="1169"/>
      <c r="P59" s="1171"/>
      <c r="Q59" s="1201"/>
    </row>
    <row r="60" spans="1:17" s="868" customFormat="1" ht="15">
      <c r="A60" s="1117"/>
      <c r="B60" s="1112"/>
      <c r="C60" s="1120"/>
      <c r="D60" s="1120"/>
      <c r="E60" s="1120"/>
      <c r="F60" s="1120"/>
      <c r="G60" s="1120"/>
      <c r="H60" s="1121"/>
      <c r="I60" s="1121"/>
      <c r="J60" s="1121"/>
      <c r="K60" s="1121"/>
      <c r="L60" s="1121"/>
      <c r="M60" s="1172"/>
      <c r="N60" s="1169"/>
      <c r="O60" s="1169"/>
      <c r="P60" s="1170"/>
      <c r="Q60" s="1200"/>
    </row>
    <row r="61" spans="1:17">
      <c r="A61" s="1105" t="s">
        <v>1345</v>
      </c>
      <c r="B61" s="1106" t="s">
        <v>648</v>
      </c>
      <c r="C61" s="1127" t="s">
        <v>1378</v>
      </c>
      <c r="D61" s="1127" t="s">
        <v>1379</v>
      </c>
      <c r="E61" s="1127" t="s">
        <v>1380</v>
      </c>
      <c r="F61" s="1127" t="s">
        <v>1381</v>
      </c>
      <c r="G61" s="1127" t="s">
        <v>1382</v>
      </c>
      <c r="H61" s="1128"/>
      <c r="I61" s="1128"/>
      <c r="J61" s="1128"/>
      <c r="K61" s="1177"/>
      <c r="L61" s="1178"/>
      <c r="M61" s="1179"/>
      <c r="N61" s="1156"/>
      <c r="O61" s="1156"/>
      <c r="P61" s="1180"/>
      <c r="Q61" s="1080"/>
    </row>
    <row r="62" spans="1:17" ht="15">
      <c r="A62" s="1107"/>
      <c r="B62" s="1112"/>
      <c r="C62" s="1113">
        <v>100</v>
      </c>
      <c r="D62" s="1113">
        <f>C62-$K14</f>
        <v>100</v>
      </c>
      <c r="E62" s="1113">
        <f>D62-$K14</f>
        <v>100</v>
      </c>
      <c r="F62" s="1113">
        <f>E62-$K14</f>
        <v>100</v>
      </c>
      <c r="G62" s="1113">
        <f>F62-$K14</f>
        <v>100</v>
      </c>
      <c r="H62" s="1113"/>
      <c r="I62" s="1113"/>
      <c r="J62" s="1113"/>
      <c r="K62" s="1113"/>
      <c r="L62" s="1113"/>
      <c r="M62" s="1163"/>
      <c r="N62" s="1159"/>
      <c r="O62" s="1159"/>
      <c r="P62" s="1157"/>
      <c r="Q62" s="1080"/>
    </row>
    <row r="63" spans="1:17" ht="27">
      <c r="A63" s="1107"/>
      <c r="B63" s="1110" t="s">
        <v>1442</v>
      </c>
      <c r="C63" s="1129" t="s">
        <v>1378</v>
      </c>
      <c r="D63" s="1129" t="s">
        <v>1379</v>
      </c>
      <c r="E63" s="1129" t="s">
        <v>1380</v>
      </c>
      <c r="F63" s="1129" t="s">
        <v>1381</v>
      </c>
      <c r="G63" s="1129" t="s">
        <v>1382</v>
      </c>
      <c r="H63" s="1111"/>
      <c r="I63" s="1111"/>
      <c r="J63" s="1111"/>
      <c r="K63" s="1160"/>
      <c r="L63" s="1161"/>
      <c r="M63" s="1162"/>
      <c r="N63" s="1156"/>
      <c r="O63" s="1156"/>
      <c r="P63" s="1157"/>
      <c r="Q63" s="1080"/>
    </row>
    <row r="64" spans="1:17" ht="15">
      <c r="A64" s="1107"/>
      <c r="B64" s="1112"/>
      <c r="C64" s="1113">
        <v>100</v>
      </c>
      <c r="D64" s="1113">
        <f>C64-$K16</f>
        <v>100</v>
      </c>
      <c r="E64" s="1113">
        <f>D64-$K16</f>
        <v>100</v>
      </c>
      <c r="F64" s="1113">
        <f>E64-$K16</f>
        <v>100</v>
      </c>
      <c r="G64" s="1113">
        <f>F64-$K16</f>
        <v>100</v>
      </c>
      <c r="H64" s="1113"/>
      <c r="I64" s="1113"/>
      <c r="J64" s="1113"/>
      <c r="K64" s="1113"/>
      <c r="L64" s="1113"/>
      <c r="M64" s="1163"/>
      <c r="N64" s="1159"/>
      <c r="O64" s="1159"/>
      <c r="P64" s="1157"/>
      <c r="Q64" s="1080"/>
    </row>
    <row r="65" spans="1:17" ht="15">
      <c r="A65" s="1107"/>
      <c r="B65" s="1114" t="s">
        <v>654</v>
      </c>
      <c r="C65" s="1134" t="s">
        <v>1383</v>
      </c>
      <c r="D65" s="1134" t="s">
        <v>1384</v>
      </c>
      <c r="E65" s="1134" t="s">
        <v>1385</v>
      </c>
      <c r="F65" s="1134" t="s">
        <v>1386</v>
      </c>
      <c r="G65" s="1134" t="s">
        <v>1387</v>
      </c>
      <c r="H65" s="1111"/>
      <c r="I65" s="1111"/>
      <c r="J65" s="1111"/>
      <c r="K65" s="1111"/>
      <c r="L65" s="1111"/>
      <c r="M65" s="1381"/>
      <c r="N65" s="1159"/>
      <c r="O65" s="1159"/>
      <c r="P65" s="1157"/>
      <c r="Q65" s="1080"/>
    </row>
    <row r="66" spans="1:17" ht="15">
      <c r="A66" s="1107"/>
      <c r="B66" s="1114"/>
      <c r="C66" s="1113">
        <v>100</v>
      </c>
      <c r="D66" s="1113">
        <f>C66-$K18</f>
        <v>100</v>
      </c>
      <c r="E66" s="1113">
        <f>D66-$K18</f>
        <v>100</v>
      </c>
      <c r="F66" s="1113">
        <f>E66-$K18</f>
        <v>100</v>
      </c>
      <c r="G66" s="1113">
        <f>F66-$K18</f>
        <v>100</v>
      </c>
      <c r="H66" s="1134"/>
      <c r="I66" s="1134"/>
      <c r="J66" s="1134"/>
      <c r="K66" s="1134"/>
      <c r="L66" s="1134"/>
      <c r="M66" s="930"/>
      <c r="N66" s="1159"/>
      <c r="O66" s="1159"/>
      <c r="P66" s="1157"/>
      <c r="Q66" s="1080"/>
    </row>
    <row r="67" spans="1:17" ht="15">
      <c r="A67" s="1107"/>
      <c r="B67" s="1110" t="s">
        <v>658</v>
      </c>
      <c r="C67" s="1129" t="s">
        <v>1378</v>
      </c>
      <c r="D67" s="1129" t="s">
        <v>1379</v>
      </c>
      <c r="E67" s="1129" t="s">
        <v>1380</v>
      </c>
      <c r="F67" s="1129" t="s">
        <v>1381</v>
      </c>
      <c r="G67" s="1129" t="s">
        <v>1382</v>
      </c>
      <c r="H67" s="1111"/>
      <c r="I67" s="1111"/>
      <c r="J67" s="1111"/>
      <c r="K67" s="1160"/>
      <c r="L67" s="1161"/>
      <c r="M67" s="1162"/>
      <c r="N67" s="1156"/>
      <c r="O67" s="1156"/>
      <c r="P67" s="1157"/>
      <c r="Q67" s="1080"/>
    </row>
    <row r="68" spans="1:17" ht="15">
      <c r="A68" s="1107"/>
      <c r="B68" s="1112"/>
      <c r="C68" s="1113">
        <v>100</v>
      </c>
      <c r="D68" s="1113">
        <f>C68-$K20</f>
        <v>100</v>
      </c>
      <c r="E68" s="1113">
        <f>D68-$K20</f>
        <v>100</v>
      </c>
      <c r="F68" s="1113">
        <f>E68-$K20</f>
        <v>100</v>
      </c>
      <c r="G68" s="1113">
        <f>F68-$K20</f>
        <v>100</v>
      </c>
      <c r="H68" s="1113"/>
      <c r="I68" s="1113"/>
      <c r="J68" s="1113"/>
      <c r="K68" s="1113"/>
      <c r="L68" s="1113"/>
      <c r="M68" s="1163"/>
      <c r="N68" s="1159"/>
      <c r="O68" s="1159"/>
      <c r="P68" s="1157"/>
      <c r="Q68" s="1080"/>
    </row>
    <row r="69" spans="1:17" ht="15">
      <c r="A69" s="1107"/>
      <c r="B69" s="1110" t="s">
        <v>1411</v>
      </c>
      <c r="C69" s="1118"/>
      <c r="D69" s="1118"/>
      <c r="E69" s="1118"/>
      <c r="F69" s="1118"/>
      <c r="G69" s="1118"/>
      <c r="H69" s="1135"/>
      <c r="I69" s="1135"/>
      <c r="J69" s="1135"/>
      <c r="K69" s="1187"/>
      <c r="L69" s="1188"/>
      <c r="M69" s="1189"/>
      <c r="N69" s="1156"/>
      <c r="O69" s="1156"/>
      <c r="P69" s="1157"/>
      <c r="Q69" s="1080"/>
    </row>
    <row r="70" spans="1:17" ht="15">
      <c r="A70" s="1107"/>
      <c r="B70" s="1112"/>
      <c r="C70" s="1113">
        <v>100</v>
      </c>
      <c r="D70" s="1113">
        <f>C70-$K22</f>
        <v>100</v>
      </c>
      <c r="E70" s="1113"/>
      <c r="F70" s="1113"/>
      <c r="G70" s="1113"/>
      <c r="H70" s="1113"/>
      <c r="I70" s="1113"/>
      <c r="J70" s="1113"/>
      <c r="K70" s="1113"/>
      <c r="L70" s="1113"/>
      <c r="M70" s="1163"/>
      <c r="N70" s="1159"/>
      <c r="O70" s="1159"/>
      <c r="P70" s="1157"/>
      <c r="Q70" s="1080"/>
    </row>
    <row r="71" spans="1:17" s="866" customFormat="1" ht="15">
      <c r="A71" s="1130"/>
      <c r="B71" s="1110">
        <f>B23</f>
        <v>111</v>
      </c>
      <c r="C71" s="913"/>
      <c r="D71" s="913"/>
      <c r="E71" s="913"/>
      <c r="F71" s="913"/>
      <c r="G71" s="1118"/>
      <c r="H71" s="1118"/>
      <c r="I71" s="1118"/>
      <c r="J71" s="1118"/>
      <c r="K71" s="1118"/>
      <c r="L71" s="1382"/>
      <c r="M71" s="1383"/>
      <c r="N71" s="1150"/>
      <c r="O71" s="1150"/>
      <c r="P71" s="1157"/>
      <c r="Q71" s="1080"/>
    </row>
    <row r="72" spans="1:17" s="866" customFormat="1" ht="15">
      <c r="A72" s="1130"/>
      <c r="B72" s="1112"/>
      <c r="C72" s="1120"/>
      <c r="D72" s="1109"/>
      <c r="E72" s="1109"/>
      <c r="F72" s="1109"/>
      <c r="G72" s="1109"/>
      <c r="H72" s="1109"/>
      <c r="I72" s="1109"/>
      <c r="J72" s="1109"/>
      <c r="K72" s="1109"/>
      <c r="L72" s="1109"/>
      <c r="M72" s="1158"/>
      <c r="N72" s="1159"/>
      <c r="O72" s="1159"/>
      <c r="P72" s="1157"/>
      <c r="Q72" s="1080"/>
    </row>
    <row r="73" spans="1:17" s="866" customFormat="1" ht="15">
      <c r="A73" s="1130"/>
      <c r="B73" s="1110">
        <f>B24</f>
        <v>111</v>
      </c>
      <c r="C73" s="913"/>
      <c r="D73" s="913"/>
      <c r="E73" s="913"/>
      <c r="F73" s="913"/>
      <c r="G73" s="1118"/>
      <c r="H73" s="1118"/>
      <c r="I73" s="1118"/>
      <c r="J73" s="1118"/>
      <c r="K73" s="1118"/>
      <c r="L73" s="1118"/>
      <c r="M73" s="1383"/>
      <c r="N73" s="1150"/>
      <c r="O73" s="1150"/>
      <c r="P73" s="1157"/>
      <c r="Q73" s="1080"/>
    </row>
    <row r="74" spans="1:17" s="866" customFormat="1" ht="15">
      <c r="A74" s="1130"/>
      <c r="B74" s="1112"/>
      <c r="C74" s="1120"/>
      <c r="D74" s="1109"/>
      <c r="E74" s="1109"/>
      <c r="F74" s="1109"/>
      <c r="G74" s="1109"/>
      <c r="H74" s="1109"/>
      <c r="I74" s="1109"/>
      <c r="J74" s="1109"/>
      <c r="K74" s="1109"/>
      <c r="L74" s="1109"/>
      <c r="M74" s="1158"/>
      <c r="N74" s="1159"/>
      <c r="O74" s="1159"/>
      <c r="P74" s="1157"/>
      <c r="Q74" s="1080"/>
    </row>
    <row r="75" spans="1:17" s="868" customFormat="1" ht="15">
      <c r="A75" s="1117"/>
      <c r="B75" s="1110">
        <f>B25</f>
        <v>111</v>
      </c>
      <c r="C75" s="913"/>
      <c r="D75" s="913"/>
      <c r="E75" s="913"/>
      <c r="F75" s="913"/>
      <c r="G75" s="1118"/>
      <c r="H75" s="1119"/>
      <c r="I75" s="1119"/>
      <c r="J75" s="1119"/>
      <c r="K75" s="1119"/>
      <c r="L75" s="1167"/>
      <c r="M75" s="1168"/>
      <c r="N75" s="1169"/>
      <c r="O75" s="1169"/>
      <c r="P75" s="1170"/>
      <c r="Q75" s="1200"/>
    </row>
    <row r="76" spans="1:17" s="868" customFormat="1" ht="15">
      <c r="A76" s="1117"/>
      <c r="B76" s="1112"/>
      <c r="C76" s="1120"/>
      <c r="D76" s="1120"/>
      <c r="E76" s="1120"/>
      <c r="F76" s="1120"/>
      <c r="G76" s="1109"/>
      <c r="H76" s="1109"/>
      <c r="I76" s="1109"/>
      <c r="J76" s="1109"/>
      <c r="K76" s="1109"/>
      <c r="L76" s="1109"/>
      <c r="M76" s="1158"/>
      <c r="N76" s="1169"/>
      <c r="O76" s="1169"/>
      <c r="P76" s="1170"/>
      <c r="Q76" s="1200"/>
    </row>
    <row r="77" spans="1:17">
      <c r="A77" s="1105" t="s">
        <v>1349</v>
      </c>
      <c r="B77" s="1106" t="s">
        <v>1355</v>
      </c>
      <c r="C77" s="1118"/>
      <c r="D77" s="1118"/>
      <c r="E77" s="1050"/>
      <c r="F77" s="1050"/>
      <c r="G77" s="1050"/>
      <c r="H77" s="1050"/>
      <c r="I77" s="1050"/>
      <c r="J77" s="1050"/>
      <c r="K77" s="1153"/>
      <c r="L77" s="1154"/>
      <c r="M77" s="1155"/>
      <c r="N77" s="1156"/>
      <c r="O77" s="1156"/>
      <c r="P77" s="1157"/>
      <c r="Q77" s="1080"/>
    </row>
    <row r="78" spans="1:17" ht="15">
      <c r="A78" s="1107"/>
      <c r="B78" s="1112"/>
      <c r="C78" s="1113">
        <v>100</v>
      </c>
      <c r="D78" s="1113">
        <f t="shared" ref="D78:M78" si="17">C78-$K26</f>
        <v>100</v>
      </c>
      <c r="E78" s="1113">
        <f t="shared" si="17"/>
        <v>100</v>
      </c>
      <c r="F78" s="1113">
        <f t="shared" si="17"/>
        <v>100</v>
      </c>
      <c r="G78" s="1113">
        <f t="shared" si="17"/>
        <v>100</v>
      </c>
      <c r="H78" s="1113">
        <f t="shared" si="17"/>
        <v>100</v>
      </c>
      <c r="I78" s="1113">
        <f t="shared" si="17"/>
        <v>100</v>
      </c>
      <c r="J78" s="1113">
        <f t="shared" si="17"/>
        <v>100</v>
      </c>
      <c r="K78" s="1113">
        <f t="shared" si="17"/>
        <v>100</v>
      </c>
      <c r="L78" s="1113">
        <f t="shared" si="17"/>
        <v>100</v>
      </c>
      <c r="M78" s="1163">
        <f t="shared" si="17"/>
        <v>100</v>
      </c>
      <c r="N78" s="1159"/>
      <c r="O78" s="1159"/>
      <c r="P78" s="1157"/>
      <c r="Q78" s="1080"/>
    </row>
    <row r="79" spans="1:17" ht="15">
      <c r="A79" s="1107"/>
      <c r="B79" s="1110" t="s">
        <v>1431</v>
      </c>
      <c r="C79" s="1129" t="str">
        <f>C80&amp;"(含)"&amp;"-"&amp;D80</f>
        <v>0.5(含)-0.6</v>
      </c>
      <c r="D79" s="1129" t="str">
        <f>D80&amp;"(含)"&amp;"-"&amp;E80</f>
        <v>0.6(含)-0.7</v>
      </c>
      <c r="E79" s="1129" t="str">
        <f>E80&amp;"(含)"&amp;"-"&amp;F80</f>
        <v>0.7(含)-0.8</v>
      </c>
      <c r="F79" s="1129" t="str">
        <f>F80&amp;"(含)"&amp;"-"&amp;G80</f>
        <v>0.8(含)-0.9</v>
      </c>
      <c r="G79" s="1129" t="str">
        <f>G80&amp;"(含)"&amp;"-"&amp;ROUND(H80,0)&amp;"(含)"</f>
        <v>0.9(含)-1(含)</v>
      </c>
      <c r="H79" s="1129"/>
      <c r="I79" s="1111"/>
      <c r="J79" s="1111"/>
      <c r="K79" s="1160"/>
      <c r="L79" s="1161"/>
      <c r="M79" s="1162"/>
      <c r="N79" s="1150"/>
      <c r="O79" s="1150"/>
      <c r="P79" s="1157"/>
      <c r="Q79" s="1080"/>
    </row>
    <row r="80" spans="1:17" ht="15">
      <c r="A80" s="1107"/>
      <c r="B80" s="1114"/>
      <c r="C80" s="801">
        <v>0.5</v>
      </c>
      <c r="D80" s="801">
        <v>0.6</v>
      </c>
      <c r="E80" s="801">
        <v>0.7</v>
      </c>
      <c r="F80" s="801">
        <v>0.8</v>
      </c>
      <c r="G80" s="801">
        <v>0.9</v>
      </c>
      <c r="H80" s="801">
        <v>1.0001</v>
      </c>
      <c r="I80" s="1134"/>
      <c r="J80" s="1134"/>
      <c r="K80" s="1384"/>
      <c r="L80" s="1385"/>
      <c r="M80" s="1386"/>
      <c r="N80" s="1150"/>
      <c r="O80" s="1150"/>
      <c r="P80" s="1157"/>
      <c r="Q80" s="1080"/>
    </row>
    <row r="81" spans="1:17" s="868" customFormat="1" ht="15">
      <c r="A81" s="1117"/>
      <c r="B81" s="1112"/>
      <c r="C81" s="1131">
        <v>100</v>
      </c>
      <c r="D81" s="1113">
        <f t="shared" ref="D81:M81" si="18">C81+$K27</f>
        <v>100</v>
      </c>
      <c r="E81" s="1113">
        <f t="shared" si="18"/>
        <v>100</v>
      </c>
      <c r="F81" s="1113">
        <f t="shared" si="18"/>
        <v>100</v>
      </c>
      <c r="G81" s="1113">
        <f t="shared" si="18"/>
        <v>100</v>
      </c>
      <c r="H81" s="1113">
        <f t="shared" si="18"/>
        <v>100</v>
      </c>
      <c r="I81" s="1113">
        <f t="shared" si="18"/>
        <v>100</v>
      </c>
      <c r="J81" s="1113">
        <f t="shared" si="18"/>
        <v>100</v>
      </c>
      <c r="K81" s="1113">
        <f t="shared" si="18"/>
        <v>100</v>
      </c>
      <c r="L81" s="1113">
        <f t="shared" si="18"/>
        <v>100</v>
      </c>
      <c r="M81" s="1113">
        <f t="shared" si="18"/>
        <v>100</v>
      </c>
      <c r="N81" s="1159"/>
      <c r="O81" s="1159"/>
      <c r="P81" s="1170"/>
      <c r="Q81" s="1200"/>
    </row>
    <row r="82" spans="1:17">
      <c r="A82" s="1141"/>
      <c r="B82" s="1114" t="s">
        <v>1432</v>
      </c>
      <c r="C82" s="1118"/>
      <c r="D82" s="1118"/>
      <c r="E82" s="1135"/>
      <c r="F82" s="1135"/>
      <c r="G82" s="1135"/>
      <c r="H82" s="1135"/>
      <c r="I82" s="1135"/>
      <c r="J82" s="1135"/>
      <c r="K82" s="1187"/>
      <c r="L82" s="1188"/>
      <c r="M82" s="1189"/>
      <c r="N82" s="1156"/>
      <c r="O82" s="1156"/>
      <c r="P82" s="1157"/>
      <c r="Q82" s="1080"/>
    </row>
    <row r="83" spans="1:17" ht="15">
      <c r="A83" s="1107"/>
      <c r="B83" s="1112"/>
      <c r="C83" s="1113">
        <v>100</v>
      </c>
      <c r="D83" s="1113">
        <f t="shared" ref="D83:M83" si="19">C83-$K28</f>
        <v>100</v>
      </c>
      <c r="E83" s="1113">
        <f t="shared" si="19"/>
        <v>100</v>
      </c>
      <c r="F83" s="1113">
        <f t="shared" si="19"/>
        <v>100</v>
      </c>
      <c r="G83" s="1113">
        <f t="shared" si="19"/>
        <v>100</v>
      </c>
      <c r="H83" s="1113">
        <f t="shared" si="19"/>
        <v>100</v>
      </c>
      <c r="I83" s="1113">
        <f t="shared" si="19"/>
        <v>100</v>
      </c>
      <c r="J83" s="1113">
        <f t="shared" si="19"/>
        <v>100</v>
      </c>
      <c r="K83" s="1113">
        <f t="shared" si="19"/>
        <v>100</v>
      </c>
      <c r="L83" s="1113">
        <f t="shared" si="19"/>
        <v>100</v>
      </c>
      <c r="M83" s="1163">
        <f t="shared" si="19"/>
        <v>100</v>
      </c>
      <c r="N83" s="1159"/>
      <c r="O83" s="1159"/>
      <c r="P83" s="1157"/>
      <c r="Q83" s="1080"/>
    </row>
    <row r="84" spans="1:17">
      <c r="A84" s="1141"/>
      <c r="B84" s="1110" t="s">
        <v>1440</v>
      </c>
      <c r="C84" s="1118"/>
      <c r="D84" s="1118"/>
      <c r="E84" s="1118"/>
      <c r="F84" s="1118"/>
      <c r="G84" s="1118"/>
      <c r="H84" s="1118"/>
      <c r="I84" s="1135"/>
      <c r="J84" s="1135"/>
      <c r="K84" s="1187"/>
      <c r="L84" s="1188"/>
      <c r="M84" s="1189"/>
      <c r="N84" s="1156"/>
      <c r="O84" s="1156"/>
      <c r="P84" s="1157"/>
      <c r="Q84" s="1080"/>
    </row>
    <row r="85" spans="1:17" ht="15">
      <c r="A85" s="1107"/>
      <c r="B85" s="1112"/>
      <c r="C85" s="1131">
        <v>100</v>
      </c>
      <c r="D85" s="1113">
        <f t="shared" ref="D85:M85" si="20">C85+$K29</f>
        <v>100</v>
      </c>
      <c r="E85" s="1113">
        <f t="shared" si="20"/>
        <v>100</v>
      </c>
      <c r="F85" s="1113">
        <f t="shared" si="20"/>
        <v>100</v>
      </c>
      <c r="G85" s="1113">
        <f t="shared" si="20"/>
        <v>100</v>
      </c>
      <c r="H85" s="1113">
        <f t="shared" si="20"/>
        <v>100</v>
      </c>
      <c r="I85" s="1113">
        <f t="shared" si="20"/>
        <v>100</v>
      </c>
      <c r="J85" s="1113">
        <f t="shared" si="20"/>
        <v>100</v>
      </c>
      <c r="K85" s="1113">
        <f t="shared" si="20"/>
        <v>100</v>
      </c>
      <c r="L85" s="1113">
        <f t="shared" si="20"/>
        <v>100</v>
      </c>
      <c r="M85" s="1113">
        <f t="shared" si="20"/>
        <v>100</v>
      </c>
      <c r="N85" s="1159"/>
      <c r="O85" s="1159"/>
      <c r="P85" s="1157"/>
      <c r="Q85" s="1080"/>
    </row>
    <row r="86" spans="1:17">
      <c r="A86" s="1141"/>
      <c r="B86" s="1114" t="s">
        <v>519</v>
      </c>
      <c r="C86" s="1129" t="str">
        <f t="shared" ref="C86:L86" si="21">C87&amp;"(含)"&amp;"-"&amp;D87</f>
        <v>(含)-</v>
      </c>
      <c r="D86" s="1129" t="str">
        <f t="shared" si="21"/>
        <v>(含)-</v>
      </c>
      <c r="E86" s="1129" t="str">
        <f t="shared" si="21"/>
        <v>(含)-</v>
      </c>
      <c r="F86" s="1129" t="str">
        <f t="shared" si="21"/>
        <v>(含)-</v>
      </c>
      <c r="G86" s="1129" t="str">
        <f t="shared" si="21"/>
        <v>(含)-</v>
      </c>
      <c r="H86" s="1129" t="str">
        <f t="shared" si="21"/>
        <v>(含)-</v>
      </c>
      <c r="I86" s="1129" t="str">
        <f t="shared" si="21"/>
        <v>(含)-</v>
      </c>
      <c r="J86" s="1129" t="str">
        <f t="shared" si="21"/>
        <v>(含)-</v>
      </c>
      <c r="K86" s="1129" t="str">
        <f t="shared" si="21"/>
        <v>(含)-</v>
      </c>
      <c r="L86" s="1129" t="str">
        <f t="shared" si="21"/>
        <v>(含)-</v>
      </c>
      <c r="M86" s="1182" t="str">
        <f>M87&amp;"(含)"&amp;"-"&amp;P87</f>
        <v>(含)-</v>
      </c>
      <c r="N86" s="1156"/>
      <c r="O86" s="1156"/>
      <c r="P86" s="1157"/>
      <c r="Q86" s="1080"/>
    </row>
    <row r="87" spans="1:17">
      <c r="A87" s="1141"/>
      <c r="B87" s="1114"/>
      <c r="C87" s="1094"/>
      <c r="D87" s="1094"/>
      <c r="E87" s="1094"/>
      <c r="F87" s="1094"/>
      <c r="G87" s="1094"/>
      <c r="H87" s="1094"/>
      <c r="I87" s="1094"/>
      <c r="J87" s="1194"/>
      <c r="K87" s="1194"/>
      <c r="L87" s="1195"/>
      <c r="M87" s="1196"/>
      <c r="N87" s="1156"/>
      <c r="O87" s="1156"/>
      <c r="P87" s="1157"/>
      <c r="Q87" s="1080"/>
    </row>
    <row r="88" spans="1:17" ht="15">
      <c r="A88" s="1107"/>
      <c r="B88" s="1112"/>
      <c r="C88" s="1120"/>
      <c r="D88" s="1109"/>
      <c r="E88" s="1109"/>
      <c r="F88" s="1109"/>
      <c r="G88" s="1109"/>
      <c r="H88" s="1109"/>
      <c r="I88" s="1109"/>
      <c r="J88" s="1109"/>
      <c r="K88" s="1109"/>
      <c r="L88" s="1109"/>
      <c r="M88" s="1109"/>
      <c r="N88" s="1159"/>
      <c r="O88" s="1159"/>
      <c r="P88" s="1157"/>
      <c r="Q88" s="1080"/>
    </row>
    <row r="89" spans="1:17" s="868" customFormat="1">
      <c r="A89" s="1138"/>
      <c r="B89" s="1110" t="s">
        <v>1441</v>
      </c>
      <c r="C89" s="1118"/>
      <c r="D89" s="1118"/>
      <c r="E89" s="1118"/>
      <c r="F89" s="1118"/>
      <c r="G89" s="1118"/>
      <c r="H89" s="1118"/>
      <c r="I89" s="1118"/>
      <c r="J89" s="1118"/>
      <c r="K89" s="1118"/>
      <c r="L89" s="1118"/>
      <c r="M89" s="1383"/>
      <c r="N89" s="1169"/>
      <c r="O89" s="1169"/>
      <c r="P89" s="1170"/>
      <c r="Q89" s="1200"/>
    </row>
    <row r="90" spans="1:17" s="868" customFormat="1" ht="15">
      <c r="A90" s="1117"/>
      <c r="B90" s="1112"/>
      <c r="C90" s="1120"/>
      <c r="D90" s="1109"/>
      <c r="E90" s="1109"/>
      <c r="F90" s="1109"/>
      <c r="G90" s="1109"/>
      <c r="H90" s="1109"/>
      <c r="I90" s="1109"/>
      <c r="J90" s="1109"/>
      <c r="K90" s="1109"/>
      <c r="L90" s="1109"/>
      <c r="M90" s="1158"/>
      <c r="N90" s="1169"/>
      <c r="O90" s="1169"/>
      <c r="P90" s="1170"/>
      <c r="Q90" s="1200"/>
    </row>
    <row r="91" spans="1:17">
      <c r="A91" s="1141"/>
      <c r="B91" s="1110">
        <f>B32</f>
        <v>111</v>
      </c>
      <c r="C91" s="913"/>
      <c r="D91" s="913"/>
      <c r="E91" s="913"/>
      <c r="F91" s="913"/>
      <c r="G91" s="1118"/>
      <c r="H91" s="1119"/>
      <c r="I91" s="1119"/>
      <c r="J91" s="1119"/>
      <c r="K91" s="1119"/>
      <c r="L91" s="1167"/>
      <c r="M91" s="1168"/>
      <c r="N91" s="1156"/>
      <c r="O91" s="1156"/>
      <c r="P91" s="1157"/>
      <c r="Q91" s="1080"/>
    </row>
    <row r="92" spans="1:17" ht="15">
      <c r="A92" s="1107"/>
      <c r="B92" s="1112"/>
      <c r="C92" s="1120"/>
      <c r="D92" s="1109"/>
      <c r="E92" s="1109"/>
      <c r="F92" s="1109"/>
      <c r="G92" s="1120"/>
      <c r="H92" s="1121"/>
      <c r="I92" s="1121"/>
      <c r="J92" s="1121"/>
      <c r="K92" s="1121"/>
      <c r="L92" s="1121"/>
      <c r="M92" s="1172"/>
      <c r="N92" s="1159"/>
      <c r="O92" s="1159"/>
      <c r="P92" s="1157"/>
      <c r="Q92" s="1080"/>
    </row>
    <row r="93" spans="1:17">
      <c r="A93" s="1141"/>
      <c r="B93" s="1110">
        <f>B33</f>
        <v>111</v>
      </c>
      <c r="C93" s="913"/>
      <c r="D93" s="913"/>
      <c r="E93" s="913"/>
      <c r="F93" s="913"/>
      <c r="G93" s="1118"/>
      <c r="H93" s="1119"/>
      <c r="I93" s="1119"/>
      <c r="J93" s="1119"/>
      <c r="K93" s="1119"/>
      <c r="L93" s="1167"/>
      <c r="M93" s="1168"/>
      <c r="N93" s="1156"/>
      <c r="O93" s="1156"/>
      <c r="P93" s="1157"/>
      <c r="Q93" s="1080"/>
    </row>
    <row r="94" spans="1:17" ht="15">
      <c r="A94" s="1107"/>
      <c r="B94" s="1112"/>
      <c r="C94" s="1120"/>
      <c r="D94" s="1109"/>
      <c r="E94" s="1109"/>
      <c r="F94" s="1109"/>
      <c r="G94" s="1120"/>
      <c r="H94" s="1121"/>
      <c r="I94" s="1121"/>
      <c r="J94" s="1121"/>
      <c r="K94" s="1121"/>
      <c r="L94" s="1121"/>
      <c r="M94" s="1172"/>
      <c r="N94" s="1159"/>
      <c r="O94" s="1159"/>
      <c r="P94" s="1157"/>
      <c r="Q94" s="1080"/>
    </row>
    <row r="95" spans="1:17">
      <c r="A95" s="1141"/>
      <c r="B95" s="1379">
        <f>B34</f>
        <v>111</v>
      </c>
      <c r="C95" s="913"/>
      <c r="D95" s="913"/>
      <c r="E95" s="913"/>
      <c r="F95" s="913"/>
      <c r="G95" s="1118"/>
      <c r="H95" s="1119"/>
      <c r="I95" s="1119"/>
      <c r="J95" s="1119"/>
      <c r="K95" s="1119"/>
      <c r="L95" s="1167"/>
      <c r="M95" s="1168"/>
      <c r="N95" s="1159"/>
      <c r="O95" s="1159"/>
      <c r="P95" s="1387"/>
      <c r="Q95" s="1390"/>
    </row>
    <row r="96" spans="1:17" ht="15">
      <c r="A96" s="1107"/>
      <c r="B96" s="1112"/>
      <c r="C96" s="1120"/>
      <c r="D96" s="1120"/>
      <c r="E96" s="1120"/>
      <c r="F96" s="1120"/>
      <c r="G96" s="1120"/>
      <c r="H96" s="1121"/>
      <c r="I96" s="1121"/>
      <c r="J96" s="1121"/>
      <c r="K96" s="1121"/>
      <c r="L96" s="1121"/>
      <c r="M96" s="1172"/>
      <c r="N96" s="1159"/>
      <c r="O96" s="1159"/>
      <c r="P96" s="1157"/>
      <c r="Q96" s="1080"/>
    </row>
    <row r="98" spans="1:20">
      <c r="A98" s="1380"/>
      <c r="B98" s="1380"/>
      <c r="C98" s="1380"/>
      <c r="D98" s="1380"/>
      <c r="E98" s="1380"/>
      <c r="F98" s="1380"/>
      <c r="G98" s="1380"/>
      <c r="H98" s="1380"/>
      <c r="I98" s="1380"/>
      <c r="J98" s="1380"/>
      <c r="K98" s="1388"/>
      <c r="L98" s="1389"/>
      <c r="M98" s="1380"/>
      <c r="N98" s="1380"/>
      <c r="O98" s="1380"/>
      <c r="P98" s="1380"/>
      <c r="Q98" s="1380"/>
      <c r="R98" s="1380"/>
      <c r="S98" s="1380"/>
      <c r="T98" s="1380"/>
    </row>
    <row r="99" spans="1:20">
      <c r="A99" s="1380"/>
      <c r="B99" s="1380"/>
      <c r="C99" s="1380"/>
      <c r="D99" s="1380"/>
      <c r="E99" s="1380"/>
      <c r="F99" s="1380"/>
      <c r="G99" s="1380"/>
      <c r="H99" s="1380"/>
      <c r="I99" s="1380"/>
      <c r="J99" s="1380"/>
      <c r="K99" s="1388"/>
      <c r="L99" s="1389"/>
      <c r="M99" s="1380"/>
      <c r="N99" s="1380"/>
      <c r="O99" s="1380"/>
      <c r="P99" s="1380"/>
      <c r="Q99" s="1380"/>
      <c r="R99" s="1380"/>
      <c r="S99" s="1380"/>
      <c r="T99" s="1380"/>
    </row>
    <row r="100" spans="1:20">
      <c r="A100" s="1380"/>
      <c r="B100" s="1380"/>
      <c r="C100" s="1380"/>
      <c r="D100" s="1380"/>
      <c r="E100" s="1380"/>
      <c r="F100" s="1380"/>
      <c r="G100" s="1380"/>
      <c r="H100" s="1380"/>
      <c r="I100" s="1380"/>
      <c r="J100" s="1380"/>
      <c r="K100" s="1388"/>
      <c r="L100" s="1389"/>
      <c r="M100" s="1380"/>
      <c r="N100" s="1380"/>
      <c r="O100" s="1380"/>
      <c r="P100" s="1380"/>
      <c r="Q100" s="1380"/>
      <c r="R100" s="1380"/>
      <c r="S100" s="1380"/>
      <c r="T100" s="1380"/>
    </row>
    <row r="101" spans="1:20">
      <c r="A101" s="1380"/>
      <c r="B101" s="1380"/>
      <c r="C101" s="1380"/>
      <c r="D101" s="1380"/>
      <c r="E101" s="1380"/>
      <c r="F101" s="1380"/>
      <c r="G101" s="1380"/>
      <c r="H101" s="1380"/>
      <c r="I101" s="1380"/>
      <c r="J101" s="1380"/>
      <c r="K101" s="1388"/>
      <c r="L101" s="1389"/>
      <c r="M101" s="1380"/>
      <c r="N101" s="1380"/>
      <c r="O101" s="1380"/>
      <c r="P101" s="1380"/>
      <c r="Q101" s="1380"/>
      <c r="R101" s="1380"/>
      <c r="S101" s="1380"/>
      <c r="T101" s="1380"/>
    </row>
    <row r="102" spans="1:20">
      <c r="A102" s="1380"/>
      <c r="B102" s="1380"/>
      <c r="C102" s="1380"/>
      <c r="D102" s="1380"/>
      <c r="E102" s="1380"/>
      <c r="F102" s="1380"/>
      <c r="G102" s="1380"/>
      <c r="H102" s="1380"/>
      <c r="I102" s="1380"/>
      <c r="J102" s="1380"/>
      <c r="K102" s="1388"/>
      <c r="L102" s="1389"/>
      <c r="M102" s="1380"/>
      <c r="N102" s="1380"/>
      <c r="O102" s="1380"/>
      <c r="P102" s="1380"/>
      <c r="Q102" s="1380"/>
      <c r="R102" s="1380"/>
      <c r="S102" s="1380"/>
      <c r="T102" s="1380"/>
    </row>
    <row r="103" spans="1:20">
      <c r="A103" s="1380"/>
      <c r="B103" s="1380"/>
      <c r="C103" s="1380"/>
      <c r="D103" s="1380"/>
      <c r="E103" s="1380"/>
      <c r="F103" s="1380"/>
      <c r="G103" s="1380"/>
      <c r="H103" s="1380"/>
      <c r="I103" s="1380"/>
      <c r="J103" s="1380"/>
      <c r="K103" s="1388"/>
      <c r="L103" s="1389"/>
      <c r="M103" s="1380"/>
      <c r="N103" s="1380"/>
      <c r="O103" s="1380"/>
      <c r="P103" s="1380"/>
      <c r="Q103" s="1380"/>
      <c r="R103" s="1380"/>
      <c r="S103" s="1380"/>
      <c r="T103" s="1380"/>
    </row>
    <row r="104" spans="1:20">
      <c r="A104" s="1380"/>
      <c r="B104" s="1380"/>
      <c r="C104" s="1380"/>
      <c r="D104" s="1380"/>
      <c r="E104" s="1380"/>
      <c r="F104" s="1380"/>
      <c r="G104" s="1380"/>
      <c r="H104" s="1380"/>
      <c r="I104" s="1380"/>
      <c r="J104" s="1380"/>
      <c r="K104" s="1388"/>
      <c r="L104" s="1389"/>
      <c r="M104" s="1380"/>
      <c r="N104" s="1380"/>
      <c r="O104" s="1380"/>
      <c r="P104" s="1380"/>
      <c r="Q104" s="1380"/>
      <c r="R104" s="1380"/>
      <c r="S104" s="1380"/>
      <c r="T104" s="1380"/>
    </row>
    <row r="105" spans="1:20">
      <c r="A105" s="1380"/>
      <c r="B105" s="1380"/>
      <c r="C105" s="1380"/>
      <c r="D105" s="1380"/>
      <c r="E105" s="1380"/>
      <c r="F105" s="1380"/>
      <c r="G105" s="1380"/>
      <c r="H105" s="1380"/>
      <c r="I105" s="1380"/>
      <c r="J105" s="1380"/>
      <c r="K105" s="1388"/>
      <c r="L105" s="1389"/>
      <c r="M105" s="1380"/>
      <c r="N105" s="1380"/>
      <c r="O105" s="1380"/>
      <c r="P105" s="1380"/>
      <c r="Q105" s="1380"/>
      <c r="R105" s="1380"/>
      <c r="S105" s="1380"/>
      <c r="T105" s="1380"/>
    </row>
    <row r="106" spans="1:20">
      <c r="A106" s="1380"/>
      <c r="B106" s="1380"/>
      <c r="C106" s="1380"/>
      <c r="D106" s="1380"/>
      <c r="E106" s="1380"/>
      <c r="F106" s="1380"/>
      <c r="G106" s="1380"/>
      <c r="H106" s="1380"/>
      <c r="I106" s="1380"/>
      <c r="J106" s="1380"/>
      <c r="K106" s="1388"/>
      <c r="L106" s="1389"/>
      <c r="M106" s="1380"/>
      <c r="N106" s="1380"/>
      <c r="O106" s="1380"/>
      <c r="P106" s="1380"/>
      <c r="Q106" s="1380"/>
      <c r="R106" s="1380"/>
      <c r="S106" s="1380"/>
      <c r="T106" s="1380"/>
    </row>
    <row r="107" spans="1:20">
      <c r="A107" s="1380"/>
      <c r="B107" s="1380"/>
      <c r="C107" s="1380"/>
      <c r="D107" s="1380"/>
      <c r="E107" s="1380"/>
      <c r="F107" s="1380"/>
      <c r="G107" s="1380"/>
      <c r="H107" s="1380"/>
      <c r="I107" s="1380"/>
      <c r="J107" s="1380"/>
      <c r="K107" s="1388"/>
      <c r="L107" s="1389"/>
      <c r="M107" s="1380"/>
      <c r="N107" s="1380"/>
      <c r="O107" s="1380"/>
      <c r="P107" s="1380"/>
      <c r="Q107" s="1380"/>
      <c r="R107" s="1380"/>
      <c r="S107" s="1380"/>
      <c r="T107" s="1380"/>
    </row>
    <row r="108" spans="1:20">
      <c r="A108" s="1380"/>
      <c r="B108" s="1380"/>
      <c r="C108" s="1380"/>
      <c r="D108" s="1380"/>
      <c r="E108" s="1380"/>
      <c r="F108" s="1380"/>
      <c r="G108" s="1380"/>
      <c r="H108" s="1380"/>
      <c r="I108" s="1380"/>
      <c r="J108" s="1380"/>
      <c r="K108" s="1388"/>
      <c r="L108" s="1389"/>
      <c r="M108" s="1380"/>
      <c r="N108" s="1380"/>
      <c r="O108" s="1380"/>
      <c r="P108" s="1380"/>
      <c r="Q108" s="1380"/>
      <c r="R108" s="1380"/>
      <c r="S108" s="1380"/>
      <c r="T108" s="1380"/>
    </row>
    <row r="109" spans="1:20">
      <c r="A109" s="1380"/>
      <c r="B109" s="1380"/>
      <c r="C109" s="1380"/>
      <c r="D109" s="1380"/>
      <c r="E109" s="1380"/>
      <c r="F109" s="1380"/>
      <c r="G109" s="1380"/>
      <c r="H109" s="1380"/>
      <c r="I109" s="1380"/>
      <c r="J109" s="1380"/>
      <c r="K109" s="1388"/>
      <c r="L109" s="1389"/>
      <c r="M109" s="1380"/>
      <c r="N109" s="1380"/>
      <c r="O109" s="1380"/>
      <c r="P109" s="1380"/>
      <c r="Q109" s="1380"/>
      <c r="R109" s="1380"/>
      <c r="S109" s="1380"/>
      <c r="T109" s="1380"/>
    </row>
    <row r="110" spans="1:20">
      <c r="A110" s="1380"/>
      <c r="B110" s="1380"/>
      <c r="C110" s="1380"/>
      <c r="D110" s="1380"/>
      <c r="E110" s="1380"/>
      <c r="F110" s="1380"/>
      <c r="G110" s="1380"/>
      <c r="H110" s="1380"/>
      <c r="I110" s="1380"/>
      <c r="J110" s="1380"/>
      <c r="K110" s="1388"/>
      <c r="L110" s="1389"/>
      <c r="M110" s="1380"/>
      <c r="N110" s="1380"/>
      <c r="O110" s="1380"/>
      <c r="P110" s="1380"/>
      <c r="Q110" s="1380"/>
      <c r="R110" s="1380"/>
      <c r="S110" s="1380"/>
      <c r="T110" s="1380"/>
    </row>
    <row r="111" spans="1:20">
      <c r="A111" s="1380"/>
      <c r="B111" s="1380"/>
      <c r="C111" s="1380"/>
      <c r="D111" s="1380"/>
      <c r="E111" s="1380"/>
      <c r="F111" s="1380"/>
      <c r="G111" s="1380"/>
      <c r="H111" s="1380"/>
      <c r="I111" s="1380"/>
      <c r="J111" s="1380"/>
      <c r="K111" s="1388"/>
      <c r="L111" s="1389"/>
      <c r="M111" s="1380"/>
      <c r="N111" s="1380"/>
      <c r="O111" s="1380"/>
      <c r="P111" s="1380"/>
      <c r="Q111" s="1380"/>
      <c r="R111" s="1380"/>
      <c r="S111" s="1380"/>
      <c r="T111" s="1380"/>
    </row>
    <row r="112" spans="1:20">
      <c r="A112" s="1380"/>
      <c r="B112" s="1380"/>
      <c r="C112" s="1380"/>
      <c r="D112" s="1380"/>
      <c r="E112" s="1380"/>
      <c r="F112" s="1380"/>
      <c r="G112" s="1380"/>
      <c r="H112" s="1380"/>
      <c r="I112" s="1380"/>
      <c r="J112" s="1380"/>
      <c r="K112" s="1388"/>
      <c r="L112" s="1389"/>
      <c r="M112" s="1380"/>
      <c r="N112" s="1380"/>
      <c r="O112" s="1380"/>
      <c r="P112" s="1380"/>
      <c r="Q112" s="1380"/>
      <c r="R112" s="1380"/>
      <c r="S112" s="1380"/>
      <c r="T112" s="1380"/>
    </row>
    <row r="113" spans="1:20">
      <c r="A113" s="1380"/>
      <c r="B113" s="1380"/>
      <c r="C113" s="1380"/>
      <c r="D113" s="1380"/>
      <c r="E113" s="1380"/>
      <c r="F113" s="1380"/>
      <c r="G113" s="1380"/>
      <c r="H113" s="1380"/>
      <c r="I113" s="1380"/>
      <c r="J113" s="1380"/>
      <c r="K113" s="1388"/>
      <c r="L113" s="1389"/>
      <c r="M113" s="1380"/>
      <c r="N113" s="1380"/>
      <c r="O113" s="1380"/>
      <c r="P113" s="1380"/>
      <c r="Q113" s="1380"/>
      <c r="R113" s="1380"/>
      <c r="S113" s="1380"/>
      <c r="T113" s="1380"/>
    </row>
    <row r="114" spans="1:20">
      <c r="A114" s="1380"/>
      <c r="B114" s="1380"/>
      <c r="C114" s="1380"/>
      <c r="D114" s="1380"/>
      <c r="E114" s="1380"/>
      <c r="F114" s="1380"/>
      <c r="G114" s="1380"/>
      <c r="H114" s="1380"/>
      <c r="I114" s="1380"/>
      <c r="J114" s="1380"/>
      <c r="K114" s="1388"/>
      <c r="L114" s="1389"/>
      <c r="M114" s="1380"/>
      <c r="N114" s="1380"/>
      <c r="O114" s="1380"/>
      <c r="P114" s="1380"/>
      <c r="Q114" s="1380"/>
      <c r="R114" s="1380"/>
      <c r="S114" s="1380"/>
      <c r="T114" s="1380"/>
    </row>
    <row r="115" spans="1:20">
      <c r="A115" s="1380"/>
      <c r="B115" s="1380"/>
      <c r="C115" s="1380"/>
      <c r="D115" s="1380"/>
      <c r="E115" s="1380"/>
      <c r="F115" s="1380"/>
      <c r="G115" s="1380"/>
      <c r="H115" s="1380"/>
      <c r="I115" s="1380"/>
      <c r="J115" s="1380"/>
      <c r="K115" s="1388"/>
      <c r="L115" s="1389"/>
      <c r="M115" s="1380"/>
      <c r="N115" s="1380"/>
      <c r="O115" s="1380"/>
      <c r="P115" s="1380"/>
      <c r="Q115" s="1380"/>
      <c r="R115" s="1380"/>
      <c r="S115" s="1380"/>
      <c r="T115" s="1380"/>
    </row>
    <row r="116" spans="1:20">
      <c r="A116" s="1380"/>
      <c r="B116" s="1380"/>
      <c r="C116" s="1380"/>
      <c r="D116" s="1380"/>
      <c r="E116" s="1380"/>
      <c r="F116" s="1380"/>
      <c r="G116" s="1380"/>
      <c r="H116" s="1380"/>
      <c r="I116" s="1380"/>
      <c r="J116" s="1380"/>
      <c r="K116" s="1388"/>
      <c r="L116" s="1389"/>
      <c r="M116" s="1380"/>
      <c r="N116" s="1380"/>
      <c r="O116" s="1380"/>
      <c r="P116" s="1380"/>
      <c r="Q116" s="1380"/>
      <c r="R116" s="1380"/>
      <c r="S116" s="1380"/>
      <c r="T116" s="1380"/>
    </row>
    <row r="117" spans="1:20">
      <c r="A117" s="1380"/>
      <c r="B117" s="1380"/>
      <c r="C117" s="1380"/>
      <c r="D117" s="1380"/>
      <c r="E117" s="1380"/>
      <c r="F117" s="1380"/>
      <c r="G117" s="1380"/>
      <c r="H117" s="1380"/>
      <c r="I117" s="1380"/>
      <c r="J117" s="1380"/>
      <c r="K117" s="1388"/>
      <c r="L117" s="1389"/>
      <c r="M117" s="1380"/>
      <c r="N117" s="1380"/>
      <c r="O117" s="1380"/>
      <c r="P117" s="1380"/>
      <c r="Q117" s="1380"/>
      <c r="R117" s="1380"/>
      <c r="S117" s="1380"/>
      <c r="T117" s="1380"/>
    </row>
    <row r="118" spans="1:20">
      <c r="A118" s="1380"/>
      <c r="B118" s="1380"/>
      <c r="C118" s="1380"/>
      <c r="D118" s="1380"/>
      <c r="E118" s="1380"/>
      <c r="F118" s="1380"/>
      <c r="G118" s="1380"/>
      <c r="H118" s="1380"/>
      <c r="I118" s="1380"/>
      <c r="J118" s="1380"/>
      <c r="K118" s="1388"/>
      <c r="L118" s="1389"/>
      <c r="M118" s="1380"/>
      <c r="N118" s="1380"/>
      <c r="O118" s="1380"/>
      <c r="P118" s="1380"/>
      <c r="Q118" s="1380"/>
      <c r="R118" s="1380"/>
      <c r="S118" s="1380"/>
      <c r="T118" s="1380"/>
    </row>
    <row r="119" spans="1:20">
      <c r="A119" s="1380"/>
      <c r="B119" s="1380"/>
      <c r="C119" s="1380"/>
      <c r="D119" s="1380"/>
      <c r="E119" s="1380"/>
      <c r="F119" s="1380"/>
      <c r="G119" s="1380"/>
      <c r="H119" s="1380"/>
      <c r="I119" s="1380"/>
      <c r="J119" s="1380"/>
      <c r="K119" s="1388"/>
      <c r="L119" s="1389"/>
      <c r="M119" s="1380"/>
      <c r="N119" s="1380"/>
      <c r="O119" s="1380"/>
      <c r="P119" s="1380"/>
      <c r="Q119" s="1380"/>
      <c r="R119" s="1380"/>
      <c r="S119" s="1380"/>
      <c r="T119" s="1380"/>
    </row>
    <row r="120" spans="1:20">
      <c r="A120" s="1380"/>
      <c r="B120" s="1380"/>
      <c r="C120" s="1380"/>
      <c r="D120" s="1380"/>
      <c r="E120" s="1380"/>
      <c r="F120" s="1380"/>
      <c r="G120" s="1380"/>
      <c r="H120" s="1380"/>
      <c r="I120" s="1380"/>
      <c r="J120" s="1380"/>
      <c r="K120" s="1388"/>
      <c r="L120" s="1389"/>
      <c r="M120" s="1380"/>
      <c r="N120" s="1380"/>
      <c r="O120" s="1380"/>
      <c r="P120" s="1380"/>
      <c r="Q120" s="1380"/>
      <c r="R120" s="1380"/>
      <c r="S120" s="1380"/>
      <c r="T120" s="1380"/>
    </row>
    <row r="121" spans="1:20">
      <c r="A121" s="1380"/>
      <c r="B121" s="1380"/>
      <c r="C121" s="1380"/>
      <c r="D121" s="1380"/>
      <c r="E121" s="1380"/>
      <c r="F121" s="1380"/>
      <c r="G121" s="1380"/>
      <c r="H121" s="1380"/>
      <c r="I121" s="1380"/>
      <c r="J121" s="1380"/>
      <c r="K121" s="1388"/>
      <c r="L121" s="1389"/>
      <c r="M121" s="1380"/>
      <c r="N121" s="1380"/>
      <c r="O121" s="1380"/>
      <c r="P121" s="1380"/>
      <c r="Q121" s="1380"/>
      <c r="R121" s="1380"/>
      <c r="S121" s="1380"/>
      <c r="T121" s="1380"/>
    </row>
    <row r="122" spans="1:20">
      <c r="A122" s="1380"/>
      <c r="B122" s="1380"/>
      <c r="C122" s="1380"/>
      <c r="D122" s="1380"/>
      <c r="E122" s="1380"/>
      <c r="F122" s="1380"/>
      <c r="G122" s="1380"/>
      <c r="H122" s="1380"/>
      <c r="I122" s="1380"/>
      <c r="J122" s="1380"/>
      <c r="K122" s="1388"/>
      <c r="L122" s="1389"/>
      <c r="M122" s="1380"/>
      <c r="N122" s="1380"/>
      <c r="O122" s="1380"/>
      <c r="P122" s="1380"/>
      <c r="Q122" s="1380"/>
      <c r="R122" s="1380"/>
      <c r="S122" s="1380"/>
      <c r="T122" s="1380"/>
    </row>
    <row r="123" spans="1:20">
      <c r="A123" s="1380"/>
      <c r="B123" s="1380"/>
      <c r="C123" s="1380"/>
      <c r="D123" s="1380"/>
      <c r="E123" s="1380"/>
      <c r="F123" s="1380"/>
      <c r="G123" s="1380"/>
      <c r="H123" s="1380"/>
      <c r="I123" s="1380"/>
      <c r="J123" s="1380"/>
      <c r="K123" s="1388"/>
      <c r="L123" s="1389"/>
      <c r="M123" s="1380"/>
      <c r="N123" s="1380"/>
      <c r="O123" s="1380"/>
      <c r="P123" s="1380"/>
      <c r="Q123" s="1380"/>
      <c r="R123" s="1380"/>
      <c r="S123" s="1380"/>
      <c r="T123" s="1380"/>
    </row>
    <row r="124" spans="1:20">
      <c r="A124" s="1380"/>
      <c r="B124" s="1380"/>
      <c r="C124" s="1380"/>
      <c r="D124" s="1380"/>
      <c r="E124" s="1380"/>
      <c r="F124" s="1380"/>
      <c r="G124" s="1380"/>
      <c r="H124" s="1380"/>
      <c r="I124" s="1380"/>
      <c r="J124" s="1380"/>
      <c r="K124" s="1388"/>
      <c r="L124" s="1389"/>
      <c r="M124" s="1380"/>
      <c r="N124" s="1380"/>
      <c r="O124" s="1380"/>
      <c r="P124" s="1380"/>
      <c r="Q124" s="1380"/>
      <c r="R124" s="1380"/>
      <c r="S124" s="1380"/>
      <c r="T124" s="1380"/>
    </row>
    <row r="125" spans="1:20">
      <c r="A125" s="1380"/>
      <c r="B125" s="1380"/>
      <c r="C125" s="1380"/>
      <c r="D125" s="1380"/>
      <c r="E125" s="1380"/>
      <c r="F125" s="1380"/>
      <c r="G125" s="1380"/>
      <c r="H125" s="1380"/>
      <c r="I125" s="1380"/>
      <c r="J125" s="1380"/>
      <c r="K125" s="1388"/>
      <c r="L125" s="1389"/>
      <c r="M125" s="1380"/>
      <c r="N125" s="1380"/>
      <c r="O125" s="1380"/>
      <c r="P125" s="1380"/>
      <c r="Q125" s="1380"/>
      <c r="R125" s="1380"/>
      <c r="S125" s="1380"/>
      <c r="T125" s="1380"/>
    </row>
    <row r="126" spans="1:20">
      <c r="A126" s="1380"/>
      <c r="B126" s="1380"/>
      <c r="C126" s="1380"/>
      <c r="D126" s="1380"/>
      <c r="E126" s="1380"/>
      <c r="F126" s="1380"/>
      <c r="G126" s="1380"/>
      <c r="H126" s="1380"/>
      <c r="I126" s="1380"/>
      <c r="J126" s="1380"/>
      <c r="K126" s="1388"/>
      <c r="L126" s="1389"/>
      <c r="M126" s="1380"/>
      <c r="N126" s="1380"/>
      <c r="O126" s="1380"/>
      <c r="P126" s="1380"/>
      <c r="Q126" s="1380"/>
      <c r="R126" s="1380"/>
      <c r="S126" s="1380"/>
      <c r="T126" s="1380"/>
    </row>
    <row r="127" spans="1:20">
      <c r="A127" s="1380"/>
      <c r="B127" s="1380"/>
      <c r="C127" s="1380"/>
      <c r="D127" s="1380"/>
      <c r="E127" s="1380"/>
      <c r="F127" s="1380"/>
      <c r="G127" s="1380"/>
      <c r="H127" s="1380"/>
      <c r="I127" s="1380"/>
      <c r="J127" s="1380"/>
      <c r="K127" s="1388"/>
      <c r="L127" s="1389"/>
      <c r="M127" s="1380"/>
      <c r="N127" s="1380"/>
      <c r="O127" s="1380"/>
      <c r="P127" s="1380"/>
      <c r="Q127" s="1380"/>
      <c r="R127" s="1380"/>
      <c r="S127" s="1380"/>
      <c r="T127" s="1380"/>
    </row>
    <row r="128" spans="1:20">
      <c r="A128" s="1380"/>
      <c r="B128" s="1380"/>
      <c r="C128" s="1380"/>
      <c r="D128" s="1380"/>
      <c r="E128" s="1380"/>
      <c r="F128" s="1380"/>
      <c r="G128" s="1380"/>
      <c r="H128" s="1380"/>
      <c r="I128" s="1380"/>
      <c r="J128" s="1380"/>
      <c r="K128" s="1388"/>
      <c r="L128" s="1389"/>
      <c r="M128" s="1380"/>
      <c r="N128" s="1380"/>
      <c r="O128" s="1380"/>
      <c r="P128" s="1380"/>
      <c r="Q128" s="1380"/>
      <c r="R128" s="1380"/>
      <c r="S128" s="1380"/>
      <c r="T128" s="1380"/>
    </row>
    <row r="129" spans="1:20">
      <c r="A129" s="1380"/>
      <c r="B129" s="1380"/>
      <c r="C129" s="1380"/>
      <c r="D129" s="1380"/>
      <c r="E129" s="1380"/>
      <c r="F129" s="1380"/>
      <c r="G129" s="1380"/>
      <c r="H129" s="1380"/>
      <c r="I129" s="1380"/>
      <c r="J129" s="1380"/>
      <c r="K129" s="1388"/>
      <c r="L129" s="1389"/>
      <c r="M129" s="1380"/>
      <c r="N129" s="1380"/>
      <c r="O129" s="1380"/>
      <c r="P129" s="1380"/>
      <c r="Q129" s="1380"/>
      <c r="R129" s="1380"/>
      <c r="S129" s="1380"/>
      <c r="T129" s="1380"/>
    </row>
    <row r="130" spans="1:20">
      <c r="A130" s="1380"/>
      <c r="B130" s="1380"/>
      <c r="C130" s="1380"/>
      <c r="D130" s="1380"/>
      <c r="E130" s="1380"/>
      <c r="F130" s="1380"/>
      <c r="G130" s="1380"/>
      <c r="H130" s="1380"/>
      <c r="I130" s="1380"/>
      <c r="J130" s="1380"/>
      <c r="K130" s="1388"/>
      <c r="L130" s="1389"/>
      <c r="M130" s="1380"/>
      <c r="N130" s="1380"/>
      <c r="O130" s="1380"/>
      <c r="P130" s="1380"/>
      <c r="Q130" s="1380"/>
      <c r="R130" s="1380"/>
      <c r="S130" s="1380"/>
      <c r="T130" s="1380"/>
    </row>
    <row r="131" spans="1:20">
      <c r="A131" s="1380"/>
      <c r="B131" s="1380"/>
      <c r="C131" s="1380"/>
      <c r="D131" s="1380"/>
      <c r="E131" s="1380"/>
      <c r="F131" s="1380"/>
      <c r="G131" s="1380"/>
      <c r="H131" s="1380"/>
      <c r="I131" s="1380"/>
      <c r="J131" s="1380"/>
      <c r="K131" s="1388"/>
      <c r="L131" s="1389"/>
      <c r="M131" s="1380"/>
      <c r="N131" s="1380"/>
      <c r="O131" s="1380"/>
      <c r="P131" s="1380"/>
      <c r="Q131" s="1380"/>
      <c r="R131" s="1380"/>
      <c r="S131" s="1380"/>
      <c r="T131" s="1380"/>
    </row>
    <row r="132" spans="1:20">
      <c r="A132" s="1380"/>
      <c r="B132" s="1380"/>
      <c r="C132" s="1380"/>
      <c r="D132" s="1380"/>
      <c r="E132" s="1380"/>
      <c r="F132" s="1380"/>
      <c r="G132" s="1380"/>
      <c r="H132" s="1380"/>
      <c r="I132" s="1380"/>
      <c r="J132" s="1380"/>
      <c r="K132" s="1388"/>
      <c r="L132" s="1389"/>
      <c r="M132" s="1380"/>
      <c r="N132" s="1380"/>
      <c r="O132" s="1380"/>
      <c r="P132" s="1380"/>
      <c r="Q132" s="1380"/>
      <c r="R132" s="1380"/>
      <c r="S132" s="1380"/>
      <c r="T132" s="1380"/>
    </row>
    <row r="133" spans="1:20">
      <c r="A133" s="1380"/>
      <c r="B133" s="1380"/>
      <c r="C133" s="1380"/>
      <c r="D133" s="1380"/>
      <c r="E133" s="1380"/>
      <c r="F133" s="1380"/>
      <c r="G133" s="1380"/>
      <c r="H133" s="1380"/>
      <c r="I133" s="1380"/>
      <c r="J133" s="1380"/>
      <c r="K133" s="1388"/>
      <c r="L133" s="1389"/>
      <c r="M133" s="1380"/>
      <c r="N133" s="1380"/>
      <c r="O133" s="1380"/>
      <c r="P133" s="1380"/>
      <c r="Q133" s="1380"/>
      <c r="R133" s="1380"/>
      <c r="S133" s="1380"/>
      <c r="T133" s="1380"/>
    </row>
    <row r="134" spans="1:20">
      <c r="A134" s="1380"/>
      <c r="B134" s="1380"/>
      <c r="C134" s="1380"/>
      <c r="D134" s="1380"/>
      <c r="E134" s="1380"/>
      <c r="F134" s="1380"/>
      <c r="G134" s="1380"/>
      <c r="H134" s="1380"/>
      <c r="I134" s="1380"/>
      <c r="J134" s="1380"/>
      <c r="K134" s="1388"/>
      <c r="L134" s="1389"/>
      <c r="M134" s="1380"/>
      <c r="N134" s="1380"/>
      <c r="O134" s="1380"/>
      <c r="P134" s="1380"/>
      <c r="Q134" s="1380"/>
      <c r="R134" s="1380"/>
      <c r="S134" s="1380"/>
      <c r="T134" s="1380"/>
    </row>
    <row r="135" spans="1:20">
      <c r="A135" s="1380"/>
      <c r="B135" s="1380"/>
      <c r="C135" s="1380"/>
      <c r="D135" s="1380"/>
      <c r="E135" s="1380"/>
      <c r="F135" s="1380"/>
      <c r="G135" s="1380"/>
      <c r="H135" s="1380"/>
      <c r="I135" s="1380"/>
      <c r="J135" s="1380"/>
      <c r="K135" s="1388"/>
      <c r="L135" s="1389"/>
      <c r="M135" s="1380"/>
      <c r="N135" s="1380"/>
      <c r="O135" s="1380"/>
      <c r="P135" s="1380"/>
      <c r="Q135" s="1380"/>
      <c r="R135" s="1380"/>
      <c r="S135" s="1380"/>
      <c r="T135" s="1380"/>
    </row>
    <row r="136" spans="1:20">
      <c r="A136" s="1380"/>
      <c r="B136" s="1380"/>
      <c r="C136" s="1380"/>
      <c r="D136" s="1380"/>
      <c r="E136" s="1380"/>
      <c r="F136" s="1380"/>
      <c r="G136" s="1380"/>
      <c r="H136" s="1380"/>
      <c r="I136" s="1380"/>
      <c r="J136" s="1380"/>
      <c r="K136" s="1388"/>
      <c r="L136" s="1389"/>
      <c r="M136" s="1380"/>
      <c r="N136" s="1380"/>
      <c r="O136" s="1380"/>
      <c r="P136" s="1380"/>
      <c r="Q136" s="1380"/>
      <c r="R136" s="1380"/>
      <c r="S136" s="1380"/>
      <c r="T136" s="1380"/>
    </row>
    <row r="137" spans="1:20">
      <c r="A137" s="1380"/>
      <c r="B137" s="1380"/>
      <c r="C137" s="1380"/>
      <c r="D137" s="1380"/>
      <c r="E137" s="1380"/>
      <c r="F137" s="1380"/>
      <c r="G137" s="1380"/>
      <c r="H137" s="1380"/>
      <c r="I137" s="1380"/>
      <c r="J137" s="1380"/>
      <c r="K137" s="1388"/>
      <c r="L137" s="1389"/>
      <c r="M137" s="1380"/>
      <c r="N137" s="1380"/>
      <c r="O137" s="1380"/>
      <c r="P137" s="1380"/>
      <c r="Q137" s="1380"/>
      <c r="R137" s="1380"/>
      <c r="S137" s="1380"/>
      <c r="T137" s="1380"/>
    </row>
    <row r="138" spans="1:20">
      <c r="A138" s="1380"/>
      <c r="B138" s="1380"/>
      <c r="C138" s="1380"/>
      <c r="D138" s="1380"/>
      <c r="E138" s="1380"/>
      <c r="F138" s="1380"/>
      <c r="G138" s="1380"/>
      <c r="H138" s="1380"/>
      <c r="I138" s="1380"/>
      <c r="J138" s="1380"/>
      <c r="K138" s="1388"/>
      <c r="L138" s="1389"/>
      <c r="M138" s="1380"/>
      <c r="N138" s="1380"/>
      <c r="O138" s="1380"/>
      <c r="P138" s="1380"/>
      <c r="Q138" s="1380"/>
      <c r="R138" s="1380"/>
      <c r="S138" s="1380"/>
      <c r="T138" s="1380"/>
    </row>
    <row r="139" spans="1:20">
      <c r="A139" s="1380"/>
      <c r="B139" s="1380"/>
      <c r="C139" s="1380"/>
      <c r="D139" s="1380"/>
      <c r="E139" s="1380"/>
      <c r="F139" s="1380"/>
      <c r="G139" s="1380"/>
      <c r="H139" s="1380"/>
      <c r="I139" s="1380"/>
      <c r="J139" s="1380"/>
      <c r="K139" s="1388"/>
      <c r="L139" s="1389"/>
      <c r="M139" s="1380"/>
      <c r="N139" s="1380"/>
      <c r="O139" s="1380"/>
      <c r="P139" s="1380"/>
      <c r="Q139" s="1380"/>
      <c r="R139" s="1380"/>
      <c r="S139" s="1380"/>
      <c r="T139" s="1380"/>
    </row>
    <row r="140" spans="1:20">
      <c r="A140" s="1380"/>
      <c r="B140" s="1380"/>
      <c r="C140" s="1380"/>
      <c r="D140" s="1380"/>
      <c r="E140" s="1380"/>
      <c r="F140" s="1380"/>
      <c r="G140" s="1380"/>
      <c r="H140" s="1380"/>
      <c r="I140" s="1380"/>
      <c r="J140" s="1380"/>
      <c r="K140" s="1388"/>
      <c r="L140" s="1389"/>
      <c r="M140" s="1380"/>
      <c r="N140" s="1380"/>
      <c r="O140" s="1380"/>
      <c r="P140" s="1380"/>
      <c r="Q140" s="1380"/>
      <c r="R140" s="1380"/>
      <c r="S140" s="1380"/>
      <c r="T140" s="1380"/>
    </row>
    <row r="141" spans="1:20">
      <c r="A141" s="1380"/>
      <c r="B141" s="1380"/>
      <c r="C141" s="1380"/>
      <c r="D141" s="1380"/>
      <c r="E141" s="1380"/>
      <c r="F141" s="1380"/>
      <c r="G141" s="1380"/>
      <c r="H141" s="1380"/>
      <c r="I141" s="1380"/>
      <c r="J141" s="1380"/>
      <c r="K141" s="1388"/>
      <c r="L141" s="1389"/>
      <c r="M141" s="1380"/>
      <c r="N141" s="1380"/>
      <c r="O141" s="1380"/>
      <c r="P141" s="1380"/>
      <c r="Q141" s="1380"/>
      <c r="R141" s="1380"/>
      <c r="S141" s="1380"/>
      <c r="T141" s="1380"/>
    </row>
    <row r="142" spans="1:20">
      <c r="A142" s="1380"/>
      <c r="B142" s="1380"/>
      <c r="C142" s="1380"/>
      <c r="D142" s="1380"/>
      <c r="E142" s="1380"/>
      <c r="F142" s="1380"/>
      <c r="G142" s="1380"/>
      <c r="H142" s="1380"/>
      <c r="I142" s="1380"/>
      <c r="J142" s="1380"/>
      <c r="K142" s="1388"/>
      <c r="L142" s="1389"/>
      <c r="M142" s="1380"/>
      <c r="N142" s="1380"/>
      <c r="O142" s="1380"/>
      <c r="P142" s="1380"/>
      <c r="Q142" s="1380"/>
      <c r="R142" s="1380"/>
      <c r="S142" s="1380"/>
      <c r="T142" s="1380"/>
    </row>
    <row r="143" spans="1:20">
      <c r="A143" s="1380"/>
      <c r="B143" s="1380"/>
      <c r="C143" s="1380"/>
      <c r="D143" s="1380"/>
      <c r="E143" s="1380"/>
      <c r="F143" s="1380"/>
      <c r="G143" s="1380"/>
      <c r="H143" s="1380"/>
      <c r="I143" s="1380"/>
      <c r="J143" s="1380"/>
      <c r="K143" s="1388"/>
      <c r="L143" s="1389"/>
      <c r="M143" s="1380"/>
      <c r="N143" s="1380"/>
      <c r="O143" s="1380"/>
      <c r="P143" s="1380"/>
      <c r="Q143" s="1380"/>
      <c r="R143" s="1380"/>
      <c r="S143" s="1380"/>
      <c r="T143" s="1380"/>
    </row>
    <row r="144" spans="1:20">
      <c r="A144" s="1380"/>
      <c r="B144" s="1380"/>
      <c r="C144" s="1380"/>
      <c r="D144" s="1380"/>
      <c r="E144" s="1380"/>
      <c r="F144" s="1380"/>
      <c r="G144" s="1380"/>
      <c r="H144" s="1380"/>
      <c r="I144" s="1380"/>
      <c r="J144" s="1380"/>
      <c r="K144" s="1388"/>
      <c r="L144" s="1389"/>
      <c r="M144" s="1380"/>
      <c r="N144" s="1380"/>
      <c r="O144" s="1380"/>
      <c r="P144" s="1380"/>
      <c r="Q144" s="1380"/>
      <c r="R144" s="1380"/>
      <c r="S144" s="1380"/>
      <c r="T144" s="1380"/>
    </row>
    <row r="145" spans="1:20">
      <c r="A145" s="1380"/>
      <c r="B145" s="1380"/>
      <c r="C145" s="1380"/>
      <c r="D145" s="1380"/>
      <c r="E145" s="1380"/>
      <c r="F145" s="1380"/>
      <c r="G145" s="1380"/>
      <c r="H145" s="1380"/>
      <c r="I145" s="1380"/>
      <c r="J145" s="1380"/>
      <c r="K145" s="1388"/>
      <c r="L145" s="1389"/>
      <c r="M145" s="1380"/>
      <c r="N145" s="1380"/>
      <c r="O145" s="1380"/>
      <c r="P145" s="1380"/>
      <c r="Q145" s="1380"/>
      <c r="R145" s="1380"/>
      <c r="S145" s="1380"/>
      <c r="T145" s="1380"/>
    </row>
    <row r="146" spans="1:20">
      <c r="A146" s="1380"/>
      <c r="B146" s="1380"/>
      <c r="C146" s="1380"/>
      <c r="D146" s="1380"/>
      <c r="E146" s="1380"/>
      <c r="F146" s="1380"/>
      <c r="G146" s="1380"/>
      <c r="H146" s="1380"/>
      <c r="I146" s="1380"/>
      <c r="J146" s="1380"/>
      <c r="K146" s="1388"/>
      <c r="L146" s="1389"/>
      <c r="M146" s="1380"/>
      <c r="N146" s="1380"/>
      <c r="O146" s="1380"/>
      <c r="P146" s="1380"/>
      <c r="Q146" s="1380"/>
      <c r="R146" s="1380"/>
      <c r="S146" s="1380"/>
      <c r="T146" s="1380"/>
    </row>
    <row r="147" spans="1:20">
      <c r="A147" s="1380"/>
      <c r="B147" s="1380"/>
      <c r="C147" s="1380"/>
      <c r="D147" s="1380"/>
      <c r="E147" s="1380"/>
      <c r="F147" s="1380"/>
      <c r="G147" s="1380"/>
      <c r="H147" s="1380"/>
      <c r="I147" s="1380"/>
      <c r="J147" s="1380"/>
      <c r="K147" s="1388"/>
      <c r="L147" s="1389"/>
      <c r="M147" s="1380"/>
      <c r="N147" s="1380"/>
      <c r="O147" s="1380"/>
      <c r="P147" s="1380"/>
      <c r="Q147" s="1380"/>
      <c r="R147" s="1380"/>
      <c r="S147" s="1380"/>
      <c r="T147" s="1380"/>
    </row>
    <row r="148" spans="1:20">
      <c r="A148" s="1380"/>
      <c r="B148" s="1380"/>
      <c r="C148" s="1380"/>
      <c r="D148" s="1380"/>
      <c r="E148" s="1380"/>
      <c r="F148" s="1380"/>
      <c r="G148" s="1380"/>
      <c r="H148" s="1380"/>
      <c r="I148" s="1380"/>
      <c r="J148" s="1380"/>
      <c r="K148" s="1388"/>
      <c r="L148" s="1389"/>
      <c r="M148" s="1380"/>
      <c r="N148" s="1380"/>
      <c r="O148" s="1380"/>
      <c r="P148" s="1380"/>
      <c r="Q148" s="1380"/>
      <c r="R148" s="1380"/>
      <c r="S148" s="1380"/>
      <c r="T148" s="1380"/>
    </row>
    <row r="149" spans="1:20">
      <c r="A149" s="1380"/>
      <c r="B149" s="1380"/>
      <c r="C149" s="1380"/>
      <c r="D149" s="1380"/>
      <c r="E149" s="1380"/>
      <c r="F149" s="1380"/>
      <c r="G149" s="1380"/>
      <c r="H149" s="1380"/>
      <c r="I149" s="1380"/>
      <c r="J149" s="1380"/>
      <c r="K149" s="1388"/>
      <c r="L149" s="1389"/>
      <c r="M149" s="1380"/>
      <c r="N149" s="1380"/>
      <c r="O149" s="1380"/>
      <c r="P149" s="1380"/>
      <c r="Q149" s="1380"/>
      <c r="R149" s="1380"/>
      <c r="S149" s="1380"/>
      <c r="T149" s="1380"/>
    </row>
    <row r="150" spans="1:20">
      <c r="A150" s="1380"/>
      <c r="B150" s="1380"/>
      <c r="C150" s="1380"/>
      <c r="D150" s="1380"/>
      <c r="E150" s="1380"/>
      <c r="F150" s="1380"/>
      <c r="G150" s="1380"/>
      <c r="H150" s="1380"/>
      <c r="I150" s="1380"/>
      <c r="J150" s="1380"/>
      <c r="K150" s="1388"/>
      <c r="L150" s="1389"/>
      <c r="M150" s="1380"/>
      <c r="N150" s="1380"/>
      <c r="O150" s="1380"/>
      <c r="P150" s="1380"/>
      <c r="Q150" s="1380"/>
      <c r="R150" s="1380"/>
      <c r="S150" s="1380"/>
      <c r="T150" s="1380"/>
    </row>
    <row r="151" spans="1:20">
      <c r="A151" s="1380"/>
      <c r="B151" s="1380"/>
      <c r="C151" s="1380"/>
      <c r="D151" s="1380"/>
      <c r="E151" s="1380"/>
      <c r="F151" s="1380"/>
      <c r="G151" s="1380"/>
      <c r="H151" s="1380"/>
      <c r="I151" s="1380"/>
      <c r="J151" s="1380"/>
      <c r="K151" s="1388"/>
      <c r="L151" s="1389"/>
      <c r="M151" s="1380"/>
      <c r="N151" s="1380"/>
      <c r="O151" s="1380"/>
      <c r="P151" s="1380"/>
      <c r="Q151" s="1380"/>
      <c r="R151" s="1380"/>
      <c r="S151" s="1380"/>
      <c r="T151" s="1380"/>
    </row>
    <row r="152" spans="1:20">
      <c r="A152" s="1380"/>
      <c r="B152" s="1380"/>
      <c r="C152" s="1380"/>
      <c r="D152" s="1380"/>
      <c r="E152" s="1380"/>
      <c r="F152" s="1380"/>
      <c r="G152" s="1380"/>
      <c r="H152" s="1380"/>
      <c r="I152" s="1380"/>
      <c r="J152" s="1380"/>
      <c r="K152" s="1388"/>
      <c r="L152" s="1389"/>
      <c r="M152" s="1380"/>
      <c r="N152" s="1380"/>
      <c r="O152" s="1380"/>
      <c r="P152" s="1380"/>
      <c r="Q152" s="1380"/>
      <c r="R152" s="1380"/>
      <c r="S152" s="1380"/>
      <c r="T152" s="1380"/>
    </row>
    <row r="153" spans="1:20">
      <c r="A153" s="1380"/>
      <c r="B153" s="1380"/>
      <c r="C153" s="1380"/>
      <c r="D153" s="1380"/>
      <c r="E153" s="1380"/>
      <c r="F153" s="1380"/>
      <c r="G153" s="1380"/>
      <c r="H153" s="1380"/>
      <c r="I153" s="1380"/>
      <c r="J153" s="1380"/>
      <c r="K153" s="1388"/>
      <c r="L153" s="1389"/>
      <c r="M153" s="1380"/>
      <c r="N153" s="1380"/>
      <c r="O153" s="1380"/>
      <c r="P153" s="1380"/>
      <c r="Q153" s="1380"/>
      <c r="R153" s="1380"/>
      <c r="S153" s="1380"/>
      <c r="T153" s="1380"/>
    </row>
    <row r="154" spans="1:20">
      <c r="A154" s="1380"/>
      <c r="B154" s="1380"/>
      <c r="C154" s="1380"/>
      <c r="D154" s="1380"/>
      <c r="E154" s="1380"/>
      <c r="F154" s="1380"/>
      <c r="G154" s="1380"/>
      <c r="H154" s="1380"/>
      <c r="I154" s="1380"/>
      <c r="J154" s="1380"/>
      <c r="K154" s="1388"/>
      <c r="L154" s="1389"/>
      <c r="M154" s="1380"/>
      <c r="N154" s="1380"/>
      <c r="O154" s="1380"/>
      <c r="P154" s="1380"/>
      <c r="Q154" s="1380"/>
      <c r="R154" s="1380"/>
      <c r="S154" s="1380"/>
      <c r="T154" s="1380"/>
    </row>
    <row r="155" spans="1:20">
      <c r="A155" s="1380"/>
      <c r="B155" s="1380"/>
      <c r="C155" s="1380"/>
      <c r="D155" s="1380"/>
      <c r="E155" s="1380"/>
      <c r="F155" s="1380"/>
      <c r="G155" s="1380"/>
      <c r="H155" s="1380"/>
      <c r="I155" s="1380"/>
      <c r="J155" s="1380"/>
      <c r="K155" s="1388"/>
      <c r="L155" s="1389"/>
      <c r="M155" s="1380"/>
      <c r="N155" s="1380"/>
      <c r="O155" s="1380"/>
      <c r="P155" s="1380"/>
      <c r="Q155" s="1380"/>
      <c r="R155" s="1380"/>
      <c r="S155" s="1380"/>
      <c r="T155" s="1380"/>
    </row>
    <row r="156" spans="1:20">
      <c r="A156" s="1380"/>
      <c r="B156" s="1380"/>
      <c r="C156" s="1380"/>
      <c r="D156" s="1380"/>
      <c r="E156" s="1380"/>
      <c r="F156" s="1380"/>
      <c r="G156" s="1380"/>
      <c r="H156" s="1380"/>
      <c r="I156" s="1380"/>
      <c r="J156" s="1380"/>
      <c r="K156" s="1388"/>
      <c r="L156" s="1389"/>
      <c r="M156" s="1380"/>
      <c r="N156" s="1380"/>
      <c r="O156" s="1380"/>
      <c r="P156" s="1380"/>
      <c r="Q156" s="1380"/>
      <c r="R156" s="1380"/>
      <c r="S156" s="1380"/>
      <c r="T156" s="1380"/>
    </row>
    <row r="157" spans="1:20">
      <c r="A157" s="1380"/>
      <c r="B157" s="1380"/>
      <c r="C157" s="1380"/>
      <c r="D157" s="1380"/>
      <c r="E157" s="1380"/>
      <c r="F157" s="1380"/>
      <c r="G157" s="1380"/>
      <c r="H157" s="1380"/>
      <c r="I157" s="1380"/>
      <c r="J157" s="1380"/>
      <c r="K157" s="1388"/>
      <c r="L157" s="1389"/>
      <c r="M157" s="1380"/>
      <c r="N157" s="1380"/>
      <c r="O157" s="1380"/>
      <c r="P157" s="1380"/>
      <c r="Q157" s="1380"/>
      <c r="R157" s="1380"/>
      <c r="S157" s="1380"/>
      <c r="T157" s="1380"/>
    </row>
    <row r="158" spans="1:20">
      <c r="A158" s="1380"/>
      <c r="B158" s="1380"/>
      <c r="C158" s="1380"/>
      <c r="D158" s="1380"/>
      <c r="E158" s="1380"/>
      <c r="F158" s="1380"/>
      <c r="G158" s="1380"/>
      <c r="H158" s="1380"/>
      <c r="I158" s="1380"/>
      <c r="J158" s="1380"/>
      <c r="K158" s="1388"/>
      <c r="L158" s="1389"/>
      <c r="M158" s="1380"/>
      <c r="N158" s="1380"/>
      <c r="O158" s="1380"/>
      <c r="P158" s="1380"/>
      <c r="Q158" s="1380"/>
      <c r="R158" s="1380"/>
      <c r="S158" s="1380"/>
      <c r="T158" s="1380"/>
    </row>
    <row r="159" spans="1:20">
      <c r="A159" s="1380"/>
      <c r="B159" s="1380"/>
      <c r="C159" s="1380"/>
      <c r="D159" s="1380"/>
      <c r="E159" s="1380"/>
      <c r="F159" s="1380"/>
      <c r="G159" s="1380"/>
      <c r="H159" s="1380"/>
      <c r="I159" s="1380"/>
      <c r="J159" s="1380"/>
      <c r="K159" s="1388"/>
      <c r="L159" s="1389"/>
      <c r="M159" s="1380"/>
      <c r="N159" s="1380"/>
      <c r="O159" s="1380"/>
      <c r="P159" s="1380"/>
      <c r="Q159" s="1380"/>
      <c r="R159" s="1380"/>
      <c r="S159" s="1380"/>
      <c r="T159" s="1380"/>
    </row>
    <row r="160" spans="1:20">
      <c r="A160" s="1380"/>
      <c r="B160" s="1380"/>
      <c r="C160" s="1380"/>
      <c r="D160" s="1380"/>
      <c r="E160" s="1380"/>
      <c r="F160" s="1380"/>
      <c r="G160" s="1380"/>
      <c r="H160" s="1380"/>
      <c r="I160" s="1380"/>
      <c r="J160" s="1380"/>
      <c r="K160" s="1388"/>
      <c r="L160" s="1389"/>
      <c r="M160" s="1380"/>
      <c r="N160" s="1380"/>
      <c r="O160" s="1380"/>
      <c r="P160" s="1380"/>
      <c r="Q160" s="1380"/>
      <c r="R160" s="1380"/>
      <c r="S160" s="1380"/>
      <c r="T160" s="1380"/>
    </row>
    <row r="161" spans="1:20">
      <c r="A161" s="1380"/>
      <c r="B161" s="1380"/>
      <c r="C161" s="1380"/>
      <c r="D161" s="1380"/>
      <c r="E161" s="1380"/>
      <c r="F161" s="1380"/>
      <c r="G161" s="1380"/>
      <c r="H161" s="1380"/>
      <c r="I161" s="1380"/>
      <c r="J161" s="1380"/>
      <c r="K161" s="1388"/>
      <c r="L161" s="1389"/>
      <c r="M161" s="1380"/>
      <c r="N161" s="1380"/>
      <c r="O161" s="1380"/>
      <c r="P161" s="1380"/>
      <c r="Q161" s="1380"/>
      <c r="R161" s="1380"/>
      <c r="S161" s="1380"/>
      <c r="T161" s="1380"/>
    </row>
    <row r="162" spans="1:20">
      <c r="A162" s="1380"/>
      <c r="B162" s="1380"/>
      <c r="C162" s="1380"/>
      <c r="D162" s="1380"/>
      <c r="E162" s="1380"/>
      <c r="F162" s="1380"/>
      <c r="G162" s="1380"/>
      <c r="H162" s="1380"/>
      <c r="I162" s="1380"/>
      <c r="J162" s="1380"/>
      <c r="K162" s="1388"/>
      <c r="L162" s="1389"/>
      <c r="M162" s="1380"/>
      <c r="N162" s="1380"/>
      <c r="O162" s="1380"/>
      <c r="P162" s="1380"/>
      <c r="Q162" s="1380"/>
      <c r="R162" s="1380"/>
      <c r="S162" s="1380"/>
      <c r="T162" s="1380"/>
    </row>
    <row r="163" spans="1:20">
      <c r="A163" s="1380"/>
      <c r="B163" s="1380"/>
      <c r="C163" s="1380"/>
      <c r="D163" s="1380"/>
      <c r="E163" s="1380"/>
      <c r="F163" s="1380"/>
      <c r="G163" s="1380"/>
      <c r="H163" s="1380"/>
      <c r="I163" s="1380"/>
      <c r="J163" s="1380"/>
      <c r="K163" s="1388"/>
      <c r="L163" s="1389"/>
      <c r="M163" s="1380"/>
      <c r="N163" s="1380"/>
      <c r="O163" s="1380"/>
      <c r="P163" s="1380"/>
      <c r="Q163" s="1380"/>
      <c r="R163" s="1380"/>
      <c r="S163" s="1380"/>
      <c r="T163" s="1380"/>
    </row>
    <row r="164" spans="1:20">
      <c r="A164" s="1380"/>
      <c r="B164" s="1380"/>
      <c r="C164" s="1380"/>
      <c r="D164" s="1380"/>
      <c r="E164" s="1380"/>
      <c r="F164" s="1380"/>
      <c r="G164" s="1380"/>
      <c r="H164" s="1380"/>
      <c r="I164" s="1380"/>
      <c r="J164" s="1380"/>
      <c r="K164" s="1388"/>
      <c r="L164" s="1389"/>
      <c r="M164" s="1380"/>
      <c r="N164" s="1380"/>
      <c r="O164" s="1380"/>
      <c r="P164" s="1380"/>
      <c r="Q164" s="1380"/>
      <c r="R164" s="1380"/>
      <c r="S164" s="1380"/>
      <c r="T164" s="1380"/>
    </row>
    <row r="165" spans="1:20">
      <c r="A165" s="1380"/>
      <c r="B165" s="1380"/>
      <c r="C165" s="1380"/>
      <c r="D165" s="1380"/>
      <c r="E165" s="1380"/>
      <c r="F165" s="1380"/>
      <c r="G165" s="1380"/>
      <c r="H165" s="1380"/>
      <c r="I165" s="1380"/>
      <c r="J165" s="1380"/>
      <c r="K165" s="1388"/>
      <c r="L165" s="1389"/>
      <c r="M165" s="1380"/>
      <c r="N165" s="1380"/>
      <c r="O165" s="1380"/>
      <c r="P165" s="1380"/>
      <c r="Q165" s="1380"/>
      <c r="R165" s="1380"/>
      <c r="S165" s="1380"/>
      <c r="T165" s="1380"/>
    </row>
    <row r="166" spans="1:20">
      <c r="A166" s="1380"/>
      <c r="B166" s="1380"/>
      <c r="C166" s="1380"/>
      <c r="D166" s="1380"/>
      <c r="E166" s="1380"/>
      <c r="F166" s="1380"/>
      <c r="G166" s="1380"/>
      <c r="H166" s="1380"/>
      <c r="I166" s="1380"/>
      <c r="J166" s="1380"/>
      <c r="K166" s="1388"/>
      <c r="L166" s="1389"/>
      <c r="M166" s="1380"/>
      <c r="N166" s="1380"/>
      <c r="O166" s="1380"/>
      <c r="P166" s="1380"/>
      <c r="Q166" s="1380"/>
      <c r="R166" s="1380"/>
      <c r="S166" s="1380"/>
      <c r="T166" s="1380"/>
    </row>
    <row r="167" spans="1:20">
      <c r="A167" s="1380"/>
      <c r="B167" s="1380"/>
      <c r="C167" s="1380"/>
      <c r="D167" s="1380"/>
      <c r="E167" s="1380"/>
      <c r="F167" s="1380"/>
      <c r="G167" s="1380"/>
      <c r="H167" s="1380"/>
      <c r="I167" s="1380"/>
      <c r="J167" s="1380"/>
      <c r="K167" s="1388"/>
      <c r="L167" s="1389"/>
      <c r="M167" s="1380"/>
      <c r="N167" s="1380"/>
      <c r="O167" s="1380"/>
      <c r="P167" s="1380"/>
      <c r="Q167" s="1380"/>
      <c r="R167" s="1380"/>
      <c r="S167" s="1380"/>
      <c r="T167" s="1380"/>
    </row>
    <row r="168" spans="1:20">
      <c r="A168" s="1380"/>
      <c r="B168" s="1380"/>
      <c r="C168" s="1380"/>
      <c r="D168" s="1380"/>
      <c r="E168" s="1380"/>
      <c r="F168" s="1380"/>
      <c r="G168" s="1380"/>
      <c r="H168" s="1380"/>
      <c r="I168" s="1380"/>
      <c r="J168" s="1380"/>
      <c r="K168" s="1388"/>
      <c r="L168" s="1389"/>
      <c r="M168" s="1380"/>
      <c r="N168" s="1380"/>
      <c r="O168" s="1380"/>
      <c r="P168" s="1380"/>
      <c r="Q168" s="1380"/>
      <c r="R168" s="1380"/>
      <c r="S168" s="1380"/>
      <c r="T168" s="1380"/>
    </row>
    <row r="169" spans="1:20">
      <c r="A169" s="1380"/>
      <c r="B169" s="1380"/>
      <c r="C169" s="1380"/>
      <c r="D169" s="1380"/>
      <c r="E169" s="1380"/>
      <c r="F169" s="1380"/>
      <c r="G169" s="1380"/>
      <c r="H169" s="1380"/>
      <c r="I169" s="1380"/>
      <c r="J169" s="1380"/>
      <c r="K169" s="1388"/>
      <c r="L169" s="1389"/>
      <c r="M169" s="1380"/>
      <c r="N169" s="1380"/>
      <c r="O169" s="1380"/>
      <c r="P169" s="1380"/>
      <c r="Q169" s="1380"/>
      <c r="R169" s="1380"/>
      <c r="S169" s="1380"/>
      <c r="T169" s="1380"/>
    </row>
    <row r="170" spans="1:20">
      <c r="A170" s="1380"/>
      <c r="B170" s="1380"/>
      <c r="C170" s="1380"/>
      <c r="D170" s="1380"/>
      <c r="E170" s="1380"/>
      <c r="F170" s="1380"/>
      <c r="G170" s="1380"/>
      <c r="H170" s="1380"/>
      <c r="I170" s="1380"/>
      <c r="J170" s="1380"/>
      <c r="K170" s="1388"/>
      <c r="L170" s="1389"/>
      <c r="M170" s="1380"/>
      <c r="N170" s="1380"/>
      <c r="O170" s="1380"/>
      <c r="P170" s="1380"/>
      <c r="Q170" s="1380"/>
      <c r="R170" s="1380"/>
      <c r="S170" s="1380"/>
      <c r="T170" s="1380"/>
    </row>
    <row r="171" spans="1:20">
      <c r="A171" s="1380"/>
      <c r="B171" s="1380"/>
      <c r="C171" s="1380"/>
      <c r="D171" s="1380"/>
      <c r="E171" s="1380"/>
      <c r="F171" s="1380"/>
      <c r="G171" s="1380"/>
      <c r="H171" s="1380"/>
      <c r="I171" s="1380"/>
      <c r="J171" s="1380"/>
      <c r="K171" s="1388"/>
      <c r="L171" s="1389"/>
      <c r="M171" s="1380"/>
      <c r="N171" s="1380"/>
      <c r="O171" s="1380"/>
      <c r="P171" s="1380"/>
      <c r="Q171" s="1380"/>
      <c r="R171" s="1380"/>
      <c r="S171" s="1380"/>
      <c r="T171" s="1380"/>
    </row>
    <row r="172" spans="1:20">
      <c r="A172" s="1380"/>
      <c r="B172" s="1380"/>
      <c r="C172" s="1380"/>
      <c r="D172" s="1380"/>
      <c r="E172" s="1380"/>
      <c r="F172" s="1380"/>
      <c r="G172" s="1380"/>
      <c r="H172" s="1380"/>
      <c r="I172" s="1380"/>
      <c r="J172" s="1380"/>
      <c r="K172" s="1388"/>
      <c r="L172" s="1389"/>
      <c r="M172" s="1380"/>
      <c r="N172" s="1380"/>
      <c r="O172" s="1380"/>
      <c r="P172" s="1380"/>
      <c r="Q172" s="1380"/>
      <c r="R172" s="1380"/>
      <c r="S172" s="1380"/>
      <c r="T172" s="1380"/>
    </row>
    <row r="173" spans="1:20">
      <c r="A173" s="1380"/>
      <c r="B173" s="1380"/>
      <c r="C173" s="1380"/>
      <c r="D173" s="1380"/>
      <c r="E173" s="1380"/>
      <c r="F173" s="1380"/>
      <c r="G173" s="1380"/>
      <c r="H173" s="1380"/>
      <c r="I173" s="1380"/>
      <c r="J173" s="1380"/>
      <c r="K173" s="1388"/>
      <c r="L173" s="1389"/>
      <c r="M173" s="1380"/>
      <c r="N173" s="1380"/>
      <c r="O173" s="1380"/>
      <c r="P173" s="1380"/>
      <c r="Q173" s="1380"/>
      <c r="R173" s="1380"/>
      <c r="S173" s="1380"/>
      <c r="T173" s="1380"/>
    </row>
    <row r="174" spans="1:20">
      <c r="A174" s="1380"/>
      <c r="B174" s="1380"/>
      <c r="C174" s="1380"/>
      <c r="D174" s="1380"/>
      <c r="E174" s="1380"/>
      <c r="F174" s="1380"/>
      <c r="G174" s="1380"/>
      <c r="H174" s="1380"/>
      <c r="I174" s="1380"/>
      <c r="J174" s="1380"/>
      <c r="K174" s="1388"/>
      <c r="L174" s="1389"/>
      <c r="M174" s="1380"/>
      <c r="N174" s="1380"/>
      <c r="O174" s="1380"/>
      <c r="P174" s="1380"/>
      <c r="Q174" s="1380"/>
      <c r="R174" s="1380"/>
      <c r="S174" s="1380"/>
      <c r="T174" s="1380"/>
    </row>
    <row r="175" spans="1:20">
      <c r="A175" s="1380"/>
      <c r="B175" s="1380"/>
      <c r="C175" s="1380"/>
      <c r="D175" s="1380"/>
      <c r="E175" s="1380"/>
      <c r="F175" s="1380"/>
      <c r="G175" s="1380"/>
      <c r="H175" s="1380"/>
      <c r="I175" s="1380"/>
      <c r="J175" s="1380"/>
      <c r="K175" s="1388"/>
      <c r="L175" s="1389"/>
      <c r="M175" s="1380"/>
      <c r="N175" s="1380"/>
      <c r="O175" s="1380"/>
      <c r="P175" s="1380"/>
      <c r="Q175" s="1380"/>
      <c r="R175" s="1380"/>
      <c r="S175" s="1380"/>
      <c r="T175" s="1380"/>
    </row>
    <row r="176" spans="1:20">
      <c r="A176" s="1380"/>
      <c r="B176" s="1380"/>
      <c r="C176" s="1380"/>
      <c r="D176" s="1380"/>
      <c r="E176" s="1380"/>
      <c r="F176" s="1380"/>
      <c r="G176" s="1380"/>
      <c r="H176" s="1380"/>
      <c r="I176" s="1380"/>
      <c r="J176" s="1380"/>
      <c r="K176" s="1388"/>
      <c r="L176" s="1389"/>
      <c r="M176" s="1380"/>
      <c r="N176" s="1380"/>
      <c r="O176" s="1380"/>
      <c r="P176" s="1380"/>
      <c r="Q176" s="1380"/>
      <c r="R176" s="1380"/>
      <c r="S176" s="1380"/>
      <c r="T176" s="1380"/>
    </row>
    <row r="177" spans="1:20">
      <c r="A177" s="1380"/>
      <c r="B177" s="1380"/>
      <c r="C177" s="1380"/>
      <c r="D177" s="1380"/>
      <c r="E177" s="1380"/>
      <c r="F177" s="1380"/>
      <c r="G177" s="1380"/>
      <c r="H177" s="1380"/>
      <c r="I177" s="1380"/>
      <c r="J177" s="1380"/>
      <c r="K177" s="1388"/>
      <c r="L177" s="1389"/>
      <c r="M177" s="1380"/>
      <c r="N177" s="1380"/>
      <c r="O177" s="1380"/>
      <c r="P177" s="1380"/>
      <c r="Q177" s="1380"/>
      <c r="R177" s="1380"/>
      <c r="S177" s="1380"/>
      <c r="T177" s="1380"/>
    </row>
    <row r="178" spans="1:20">
      <c r="A178" s="1380"/>
      <c r="B178" s="1380"/>
      <c r="C178" s="1380"/>
      <c r="D178" s="1380"/>
      <c r="E178" s="1380"/>
      <c r="F178" s="1380"/>
      <c r="G178" s="1380"/>
      <c r="H178" s="1380"/>
      <c r="I178" s="1380"/>
      <c r="J178" s="1380"/>
      <c r="K178" s="1388"/>
      <c r="L178" s="1389"/>
      <c r="M178" s="1380"/>
      <c r="N178" s="1380"/>
      <c r="O178" s="1380"/>
      <c r="P178" s="1380"/>
      <c r="Q178" s="1380"/>
      <c r="R178" s="1380"/>
      <c r="S178" s="1380"/>
      <c r="T178" s="1380"/>
    </row>
    <row r="179" spans="1:20">
      <c r="A179" s="1380"/>
      <c r="B179" s="1380"/>
      <c r="C179" s="1380"/>
      <c r="D179" s="1380"/>
      <c r="E179" s="1380"/>
      <c r="F179" s="1380"/>
      <c r="G179" s="1380"/>
      <c r="H179" s="1380"/>
      <c r="I179" s="1380"/>
      <c r="J179" s="1380"/>
      <c r="K179" s="1388"/>
      <c r="L179" s="1389"/>
      <c r="M179" s="1380"/>
      <c r="N179" s="1380"/>
      <c r="O179" s="1380"/>
      <c r="P179" s="1380"/>
      <c r="Q179" s="1380"/>
      <c r="R179" s="1380"/>
      <c r="S179" s="1380"/>
      <c r="T179" s="1380"/>
    </row>
    <row r="180" spans="1:20">
      <c r="A180" s="1380"/>
      <c r="B180" s="1380"/>
      <c r="C180" s="1380"/>
      <c r="D180" s="1380"/>
      <c r="E180" s="1380"/>
      <c r="F180" s="1380"/>
      <c r="G180" s="1380"/>
      <c r="H180" s="1380"/>
      <c r="I180" s="1380"/>
      <c r="J180" s="1380"/>
      <c r="K180" s="1388"/>
      <c r="L180" s="1389"/>
      <c r="M180" s="1380"/>
      <c r="N180" s="1380"/>
      <c r="O180" s="1380"/>
      <c r="P180" s="1380"/>
      <c r="Q180" s="1380"/>
      <c r="R180" s="1380"/>
      <c r="S180" s="1380"/>
      <c r="T180" s="1380"/>
    </row>
    <row r="181" spans="1:20">
      <c r="A181" s="1380"/>
      <c r="B181" s="1380"/>
      <c r="C181" s="1380"/>
      <c r="D181" s="1380"/>
      <c r="E181" s="1380"/>
      <c r="F181" s="1380"/>
      <c r="G181" s="1380"/>
      <c r="H181" s="1380"/>
      <c r="I181" s="1380"/>
      <c r="J181" s="1380"/>
      <c r="K181" s="1388"/>
      <c r="L181" s="1389"/>
      <c r="M181" s="1380"/>
      <c r="N181" s="1380"/>
      <c r="O181" s="1380"/>
      <c r="P181" s="1380"/>
      <c r="Q181" s="1380"/>
      <c r="R181" s="1380"/>
      <c r="S181" s="1380"/>
      <c r="T181" s="1380"/>
    </row>
    <row r="182" spans="1:20">
      <c r="A182" s="1380"/>
      <c r="B182" s="1380"/>
      <c r="C182" s="1380"/>
      <c r="D182" s="1380"/>
      <c r="E182" s="1380"/>
      <c r="F182" s="1380"/>
      <c r="G182" s="1380"/>
      <c r="H182" s="1380"/>
      <c r="I182" s="1380"/>
      <c r="J182" s="1380"/>
      <c r="K182" s="1388"/>
      <c r="L182" s="1389"/>
      <c r="M182" s="1380"/>
      <c r="N182" s="1380"/>
      <c r="O182" s="1380"/>
      <c r="P182" s="1380"/>
      <c r="Q182" s="1380"/>
      <c r="R182" s="1380"/>
      <c r="S182" s="1380"/>
      <c r="T182" s="1380"/>
    </row>
    <row r="183" spans="1:20">
      <c r="A183" s="1380"/>
      <c r="B183" s="1380"/>
      <c r="C183" s="1380"/>
      <c r="D183" s="1380"/>
      <c r="E183" s="1380"/>
      <c r="F183" s="1380"/>
      <c r="G183" s="1380"/>
      <c r="H183" s="1380"/>
      <c r="I183" s="1380"/>
      <c r="J183" s="1380"/>
      <c r="K183" s="1388"/>
      <c r="L183" s="1389"/>
      <c r="M183" s="1380"/>
      <c r="N183" s="1380"/>
      <c r="O183" s="1380"/>
      <c r="P183" s="1380"/>
      <c r="Q183" s="1380"/>
      <c r="R183" s="1380"/>
      <c r="S183" s="1380"/>
      <c r="T183" s="1380"/>
    </row>
    <row r="184" spans="1:20">
      <c r="A184" s="1380"/>
      <c r="B184" s="1380"/>
      <c r="C184" s="1380"/>
      <c r="D184" s="1380"/>
      <c r="E184" s="1380"/>
      <c r="F184" s="1380"/>
      <c r="G184" s="1380"/>
      <c r="H184" s="1380"/>
      <c r="I184" s="1380"/>
      <c r="J184" s="1380"/>
      <c r="K184" s="1388"/>
      <c r="L184" s="1389"/>
      <c r="M184" s="1380"/>
      <c r="N184" s="1380"/>
      <c r="O184" s="1380"/>
      <c r="P184" s="1380"/>
      <c r="Q184" s="1380"/>
      <c r="R184" s="1380"/>
      <c r="S184" s="1380"/>
      <c r="T184" s="1380"/>
    </row>
    <row r="185" spans="1:20">
      <c r="A185" s="1380"/>
      <c r="B185" s="1380"/>
      <c r="C185" s="1380"/>
      <c r="D185" s="1380"/>
      <c r="E185" s="1380"/>
      <c r="F185" s="1380"/>
      <c r="G185" s="1380"/>
      <c r="H185" s="1380"/>
      <c r="I185" s="1380"/>
      <c r="J185" s="1380"/>
      <c r="K185" s="1388"/>
      <c r="L185" s="1389"/>
      <c r="M185" s="1380"/>
      <c r="N185" s="1380"/>
      <c r="O185" s="1380"/>
      <c r="P185" s="1380"/>
      <c r="Q185" s="1380"/>
      <c r="R185" s="1380"/>
      <c r="S185" s="1380"/>
      <c r="T185" s="1380"/>
    </row>
    <row r="186" spans="1:20">
      <c r="A186" s="1380"/>
      <c r="B186" s="1380"/>
      <c r="C186" s="1380"/>
      <c r="D186" s="1380"/>
      <c r="E186" s="1380"/>
      <c r="F186" s="1380"/>
      <c r="G186" s="1380"/>
      <c r="H186" s="1380"/>
      <c r="I186" s="1380"/>
      <c r="J186" s="1380"/>
      <c r="K186" s="1388"/>
      <c r="L186" s="1389"/>
      <c r="M186" s="1380"/>
      <c r="N186" s="1380"/>
      <c r="O186" s="1380"/>
      <c r="P186" s="1380"/>
      <c r="Q186" s="1380"/>
      <c r="R186" s="1380"/>
      <c r="S186" s="1380"/>
      <c r="T186" s="1380"/>
    </row>
    <row r="187" spans="1:20">
      <c r="A187" s="1380"/>
      <c r="B187" s="1380"/>
      <c r="C187" s="1380"/>
      <c r="D187" s="1380"/>
      <c r="E187" s="1380"/>
      <c r="F187" s="1380"/>
      <c r="G187" s="1380"/>
      <c r="H187" s="1380"/>
      <c r="I187" s="1380"/>
      <c r="J187" s="1380"/>
      <c r="K187" s="1388"/>
      <c r="L187" s="1389"/>
      <c r="M187" s="1380"/>
      <c r="N187" s="1380"/>
      <c r="O187" s="1380"/>
      <c r="P187" s="1380"/>
      <c r="Q187" s="1380"/>
      <c r="R187" s="1380"/>
      <c r="S187" s="1380"/>
      <c r="T187" s="1380"/>
    </row>
    <row r="188" spans="1:20">
      <c r="A188" s="1380"/>
      <c r="B188" s="1380"/>
      <c r="C188" s="1380"/>
      <c r="D188" s="1380"/>
      <c r="E188" s="1380"/>
      <c r="F188" s="1380"/>
      <c r="G188" s="1380"/>
      <c r="H188" s="1380"/>
      <c r="I188" s="1380"/>
      <c r="J188" s="1380"/>
      <c r="K188" s="1388"/>
      <c r="L188" s="1389"/>
      <c r="M188" s="1380"/>
      <c r="N188" s="1380"/>
      <c r="O188" s="1380"/>
      <c r="P188" s="1380"/>
      <c r="Q188" s="1380"/>
      <c r="R188" s="1380"/>
      <c r="S188" s="1380"/>
      <c r="T188" s="1380"/>
    </row>
    <row r="189" spans="1:20">
      <c r="A189" s="1380"/>
      <c r="B189" s="1380"/>
      <c r="C189" s="1380"/>
      <c r="D189" s="1380"/>
      <c r="E189" s="1380"/>
      <c r="F189" s="1380"/>
      <c r="G189" s="1380"/>
      <c r="H189" s="1380"/>
      <c r="I189" s="1380"/>
      <c r="J189" s="1380"/>
      <c r="K189" s="1388"/>
      <c r="L189" s="1389"/>
      <c r="M189" s="1380"/>
      <c r="N189" s="1380"/>
      <c r="O189" s="1380"/>
      <c r="P189" s="1380"/>
      <c r="Q189" s="1380"/>
      <c r="R189" s="1380"/>
      <c r="S189" s="1380"/>
      <c r="T189" s="1380"/>
    </row>
    <row r="190" spans="1:20">
      <c r="A190" s="1380"/>
      <c r="B190" s="1380"/>
      <c r="C190" s="1380"/>
      <c r="D190" s="1380"/>
      <c r="E190" s="1380"/>
      <c r="F190" s="1380"/>
      <c r="G190" s="1380"/>
      <c r="H190" s="1380"/>
      <c r="I190" s="1380"/>
      <c r="J190" s="1380"/>
      <c r="K190" s="1388"/>
      <c r="L190" s="1389"/>
      <c r="M190" s="1380"/>
      <c r="N190" s="1380"/>
      <c r="O190" s="1380"/>
      <c r="P190" s="1380"/>
      <c r="Q190" s="1380"/>
      <c r="R190" s="1380"/>
      <c r="S190" s="1380"/>
      <c r="T190" s="1380"/>
    </row>
    <row r="191" spans="1:20">
      <c r="A191" s="1380"/>
      <c r="B191" s="1380"/>
      <c r="C191" s="1380"/>
      <c r="D191" s="1380"/>
      <c r="E191" s="1380"/>
      <c r="F191" s="1380"/>
      <c r="G191" s="1380"/>
      <c r="H191" s="1380"/>
      <c r="I191" s="1380"/>
      <c r="J191" s="1380"/>
      <c r="K191" s="1388"/>
      <c r="L191" s="1389"/>
      <c r="M191" s="1380"/>
      <c r="N191" s="1380"/>
      <c r="O191" s="1380"/>
      <c r="P191" s="1380"/>
      <c r="Q191" s="1380"/>
      <c r="R191" s="1380"/>
      <c r="S191" s="1380"/>
      <c r="T191" s="1380"/>
    </row>
    <row r="192" spans="1:20">
      <c r="A192" s="1380"/>
      <c r="B192" s="1380"/>
      <c r="C192" s="1380"/>
      <c r="D192" s="1380"/>
      <c r="E192" s="1380"/>
      <c r="F192" s="1380"/>
      <c r="G192" s="1380"/>
      <c r="H192" s="1380"/>
      <c r="I192" s="1380"/>
      <c r="J192" s="1380"/>
      <c r="K192" s="1388"/>
      <c r="L192" s="1389"/>
      <c r="M192" s="1380"/>
      <c r="N192" s="1380"/>
      <c r="O192" s="1380"/>
      <c r="P192" s="1380"/>
      <c r="Q192" s="1380"/>
      <c r="R192" s="1380"/>
      <c r="S192" s="1380"/>
      <c r="T192" s="1380"/>
    </row>
    <row r="193" spans="1:20">
      <c r="A193" s="1380"/>
      <c r="B193" s="1380"/>
      <c r="C193" s="1380"/>
      <c r="D193" s="1380"/>
      <c r="E193" s="1380"/>
      <c r="F193" s="1380"/>
      <c r="G193" s="1380"/>
      <c r="H193" s="1380"/>
      <c r="I193" s="1380"/>
      <c r="J193" s="1380"/>
      <c r="K193" s="1388"/>
      <c r="L193" s="1389"/>
      <c r="M193" s="1380"/>
      <c r="N193" s="1380"/>
      <c r="O193" s="1380"/>
      <c r="P193" s="1380"/>
      <c r="Q193" s="1380"/>
      <c r="R193" s="1380"/>
      <c r="S193" s="1380"/>
      <c r="T193" s="1380"/>
    </row>
    <row r="194" spans="1:20">
      <c r="A194" s="1380"/>
      <c r="B194" s="1380"/>
      <c r="C194" s="1380"/>
      <c r="D194" s="1380"/>
      <c r="E194" s="1380"/>
      <c r="F194" s="1380"/>
      <c r="G194" s="1380"/>
      <c r="H194" s="1380"/>
      <c r="I194" s="1380"/>
      <c r="J194" s="1380"/>
      <c r="K194" s="1388"/>
      <c r="L194" s="1389"/>
      <c r="M194" s="1380"/>
      <c r="N194" s="1380"/>
      <c r="O194" s="1380"/>
      <c r="P194" s="1380"/>
      <c r="Q194" s="1380"/>
      <c r="R194" s="1380"/>
      <c r="S194" s="1380"/>
      <c r="T194" s="1380"/>
    </row>
    <row r="195" spans="1:20">
      <c r="A195" s="1380"/>
      <c r="B195" s="1380"/>
      <c r="C195" s="1380"/>
      <c r="D195" s="1380"/>
      <c r="E195" s="1380"/>
      <c r="F195" s="1380"/>
      <c r="G195" s="1380"/>
      <c r="H195" s="1380"/>
      <c r="I195" s="1380"/>
      <c r="J195" s="1380"/>
      <c r="K195" s="1388"/>
      <c r="L195" s="1389"/>
      <c r="M195" s="1380"/>
      <c r="N195" s="1380"/>
      <c r="O195" s="1380"/>
      <c r="P195" s="1380"/>
      <c r="Q195" s="1380"/>
      <c r="R195" s="1380"/>
      <c r="S195" s="1380"/>
      <c r="T195" s="1380"/>
    </row>
    <row r="196" spans="1:20">
      <c r="A196" s="1380"/>
      <c r="B196" s="1380"/>
      <c r="C196" s="1380"/>
      <c r="D196" s="1380"/>
      <c r="E196" s="1380"/>
      <c r="F196" s="1380"/>
      <c r="G196" s="1380"/>
      <c r="H196" s="1380"/>
      <c r="I196" s="1380"/>
      <c r="J196" s="1380"/>
      <c r="K196" s="1388"/>
      <c r="L196" s="1389"/>
      <c r="M196" s="1380"/>
      <c r="N196" s="1380"/>
      <c r="O196" s="1380"/>
      <c r="P196" s="1380"/>
      <c r="Q196" s="1380"/>
      <c r="R196" s="1380"/>
      <c r="S196" s="1380"/>
      <c r="T196" s="1380"/>
    </row>
    <row r="197" spans="1:20">
      <c r="A197" s="1380"/>
      <c r="B197" s="1380"/>
      <c r="C197" s="1380"/>
      <c r="D197" s="1380"/>
      <c r="E197" s="1380"/>
      <c r="F197" s="1380"/>
      <c r="G197" s="1380"/>
      <c r="H197" s="1380"/>
      <c r="I197" s="1380"/>
      <c r="J197" s="1380"/>
      <c r="K197" s="1388"/>
      <c r="L197" s="1389"/>
      <c r="M197" s="1380"/>
      <c r="N197" s="1380"/>
      <c r="O197" s="1380"/>
      <c r="P197" s="1380"/>
      <c r="Q197" s="1380"/>
      <c r="R197" s="1380"/>
      <c r="S197" s="1380"/>
      <c r="T197" s="1380"/>
    </row>
    <row r="198" spans="1:20">
      <c r="A198" s="1380"/>
      <c r="B198" s="1380"/>
      <c r="C198" s="1380"/>
      <c r="D198" s="1380"/>
      <c r="E198" s="1380"/>
      <c r="F198" s="1380"/>
      <c r="G198" s="1380"/>
      <c r="H198" s="1380"/>
      <c r="I198" s="1380"/>
      <c r="J198" s="1380"/>
      <c r="K198" s="1388"/>
      <c r="L198" s="1389"/>
      <c r="M198" s="1380"/>
      <c r="N198" s="1380"/>
      <c r="O198" s="1380"/>
      <c r="P198" s="1380"/>
      <c r="Q198" s="1380"/>
      <c r="R198" s="1380"/>
      <c r="S198" s="1380"/>
      <c r="T198" s="1380"/>
    </row>
    <row r="199" spans="1:20">
      <c r="A199" s="1380"/>
      <c r="B199" s="1380"/>
      <c r="C199" s="1380"/>
      <c r="D199" s="1380"/>
      <c r="E199" s="1380"/>
      <c r="F199" s="1380"/>
      <c r="G199" s="1380"/>
      <c r="H199" s="1380"/>
      <c r="I199" s="1380"/>
      <c r="J199" s="1380"/>
      <c r="K199" s="1388"/>
      <c r="L199" s="1389"/>
      <c r="M199" s="1380"/>
      <c r="N199" s="1380"/>
      <c r="O199" s="1380"/>
      <c r="P199" s="1380"/>
      <c r="Q199" s="1380"/>
      <c r="R199" s="1380"/>
      <c r="S199" s="1380"/>
      <c r="T199" s="1380"/>
    </row>
    <row r="200" spans="1:20">
      <c r="A200" s="1380"/>
      <c r="B200" s="1380"/>
      <c r="C200" s="1380"/>
      <c r="D200" s="1380"/>
      <c r="E200" s="1380"/>
      <c r="F200" s="1380"/>
      <c r="G200" s="1380"/>
      <c r="H200" s="1380"/>
      <c r="I200" s="1380"/>
      <c r="J200" s="1380"/>
      <c r="K200" s="1388"/>
      <c r="L200" s="1389"/>
      <c r="M200" s="1380"/>
      <c r="N200" s="1380"/>
      <c r="O200" s="1380"/>
      <c r="P200" s="1380"/>
      <c r="Q200" s="1380"/>
      <c r="R200" s="1380"/>
      <c r="S200" s="1380"/>
      <c r="T200" s="1380"/>
    </row>
    <row r="201" spans="1:20">
      <c r="A201" s="1380"/>
      <c r="B201" s="1380"/>
      <c r="C201" s="1380"/>
      <c r="D201" s="1380"/>
      <c r="E201" s="1380"/>
      <c r="F201" s="1380"/>
      <c r="G201" s="1380"/>
      <c r="H201" s="1380"/>
      <c r="I201" s="1380"/>
      <c r="J201" s="1380"/>
      <c r="K201" s="1388"/>
      <c r="L201" s="1389"/>
      <c r="M201" s="1380"/>
      <c r="N201" s="1380"/>
      <c r="O201" s="1380"/>
      <c r="P201" s="1380"/>
      <c r="Q201" s="1380"/>
      <c r="R201" s="1380"/>
      <c r="S201" s="1380"/>
      <c r="T201" s="1380"/>
    </row>
    <row r="202" spans="1:20">
      <c r="A202" s="1380"/>
      <c r="B202" s="1380"/>
      <c r="C202" s="1380"/>
      <c r="D202" s="1380"/>
      <c r="E202" s="1380"/>
      <c r="F202" s="1380"/>
      <c r="G202" s="1380"/>
      <c r="H202" s="1380"/>
      <c r="I202" s="1380"/>
      <c r="J202" s="1380"/>
      <c r="K202" s="1388"/>
      <c r="L202" s="1389"/>
      <c r="M202" s="1380"/>
      <c r="N202" s="1380"/>
      <c r="O202" s="1380"/>
      <c r="P202" s="1380"/>
      <c r="Q202" s="1380"/>
      <c r="R202" s="1380"/>
      <c r="S202" s="1380"/>
      <c r="T202" s="1380"/>
    </row>
    <row r="203" spans="1:20">
      <c r="A203" s="1380"/>
      <c r="B203" s="1380"/>
      <c r="C203" s="1380"/>
      <c r="D203" s="1380"/>
      <c r="E203" s="1380"/>
      <c r="F203" s="1380"/>
      <c r="G203" s="1380"/>
      <c r="H203" s="1380"/>
      <c r="I203" s="1380"/>
      <c r="J203" s="1380"/>
      <c r="K203" s="1388"/>
      <c r="L203" s="1389"/>
      <c r="M203" s="1380"/>
      <c r="N203" s="1380"/>
      <c r="O203" s="1380"/>
      <c r="P203" s="1380"/>
      <c r="Q203" s="1380"/>
      <c r="R203" s="1380"/>
      <c r="S203" s="1380"/>
      <c r="T203" s="1380"/>
    </row>
    <row r="204" spans="1:20">
      <c r="A204" s="1380"/>
      <c r="B204" s="1380"/>
      <c r="C204" s="1380"/>
      <c r="D204" s="1380"/>
      <c r="E204" s="1380"/>
      <c r="F204" s="1380"/>
      <c r="G204" s="1380"/>
      <c r="H204" s="1380"/>
      <c r="I204" s="1380"/>
      <c r="J204" s="1380"/>
      <c r="K204" s="1388"/>
      <c r="L204" s="1389"/>
      <c r="M204" s="1380"/>
      <c r="N204" s="1380"/>
      <c r="O204" s="1380"/>
      <c r="P204" s="1380"/>
      <c r="Q204" s="1380"/>
      <c r="R204" s="1380"/>
      <c r="S204" s="1380"/>
      <c r="T204" s="1380"/>
    </row>
    <row r="205" spans="1:20">
      <c r="A205" s="1380"/>
      <c r="B205" s="1380"/>
      <c r="C205" s="1380"/>
      <c r="D205" s="1380"/>
      <c r="E205" s="1380"/>
      <c r="F205" s="1380"/>
      <c r="G205" s="1380"/>
      <c r="H205" s="1380"/>
      <c r="I205" s="1380"/>
      <c r="J205" s="1380"/>
      <c r="K205" s="1388"/>
      <c r="L205" s="1389"/>
      <c r="M205" s="1380"/>
      <c r="N205" s="1380"/>
      <c r="O205" s="1380"/>
      <c r="P205" s="1380"/>
      <c r="Q205" s="1380"/>
      <c r="R205" s="1380"/>
      <c r="S205" s="1380"/>
      <c r="T205" s="1380"/>
    </row>
    <row r="206" spans="1:20">
      <c r="A206" s="1380"/>
      <c r="B206" s="1380"/>
      <c r="C206" s="1380"/>
      <c r="D206" s="1380"/>
      <c r="E206" s="1380"/>
      <c r="F206" s="1380"/>
      <c r="G206" s="1380"/>
      <c r="H206" s="1380"/>
      <c r="I206" s="1380"/>
      <c r="J206" s="1380"/>
      <c r="K206" s="1388"/>
      <c r="L206" s="1389"/>
      <c r="M206" s="1380"/>
      <c r="N206" s="1380"/>
      <c r="O206" s="1380"/>
      <c r="P206" s="1380"/>
      <c r="Q206" s="1380"/>
      <c r="R206" s="1380"/>
      <c r="S206" s="1380"/>
      <c r="T206" s="1380"/>
    </row>
    <row r="207" spans="1:20">
      <c r="A207" s="1380"/>
      <c r="B207" s="1380"/>
      <c r="C207" s="1380"/>
      <c r="D207" s="1380"/>
      <c r="E207" s="1380"/>
      <c r="F207" s="1380"/>
      <c r="G207" s="1380"/>
      <c r="H207" s="1380"/>
      <c r="I207" s="1380"/>
      <c r="J207" s="1380"/>
      <c r="K207" s="1388"/>
      <c r="L207" s="1389"/>
      <c r="M207" s="1380"/>
      <c r="N207" s="1380"/>
      <c r="O207" s="1380"/>
      <c r="P207" s="1380"/>
      <c r="Q207" s="1380"/>
      <c r="R207" s="1380"/>
      <c r="S207" s="1380"/>
      <c r="T207" s="1380"/>
    </row>
    <row r="208" spans="1:20">
      <c r="A208" s="1380"/>
      <c r="B208" s="1380"/>
      <c r="C208" s="1380"/>
      <c r="D208" s="1380"/>
      <c r="E208" s="1380"/>
      <c r="F208" s="1380"/>
      <c r="G208" s="1380"/>
      <c r="H208" s="1380"/>
      <c r="I208" s="1380"/>
      <c r="J208" s="1380"/>
      <c r="K208" s="1388"/>
      <c r="L208" s="1389"/>
      <c r="M208" s="1380"/>
      <c r="N208" s="1380"/>
      <c r="O208" s="1380"/>
      <c r="P208" s="1380"/>
      <c r="Q208" s="1380"/>
      <c r="R208" s="1380"/>
      <c r="S208" s="1380"/>
      <c r="T208" s="1380"/>
    </row>
    <row r="209" spans="1:20">
      <c r="A209" s="1380"/>
      <c r="B209" s="1380"/>
      <c r="C209" s="1380"/>
      <c r="D209" s="1380"/>
      <c r="E209" s="1380"/>
      <c r="F209" s="1380"/>
      <c r="G209" s="1380"/>
      <c r="H209" s="1380"/>
      <c r="I209" s="1380"/>
      <c r="J209" s="1380"/>
      <c r="K209" s="1388"/>
      <c r="L209" s="1389"/>
      <c r="M209" s="1380"/>
      <c r="N209" s="1380"/>
      <c r="O209" s="1380"/>
      <c r="P209" s="1380"/>
      <c r="Q209" s="1380"/>
      <c r="R209" s="1380"/>
      <c r="S209" s="1380"/>
      <c r="T209" s="1380"/>
    </row>
    <row r="210" spans="1:20">
      <c r="A210" s="1380"/>
      <c r="B210" s="1380"/>
      <c r="C210" s="1380"/>
      <c r="D210" s="1380"/>
      <c r="E210" s="1380"/>
      <c r="F210" s="1380"/>
      <c r="G210" s="1380"/>
      <c r="H210" s="1380"/>
      <c r="I210" s="1380"/>
      <c r="J210" s="1380"/>
      <c r="K210" s="1388"/>
      <c r="L210" s="1389"/>
      <c r="M210" s="1380"/>
      <c r="N210" s="1380"/>
      <c r="O210" s="1380"/>
      <c r="P210" s="1380"/>
      <c r="Q210" s="1380"/>
      <c r="R210" s="1380"/>
      <c r="S210" s="1380"/>
      <c r="T210" s="1380"/>
    </row>
    <row r="211" spans="1:20">
      <c r="A211" s="1380"/>
      <c r="B211" s="1380"/>
      <c r="C211" s="1380"/>
      <c r="D211" s="1380"/>
      <c r="E211" s="1380"/>
      <c r="F211" s="1380"/>
      <c r="G211" s="1380"/>
      <c r="H211" s="1380"/>
      <c r="I211" s="1380"/>
      <c r="J211" s="1380"/>
      <c r="K211" s="1388"/>
      <c r="L211" s="1389"/>
      <c r="M211" s="1380"/>
      <c r="N211" s="1380"/>
      <c r="O211" s="1380"/>
      <c r="P211" s="1380"/>
      <c r="Q211" s="1380"/>
      <c r="R211" s="1380"/>
      <c r="S211" s="1380"/>
      <c r="T211" s="1380"/>
    </row>
    <row r="212" spans="1:20">
      <c r="A212" s="1380"/>
      <c r="B212" s="1380"/>
      <c r="C212" s="1380"/>
      <c r="D212" s="1380"/>
      <c r="E212" s="1380"/>
      <c r="F212" s="1380"/>
      <c r="G212" s="1380"/>
      <c r="H212" s="1380"/>
      <c r="I212" s="1380"/>
      <c r="J212" s="1380"/>
      <c r="K212" s="1388"/>
      <c r="L212" s="1389"/>
      <c r="M212" s="1380"/>
      <c r="N212" s="1380"/>
      <c r="O212" s="1380"/>
      <c r="P212" s="1380"/>
      <c r="Q212" s="1380"/>
      <c r="R212" s="1380"/>
      <c r="S212" s="1380"/>
      <c r="T212" s="1380"/>
    </row>
    <row r="213" spans="1:20">
      <c r="A213" s="1380"/>
      <c r="B213" s="1380"/>
      <c r="C213" s="1380"/>
      <c r="D213" s="1380"/>
      <c r="E213" s="1380"/>
      <c r="F213" s="1380"/>
      <c r="G213" s="1380"/>
      <c r="H213" s="1380"/>
      <c r="I213" s="1380"/>
      <c r="J213" s="1380"/>
      <c r="K213" s="1388"/>
      <c r="L213" s="1389"/>
      <c r="M213" s="1380"/>
      <c r="N213" s="1380"/>
      <c r="O213" s="1380"/>
      <c r="P213" s="1380"/>
      <c r="Q213" s="1380"/>
      <c r="R213" s="1380"/>
      <c r="S213" s="1380"/>
      <c r="T213" s="1380"/>
    </row>
    <row r="214" spans="1:20">
      <c r="A214" s="1380"/>
      <c r="B214" s="1380"/>
      <c r="C214" s="1380"/>
      <c r="D214" s="1380"/>
      <c r="E214" s="1380"/>
      <c r="F214" s="1380"/>
      <c r="G214" s="1380"/>
      <c r="H214" s="1380"/>
      <c r="I214" s="1380"/>
      <c r="J214" s="1380"/>
      <c r="K214" s="1388"/>
      <c r="L214" s="1389"/>
      <c r="M214" s="1380"/>
      <c r="N214" s="1380"/>
      <c r="O214" s="1380"/>
      <c r="P214" s="1380"/>
      <c r="Q214" s="1380"/>
      <c r="R214" s="1380"/>
      <c r="S214" s="1380"/>
      <c r="T214" s="1380"/>
    </row>
    <row r="215" spans="1:20">
      <c r="A215" s="1380"/>
      <c r="B215" s="1380"/>
      <c r="C215" s="1380"/>
      <c r="D215" s="1380"/>
      <c r="E215" s="1380"/>
      <c r="F215" s="1380"/>
      <c r="G215" s="1380"/>
      <c r="H215" s="1380"/>
      <c r="I215" s="1380"/>
      <c r="J215" s="1380"/>
      <c r="K215" s="1388"/>
      <c r="L215" s="1389"/>
      <c r="M215" s="1380"/>
      <c r="N215" s="1380"/>
      <c r="O215" s="1380"/>
      <c r="P215" s="1380"/>
      <c r="Q215" s="1380"/>
      <c r="R215" s="1380"/>
      <c r="S215" s="1380"/>
      <c r="T215" s="1380"/>
    </row>
    <row r="216" spans="1:20">
      <c r="A216" s="1380"/>
      <c r="B216" s="1380"/>
      <c r="C216" s="1380"/>
      <c r="D216" s="1380"/>
      <c r="E216" s="1380"/>
      <c r="F216" s="1380"/>
      <c r="G216" s="1380"/>
      <c r="H216" s="1380"/>
      <c r="I216" s="1380"/>
      <c r="J216" s="1380"/>
      <c r="K216" s="1388"/>
      <c r="L216" s="1389"/>
      <c r="M216" s="1380"/>
      <c r="N216" s="1380"/>
      <c r="O216" s="1380"/>
      <c r="P216" s="1380"/>
      <c r="Q216" s="1380"/>
      <c r="R216" s="1380"/>
      <c r="S216" s="1380"/>
      <c r="T216" s="1380"/>
    </row>
    <row r="217" spans="1:20">
      <c r="A217" s="1380"/>
      <c r="B217" s="1380"/>
      <c r="C217" s="1380"/>
      <c r="D217" s="1380"/>
      <c r="E217" s="1380"/>
      <c r="F217" s="1380"/>
      <c r="G217" s="1380"/>
      <c r="H217" s="1380"/>
      <c r="I217" s="1380"/>
      <c r="J217" s="1380"/>
      <c r="K217" s="1388"/>
      <c r="L217" s="1389"/>
      <c r="M217" s="1380"/>
      <c r="N217" s="1380"/>
      <c r="O217" s="1380"/>
      <c r="P217" s="1380"/>
      <c r="Q217" s="1380"/>
      <c r="R217" s="1380"/>
      <c r="S217" s="1380"/>
      <c r="T217" s="1380"/>
    </row>
    <row r="218" spans="1:20">
      <c r="A218" s="1380"/>
      <c r="B218" s="1380"/>
      <c r="C218" s="1380"/>
      <c r="D218" s="1380"/>
      <c r="E218" s="1380"/>
      <c r="F218" s="1380"/>
      <c r="G218" s="1380"/>
      <c r="H218" s="1380"/>
      <c r="I218" s="1380"/>
      <c r="J218" s="1380"/>
      <c r="K218" s="1388"/>
      <c r="L218" s="1389"/>
      <c r="M218" s="1380"/>
      <c r="N218" s="1380"/>
      <c r="O218" s="1380"/>
      <c r="P218" s="1380"/>
      <c r="Q218" s="1380"/>
      <c r="R218" s="1380"/>
      <c r="S218" s="1380"/>
      <c r="T218" s="1380"/>
    </row>
    <row r="219" spans="1:20">
      <c r="A219" s="1380"/>
      <c r="B219" s="1380"/>
      <c r="C219" s="1380"/>
      <c r="D219" s="1380"/>
      <c r="E219" s="1380"/>
      <c r="F219" s="1380"/>
      <c r="G219" s="1380"/>
      <c r="H219" s="1380"/>
      <c r="I219" s="1380"/>
      <c r="J219" s="1380"/>
      <c r="K219" s="1388"/>
      <c r="L219" s="1389"/>
      <c r="M219" s="1380"/>
      <c r="N219" s="1380"/>
      <c r="O219" s="1380"/>
      <c r="P219" s="1380"/>
      <c r="Q219" s="1380"/>
      <c r="R219" s="1380"/>
      <c r="S219" s="1380"/>
      <c r="T219" s="1380"/>
    </row>
    <row r="220" spans="1:20">
      <c r="A220" s="1380"/>
      <c r="B220" s="1380"/>
      <c r="C220" s="1380"/>
      <c r="D220" s="1380"/>
      <c r="E220" s="1380"/>
      <c r="F220" s="1380"/>
      <c r="G220" s="1380"/>
      <c r="H220" s="1380"/>
      <c r="I220" s="1380"/>
      <c r="J220" s="1380"/>
      <c r="K220" s="1388"/>
      <c r="L220" s="1389"/>
      <c r="M220" s="1380"/>
      <c r="N220" s="1380"/>
      <c r="O220" s="1380"/>
      <c r="P220" s="1380"/>
      <c r="Q220" s="1380"/>
      <c r="R220" s="1380"/>
      <c r="S220" s="1380"/>
      <c r="T220" s="1380"/>
    </row>
    <row r="221" spans="1:20">
      <c r="A221" s="1380"/>
      <c r="B221" s="1380"/>
      <c r="C221" s="1380"/>
      <c r="D221" s="1380"/>
      <c r="E221" s="1380"/>
      <c r="F221" s="1380"/>
      <c r="G221" s="1380"/>
      <c r="H221" s="1380"/>
      <c r="I221" s="1380"/>
      <c r="J221" s="1380"/>
      <c r="K221" s="1388"/>
      <c r="L221" s="1389"/>
      <c r="M221" s="1380"/>
      <c r="N221" s="1380"/>
      <c r="O221" s="1380"/>
      <c r="P221" s="1380"/>
      <c r="Q221" s="1380"/>
      <c r="R221" s="1380"/>
      <c r="S221" s="1380"/>
      <c r="T221" s="1380"/>
    </row>
    <row r="222" spans="1:20">
      <c r="A222" s="1380"/>
      <c r="B222" s="1380"/>
      <c r="C222" s="1380"/>
      <c r="D222" s="1380"/>
      <c r="E222" s="1380"/>
      <c r="F222" s="1380"/>
      <c r="G222" s="1380"/>
      <c r="H222" s="1380"/>
      <c r="I222" s="1380"/>
      <c r="J222" s="1380"/>
      <c r="K222" s="1388"/>
      <c r="L222" s="1389"/>
      <c r="M222" s="1380"/>
      <c r="N222" s="1380"/>
      <c r="O222" s="1380"/>
      <c r="P222" s="1380"/>
      <c r="Q222" s="1380"/>
      <c r="R222" s="1380"/>
      <c r="S222" s="1380"/>
      <c r="T222" s="1380"/>
    </row>
    <row r="223" spans="1:20">
      <c r="A223" s="1380"/>
      <c r="B223" s="1380"/>
      <c r="C223" s="1380"/>
      <c r="D223" s="1380"/>
      <c r="E223" s="1380"/>
      <c r="F223" s="1380"/>
      <c r="G223" s="1380"/>
      <c r="H223" s="1380"/>
      <c r="I223" s="1380"/>
      <c r="J223" s="1380"/>
      <c r="K223" s="1388"/>
      <c r="L223" s="1389"/>
      <c r="M223" s="1380"/>
      <c r="N223" s="1380"/>
      <c r="O223" s="1380"/>
      <c r="P223" s="1380"/>
      <c r="Q223" s="1380"/>
      <c r="R223" s="1380"/>
      <c r="S223" s="1380"/>
      <c r="T223" s="1380"/>
    </row>
    <row r="224" spans="1:20">
      <c r="A224" s="1380"/>
      <c r="B224" s="1380"/>
      <c r="C224" s="1380"/>
      <c r="D224" s="1380"/>
      <c r="E224" s="1380"/>
      <c r="F224" s="1380"/>
      <c r="G224" s="1380"/>
      <c r="H224" s="1380"/>
      <c r="I224" s="1380"/>
      <c r="J224" s="1380"/>
      <c r="K224" s="1388"/>
      <c r="L224" s="1389"/>
      <c r="M224" s="1380"/>
      <c r="N224" s="1380"/>
      <c r="O224" s="1380"/>
      <c r="P224" s="1380"/>
      <c r="Q224" s="1380"/>
      <c r="R224" s="1380"/>
      <c r="S224" s="1380"/>
      <c r="T224" s="1380"/>
    </row>
    <row r="225" spans="1:20">
      <c r="A225" s="1380"/>
      <c r="B225" s="1380"/>
      <c r="C225" s="1380"/>
      <c r="D225" s="1380"/>
      <c r="E225" s="1380"/>
      <c r="F225" s="1380"/>
      <c r="G225" s="1380"/>
      <c r="H225" s="1380"/>
      <c r="I225" s="1380"/>
      <c r="J225" s="1380"/>
      <c r="K225" s="1388"/>
      <c r="L225" s="1389"/>
      <c r="M225" s="1380"/>
      <c r="N225" s="1380"/>
      <c r="O225" s="1380"/>
      <c r="P225" s="1380"/>
      <c r="Q225" s="1380"/>
      <c r="R225" s="1380"/>
      <c r="S225" s="1380"/>
      <c r="T225" s="1380"/>
    </row>
    <row r="226" spans="1:20">
      <c r="A226" s="1380"/>
      <c r="B226" s="1380"/>
      <c r="C226" s="1380"/>
      <c r="D226" s="1380"/>
      <c r="E226" s="1380"/>
      <c r="F226" s="1380"/>
      <c r="G226" s="1380"/>
      <c r="H226" s="1380"/>
      <c r="I226" s="1380"/>
      <c r="J226" s="1380"/>
      <c r="K226" s="1388"/>
      <c r="L226" s="1389"/>
      <c r="M226" s="1380"/>
      <c r="N226" s="1380"/>
      <c r="O226" s="1380"/>
      <c r="P226" s="1380"/>
      <c r="Q226" s="1380"/>
      <c r="R226" s="1380"/>
      <c r="S226" s="1380"/>
      <c r="T226" s="1380"/>
    </row>
    <row r="227" spans="1:20">
      <c r="A227" s="1380"/>
      <c r="B227" s="1380"/>
      <c r="C227" s="1380"/>
      <c r="D227" s="1380"/>
      <c r="E227" s="1380"/>
      <c r="F227" s="1380"/>
      <c r="G227" s="1380"/>
      <c r="H227" s="1380"/>
      <c r="I227" s="1380"/>
      <c r="J227" s="1380"/>
      <c r="K227" s="1388"/>
      <c r="L227" s="1389"/>
      <c r="M227" s="1380"/>
      <c r="N227" s="1380"/>
      <c r="O227" s="1380"/>
      <c r="P227" s="1380"/>
      <c r="Q227" s="1380"/>
      <c r="R227" s="1380"/>
      <c r="S227" s="1380"/>
      <c r="T227" s="1380"/>
    </row>
    <row r="228" spans="1:20">
      <c r="A228" s="1380"/>
      <c r="B228" s="1380"/>
      <c r="C228" s="1380"/>
      <c r="D228" s="1380"/>
      <c r="E228" s="1380"/>
      <c r="F228" s="1380"/>
      <c r="G228" s="1380"/>
      <c r="H228" s="1380"/>
      <c r="I228" s="1380"/>
      <c r="J228" s="1380"/>
      <c r="K228" s="1388"/>
      <c r="L228" s="1389"/>
      <c r="M228" s="1380"/>
      <c r="N228" s="1380"/>
      <c r="O228" s="1380"/>
      <c r="P228" s="1380"/>
      <c r="Q228" s="1380"/>
      <c r="R228" s="1380"/>
      <c r="S228" s="1380"/>
      <c r="T228" s="1380"/>
    </row>
    <row r="229" spans="1:20">
      <c r="A229" s="1380"/>
      <c r="B229" s="1380"/>
      <c r="C229" s="1380"/>
      <c r="D229" s="1380"/>
      <c r="E229" s="1380"/>
      <c r="F229" s="1380"/>
      <c r="G229" s="1380"/>
      <c r="H229" s="1380"/>
      <c r="I229" s="1380"/>
      <c r="J229" s="1380"/>
      <c r="K229" s="1388"/>
      <c r="L229" s="1389"/>
      <c r="M229" s="1380"/>
      <c r="N229" s="1380"/>
      <c r="O229" s="1380"/>
      <c r="P229" s="1380"/>
      <c r="Q229" s="1380"/>
      <c r="R229" s="1380"/>
      <c r="S229" s="1380"/>
      <c r="T229" s="1380"/>
    </row>
    <row r="230" spans="1:20">
      <c r="A230" s="1380"/>
      <c r="B230" s="1380"/>
      <c r="C230" s="1380"/>
      <c r="D230" s="1380"/>
      <c r="E230" s="1380"/>
      <c r="F230" s="1380"/>
      <c r="G230" s="1380"/>
      <c r="H230" s="1380"/>
      <c r="I230" s="1380"/>
      <c r="J230" s="1380"/>
      <c r="K230" s="1388"/>
      <c r="L230" s="1389"/>
      <c r="M230" s="1380"/>
      <c r="N230" s="1380"/>
      <c r="O230" s="1380"/>
      <c r="P230" s="1380"/>
      <c r="Q230" s="1380"/>
      <c r="R230" s="1380"/>
      <c r="S230" s="1380"/>
      <c r="T230" s="1380"/>
    </row>
    <row r="231" spans="1:20">
      <c r="A231" s="1380"/>
      <c r="B231" s="1380"/>
      <c r="C231" s="1380"/>
      <c r="D231" s="1380"/>
      <c r="E231" s="1380"/>
      <c r="F231" s="1380"/>
      <c r="G231" s="1380"/>
      <c r="H231" s="1380"/>
      <c r="I231" s="1380"/>
      <c r="J231" s="1380"/>
      <c r="K231" s="1388"/>
      <c r="L231" s="1389"/>
      <c r="M231" s="1380"/>
      <c r="N231" s="1380"/>
      <c r="O231" s="1380"/>
      <c r="P231" s="1380"/>
      <c r="Q231" s="1380"/>
      <c r="R231" s="1380"/>
      <c r="S231" s="1380"/>
      <c r="T231" s="1380"/>
    </row>
    <row r="232" spans="1:20">
      <c r="A232" s="1380"/>
      <c r="B232" s="1380"/>
      <c r="C232" s="1380"/>
      <c r="D232" s="1380"/>
      <c r="E232" s="1380"/>
      <c r="F232" s="1380"/>
      <c r="G232" s="1380"/>
      <c r="H232" s="1380"/>
      <c r="I232" s="1380"/>
      <c r="J232" s="1380"/>
      <c r="K232" s="1388"/>
      <c r="L232" s="1389"/>
      <c r="M232" s="1380"/>
      <c r="N232" s="1380"/>
      <c r="O232" s="1380"/>
      <c r="P232" s="1380"/>
      <c r="Q232" s="1380"/>
      <c r="R232" s="1380"/>
      <c r="S232" s="1380"/>
      <c r="T232" s="1380"/>
    </row>
    <row r="233" spans="1:20">
      <c r="A233" s="1380"/>
      <c r="B233" s="1380"/>
      <c r="C233" s="1380"/>
      <c r="D233" s="1380"/>
      <c r="E233" s="1380"/>
      <c r="F233" s="1380"/>
      <c r="G233" s="1380"/>
      <c r="H233" s="1380"/>
      <c r="I233" s="1380"/>
      <c r="J233" s="1380"/>
      <c r="K233" s="1388"/>
      <c r="L233" s="1389"/>
      <c r="M233" s="1380"/>
      <c r="N233" s="1380"/>
      <c r="O233" s="1380"/>
      <c r="P233" s="1380"/>
      <c r="Q233" s="1380"/>
      <c r="R233" s="1380"/>
      <c r="S233" s="1380"/>
      <c r="T233" s="1380"/>
    </row>
    <row r="234" spans="1:20">
      <c r="A234" s="1380"/>
      <c r="B234" s="1380"/>
      <c r="C234" s="1380"/>
      <c r="D234" s="1380"/>
      <c r="E234" s="1380"/>
      <c r="F234" s="1380"/>
      <c r="G234" s="1380"/>
      <c r="H234" s="1380"/>
      <c r="I234" s="1380"/>
      <c r="J234" s="1380"/>
      <c r="K234" s="1388"/>
      <c r="L234" s="1389"/>
      <c r="M234" s="1380"/>
      <c r="N234" s="1380"/>
      <c r="O234" s="1380"/>
      <c r="P234" s="1380"/>
      <c r="Q234" s="1380"/>
      <c r="R234" s="1380"/>
      <c r="S234" s="1380"/>
      <c r="T234" s="1380"/>
    </row>
    <row r="235" spans="1:20">
      <c r="A235" s="1380"/>
      <c r="B235" s="1380"/>
      <c r="C235" s="1380"/>
      <c r="D235" s="1380"/>
      <c r="E235" s="1380"/>
      <c r="F235" s="1380"/>
      <c r="G235" s="1380"/>
      <c r="H235" s="1380"/>
      <c r="I235" s="1380"/>
      <c r="J235" s="1380"/>
      <c r="K235" s="1388"/>
      <c r="L235" s="1389"/>
      <c r="M235" s="1380"/>
      <c r="N235" s="1380"/>
      <c r="O235" s="1380"/>
      <c r="P235" s="1380"/>
      <c r="Q235" s="1380"/>
      <c r="R235" s="1380"/>
      <c r="S235" s="1380"/>
      <c r="T235" s="1380"/>
    </row>
    <row r="236" spans="1:20">
      <c r="A236" s="1380"/>
      <c r="B236" s="1380"/>
      <c r="C236" s="1380"/>
      <c r="D236" s="1380"/>
      <c r="E236" s="1380"/>
      <c r="F236" s="1380"/>
      <c r="G236" s="1380"/>
      <c r="H236" s="1380"/>
      <c r="I236" s="1380"/>
      <c r="J236" s="1380"/>
      <c r="K236" s="1388"/>
      <c r="L236" s="1389"/>
      <c r="M236" s="1380"/>
      <c r="N236" s="1380"/>
      <c r="O236" s="1380"/>
      <c r="P236" s="1380"/>
      <c r="Q236" s="1380"/>
      <c r="R236" s="1380"/>
      <c r="S236" s="1380"/>
      <c r="T236" s="1380"/>
    </row>
    <row r="237" spans="1:20">
      <c r="A237" s="1380"/>
      <c r="B237" s="1380"/>
      <c r="C237" s="1380"/>
      <c r="D237" s="1380"/>
      <c r="E237" s="1380"/>
      <c r="F237" s="1380"/>
      <c r="G237" s="1380"/>
      <c r="H237" s="1380"/>
      <c r="I237" s="1380"/>
      <c r="J237" s="1380"/>
      <c r="K237" s="1388"/>
      <c r="L237" s="1389"/>
      <c r="M237" s="1380"/>
      <c r="N237" s="1380"/>
      <c r="O237" s="1380"/>
      <c r="P237" s="1380"/>
      <c r="Q237" s="1380"/>
      <c r="R237" s="1380"/>
      <c r="S237" s="1380"/>
      <c r="T237" s="1380"/>
    </row>
    <row r="238" spans="1:20">
      <c r="A238" s="1380"/>
      <c r="B238" s="1380"/>
      <c r="C238" s="1380"/>
      <c r="D238" s="1380"/>
      <c r="E238" s="1380"/>
      <c r="F238" s="1380"/>
      <c r="G238" s="1380"/>
      <c r="H238" s="1380"/>
      <c r="I238" s="1380"/>
      <c r="J238" s="1380"/>
      <c r="K238" s="1388"/>
      <c r="L238" s="1389"/>
      <c r="M238" s="1380"/>
      <c r="N238" s="1380"/>
      <c r="O238" s="1380"/>
      <c r="P238" s="1380"/>
      <c r="Q238" s="1380"/>
      <c r="R238" s="1380"/>
      <c r="S238" s="1380"/>
      <c r="T238" s="1380"/>
    </row>
    <row r="239" spans="1:20">
      <c r="A239" s="1380"/>
      <c r="B239" s="1380"/>
      <c r="C239" s="1380"/>
      <c r="D239" s="1380"/>
      <c r="E239" s="1380"/>
      <c r="F239" s="1380"/>
      <c r="G239" s="1380"/>
      <c r="H239" s="1380"/>
      <c r="I239" s="1380"/>
      <c r="J239" s="1380"/>
      <c r="K239" s="1388"/>
      <c r="L239" s="1389"/>
      <c r="M239" s="1380"/>
      <c r="N239" s="1380"/>
      <c r="O239" s="1380"/>
      <c r="P239" s="1380"/>
      <c r="Q239" s="1380"/>
      <c r="R239" s="1380"/>
      <c r="S239" s="1380"/>
      <c r="T239" s="1380"/>
    </row>
    <row r="240" spans="1:20">
      <c r="A240" s="1380"/>
      <c r="B240" s="1380"/>
      <c r="C240" s="1380"/>
      <c r="D240" s="1380"/>
      <c r="E240" s="1380"/>
      <c r="F240" s="1380"/>
      <c r="G240" s="1380"/>
      <c r="H240" s="1380"/>
      <c r="I240" s="1380"/>
      <c r="J240" s="1380"/>
      <c r="K240" s="1388"/>
      <c r="L240" s="1389"/>
      <c r="M240" s="1380"/>
      <c r="N240" s="1380"/>
      <c r="O240" s="1380"/>
      <c r="P240" s="1380"/>
      <c r="Q240" s="1380"/>
      <c r="R240" s="1380"/>
      <c r="S240" s="1380"/>
      <c r="T240" s="1380"/>
    </row>
    <row r="241" spans="1:20">
      <c r="A241" s="1380"/>
      <c r="B241" s="1380"/>
      <c r="C241" s="1380"/>
      <c r="D241" s="1380"/>
      <c r="E241" s="1380"/>
      <c r="F241" s="1380"/>
      <c r="G241" s="1380"/>
      <c r="H241" s="1380"/>
      <c r="I241" s="1380"/>
      <c r="J241" s="1380"/>
      <c r="K241" s="1388"/>
      <c r="L241" s="1389"/>
      <c r="M241" s="1380"/>
      <c r="N241" s="1380"/>
      <c r="O241" s="1380"/>
      <c r="P241" s="1380"/>
      <c r="Q241" s="1380"/>
      <c r="R241" s="1380"/>
      <c r="S241" s="1380"/>
      <c r="T241" s="1380"/>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E40">
    <cfRule type="expression" dxfId="32" priority="9" stopIfTrue="1">
      <formula>$F$40="超过30%"</formula>
    </cfRule>
  </conditionalFormatting>
  <conditionalFormatting sqref="G40">
    <cfRule type="expression" dxfId="31" priority="5" stopIfTrue="1">
      <formula>$H$52+$H$40="超过30%"</formula>
    </cfRule>
  </conditionalFormatting>
  <conditionalFormatting sqref="I40">
    <cfRule type="expression" dxfId="30" priority="3" stopIfTrue="1">
      <formula>$J$40="超过30%"</formula>
    </cfRule>
  </conditionalFormatting>
  <conditionalFormatting sqref="E41">
    <cfRule type="expression" dxfId="29" priority="7" stopIfTrue="1">
      <formula>$F$41="超过20%"</formula>
    </cfRule>
  </conditionalFormatting>
  <conditionalFormatting sqref="G41">
    <cfRule type="expression" dxfId="28" priority="4" stopIfTrue="1">
      <formula>$H$53+$H$41="超过20%"</formula>
    </cfRule>
  </conditionalFormatting>
  <conditionalFormatting sqref="I41">
    <cfRule type="expression" dxfId="27" priority="2" stopIfTrue="1">
      <formula>$J$41="超过20%"</formula>
    </cfRule>
  </conditionalFormatting>
  <conditionalFormatting sqref="E42">
    <cfRule type="expression" dxfId="26" priority="6" stopIfTrue="1">
      <formula>$F$42="超过30%"</formula>
    </cfRule>
  </conditionalFormatting>
  <conditionalFormatting sqref="F42">
    <cfRule type="containsText" dxfId="25" priority="11" stopIfTrue="1" operator="containsText" text="超过">
      <formula>NOT(ISERROR(SEARCH("超过",F42)))</formula>
    </cfRule>
  </conditionalFormatting>
  <conditionalFormatting sqref="G42">
    <cfRule type="expression" dxfId="24" priority="8" stopIfTrue="1">
      <formula>$H$54+$H$42="超过30%"</formula>
    </cfRule>
  </conditionalFormatting>
  <conditionalFormatting sqref="H42">
    <cfRule type="containsText" dxfId="23" priority="12" stopIfTrue="1" operator="containsText" text="超过">
      <formula>NOT(ISERROR(SEARCH("超过",H42)))</formula>
    </cfRule>
  </conditionalFormatting>
  <conditionalFormatting sqref="I42">
    <cfRule type="expression" dxfId="22" priority="1" stopIfTrue="1">
      <formula>$J$42="超过30%"</formula>
    </cfRule>
  </conditionalFormatting>
  <conditionalFormatting sqref="J42">
    <cfRule type="containsText" dxfId="21" priority="13" stopIfTrue="1" operator="containsText" text="超过">
      <formula>NOT(ISERROR(SEARCH("超过",J42)))</formula>
    </cfRule>
  </conditionalFormatting>
  <conditionalFormatting sqref="F40 H40 J40">
    <cfRule type="containsText" dxfId="20" priority="14" stopIfTrue="1" operator="containsText" text="超过">
      <formula>NOT(ISERROR(SEARCH("超过",F40)))</formula>
    </cfRule>
  </conditionalFormatting>
  <conditionalFormatting sqref="F41 H41 J41">
    <cfRule type="containsText" dxfId="19" priority="10" stopIfTrue="1" operator="containsText" text="超过">
      <formula>NOT(ISERROR(SEARCH("超过",F41)))</formula>
    </cfRule>
  </conditionalFormatting>
  <dataValidations count="17">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833333333333304" right="0.70833333333333304" top="1.0625" bottom="0.94444444444444398" header="0.31458333333333299" footer="0.31458333333333299"/>
  <pageSetup paperSize="9" scale="28" fitToHeight="0" orientation="portrait"/>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2:XFD75"/>
  <sheetViews>
    <sheetView topLeftCell="B1" zoomScale="70" zoomScaleNormal="70" workbookViewId="0">
      <pane xSplit="2" ySplit="2" topLeftCell="D30" activePane="bottomRight" state="frozen"/>
      <selection pane="topRight"/>
      <selection pane="bottomLeft"/>
      <selection pane="bottomRight" activeCell="F30" sqref="F30"/>
    </sheetView>
  </sheetViews>
  <sheetFormatPr defaultColWidth="9" defaultRowHeight="15.75"/>
  <cols>
    <col min="1" max="2" width="9" style="1202"/>
    <col min="3" max="3" width="9" style="1203"/>
    <col min="4" max="4" width="9" style="1204"/>
    <col min="5" max="5" width="16.75" style="1203" customWidth="1"/>
    <col min="6" max="7" width="16" style="1203" customWidth="1"/>
    <col min="8" max="8" width="14.625" style="1203" customWidth="1"/>
    <col min="9" max="10" width="9" style="1203"/>
    <col min="11" max="11" width="10" style="1204" customWidth="1"/>
    <col min="12" max="12" width="13.625" style="1204"/>
    <col min="13" max="13" width="17.125" style="1204" customWidth="1"/>
    <col min="14" max="14" width="12.5" style="1205"/>
    <col min="15" max="15" width="9" style="1203"/>
    <col min="16" max="16" width="12.5" style="1205"/>
    <col min="17" max="18" width="9" style="1203"/>
    <col min="19" max="16384" width="9" style="1202"/>
  </cols>
  <sheetData>
    <row r="2" spans="3:18" ht="31.5">
      <c r="C2" s="3019" t="s">
        <v>1618</v>
      </c>
      <c r="D2" s="3020" t="s">
        <v>1619</v>
      </c>
      <c r="E2" s="3021" t="s">
        <v>1620</v>
      </c>
      <c r="F2" s="3021" t="s">
        <v>1621</v>
      </c>
      <c r="G2" s="3021" t="s">
        <v>1622</v>
      </c>
      <c r="H2" s="3021" t="s">
        <v>1623</v>
      </c>
      <c r="I2" s="3021" t="s">
        <v>1624</v>
      </c>
      <c r="J2" s="3021" t="s">
        <v>1625</v>
      </c>
      <c r="K2" s="3020" t="s">
        <v>1626</v>
      </c>
      <c r="L2" s="3020" t="s">
        <v>1627</v>
      </c>
      <c r="M2" s="3020" t="s">
        <v>1628</v>
      </c>
      <c r="N2" s="3022" t="s">
        <v>1629</v>
      </c>
      <c r="O2" s="3021" t="s">
        <v>1630</v>
      </c>
      <c r="P2" s="3022" t="s">
        <v>1631</v>
      </c>
      <c r="Q2" s="3021" t="s">
        <v>1632</v>
      </c>
      <c r="R2" s="3023" t="s">
        <v>1497</v>
      </c>
    </row>
    <row r="3" spans="3:18" ht="78.75">
      <c r="C3" s="1206" t="s">
        <v>1633</v>
      </c>
      <c r="D3" s="1207">
        <v>29</v>
      </c>
      <c r="E3" s="1208" t="s">
        <v>1634</v>
      </c>
      <c r="F3" s="1208" t="s">
        <v>1635</v>
      </c>
      <c r="G3" s="1208" t="s">
        <v>3415</v>
      </c>
      <c r="H3" s="1208" t="s">
        <v>1637</v>
      </c>
      <c r="I3" s="1208" t="s">
        <v>1638</v>
      </c>
      <c r="J3" s="1208" t="s">
        <v>1639</v>
      </c>
      <c r="K3" s="1207">
        <v>136022</v>
      </c>
      <c r="L3" s="1230" t="s">
        <v>1640</v>
      </c>
      <c r="M3" s="1207">
        <v>1856.62</v>
      </c>
      <c r="N3" s="1231">
        <v>55784</v>
      </c>
      <c r="O3" s="1208" t="s">
        <v>1641</v>
      </c>
      <c r="P3" s="1231">
        <v>41635</v>
      </c>
      <c r="Q3" s="1208" t="s">
        <v>1642</v>
      </c>
      <c r="R3" s="1241"/>
    </row>
    <row r="4" spans="3:18" ht="63">
      <c r="C4" s="1209" t="s">
        <v>1643</v>
      </c>
      <c r="D4" s="1210">
        <v>15</v>
      </c>
      <c r="E4" s="1211" t="s">
        <v>1644</v>
      </c>
      <c r="F4" s="1211" t="s">
        <v>1635</v>
      </c>
      <c r="G4" s="1211" t="s">
        <v>3334</v>
      </c>
      <c r="H4" s="1211" t="s">
        <v>1646</v>
      </c>
      <c r="I4" s="1211" t="s">
        <v>1638</v>
      </c>
      <c r="J4" s="1211" t="s">
        <v>1639</v>
      </c>
      <c r="K4" s="1210">
        <v>136022</v>
      </c>
      <c r="L4" s="1232" t="s">
        <v>1640</v>
      </c>
      <c r="M4" s="1210">
        <v>1124.42</v>
      </c>
      <c r="N4" s="1233" t="s">
        <v>1647</v>
      </c>
      <c r="O4" s="1211" t="s">
        <v>1641</v>
      </c>
      <c r="P4" s="1234">
        <v>41639</v>
      </c>
      <c r="Q4" s="1211" t="s">
        <v>1648</v>
      </c>
      <c r="R4" s="1242" t="s">
        <v>1649</v>
      </c>
    </row>
    <row r="5" spans="3:18" ht="63">
      <c r="C5" s="1209" t="s">
        <v>1650</v>
      </c>
      <c r="D5" s="1210">
        <v>16</v>
      </c>
      <c r="E5" s="1211" t="s">
        <v>1651</v>
      </c>
      <c r="F5" s="1211" t="s">
        <v>1635</v>
      </c>
      <c r="G5" s="1211" t="s">
        <v>1645</v>
      </c>
      <c r="H5" s="1211" t="s">
        <v>1652</v>
      </c>
      <c r="I5" s="1211" t="s">
        <v>1638</v>
      </c>
      <c r="J5" s="1211" t="s">
        <v>1639</v>
      </c>
      <c r="K5" s="1210">
        <v>136022</v>
      </c>
      <c r="L5" s="1232" t="s">
        <v>1640</v>
      </c>
      <c r="M5" s="1210">
        <v>920.67</v>
      </c>
      <c r="N5" s="1233" t="s">
        <v>1647</v>
      </c>
      <c r="O5" s="1211" t="s">
        <v>1641</v>
      </c>
      <c r="P5" s="1234">
        <v>41639</v>
      </c>
      <c r="Q5" s="1211" t="s">
        <v>1653</v>
      </c>
      <c r="R5" s="1242" t="s">
        <v>1649</v>
      </c>
    </row>
    <row r="6" spans="3:18" ht="63">
      <c r="C6" s="1209" t="s">
        <v>1654</v>
      </c>
      <c r="D6" s="1210">
        <v>9</v>
      </c>
      <c r="E6" s="1211" t="s">
        <v>1655</v>
      </c>
      <c r="F6" s="1211" t="s">
        <v>1635</v>
      </c>
      <c r="G6" s="1211" t="s">
        <v>1645</v>
      </c>
      <c r="H6" s="1211" t="s">
        <v>1656</v>
      </c>
      <c r="I6" s="1211" t="s">
        <v>1638</v>
      </c>
      <c r="J6" s="1211" t="s">
        <v>1639</v>
      </c>
      <c r="K6" s="1210">
        <v>136022</v>
      </c>
      <c r="L6" s="1232" t="s">
        <v>1640</v>
      </c>
      <c r="M6" s="1210">
        <v>539.63</v>
      </c>
      <c r="N6" s="1233" t="s">
        <v>1647</v>
      </c>
      <c r="O6" s="1211" t="s">
        <v>1641</v>
      </c>
      <c r="P6" s="1234">
        <v>41639</v>
      </c>
      <c r="Q6" s="1211" t="s">
        <v>1657</v>
      </c>
      <c r="R6" s="1242" t="s">
        <v>1649</v>
      </c>
    </row>
    <row r="7" spans="3:18" ht="78.75">
      <c r="C7" s="1209" t="s">
        <v>1658</v>
      </c>
      <c r="D7" s="1210">
        <v>102</v>
      </c>
      <c r="E7" s="1211" t="s">
        <v>1659</v>
      </c>
      <c r="F7" s="1211" t="s">
        <v>1635</v>
      </c>
      <c r="G7" s="1211" t="s">
        <v>1645</v>
      </c>
      <c r="H7" s="1211" t="s">
        <v>1660</v>
      </c>
      <c r="I7" s="1211" t="s">
        <v>1638</v>
      </c>
      <c r="J7" s="1211" t="s">
        <v>1639</v>
      </c>
      <c r="K7" s="1210">
        <v>136022</v>
      </c>
      <c r="L7" s="1232" t="s">
        <v>1640</v>
      </c>
      <c r="M7" s="1210">
        <v>5441.6</v>
      </c>
      <c r="N7" s="1234">
        <v>55784</v>
      </c>
      <c r="O7" s="1211" t="s">
        <v>1641</v>
      </c>
      <c r="P7" s="1234">
        <v>41639</v>
      </c>
      <c r="Q7" s="1211" t="s">
        <v>1661</v>
      </c>
      <c r="R7" s="1242" t="s">
        <v>1649</v>
      </c>
    </row>
    <row r="8" spans="3:18" ht="31.5">
      <c r="C8" s="1212" t="s">
        <v>1662</v>
      </c>
      <c r="D8" s="1213"/>
      <c r="E8" s="1214"/>
      <c r="F8" s="1214"/>
      <c r="G8" s="1214"/>
      <c r="H8" s="1214"/>
      <c r="I8" s="1214"/>
      <c r="J8" s="1214"/>
      <c r="K8" s="1213"/>
      <c r="L8" s="1213"/>
      <c r="M8" s="1213"/>
      <c r="N8" s="1235"/>
      <c r="O8" s="1214"/>
      <c r="P8" s="1235"/>
      <c r="Q8" s="1214"/>
      <c r="R8" s="1243" t="s">
        <v>1663</v>
      </c>
    </row>
    <row r="9" spans="3:18" ht="78.75">
      <c r="C9" s="1209" t="s">
        <v>1664</v>
      </c>
      <c r="D9" s="1210">
        <v>69</v>
      </c>
      <c r="E9" s="1211" t="s">
        <v>1665</v>
      </c>
      <c r="F9" s="1211" t="s">
        <v>1635</v>
      </c>
      <c r="G9" s="1211" t="s">
        <v>1645</v>
      </c>
      <c r="H9" s="1211" t="s">
        <v>1666</v>
      </c>
      <c r="I9" s="1211" t="s">
        <v>1638</v>
      </c>
      <c r="J9" s="1211" t="s">
        <v>1639</v>
      </c>
      <c r="K9" s="1210">
        <v>136022</v>
      </c>
      <c r="L9" s="1232" t="s">
        <v>1640</v>
      </c>
      <c r="M9" s="1210">
        <v>3785.48</v>
      </c>
      <c r="N9" s="1233" t="s">
        <v>1647</v>
      </c>
      <c r="O9" s="1211" t="s">
        <v>1641</v>
      </c>
      <c r="P9" s="1234">
        <v>41639</v>
      </c>
      <c r="Q9" s="1211" t="s">
        <v>1667</v>
      </c>
      <c r="R9" s="1242" t="s">
        <v>1649</v>
      </c>
    </row>
    <row r="10" spans="3:18" ht="63">
      <c r="C10" s="1209" t="s">
        <v>1668</v>
      </c>
      <c r="D10" s="1210">
        <v>51</v>
      </c>
      <c r="E10" s="1211" t="s">
        <v>1669</v>
      </c>
      <c r="F10" s="1211" t="s">
        <v>1635</v>
      </c>
      <c r="G10" s="1211" t="s">
        <v>1645</v>
      </c>
      <c r="H10" s="1211" t="s">
        <v>1670</v>
      </c>
      <c r="I10" s="1211" t="s">
        <v>1638</v>
      </c>
      <c r="J10" s="1211" t="s">
        <v>1639</v>
      </c>
      <c r="K10" s="1210">
        <v>136022</v>
      </c>
      <c r="L10" s="1232" t="s">
        <v>1640</v>
      </c>
      <c r="M10" s="1210">
        <v>2678.42</v>
      </c>
      <c r="N10" s="1234">
        <v>55784</v>
      </c>
      <c r="O10" s="1211" t="s">
        <v>1641</v>
      </c>
      <c r="P10" s="1233" t="s">
        <v>1647</v>
      </c>
      <c r="Q10" s="1211" t="s">
        <v>1671</v>
      </c>
      <c r="R10" s="1242" t="s">
        <v>1649</v>
      </c>
    </row>
    <row r="11" spans="3:18" ht="78.75">
      <c r="C11" s="1209" t="s">
        <v>1672</v>
      </c>
      <c r="D11" s="1210">
        <v>285</v>
      </c>
      <c r="E11" s="1211" t="s">
        <v>1673</v>
      </c>
      <c r="F11" s="1211" t="s">
        <v>1635</v>
      </c>
      <c r="G11" s="1211" t="s">
        <v>1636</v>
      </c>
      <c r="H11" s="1211" t="s">
        <v>1674</v>
      </c>
      <c r="I11" s="1211" t="s">
        <v>1638</v>
      </c>
      <c r="J11" s="1211" t="s">
        <v>1639</v>
      </c>
      <c r="K11" s="1210">
        <v>136022</v>
      </c>
      <c r="L11" s="1232" t="s">
        <v>1640</v>
      </c>
      <c r="M11" s="1210">
        <v>14897.06</v>
      </c>
      <c r="N11" s="1234">
        <v>55784</v>
      </c>
      <c r="O11" s="1211" t="s">
        <v>1641</v>
      </c>
      <c r="P11" s="1234">
        <v>41639</v>
      </c>
      <c r="Q11" s="1211" t="s">
        <v>1675</v>
      </c>
      <c r="R11" s="1244"/>
    </row>
    <row r="12" spans="3:18" ht="78.75">
      <c r="C12" s="1209" t="s">
        <v>1676</v>
      </c>
      <c r="D12" s="1210">
        <v>438</v>
      </c>
      <c r="E12" s="1211" t="s">
        <v>1677</v>
      </c>
      <c r="F12" s="1211" t="s">
        <v>1635</v>
      </c>
      <c r="G12" s="1211" t="s">
        <v>1636</v>
      </c>
      <c r="H12" s="1211" t="s">
        <v>1678</v>
      </c>
      <c r="I12" s="1211" t="s">
        <v>1638</v>
      </c>
      <c r="J12" s="1211" t="s">
        <v>1639</v>
      </c>
      <c r="K12" s="1210">
        <v>136022</v>
      </c>
      <c r="L12" s="1232" t="s">
        <v>1640</v>
      </c>
      <c r="M12" s="1210">
        <v>21048.11</v>
      </c>
      <c r="N12" s="1234">
        <v>55784</v>
      </c>
      <c r="O12" s="1211" t="s">
        <v>1641</v>
      </c>
      <c r="P12" s="1234">
        <v>41639</v>
      </c>
      <c r="Q12" s="1211" t="s">
        <v>1679</v>
      </c>
      <c r="R12" s="1242" t="s">
        <v>1680</v>
      </c>
    </row>
    <row r="13" spans="3:18" ht="31.5">
      <c r="C13" s="1212" t="s">
        <v>1681</v>
      </c>
      <c r="D13" s="1213"/>
      <c r="E13" s="1214"/>
      <c r="F13" s="1214"/>
      <c r="G13" s="1214"/>
      <c r="H13" s="1214"/>
      <c r="I13" s="1214"/>
      <c r="J13" s="1214"/>
      <c r="K13" s="1213"/>
      <c r="L13" s="1213"/>
      <c r="M13" s="1213"/>
      <c r="N13" s="1235"/>
      <c r="O13" s="1214"/>
      <c r="P13" s="1235"/>
      <c r="Q13" s="1214"/>
      <c r="R13" s="1243" t="s">
        <v>1663</v>
      </c>
    </row>
    <row r="14" spans="3:18" ht="78.75">
      <c r="C14" s="1209" t="s">
        <v>1682</v>
      </c>
      <c r="D14" s="1210">
        <v>363</v>
      </c>
      <c r="E14" s="1211" t="s">
        <v>1683</v>
      </c>
      <c r="F14" s="1211" t="s">
        <v>1635</v>
      </c>
      <c r="G14" s="1211" t="s">
        <v>1684</v>
      </c>
      <c r="H14" s="1211" t="s">
        <v>1685</v>
      </c>
      <c r="I14" s="1211" t="s">
        <v>1638</v>
      </c>
      <c r="J14" s="1211" t="s">
        <v>1639</v>
      </c>
      <c r="K14" s="1210">
        <v>136022</v>
      </c>
      <c r="L14" s="1232" t="s">
        <v>1640</v>
      </c>
      <c r="M14" s="1210">
        <v>16579.93</v>
      </c>
      <c r="N14" s="1234">
        <v>55784</v>
      </c>
      <c r="O14" s="1211" t="s">
        <v>1641</v>
      </c>
      <c r="P14" s="1234">
        <v>41639</v>
      </c>
      <c r="Q14" s="1211" t="s">
        <v>1686</v>
      </c>
      <c r="R14" s="1242" t="s">
        <v>1680</v>
      </c>
    </row>
    <row r="15" spans="3:18" ht="78.75">
      <c r="C15" s="1209" t="s">
        <v>1687</v>
      </c>
      <c r="D15" s="1210">
        <v>140</v>
      </c>
      <c r="E15" s="1211" t="s">
        <v>1688</v>
      </c>
      <c r="F15" s="1211" t="s">
        <v>1635</v>
      </c>
      <c r="G15" s="1211" t="s">
        <v>1636</v>
      </c>
      <c r="H15" s="1211" t="s">
        <v>1689</v>
      </c>
      <c r="I15" s="1211" t="s">
        <v>1638</v>
      </c>
      <c r="J15" s="1211" t="s">
        <v>1639</v>
      </c>
      <c r="K15" s="1210">
        <v>136022</v>
      </c>
      <c r="L15" s="1232" t="s">
        <v>1640</v>
      </c>
      <c r="M15" s="1210">
        <v>7821.56</v>
      </c>
      <c r="N15" s="1234">
        <v>55784</v>
      </c>
      <c r="O15" s="1211" t="s">
        <v>1641</v>
      </c>
      <c r="P15" s="1234">
        <v>41639</v>
      </c>
      <c r="Q15" s="1211" t="s">
        <v>1690</v>
      </c>
      <c r="R15" s="1244"/>
    </row>
    <row r="16" spans="3:18" ht="31.5">
      <c r="C16" s="1212" t="s">
        <v>1691</v>
      </c>
      <c r="D16" s="1213"/>
      <c r="E16" s="1214"/>
      <c r="F16" s="1214"/>
      <c r="G16" s="1214"/>
      <c r="H16" s="1214"/>
      <c r="I16" s="1214"/>
      <c r="J16" s="1214"/>
      <c r="K16" s="1213"/>
      <c r="L16" s="1213"/>
      <c r="M16" s="1213"/>
      <c r="N16" s="1235"/>
      <c r="O16" s="1214"/>
      <c r="P16" s="1235"/>
      <c r="Q16" s="1214"/>
      <c r="R16" s="1243" t="s">
        <v>1663</v>
      </c>
    </row>
    <row r="17" spans="3:18" ht="31.5">
      <c r="C17" s="1212" t="s">
        <v>1692</v>
      </c>
      <c r="D17" s="1213"/>
      <c r="E17" s="1214"/>
      <c r="F17" s="1214"/>
      <c r="G17" s="1214"/>
      <c r="H17" s="1214"/>
      <c r="I17" s="1214"/>
      <c r="J17" s="1214"/>
      <c r="K17" s="1213"/>
      <c r="L17" s="1213"/>
      <c r="M17" s="1213"/>
      <c r="N17" s="1235"/>
      <c r="O17" s="1214"/>
      <c r="P17" s="1235"/>
      <c r="Q17" s="1214"/>
      <c r="R17" s="1243" t="s">
        <v>1663</v>
      </c>
    </row>
    <row r="18" spans="3:18" ht="78.75">
      <c r="C18" s="1215" t="s">
        <v>1693</v>
      </c>
      <c r="D18" s="1216">
        <v>152</v>
      </c>
      <c r="E18" s="1217" t="s">
        <v>1694</v>
      </c>
      <c r="F18" s="1217" t="s">
        <v>1635</v>
      </c>
      <c r="G18" s="1217" t="s">
        <v>1636</v>
      </c>
      <c r="H18" s="1217" t="s">
        <v>1695</v>
      </c>
      <c r="I18" s="1217" t="s">
        <v>1638</v>
      </c>
      <c r="J18" s="1217" t="s">
        <v>1639</v>
      </c>
      <c r="K18" s="1216">
        <v>136022</v>
      </c>
      <c r="L18" s="1236" t="s">
        <v>1640</v>
      </c>
      <c r="M18" s="1216">
        <v>7577.54</v>
      </c>
      <c r="N18" s="1237">
        <v>55784</v>
      </c>
      <c r="O18" s="1217" t="s">
        <v>1641</v>
      </c>
      <c r="P18" s="1237">
        <v>41639</v>
      </c>
      <c r="Q18" s="1217" t="s">
        <v>1696</v>
      </c>
      <c r="R18" s="1245"/>
    </row>
    <row r="19" spans="3:18" ht="78.75">
      <c r="C19" s="1206" t="s">
        <v>1697</v>
      </c>
      <c r="D19" s="1207">
        <v>158</v>
      </c>
      <c r="E19" s="1208" t="s">
        <v>1698</v>
      </c>
      <c r="F19" s="1208" t="s">
        <v>1635</v>
      </c>
      <c r="G19" s="1208" t="s">
        <v>1699</v>
      </c>
      <c r="H19" s="1208" t="s">
        <v>1700</v>
      </c>
      <c r="I19" s="1208" t="s">
        <v>1638</v>
      </c>
      <c r="J19" s="1208" t="s">
        <v>1639</v>
      </c>
      <c r="K19" s="1207">
        <v>136022</v>
      </c>
      <c r="L19" s="1230" t="s">
        <v>1640</v>
      </c>
      <c r="M19" s="1207">
        <v>9278.7999999999993</v>
      </c>
      <c r="N19" s="1231">
        <v>55784</v>
      </c>
      <c r="O19" s="1208" t="s">
        <v>1641</v>
      </c>
      <c r="P19" s="1231">
        <v>41635</v>
      </c>
      <c r="Q19" s="1208" t="s">
        <v>1701</v>
      </c>
      <c r="R19" s="1241" t="s">
        <v>1680</v>
      </c>
    </row>
    <row r="20" spans="3:18" ht="78.75">
      <c r="C20" s="1209" t="s">
        <v>1702</v>
      </c>
      <c r="D20" s="1210">
        <v>224</v>
      </c>
      <c r="E20" s="1211" t="s">
        <v>1703</v>
      </c>
      <c r="F20" s="1211" t="s">
        <v>1635</v>
      </c>
      <c r="G20" s="1211" t="s">
        <v>1699</v>
      </c>
      <c r="H20" s="1211" t="s">
        <v>1704</v>
      </c>
      <c r="I20" s="1211" t="s">
        <v>1638</v>
      </c>
      <c r="J20" s="1211" t="s">
        <v>1705</v>
      </c>
      <c r="K20" s="1210">
        <v>136022</v>
      </c>
      <c r="L20" s="1232" t="s">
        <v>1640</v>
      </c>
      <c r="M20" s="1210">
        <v>11957.49</v>
      </c>
      <c r="N20" s="1234">
        <v>55784</v>
      </c>
      <c r="O20" s="1211" t="s">
        <v>1641</v>
      </c>
      <c r="P20" s="1234">
        <v>41635</v>
      </c>
      <c r="Q20" s="1211" t="s">
        <v>1706</v>
      </c>
      <c r="R20" s="1244" t="s">
        <v>1680</v>
      </c>
    </row>
    <row r="21" spans="3:18" ht="78.75">
      <c r="C21" s="1209" t="s">
        <v>1707</v>
      </c>
      <c r="D21" s="1210">
        <v>95</v>
      </c>
      <c r="E21" s="1211" t="s">
        <v>1708</v>
      </c>
      <c r="F21" s="1211" t="s">
        <v>1635</v>
      </c>
      <c r="G21" s="1211" t="s">
        <v>1645</v>
      </c>
      <c r="H21" s="1211" t="s">
        <v>1709</v>
      </c>
      <c r="I21" s="1211" t="s">
        <v>1638</v>
      </c>
      <c r="J21" s="1211" t="s">
        <v>1639</v>
      </c>
      <c r="K21" s="1210">
        <v>136022</v>
      </c>
      <c r="L21" s="1232" t="s">
        <v>1640</v>
      </c>
      <c r="M21" s="1210">
        <v>4910.0600000000004</v>
      </c>
      <c r="N21" s="1234" t="s">
        <v>1647</v>
      </c>
      <c r="O21" s="1211" t="s">
        <v>1641</v>
      </c>
      <c r="P21" s="1234">
        <v>41635</v>
      </c>
      <c r="Q21" s="1211" t="s">
        <v>1710</v>
      </c>
      <c r="R21" s="1244" t="s">
        <v>1649</v>
      </c>
    </row>
    <row r="22" spans="3:18" ht="78.75">
      <c r="C22" s="1209" t="s">
        <v>1711</v>
      </c>
      <c r="D22" s="1210">
        <v>79</v>
      </c>
      <c r="E22" s="1211" t="s">
        <v>1712</v>
      </c>
      <c r="F22" s="1211" t="s">
        <v>1635</v>
      </c>
      <c r="G22" s="1211" t="s">
        <v>1645</v>
      </c>
      <c r="H22" s="1211" t="s">
        <v>1713</v>
      </c>
      <c r="I22" s="1211" t="s">
        <v>1638</v>
      </c>
      <c r="J22" s="1211" t="s">
        <v>1639</v>
      </c>
      <c r="K22" s="1210">
        <v>136022</v>
      </c>
      <c r="L22" s="1232" t="s">
        <v>1640</v>
      </c>
      <c r="M22" s="1210">
        <v>4654.96</v>
      </c>
      <c r="N22" s="1234">
        <v>55784</v>
      </c>
      <c r="O22" s="1211" t="s">
        <v>1641</v>
      </c>
      <c r="P22" s="1234">
        <v>41635</v>
      </c>
      <c r="Q22" s="1211" t="s">
        <v>1714</v>
      </c>
      <c r="R22" s="1244" t="s">
        <v>1649</v>
      </c>
    </row>
    <row r="23" spans="3:18" ht="78.75">
      <c r="C23" s="1209" t="s">
        <v>1715</v>
      </c>
      <c r="D23" s="1210">
        <v>18</v>
      </c>
      <c r="E23" s="1211" t="s">
        <v>1716</v>
      </c>
      <c r="F23" s="1211" t="s">
        <v>1635</v>
      </c>
      <c r="G23" s="1211" t="s">
        <v>1645</v>
      </c>
      <c r="H23" s="1211" t="s">
        <v>1717</v>
      </c>
      <c r="I23" s="1211" t="s">
        <v>1638</v>
      </c>
      <c r="J23" s="1211" t="s">
        <v>1639</v>
      </c>
      <c r="K23" s="1210">
        <v>136022</v>
      </c>
      <c r="L23" s="1232" t="s">
        <v>1640</v>
      </c>
      <c r="M23" s="1210">
        <v>936.08</v>
      </c>
      <c r="N23" s="1234">
        <v>55784</v>
      </c>
      <c r="O23" s="1211" t="s">
        <v>1641</v>
      </c>
      <c r="P23" s="1234">
        <v>41635</v>
      </c>
      <c r="Q23" s="1211" t="s">
        <v>1718</v>
      </c>
      <c r="R23" s="1244" t="s">
        <v>1649</v>
      </c>
    </row>
    <row r="24" spans="3:18" ht="78.75">
      <c r="C24" s="1209" t="s">
        <v>1719</v>
      </c>
      <c r="D24" s="1210">
        <v>71</v>
      </c>
      <c r="E24" s="1211" t="s">
        <v>1720</v>
      </c>
      <c r="F24" s="1211" t="s">
        <v>1635</v>
      </c>
      <c r="G24" s="1211" t="s">
        <v>1645</v>
      </c>
      <c r="H24" s="1211" t="s">
        <v>1721</v>
      </c>
      <c r="I24" s="1211" t="s">
        <v>1638</v>
      </c>
      <c r="J24" s="1211" t="s">
        <v>1639</v>
      </c>
      <c r="K24" s="1210">
        <v>136022</v>
      </c>
      <c r="L24" s="1232" t="s">
        <v>1640</v>
      </c>
      <c r="M24" s="1210">
        <v>4259.91</v>
      </c>
      <c r="N24" s="1234">
        <v>55784</v>
      </c>
      <c r="O24" s="1211" t="s">
        <v>1641</v>
      </c>
      <c r="P24" s="1234">
        <v>41635</v>
      </c>
      <c r="Q24" s="1211" t="s">
        <v>1722</v>
      </c>
      <c r="R24" s="1244" t="s">
        <v>1649</v>
      </c>
    </row>
    <row r="25" spans="3:18" ht="78.75">
      <c r="C25" s="1209" t="s">
        <v>1723</v>
      </c>
      <c r="D25" s="1210">
        <v>290</v>
      </c>
      <c r="E25" s="1211" t="s">
        <v>1724</v>
      </c>
      <c r="F25" s="1211" t="s">
        <v>1635</v>
      </c>
      <c r="G25" s="1211" t="s">
        <v>1645</v>
      </c>
      <c r="H25" s="1211" t="s">
        <v>1725</v>
      </c>
      <c r="I25" s="1211" t="s">
        <v>1638</v>
      </c>
      <c r="J25" s="1211" t="s">
        <v>1639</v>
      </c>
      <c r="K25" s="1210">
        <v>136022</v>
      </c>
      <c r="L25" s="1232" t="s">
        <v>1640</v>
      </c>
      <c r="M25" s="1210">
        <v>15772.23</v>
      </c>
      <c r="N25" s="1234">
        <v>55784</v>
      </c>
      <c r="O25" s="1211" t="s">
        <v>1641</v>
      </c>
      <c r="P25" s="1234">
        <v>41636</v>
      </c>
      <c r="Q25" s="1211" t="s">
        <v>1726</v>
      </c>
      <c r="R25" s="1244" t="s">
        <v>1649</v>
      </c>
    </row>
    <row r="26" spans="3:18" ht="78.75">
      <c r="C26" s="1209" t="s">
        <v>1727</v>
      </c>
      <c r="D26" s="1210">
        <v>324</v>
      </c>
      <c r="E26" s="1211" t="s">
        <v>1728</v>
      </c>
      <c r="F26" s="1211" t="s">
        <v>1635</v>
      </c>
      <c r="G26" s="1211" t="s">
        <v>1645</v>
      </c>
      <c r="H26" s="1211" t="s">
        <v>1729</v>
      </c>
      <c r="I26" s="1211" t="s">
        <v>1638</v>
      </c>
      <c r="J26" s="1211" t="s">
        <v>1639</v>
      </c>
      <c r="K26" s="1210">
        <v>136022</v>
      </c>
      <c r="L26" s="1232" t="s">
        <v>1640</v>
      </c>
      <c r="M26" s="1210">
        <v>17105.72</v>
      </c>
      <c r="N26" s="1234">
        <v>55784</v>
      </c>
      <c r="O26" s="1211" t="s">
        <v>1641</v>
      </c>
      <c r="P26" s="1234">
        <v>41635</v>
      </c>
      <c r="Q26" s="1211" t="s">
        <v>1730</v>
      </c>
      <c r="R26" s="1244" t="s">
        <v>1649</v>
      </c>
    </row>
    <row r="27" spans="3:18" ht="78.75">
      <c r="C27" s="1209" t="s">
        <v>1731</v>
      </c>
      <c r="D27" s="1210">
        <v>258</v>
      </c>
      <c r="E27" s="1211" t="s">
        <v>1732</v>
      </c>
      <c r="F27" s="1211" t="s">
        <v>1635</v>
      </c>
      <c r="G27" s="1211" t="s">
        <v>1645</v>
      </c>
      <c r="H27" s="1211" t="s">
        <v>1733</v>
      </c>
      <c r="I27" s="1211" t="s">
        <v>1638</v>
      </c>
      <c r="J27" s="1211" t="s">
        <v>1639</v>
      </c>
      <c r="K27" s="1210">
        <v>136022</v>
      </c>
      <c r="L27" s="1232" t="s">
        <v>1640</v>
      </c>
      <c r="M27" s="1210">
        <v>13375.6</v>
      </c>
      <c r="N27" s="1234">
        <v>55784</v>
      </c>
      <c r="O27" s="1211" t="s">
        <v>1641</v>
      </c>
      <c r="P27" s="1234">
        <v>41635</v>
      </c>
      <c r="Q27" s="1211" t="s">
        <v>1734</v>
      </c>
      <c r="R27" s="1244" t="s">
        <v>1649</v>
      </c>
    </row>
    <row r="28" spans="3:18" ht="31.5">
      <c r="C28" s="1212" t="s">
        <v>1735</v>
      </c>
      <c r="D28" s="1213"/>
      <c r="E28" s="1218"/>
      <c r="F28" s="1218"/>
      <c r="G28" s="1218"/>
      <c r="H28" s="1218"/>
      <c r="I28" s="1218"/>
      <c r="J28" s="1218"/>
      <c r="K28" s="1213"/>
      <c r="L28" s="1238"/>
      <c r="M28" s="1213"/>
      <c r="N28" s="1235"/>
      <c r="O28" s="1218"/>
      <c r="P28" s="1235"/>
      <c r="Q28" s="1218"/>
      <c r="R28" s="1246" t="s">
        <v>1663</v>
      </c>
    </row>
    <row r="29" spans="3:18" ht="31.5">
      <c r="C29" s="1212" t="s">
        <v>1736</v>
      </c>
      <c r="D29" s="1213"/>
      <c r="E29" s="1214"/>
      <c r="F29" s="1214"/>
      <c r="G29" s="1214"/>
      <c r="H29" s="1214"/>
      <c r="I29" s="1214"/>
      <c r="J29" s="1214"/>
      <c r="K29" s="1213"/>
      <c r="L29" s="1213"/>
      <c r="M29" s="1213"/>
      <c r="N29" s="1235"/>
      <c r="O29" s="1214"/>
      <c r="P29" s="1235"/>
      <c r="Q29" s="1214"/>
      <c r="R29" s="1246" t="s">
        <v>1663</v>
      </c>
    </row>
    <row r="30" spans="3:18" ht="78.75">
      <c r="C30" s="1209" t="s">
        <v>1737</v>
      </c>
      <c r="D30" s="1210">
        <v>182</v>
      </c>
      <c r="E30" s="1211" t="s">
        <v>1738</v>
      </c>
      <c r="F30" s="1211" t="s">
        <v>3416</v>
      </c>
      <c r="G30" s="1211" t="s">
        <v>1699</v>
      </c>
      <c r="H30" s="1211" t="s">
        <v>1739</v>
      </c>
      <c r="I30" s="1211" t="s">
        <v>1638</v>
      </c>
      <c r="J30" s="1211" t="s">
        <v>1639</v>
      </c>
      <c r="K30" s="1210">
        <v>136022</v>
      </c>
      <c r="L30" s="1232" t="s">
        <v>1640</v>
      </c>
      <c r="M30" s="1210">
        <v>9435.7000000000007</v>
      </c>
      <c r="N30" s="1234">
        <v>55784</v>
      </c>
      <c r="O30" s="1211" t="s">
        <v>1641</v>
      </c>
      <c r="P30" s="1234">
        <v>41635</v>
      </c>
      <c r="Q30" s="1211" t="s">
        <v>1740</v>
      </c>
      <c r="R30" s="1244" t="s">
        <v>1680</v>
      </c>
    </row>
    <row r="31" spans="3:18" ht="78.75">
      <c r="C31" s="1209" t="s">
        <v>1741</v>
      </c>
      <c r="D31" s="1210">
        <v>290</v>
      </c>
      <c r="E31" s="1211" t="s">
        <v>1742</v>
      </c>
      <c r="F31" s="1211" t="s">
        <v>1635</v>
      </c>
      <c r="G31" s="1211" t="s">
        <v>1699</v>
      </c>
      <c r="H31" s="1211" t="s">
        <v>1743</v>
      </c>
      <c r="I31" s="1211" t="s">
        <v>1638</v>
      </c>
      <c r="J31" s="1211" t="s">
        <v>1639</v>
      </c>
      <c r="K31" s="1210">
        <v>136022</v>
      </c>
      <c r="L31" s="1232" t="s">
        <v>1640</v>
      </c>
      <c r="M31" s="1210">
        <v>15695.86</v>
      </c>
      <c r="N31" s="1234">
        <v>55784</v>
      </c>
      <c r="O31" s="1211" t="s">
        <v>1641</v>
      </c>
      <c r="P31" s="1234">
        <v>41635</v>
      </c>
      <c r="Q31" s="1211" t="s">
        <v>1744</v>
      </c>
      <c r="R31" s="1244" t="s">
        <v>1680</v>
      </c>
    </row>
    <row r="32" spans="3:18" ht="78.75">
      <c r="C32" s="1209" t="s">
        <v>1745</v>
      </c>
      <c r="D32" s="1210">
        <v>318</v>
      </c>
      <c r="E32" s="1211" t="s">
        <v>1746</v>
      </c>
      <c r="F32" s="1211" t="s">
        <v>1635</v>
      </c>
      <c r="G32" s="1211" t="s">
        <v>1645</v>
      </c>
      <c r="H32" s="1211" t="s">
        <v>1747</v>
      </c>
      <c r="I32" s="1211" t="s">
        <v>1638</v>
      </c>
      <c r="J32" s="1211" t="s">
        <v>1639</v>
      </c>
      <c r="K32" s="1210">
        <v>136022</v>
      </c>
      <c r="L32" s="1232" t="s">
        <v>1640</v>
      </c>
      <c r="M32" s="1210">
        <v>16868.02</v>
      </c>
      <c r="N32" s="1234">
        <v>55784</v>
      </c>
      <c r="O32" s="1211" t="s">
        <v>1641</v>
      </c>
      <c r="P32" s="1234">
        <v>41635</v>
      </c>
      <c r="Q32" s="1211" t="s">
        <v>1748</v>
      </c>
      <c r="R32" s="1244" t="s">
        <v>1649</v>
      </c>
    </row>
    <row r="33" spans="3:18" ht="31.5">
      <c r="C33" s="1209" t="s">
        <v>1749</v>
      </c>
      <c r="D33" s="1210"/>
      <c r="E33" s="1219"/>
      <c r="F33" s="1219"/>
      <c r="G33" s="1219"/>
      <c r="H33" s="1219"/>
      <c r="I33" s="1219"/>
      <c r="J33" s="1219"/>
      <c r="K33" s="1210"/>
      <c r="L33" s="1210"/>
      <c r="M33" s="1210"/>
      <c r="N33" s="1234"/>
      <c r="O33" s="1219"/>
      <c r="P33" s="1234"/>
      <c r="Q33" s="1219"/>
      <c r="R33" s="1244" t="s">
        <v>1663</v>
      </c>
    </row>
    <row r="34" spans="3:18" ht="78.75">
      <c r="C34" s="1209" t="s">
        <v>1750</v>
      </c>
      <c r="D34" s="1210">
        <v>8</v>
      </c>
      <c r="E34" s="1211" t="s">
        <v>1751</v>
      </c>
      <c r="F34" s="1211" t="s">
        <v>1635</v>
      </c>
      <c r="G34" s="1211" t="s">
        <v>1645</v>
      </c>
      <c r="H34" s="1211" t="s">
        <v>1752</v>
      </c>
      <c r="I34" s="1211" t="s">
        <v>1638</v>
      </c>
      <c r="J34" s="1211" t="s">
        <v>1639</v>
      </c>
      <c r="K34" s="1210">
        <v>136022</v>
      </c>
      <c r="L34" s="1232" t="s">
        <v>1640</v>
      </c>
      <c r="M34" s="1210">
        <v>334.41</v>
      </c>
      <c r="N34" s="1234">
        <v>55784</v>
      </c>
      <c r="O34" s="1211" t="s">
        <v>1641</v>
      </c>
      <c r="P34" s="1234">
        <v>41635</v>
      </c>
      <c r="Q34" s="1211" t="s">
        <v>1753</v>
      </c>
      <c r="R34" s="1244" t="s">
        <v>1649</v>
      </c>
    </row>
    <row r="35" spans="3:18" ht="31.5">
      <c r="C35" s="1212" t="s">
        <v>1754</v>
      </c>
      <c r="D35" s="1213"/>
      <c r="E35" s="1214"/>
      <c r="F35" s="1214"/>
      <c r="G35" s="1214"/>
      <c r="H35" s="1214"/>
      <c r="I35" s="1214"/>
      <c r="J35" s="1214"/>
      <c r="K35" s="1213"/>
      <c r="L35" s="1213"/>
      <c r="M35" s="1213"/>
      <c r="N35" s="1235"/>
      <c r="O35" s="1214"/>
      <c r="P35" s="1235"/>
      <c r="Q35" s="1214"/>
      <c r="R35" s="1246" t="s">
        <v>1663</v>
      </c>
    </row>
    <row r="36" spans="3:18" ht="31.5">
      <c r="C36" s="1212" t="s">
        <v>1755</v>
      </c>
      <c r="D36" s="1213"/>
      <c r="E36" s="1214"/>
      <c r="F36" s="1214"/>
      <c r="G36" s="1214"/>
      <c r="H36" s="1214"/>
      <c r="I36" s="1214"/>
      <c r="J36" s="1214"/>
      <c r="K36" s="1213"/>
      <c r="L36" s="1213"/>
      <c r="M36" s="1213"/>
      <c r="N36" s="1235"/>
      <c r="O36" s="1214"/>
      <c r="P36" s="1235"/>
      <c r="Q36" s="1214"/>
      <c r="R36" s="1246" t="s">
        <v>1663</v>
      </c>
    </row>
    <row r="37" spans="3:18" ht="78.75">
      <c r="C37" s="1209" t="s">
        <v>1756</v>
      </c>
      <c r="D37" s="1210">
        <v>197</v>
      </c>
      <c r="E37" s="1211" t="s">
        <v>1757</v>
      </c>
      <c r="F37" s="1211" t="s">
        <v>1635</v>
      </c>
      <c r="G37" s="1211" t="s">
        <v>1699</v>
      </c>
      <c r="H37" s="1211" t="s">
        <v>1758</v>
      </c>
      <c r="I37" s="1211" t="s">
        <v>1638</v>
      </c>
      <c r="J37" s="1211" t="s">
        <v>1639</v>
      </c>
      <c r="K37" s="1210">
        <v>136022</v>
      </c>
      <c r="L37" s="1232" t="s">
        <v>1640</v>
      </c>
      <c r="M37" s="1210">
        <v>11234.36</v>
      </c>
      <c r="N37" s="1234">
        <v>55784</v>
      </c>
      <c r="O37" s="1211" t="s">
        <v>1641</v>
      </c>
      <c r="P37" s="1234">
        <v>41635</v>
      </c>
      <c r="Q37" s="1211" t="s">
        <v>1759</v>
      </c>
      <c r="R37" s="1244" t="s">
        <v>1680</v>
      </c>
    </row>
    <row r="38" spans="3:18" ht="78.75">
      <c r="C38" s="1209" t="s">
        <v>1760</v>
      </c>
      <c r="D38" s="1210">
        <v>227</v>
      </c>
      <c r="E38" s="1211" t="s">
        <v>1761</v>
      </c>
      <c r="F38" s="1211" t="s">
        <v>1635</v>
      </c>
      <c r="G38" s="1211" t="s">
        <v>1699</v>
      </c>
      <c r="H38" s="1211" t="s">
        <v>1762</v>
      </c>
      <c r="I38" s="1211" t="s">
        <v>1638</v>
      </c>
      <c r="J38" s="1211" t="s">
        <v>1639</v>
      </c>
      <c r="K38" s="1210">
        <v>136022</v>
      </c>
      <c r="L38" s="1232" t="s">
        <v>1640</v>
      </c>
      <c r="M38" s="1210">
        <v>12612.32</v>
      </c>
      <c r="N38" s="1234">
        <v>55784</v>
      </c>
      <c r="O38" s="1211" t="s">
        <v>1641</v>
      </c>
      <c r="P38" s="1234">
        <v>41635</v>
      </c>
      <c r="Q38" s="1211" t="s">
        <v>1763</v>
      </c>
      <c r="R38" s="1244" t="s">
        <v>1680</v>
      </c>
    </row>
    <row r="39" spans="3:18" ht="78.75">
      <c r="C39" s="1209" t="s">
        <v>1764</v>
      </c>
      <c r="D39" s="1210">
        <v>119</v>
      </c>
      <c r="E39" s="1211" t="s">
        <v>1765</v>
      </c>
      <c r="F39" s="1211" t="s">
        <v>1635</v>
      </c>
      <c r="G39" s="1211" t="s">
        <v>1699</v>
      </c>
      <c r="H39" s="1211" t="s">
        <v>1766</v>
      </c>
      <c r="I39" s="1211" t="s">
        <v>1638</v>
      </c>
      <c r="J39" s="1211" t="s">
        <v>1639</v>
      </c>
      <c r="K39" s="1210">
        <v>136022</v>
      </c>
      <c r="L39" s="1232" t="s">
        <v>1640</v>
      </c>
      <c r="M39" s="1210">
        <v>5837.03</v>
      </c>
      <c r="N39" s="1234">
        <v>55784</v>
      </c>
      <c r="O39" s="1211" t="s">
        <v>1641</v>
      </c>
      <c r="P39" s="1234">
        <v>41635</v>
      </c>
      <c r="Q39" s="1211" t="s">
        <v>1767</v>
      </c>
      <c r="R39" s="1244" t="s">
        <v>1680</v>
      </c>
    </row>
    <row r="40" spans="3:18" ht="78.75">
      <c r="C40" s="1209" t="s">
        <v>1768</v>
      </c>
      <c r="D40" s="1210">
        <v>79</v>
      </c>
      <c r="E40" s="1211" t="s">
        <v>1769</v>
      </c>
      <c r="F40" s="1211" t="s">
        <v>1635</v>
      </c>
      <c r="G40" s="1211" t="s">
        <v>1699</v>
      </c>
      <c r="H40" s="1211" t="s">
        <v>1770</v>
      </c>
      <c r="I40" s="1211" t="s">
        <v>1638</v>
      </c>
      <c r="J40" s="1211" t="s">
        <v>1639</v>
      </c>
      <c r="K40" s="1210">
        <v>136022</v>
      </c>
      <c r="L40" s="1232" t="s">
        <v>1640</v>
      </c>
      <c r="M40" s="1210">
        <v>4732.6899999999996</v>
      </c>
      <c r="N40" s="1234">
        <v>55784</v>
      </c>
      <c r="O40" s="1211" t="s">
        <v>1641</v>
      </c>
      <c r="P40" s="1234">
        <v>41635</v>
      </c>
      <c r="Q40" s="1211" t="s">
        <v>1771</v>
      </c>
      <c r="R40" s="1244" t="s">
        <v>1680</v>
      </c>
    </row>
    <row r="41" spans="3:18" ht="63">
      <c r="C41" s="1209" t="s">
        <v>1772</v>
      </c>
      <c r="D41" s="1210">
        <v>75</v>
      </c>
      <c r="E41" s="1211" t="s">
        <v>1773</v>
      </c>
      <c r="F41" s="1211" t="s">
        <v>1635</v>
      </c>
      <c r="G41" s="1211" t="s">
        <v>1645</v>
      </c>
      <c r="H41" s="1211" t="s">
        <v>1774</v>
      </c>
      <c r="I41" s="1211" t="s">
        <v>1638</v>
      </c>
      <c r="J41" s="1211" t="s">
        <v>1639</v>
      </c>
      <c r="K41" s="1210">
        <v>136022</v>
      </c>
      <c r="L41" s="1232" t="s">
        <v>1640</v>
      </c>
      <c r="M41" s="1210">
        <v>3961.54</v>
      </c>
      <c r="N41" s="1234">
        <v>55784</v>
      </c>
      <c r="O41" s="1211" t="s">
        <v>1641</v>
      </c>
      <c r="P41" s="1234">
        <v>41635</v>
      </c>
      <c r="Q41" s="1211" t="s">
        <v>1775</v>
      </c>
      <c r="R41" s="1244" t="s">
        <v>1680</v>
      </c>
    </row>
    <row r="42" spans="3:18" ht="31.5">
      <c r="C42" s="1220" t="s">
        <v>1776</v>
      </c>
      <c r="D42" s="1221"/>
      <c r="E42" s="1222"/>
      <c r="F42" s="1222"/>
      <c r="G42" s="1222"/>
      <c r="H42" s="1222"/>
      <c r="I42" s="1222"/>
      <c r="J42" s="1222"/>
      <c r="K42" s="1221"/>
      <c r="L42" s="1221"/>
      <c r="M42" s="1221"/>
      <c r="N42" s="1239"/>
      <c r="O42" s="1222"/>
      <c r="P42" s="1239"/>
      <c r="Q42" s="1222"/>
      <c r="R42" s="1247" t="s">
        <v>1663</v>
      </c>
    </row>
    <row r="43" spans="3:18" ht="31.5">
      <c r="C43" s="1223" t="s">
        <v>1777</v>
      </c>
      <c r="D43" s="1224"/>
      <c r="E43" s="1225"/>
      <c r="F43" s="1225"/>
      <c r="G43" s="1225"/>
      <c r="H43" s="1225"/>
      <c r="I43" s="1225"/>
      <c r="J43" s="1225"/>
      <c r="K43" s="1224"/>
      <c r="L43" s="1224"/>
      <c r="M43" s="1224"/>
      <c r="N43" s="1240"/>
      <c r="O43" s="1225"/>
      <c r="P43" s="1240"/>
      <c r="Q43" s="1225"/>
      <c r="R43" s="1248" t="s">
        <v>1663</v>
      </c>
    </row>
    <row r="44" spans="3:18" ht="31.5">
      <c r="C44" s="1226" t="s">
        <v>1778</v>
      </c>
      <c r="D44" s="1213"/>
      <c r="E44" s="1214"/>
      <c r="F44" s="1214"/>
      <c r="G44" s="1214"/>
      <c r="H44" s="1214"/>
      <c r="I44" s="1214"/>
      <c r="J44" s="1214"/>
      <c r="K44" s="1213"/>
      <c r="L44" s="1213"/>
      <c r="M44" s="1213"/>
      <c r="N44" s="1235"/>
      <c r="O44" s="1214"/>
      <c r="P44" s="1235"/>
      <c r="Q44" s="1214"/>
      <c r="R44" s="1246" t="s">
        <v>1663</v>
      </c>
    </row>
    <row r="45" spans="3:18" ht="31.5">
      <c r="C45" s="1226" t="s">
        <v>1779</v>
      </c>
      <c r="D45" s="1213"/>
      <c r="E45" s="1214"/>
      <c r="F45" s="1214"/>
      <c r="G45" s="1214"/>
      <c r="H45" s="1214"/>
      <c r="I45" s="1214"/>
      <c r="J45" s="1214"/>
      <c r="K45" s="1213"/>
      <c r="L45" s="1213"/>
      <c r="M45" s="1213"/>
      <c r="N45" s="1235"/>
      <c r="O45" s="1214"/>
      <c r="P45" s="1235"/>
      <c r="Q45" s="1214"/>
      <c r="R45" s="1246" t="s">
        <v>1663</v>
      </c>
    </row>
    <row r="46" spans="3:18" ht="31.5">
      <c r="C46" s="1226" t="s">
        <v>1780</v>
      </c>
      <c r="D46" s="1213"/>
      <c r="E46" s="1214"/>
      <c r="F46" s="1214"/>
      <c r="G46" s="1214"/>
      <c r="H46" s="1214"/>
      <c r="I46" s="1214"/>
      <c r="J46" s="1214"/>
      <c r="K46" s="1213"/>
      <c r="L46" s="1213"/>
      <c r="M46" s="1213"/>
      <c r="N46" s="1235"/>
      <c r="O46" s="1214"/>
      <c r="P46" s="1235"/>
      <c r="Q46" s="1214"/>
      <c r="R46" s="1246" t="s">
        <v>1663</v>
      </c>
    </row>
    <row r="47" spans="3:18" ht="31.5">
      <c r="C47" s="1226" t="s">
        <v>1781</v>
      </c>
      <c r="D47" s="1213"/>
      <c r="E47" s="1214"/>
      <c r="F47" s="1214"/>
      <c r="G47" s="1214"/>
      <c r="H47" s="1214"/>
      <c r="I47" s="1214"/>
      <c r="J47" s="1214"/>
      <c r="K47" s="1213"/>
      <c r="L47" s="1213"/>
      <c r="M47" s="1213"/>
      <c r="N47" s="1235"/>
      <c r="O47" s="1214"/>
      <c r="P47" s="1235"/>
      <c r="Q47" s="1214"/>
      <c r="R47" s="1246" t="s">
        <v>1663</v>
      </c>
    </row>
    <row r="48" spans="3:18" ht="31.5">
      <c r="C48" s="1226" t="s">
        <v>1782</v>
      </c>
      <c r="D48" s="1213"/>
      <c r="E48" s="1214"/>
      <c r="F48" s="1214"/>
      <c r="G48" s="1214"/>
      <c r="H48" s="1214"/>
      <c r="I48" s="1214"/>
      <c r="J48" s="1214"/>
      <c r="K48" s="1213"/>
      <c r="L48" s="1213"/>
      <c r="M48" s="1213"/>
      <c r="N48" s="1235"/>
      <c r="O48" s="1214"/>
      <c r="P48" s="1235"/>
      <c r="Q48" s="1214"/>
      <c r="R48" s="1246" t="s">
        <v>1663</v>
      </c>
    </row>
    <row r="49" spans="3:16384" ht="31.5">
      <c r="C49" s="1226" t="s">
        <v>1783</v>
      </c>
      <c r="D49" s="1213"/>
      <c r="E49" s="1214"/>
      <c r="F49" s="1214"/>
      <c r="G49" s="1214"/>
      <c r="H49" s="1214"/>
      <c r="I49" s="1214"/>
      <c r="J49" s="1214"/>
      <c r="K49" s="1213"/>
      <c r="L49" s="1213"/>
      <c r="M49" s="1213"/>
      <c r="N49" s="1235"/>
      <c r="O49" s="1214"/>
      <c r="P49" s="1235"/>
      <c r="Q49" s="1214"/>
      <c r="R49" s="1246" t="s">
        <v>1663</v>
      </c>
    </row>
    <row r="50" spans="3:16384" ht="31.5">
      <c r="C50" s="1226" t="s">
        <v>1784</v>
      </c>
      <c r="D50" s="1213"/>
      <c r="E50" s="1214"/>
      <c r="F50" s="1214"/>
      <c r="G50" s="1214"/>
      <c r="H50" s="1214"/>
      <c r="I50" s="1214"/>
      <c r="J50" s="1214"/>
      <c r="K50" s="1213"/>
      <c r="L50" s="1213"/>
      <c r="M50" s="1213"/>
      <c r="N50" s="1235"/>
      <c r="O50" s="1214"/>
      <c r="P50" s="1235"/>
      <c r="Q50" s="1214"/>
      <c r="R50" s="1246" t="s">
        <v>1663</v>
      </c>
    </row>
    <row r="51" spans="3:16384" ht="31.5">
      <c r="C51" s="1226" t="s">
        <v>1785</v>
      </c>
      <c r="D51" s="1213"/>
      <c r="E51" s="1214"/>
      <c r="F51" s="1214"/>
      <c r="G51" s="1214"/>
      <c r="H51" s="1214"/>
      <c r="I51" s="1214"/>
      <c r="J51" s="1214"/>
      <c r="K51" s="1213"/>
      <c r="L51" s="1213"/>
      <c r="M51" s="1213"/>
      <c r="N51" s="1235"/>
      <c r="O51" s="1214"/>
      <c r="P51" s="1235"/>
      <c r="Q51" s="1214"/>
      <c r="R51" s="1246" t="s">
        <v>1663</v>
      </c>
    </row>
    <row r="52" spans="3:16384" ht="31.5">
      <c r="C52" s="1226" t="s">
        <v>1786</v>
      </c>
      <c r="D52" s="1213"/>
      <c r="E52" s="1214"/>
      <c r="F52" s="1214"/>
      <c r="G52" s="1214"/>
      <c r="H52" s="1214"/>
      <c r="I52" s="1214"/>
      <c r="J52" s="1214"/>
      <c r="K52" s="1213"/>
      <c r="L52" s="1213"/>
      <c r="M52" s="1213"/>
      <c r="N52" s="1235"/>
      <c r="O52" s="1214"/>
      <c r="P52" s="1235"/>
      <c r="Q52" s="1214"/>
      <c r="R52" s="1246" t="s">
        <v>1663</v>
      </c>
    </row>
    <row r="53" spans="3:16384" ht="31.5">
      <c r="C53" s="1226" t="s">
        <v>1787</v>
      </c>
      <c r="D53" s="1213"/>
      <c r="E53" s="1214"/>
      <c r="F53" s="1214"/>
      <c r="G53" s="1214"/>
      <c r="H53" s="1214"/>
      <c r="I53" s="1214"/>
      <c r="J53" s="1214"/>
      <c r="K53" s="1213"/>
      <c r="L53" s="1213"/>
      <c r="M53" s="1213"/>
      <c r="N53" s="1235"/>
      <c r="O53" s="1214"/>
      <c r="P53" s="1235"/>
      <c r="Q53" s="1214"/>
      <c r="R53" s="1246" t="s">
        <v>1663</v>
      </c>
    </row>
    <row r="54" spans="3:16384" ht="31.5">
      <c r="C54" s="1226" t="s">
        <v>1788</v>
      </c>
      <c r="D54" s="1213"/>
      <c r="E54" s="1214"/>
      <c r="F54" s="1214"/>
      <c r="G54" s="1214"/>
      <c r="H54" s="1214"/>
      <c r="I54" s="1214"/>
      <c r="J54" s="1214"/>
      <c r="K54" s="1213"/>
      <c r="L54" s="1213"/>
      <c r="M54" s="1213"/>
      <c r="N54" s="1235"/>
      <c r="O54" s="1214"/>
      <c r="P54" s="1235"/>
      <c r="Q54" s="1214"/>
      <c r="R54" s="1246" t="s">
        <v>1663</v>
      </c>
    </row>
    <row r="55" spans="3:16384" ht="78.75">
      <c r="C55" s="1227" t="s">
        <v>1789</v>
      </c>
      <c r="D55" s="1210">
        <v>252</v>
      </c>
      <c r="E55" s="1211" t="s">
        <v>1790</v>
      </c>
      <c r="F55" s="1211" t="s">
        <v>3332</v>
      </c>
      <c r="G55" s="1211" t="s">
        <v>1791</v>
      </c>
      <c r="H55" s="1211" t="s">
        <v>1792</v>
      </c>
      <c r="I55" s="1211" t="s">
        <v>1638</v>
      </c>
      <c r="J55" s="1211" t="s">
        <v>1639</v>
      </c>
      <c r="K55" s="1210">
        <v>136022</v>
      </c>
      <c r="L55" s="1232" t="s">
        <v>1640</v>
      </c>
      <c r="M55" s="1210">
        <v>12851.63</v>
      </c>
      <c r="N55" s="1234">
        <v>55784</v>
      </c>
      <c r="O55" s="1211" t="s">
        <v>1641</v>
      </c>
      <c r="P55" s="1234">
        <v>41818</v>
      </c>
      <c r="Q55" s="1211" t="s">
        <v>1793</v>
      </c>
      <c r="R55" s="1244" t="s">
        <v>1680</v>
      </c>
    </row>
    <row r="56" spans="3:16384" ht="78.75">
      <c r="C56" s="1227" t="s">
        <v>1794</v>
      </c>
      <c r="D56" s="1210">
        <v>150</v>
      </c>
      <c r="E56" s="1211" t="s">
        <v>1795</v>
      </c>
      <c r="F56" s="1211" t="s">
        <v>1635</v>
      </c>
      <c r="G56" s="1211" t="s">
        <v>1791</v>
      </c>
      <c r="H56" s="1211" t="s">
        <v>1796</v>
      </c>
      <c r="I56" s="1211" t="s">
        <v>1638</v>
      </c>
      <c r="J56" s="1211" t="s">
        <v>1639</v>
      </c>
      <c r="K56" s="1210">
        <v>136022</v>
      </c>
      <c r="L56" s="1232" t="s">
        <v>1640</v>
      </c>
      <c r="M56" s="1210">
        <v>7811.67</v>
      </c>
      <c r="N56" s="1234">
        <v>55784</v>
      </c>
      <c r="O56" s="1211" t="s">
        <v>1641</v>
      </c>
      <c r="P56" s="1234">
        <v>41818</v>
      </c>
      <c r="Q56" s="1211" t="s">
        <v>1797</v>
      </c>
      <c r="R56" s="1244" t="s">
        <v>1680</v>
      </c>
    </row>
    <row r="57" spans="3:16384" ht="78.75">
      <c r="C57" s="1227" t="s">
        <v>1798</v>
      </c>
      <c r="D57" s="1210">
        <v>143</v>
      </c>
      <c r="E57" s="1211" t="s">
        <v>1799</v>
      </c>
      <c r="F57" s="1211" t="s">
        <v>1635</v>
      </c>
      <c r="G57" s="1211" t="s">
        <v>1800</v>
      </c>
      <c r="H57" s="1211" t="s">
        <v>1801</v>
      </c>
      <c r="I57" s="1211" t="s">
        <v>1638</v>
      </c>
      <c r="J57" s="1211" t="s">
        <v>1639</v>
      </c>
      <c r="K57" s="1210">
        <v>136022</v>
      </c>
      <c r="L57" s="1232" t="s">
        <v>1640</v>
      </c>
      <c r="M57" s="1210">
        <v>8129.67</v>
      </c>
      <c r="N57" s="1234">
        <v>55784</v>
      </c>
      <c r="O57" s="1211" t="s">
        <v>1641</v>
      </c>
      <c r="P57" s="1234">
        <v>41808</v>
      </c>
      <c r="Q57" s="1211" t="s">
        <v>1802</v>
      </c>
      <c r="R57" s="1244" t="s">
        <v>1680</v>
      </c>
    </row>
    <row r="58" spans="3:16384" ht="78.75">
      <c r="C58" s="1228" t="s">
        <v>1803</v>
      </c>
      <c r="D58" s="1216">
        <v>264</v>
      </c>
      <c r="E58" s="1217" t="s">
        <v>1804</v>
      </c>
      <c r="F58" s="1217" t="s">
        <v>1635</v>
      </c>
      <c r="G58" s="1217" t="s">
        <v>1800</v>
      </c>
      <c r="H58" s="1217" t="s">
        <v>1805</v>
      </c>
      <c r="I58" s="1217" t="s">
        <v>1638</v>
      </c>
      <c r="J58" s="1217" t="s">
        <v>1639</v>
      </c>
      <c r="K58" s="1216">
        <v>136022</v>
      </c>
      <c r="L58" s="1236" t="s">
        <v>1640</v>
      </c>
      <c r="M58" s="1216">
        <v>13198.48</v>
      </c>
      <c r="N58" s="1237">
        <v>55784</v>
      </c>
      <c r="O58" s="1217" t="s">
        <v>1641</v>
      </c>
      <c r="P58" s="1237">
        <v>41818</v>
      </c>
      <c r="Q58" s="1217" t="s">
        <v>1806</v>
      </c>
      <c r="R58" s="1245" t="s">
        <v>1680</v>
      </c>
    </row>
    <row r="59" spans="3:16384" ht="94.5">
      <c r="C59" s="1229" t="s">
        <v>1807</v>
      </c>
      <c r="D59" s="1207">
        <v>40</v>
      </c>
      <c r="E59" s="1208" t="s">
        <v>1808</v>
      </c>
      <c r="F59" s="1208" t="s">
        <v>1635</v>
      </c>
      <c r="G59" s="1208" t="s">
        <v>1809</v>
      </c>
      <c r="H59" s="1208" t="s">
        <v>1810</v>
      </c>
      <c r="I59" s="1208" t="s">
        <v>1638</v>
      </c>
      <c r="J59" s="1208" t="s">
        <v>1705</v>
      </c>
      <c r="K59" s="1207">
        <v>106982.7</v>
      </c>
      <c r="L59" s="1230" t="s">
        <v>1811</v>
      </c>
      <c r="M59" s="1207">
        <v>3220.06</v>
      </c>
      <c r="N59" s="1231">
        <v>55785</v>
      </c>
      <c r="O59" s="1208" t="s">
        <v>1641</v>
      </c>
      <c r="P59" s="1231">
        <v>42185</v>
      </c>
      <c r="Q59" s="1208" t="s">
        <v>1812</v>
      </c>
      <c r="R59" s="1241" t="s">
        <v>1649</v>
      </c>
    </row>
    <row r="60" spans="3:16384" ht="78.75">
      <c r="C60" s="1227" t="s">
        <v>1813</v>
      </c>
      <c r="D60" s="1210">
        <v>39</v>
      </c>
      <c r="E60" s="3025" t="s">
        <v>1814</v>
      </c>
      <c r="F60" s="1211" t="s">
        <v>1635</v>
      </c>
      <c r="G60" s="1211" t="s">
        <v>1645</v>
      </c>
      <c r="H60" s="1211" t="s">
        <v>1815</v>
      </c>
      <c r="I60" s="1211" t="s">
        <v>1638</v>
      </c>
      <c r="J60" s="1211" t="s">
        <v>1705</v>
      </c>
      <c r="K60" s="1210">
        <v>136022</v>
      </c>
      <c r="L60" s="1232" t="s">
        <v>1640</v>
      </c>
      <c r="M60" s="3024" t="s">
        <v>1816</v>
      </c>
      <c r="N60" s="1234">
        <v>55784</v>
      </c>
      <c r="O60" s="1211" t="s">
        <v>1641</v>
      </c>
      <c r="P60" s="1234">
        <v>42185</v>
      </c>
      <c r="Q60" s="1211" t="s">
        <v>1817</v>
      </c>
      <c r="R60" s="1244" t="s">
        <v>1818</v>
      </c>
    </row>
    <row r="61" spans="3:16384" ht="126">
      <c r="C61" s="1227" t="s">
        <v>1819</v>
      </c>
      <c r="D61" s="1210">
        <v>80</v>
      </c>
      <c r="E61" s="1211" t="s">
        <v>1820</v>
      </c>
      <c r="F61" s="1211" t="s">
        <v>1635</v>
      </c>
      <c r="G61" s="1211" t="s">
        <v>1645</v>
      </c>
      <c r="H61" s="1211" t="s">
        <v>1821</v>
      </c>
      <c r="I61" s="1211" t="s">
        <v>1638</v>
      </c>
      <c r="J61" s="1211" t="s">
        <v>1705</v>
      </c>
      <c r="K61" s="1210">
        <v>136022</v>
      </c>
      <c r="L61" s="1232" t="s">
        <v>1640</v>
      </c>
      <c r="M61" s="1232">
        <v>6426.04</v>
      </c>
      <c r="N61" s="1234">
        <v>55784</v>
      </c>
      <c r="O61" s="1211" t="s">
        <v>1641</v>
      </c>
      <c r="P61" s="1234">
        <v>42185</v>
      </c>
      <c r="Q61" s="1211" t="s">
        <v>1822</v>
      </c>
      <c r="R61" s="1244" t="s">
        <v>1649</v>
      </c>
    </row>
    <row r="62" spans="3:16384" ht="78.75">
      <c r="C62" s="1227" t="s">
        <v>1823</v>
      </c>
      <c r="D62" s="1210">
        <v>115</v>
      </c>
      <c r="E62" s="1211" t="s">
        <v>1824</v>
      </c>
      <c r="F62" s="1211" t="s">
        <v>1635</v>
      </c>
      <c r="G62" s="1211" t="s">
        <v>1645</v>
      </c>
      <c r="H62" s="1211" t="s">
        <v>1825</v>
      </c>
      <c r="I62" s="1211" t="s">
        <v>1638</v>
      </c>
      <c r="J62" s="1211" t="s">
        <v>1705</v>
      </c>
      <c r="K62" s="1210">
        <v>136022</v>
      </c>
      <c r="L62" s="1232" t="s">
        <v>1640</v>
      </c>
      <c r="M62" s="1232">
        <v>9167.32</v>
      </c>
      <c r="N62" s="1234">
        <v>55784</v>
      </c>
      <c r="O62" s="1211" t="s">
        <v>1641</v>
      </c>
      <c r="P62" s="1234">
        <v>42185</v>
      </c>
      <c r="Q62" s="1211" t="s">
        <v>1826</v>
      </c>
      <c r="R62" s="1244" t="s">
        <v>1649</v>
      </c>
    </row>
    <row r="63" spans="3:16384" ht="78.75">
      <c r="C63" s="1227" t="s">
        <v>1827</v>
      </c>
      <c r="D63" s="1210">
        <v>125</v>
      </c>
      <c r="E63" s="1211" t="s">
        <v>1828</v>
      </c>
      <c r="F63" s="1211" t="s">
        <v>1635</v>
      </c>
      <c r="G63" s="1211" t="s">
        <v>1645</v>
      </c>
      <c r="H63" s="1211" t="s">
        <v>1829</v>
      </c>
      <c r="I63" s="1211" t="s">
        <v>1638</v>
      </c>
      <c r="J63" s="1211" t="s">
        <v>1705</v>
      </c>
      <c r="K63" s="1210">
        <v>136022</v>
      </c>
      <c r="L63" s="1232" t="s">
        <v>1640</v>
      </c>
      <c r="M63" s="1232">
        <v>9499.4699999999993</v>
      </c>
      <c r="N63" s="1234">
        <v>55784</v>
      </c>
      <c r="O63" s="1211" t="s">
        <v>1641</v>
      </c>
      <c r="P63" s="1234">
        <v>42185</v>
      </c>
      <c r="Q63" s="1211" t="s">
        <v>1830</v>
      </c>
      <c r="R63" s="1244" t="s">
        <v>1649</v>
      </c>
    </row>
    <row r="64" spans="3:16384" ht="31.5">
      <c r="C64" s="1226" t="s">
        <v>1831</v>
      </c>
      <c r="D64" s="1213"/>
      <c r="E64" s="1214"/>
      <c r="F64" s="1214"/>
      <c r="G64" s="1214"/>
      <c r="H64" s="1214"/>
      <c r="I64" s="1214"/>
      <c r="J64" s="1214"/>
      <c r="K64" s="1213"/>
      <c r="L64" s="1213"/>
      <c r="M64" s="1213"/>
      <c r="N64" s="1235"/>
      <c r="O64" s="1214"/>
      <c r="P64" s="1235"/>
      <c r="Q64" s="1214"/>
      <c r="R64" s="1246" t="s">
        <v>1663</v>
      </c>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c r="HH64"/>
      <c r="HI64"/>
      <c r="HJ64"/>
      <c r="HK64"/>
      <c r="HL64"/>
      <c r="HM64"/>
      <c r="HN64"/>
      <c r="HO64"/>
      <c r="HP64"/>
      <c r="HQ64"/>
      <c r="HR64"/>
      <c r="HS64"/>
      <c r="HT64"/>
      <c r="HU64"/>
      <c r="HV64"/>
      <c r="HW64"/>
      <c r="HX64"/>
      <c r="HY64"/>
      <c r="HZ64"/>
      <c r="IA64"/>
      <c r="IB64"/>
      <c r="IC64"/>
      <c r="ID64"/>
      <c r="IE64"/>
      <c r="IF64"/>
      <c r="IG64"/>
      <c r="IH64"/>
      <c r="II64"/>
      <c r="IJ64"/>
      <c r="IK64"/>
      <c r="IL64"/>
      <c r="IM64"/>
      <c r="IN64"/>
      <c r="IO64"/>
      <c r="IP64"/>
      <c r="IQ64"/>
      <c r="IR64"/>
      <c r="IS64"/>
      <c r="IT64"/>
      <c r="IU64"/>
      <c r="IV64"/>
      <c r="IW64"/>
      <c r="IX64"/>
      <c r="IY64"/>
      <c r="IZ64"/>
      <c r="JA64"/>
      <c r="JB64"/>
      <c r="JC64"/>
      <c r="JD64"/>
      <c r="JE64"/>
      <c r="JF64"/>
      <c r="JG64"/>
      <c r="JH64"/>
      <c r="JI64"/>
      <c r="JJ64"/>
      <c r="JK64"/>
      <c r="JL64"/>
      <c r="JM64"/>
      <c r="JN64"/>
      <c r="JO64"/>
      <c r="JP64"/>
      <c r="JQ64"/>
      <c r="JR64"/>
      <c r="JS64"/>
      <c r="JT64"/>
      <c r="JU64"/>
      <c r="JV64"/>
      <c r="JW64"/>
      <c r="JX64"/>
      <c r="JY64"/>
      <c r="JZ64"/>
      <c r="KA64"/>
      <c r="KB64"/>
      <c r="KC64"/>
      <c r="KD64"/>
      <c r="KE64"/>
      <c r="KF64"/>
      <c r="KG64"/>
      <c r="KH64"/>
      <c r="KI64"/>
      <c r="KJ64"/>
      <c r="KK64"/>
      <c r="KL64"/>
      <c r="KM64"/>
      <c r="KN64"/>
      <c r="KO64"/>
      <c r="KP64"/>
      <c r="KQ64"/>
      <c r="KR64"/>
      <c r="KS64"/>
      <c r="KT64"/>
      <c r="KU64"/>
      <c r="KV64"/>
      <c r="KW64"/>
      <c r="KX64"/>
      <c r="KY64"/>
      <c r="KZ64"/>
      <c r="LA64"/>
      <c r="LB64"/>
      <c r="LC64"/>
      <c r="LD64"/>
      <c r="LE64"/>
      <c r="LF64"/>
      <c r="LG64"/>
      <c r="LH64"/>
      <c r="LI64"/>
      <c r="LJ64"/>
      <c r="LK64"/>
      <c r="LL64"/>
      <c r="LM64"/>
      <c r="LN64"/>
      <c r="LO64"/>
      <c r="LP64"/>
      <c r="LQ64"/>
      <c r="LR64"/>
      <c r="LS64"/>
      <c r="LT64"/>
      <c r="LU64"/>
      <c r="LV64"/>
      <c r="LW64"/>
      <c r="LX64"/>
      <c r="LY64"/>
      <c r="LZ64"/>
      <c r="MA64"/>
      <c r="MB64"/>
      <c r="MC64"/>
      <c r="MD64"/>
      <c r="ME64"/>
      <c r="MF64"/>
      <c r="MG64"/>
      <c r="MH64"/>
      <c r="MI64"/>
      <c r="MJ64"/>
      <c r="MK64"/>
      <c r="ML64"/>
      <c r="MM64"/>
      <c r="MN64"/>
      <c r="MO64"/>
      <c r="MP64"/>
      <c r="MQ64"/>
      <c r="MR64"/>
      <c r="MS64"/>
      <c r="MT64"/>
      <c r="MU64"/>
      <c r="MV64"/>
      <c r="MW64"/>
      <c r="MX64"/>
      <c r="MY64"/>
      <c r="MZ64"/>
      <c r="NA64"/>
      <c r="NB64"/>
      <c r="NC64"/>
      <c r="ND64"/>
      <c r="NE64"/>
      <c r="NF64"/>
      <c r="NG64"/>
      <c r="NH64"/>
      <c r="NI64"/>
      <c r="NJ64"/>
      <c r="NK64"/>
      <c r="NL64"/>
      <c r="NM64"/>
      <c r="NN64"/>
      <c r="NO64"/>
      <c r="NP64"/>
      <c r="NQ64"/>
      <c r="NR64"/>
      <c r="NS64"/>
      <c r="NT64"/>
      <c r="NU64"/>
      <c r="NV64"/>
      <c r="NW64"/>
      <c r="NX64"/>
      <c r="NY64"/>
      <c r="NZ64"/>
      <c r="OA64"/>
      <c r="OB64"/>
      <c r="OC64"/>
      <c r="OD64"/>
      <c r="OE64"/>
      <c r="OF64"/>
      <c r="OG64"/>
      <c r="OH64"/>
      <c r="OI64"/>
      <c r="OJ64"/>
      <c r="OK64"/>
      <c r="OL64"/>
      <c r="OM64"/>
      <c r="ON64"/>
      <c r="OO64"/>
      <c r="OP64"/>
      <c r="OQ64"/>
      <c r="OR64"/>
      <c r="OS64"/>
      <c r="OT64"/>
      <c r="OU64"/>
      <c r="OV64"/>
      <c r="OW64"/>
      <c r="OX64"/>
      <c r="OY64"/>
      <c r="OZ64"/>
      <c r="PA64"/>
      <c r="PB64"/>
      <c r="PC64"/>
      <c r="PD64"/>
      <c r="PE64"/>
      <c r="PF64"/>
      <c r="PG64"/>
      <c r="PH64"/>
      <c r="PI64"/>
      <c r="PJ64"/>
      <c r="PK64"/>
      <c r="PL64"/>
      <c r="PM64"/>
      <c r="PN64"/>
      <c r="PO64"/>
      <c r="PP64"/>
      <c r="PQ64"/>
      <c r="PR64"/>
      <c r="PS64"/>
      <c r="PT64"/>
      <c r="PU64"/>
      <c r="PV64"/>
      <c r="PW64"/>
      <c r="PX64"/>
      <c r="PY64"/>
      <c r="PZ64"/>
      <c r="QA64"/>
      <c r="QB64"/>
      <c r="QC64"/>
      <c r="QD64"/>
      <c r="QE64"/>
      <c r="QF64"/>
      <c r="QG64"/>
      <c r="QH64"/>
      <c r="QI64"/>
      <c r="QJ64"/>
      <c r="QK64"/>
      <c r="QL64"/>
      <c r="QM64"/>
      <c r="QN64"/>
      <c r="QO64"/>
      <c r="QP64"/>
      <c r="QQ64"/>
      <c r="QR64"/>
      <c r="QS64"/>
      <c r="QT64"/>
      <c r="QU64"/>
      <c r="QV64"/>
      <c r="QW64"/>
      <c r="QX64"/>
      <c r="QY64"/>
      <c r="QZ64"/>
      <c r="RA64"/>
      <c r="RB64"/>
      <c r="RC64"/>
      <c r="RD64"/>
      <c r="RE64"/>
      <c r="RF64"/>
      <c r="RG64"/>
      <c r="RH64"/>
      <c r="RI64"/>
      <c r="RJ64"/>
      <c r="RK64"/>
      <c r="RL64"/>
      <c r="RM64"/>
      <c r="RN64"/>
      <c r="RO64"/>
      <c r="RP64"/>
      <c r="RQ64"/>
      <c r="RR64"/>
      <c r="RS64"/>
      <c r="RT64"/>
      <c r="RU64"/>
      <c r="RV64"/>
      <c r="RW64"/>
      <c r="RX64"/>
      <c r="RY64"/>
      <c r="RZ64"/>
      <c r="SA64"/>
      <c r="SB64"/>
      <c r="SC64"/>
      <c r="SD64"/>
      <c r="SE64"/>
      <c r="SF64"/>
      <c r="SG64"/>
      <c r="SH64"/>
      <c r="SI64"/>
      <c r="SJ64"/>
      <c r="SK64"/>
      <c r="SL64"/>
      <c r="SM64"/>
      <c r="SN64"/>
      <c r="SO64"/>
      <c r="SP64"/>
      <c r="SQ64"/>
      <c r="SR64"/>
      <c r="SS64"/>
      <c r="ST64"/>
      <c r="SU64"/>
      <c r="SV64"/>
      <c r="SW64"/>
      <c r="SX64"/>
      <c r="SY64"/>
      <c r="SZ64"/>
      <c r="TA64"/>
      <c r="TB64"/>
      <c r="TC64"/>
      <c r="TD64"/>
      <c r="TE64"/>
      <c r="TF64"/>
      <c r="TG64"/>
      <c r="TH64"/>
      <c r="TI64"/>
      <c r="TJ64"/>
      <c r="TK64"/>
      <c r="TL64"/>
      <c r="TM64"/>
      <c r="TN64"/>
      <c r="TO64"/>
      <c r="TP64"/>
      <c r="TQ64"/>
      <c r="TR64"/>
      <c r="TS64"/>
      <c r="TT64"/>
      <c r="TU64"/>
      <c r="TV64"/>
      <c r="TW64"/>
      <c r="TX64"/>
      <c r="TY64"/>
      <c r="TZ64"/>
      <c r="UA64"/>
      <c r="UB64"/>
      <c r="UC64"/>
      <c r="UD64"/>
      <c r="UE64"/>
      <c r="UF64"/>
      <c r="UG64"/>
      <c r="UH64"/>
      <c r="UI64"/>
      <c r="UJ64"/>
      <c r="UK64"/>
      <c r="UL64"/>
      <c r="UM64"/>
      <c r="UN64"/>
      <c r="UO64"/>
      <c r="UP64"/>
      <c r="UQ64"/>
      <c r="UR64"/>
      <c r="US64"/>
      <c r="UT64"/>
      <c r="UU64"/>
      <c r="UV64"/>
      <c r="UW64"/>
      <c r="UX64"/>
      <c r="UY64"/>
      <c r="UZ64"/>
      <c r="VA64"/>
      <c r="VB64"/>
      <c r="VC64"/>
      <c r="VD64"/>
      <c r="VE64"/>
      <c r="VF64"/>
      <c r="VG64"/>
      <c r="VH64"/>
      <c r="VI64"/>
      <c r="VJ64"/>
      <c r="VK64"/>
      <c r="VL64"/>
      <c r="VM64"/>
      <c r="VN64"/>
      <c r="VO64"/>
      <c r="VP64"/>
      <c r="VQ64"/>
      <c r="VR64"/>
      <c r="VS64"/>
      <c r="VT64"/>
      <c r="VU64"/>
      <c r="VV64"/>
      <c r="VW64"/>
      <c r="VX64"/>
      <c r="VY64"/>
      <c r="VZ64"/>
      <c r="WA64"/>
      <c r="WB64"/>
      <c r="WC64"/>
      <c r="WD64"/>
      <c r="WE64"/>
      <c r="WF64"/>
      <c r="WG64"/>
      <c r="WH64"/>
      <c r="WI64"/>
      <c r="WJ64"/>
      <c r="WK64"/>
      <c r="WL64"/>
      <c r="WM64"/>
      <c r="WN64"/>
      <c r="WO64"/>
      <c r="WP64"/>
      <c r="WQ64"/>
      <c r="WR64"/>
      <c r="WS64"/>
      <c r="WT64"/>
      <c r="WU64"/>
      <c r="WV64"/>
      <c r="WW64"/>
      <c r="WX64"/>
      <c r="WY64"/>
      <c r="WZ64"/>
      <c r="XA64"/>
      <c r="XB64"/>
      <c r="XC64"/>
      <c r="XD64"/>
      <c r="XE64"/>
      <c r="XF64"/>
      <c r="XG64"/>
      <c r="XH64"/>
      <c r="XI64"/>
      <c r="XJ64"/>
      <c r="XK64"/>
      <c r="XL64"/>
      <c r="XM64"/>
      <c r="XN64"/>
      <c r="XO64"/>
      <c r="XP64"/>
      <c r="XQ64"/>
      <c r="XR64"/>
      <c r="XS64"/>
      <c r="XT64"/>
      <c r="XU64"/>
      <c r="XV64"/>
      <c r="XW64"/>
      <c r="XX64"/>
      <c r="XY64"/>
      <c r="XZ64"/>
      <c r="YA64"/>
      <c r="YB64"/>
      <c r="YC64"/>
      <c r="YD64"/>
      <c r="YE64"/>
      <c r="YF64"/>
      <c r="YG64"/>
      <c r="YH64"/>
      <c r="YI64"/>
      <c r="YJ64"/>
      <c r="YK64"/>
      <c r="YL64"/>
      <c r="YM64"/>
      <c r="YN64"/>
      <c r="YO64"/>
      <c r="YP64"/>
      <c r="YQ64"/>
      <c r="YR64"/>
      <c r="YS64"/>
      <c r="YT64"/>
      <c r="YU64"/>
      <c r="YV64"/>
      <c r="YW64"/>
      <c r="YX64"/>
      <c r="YY64"/>
      <c r="YZ64"/>
      <c r="ZA64"/>
      <c r="ZB64"/>
      <c r="ZC64"/>
      <c r="ZD64"/>
      <c r="ZE64"/>
      <c r="ZF64"/>
      <c r="ZG64"/>
      <c r="ZH64"/>
      <c r="ZI64"/>
      <c r="ZJ64"/>
      <c r="ZK64"/>
      <c r="ZL64"/>
      <c r="ZM64"/>
      <c r="ZN64"/>
      <c r="ZO64"/>
      <c r="ZP64"/>
      <c r="ZQ64"/>
      <c r="ZR64"/>
      <c r="ZS64"/>
      <c r="ZT64"/>
      <c r="ZU64"/>
      <c r="ZV64"/>
      <c r="ZW64"/>
      <c r="ZX64"/>
      <c r="ZY64"/>
      <c r="ZZ64"/>
      <c r="AAA64"/>
      <c r="AAB64"/>
      <c r="AAC64"/>
      <c r="AAD64"/>
      <c r="AAE64"/>
      <c r="AAF64"/>
      <c r="AAG64"/>
      <c r="AAH64"/>
      <c r="AAI64"/>
      <c r="AAJ64"/>
      <c r="AAK64"/>
      <c r="AAL64"/>
      <c r="AAM64"/>
      <c r="AAN64"/>
      <c r="AAO64"/>
      <c r="AAP64"/>
      <c r="AAQ64"/>
      <c r="AAR64"/>
      <c r="AAS64"/>
      <c r="AAT64"/>
      <c r="AAU64"/>
      <c r="AAV64"/>
      <c r="AAW64"/>
      <c r="AAX64"/>
      <c r="AAY64"/>
      <c r="AAZ64"/>
      <c r="ABA64"/>
      <c r="ABB64"/>
      <c r="ABC64"/>
      <c r="ABD64"/>
      <c r="ABE64"/>
      <c r="ABF64"/>
      <c r="ABG64"/>
      <c r="ABH64"/>
      <c r="ABI64"/>
      <c r="ABJ64"/>
      <c r="ABK64"/>
      <c r="ABL64"/>
      <c r="ABM64"/>
      <c r="ABN64"/>
      <c r="ABO64"/>
      <c r="ABP64"/>
      <c r="ABQ64"/>
      <c r="ABR64"/>
      <c r="ABS64"/>
      <c r="ABT64"/>
      <c r="ABU64"/>
      <c r="ABV64"/>
      <c r="ABW64"/>
      <c r="ABX64"/>
      <c r="ABY64"/>
      <c r="ABZ64"/>
      <c r="ACA64"/>
      <c r="ACB64"/>
      <c r="ACC64"/>
      <c r="ACD64"/>
      <c r="ACE64"/>
      <c r="ACF64"/>
      <c r="ACG64"/>
      <c r="ACH64"/>
      <c r="ACI64"/>
      <c r="ACJ64"/>
      <c r="ACK64"/>
      <c r="ACL64"/>
      <c r="ACM64"/>
      <c r="ACN64"/>
      <c r="ACO64"/>
      <c r="ACP64"/>
      <c r="ACQ64"/>
      <c r="ACR64"/>
      <c r="ACS64"/>
      <c r="ACT64"/>
      <c r="ACU64"/>
      <c r="ACV64"/>
      <c r="ACW64"/>
      <c r="ACX64"/>
      <c r="ACY64"/>
      <c r="ACZ64"/>
      <c r="ADA64"/>
      <c r="ADB64"/>
      <c r="ADC64"/>
      <c r="ADD64"/>
      <c r="ADE64"/>
      <c r="ADF64"/>
      <c r="ADG64"/>
      <c r="ADH64"/>
      <c r="ADI64"/>
      <c r="ADJ64"/>
      <c r="ADK64"/>
      <c r="ADL64"/>
      <c r="ADM64"/>
      <c r="ADN64"/>
      <c r="ADO64"/>
      <c r="ADP64"/>
      <c r="ADQ64"/>
      <c r="ADR64"/>
      <c r="ADS64"/>
      <c r="ADT64"/>
      <c r="ADU64"/>
      <c r="ADV64"/>
      <c r="ADW64"/>
      <c r="ADX64"/>
      <c r="ADY64"/>
      <c r="ADZ64"/>
      <c r="AEA64"/>
      <c r="AEB64"/>
      <c r="AEC64"/>
      <c r="AED64"/>
      <c r="AEE64"/>
      <c r="AEF64"/>
      <c r="AEG64"/>
      <c r="AEH64"/>
      <c r="AEI64"/>
      <c r="AEJ64"/>
      <c r="AEK64"/>
      <c r="AEL64"/>
      <c r="AEM64"/>
      <c r="AEN64"/>
      <c r="AEO64"/>
      <c r="AEP64"/>
      <c r="AEQ64"/>
      <c r="AER64"/>
      <c r="AES64"/>
      <c r="AET64"/>
      <c r="AEU64"/>
      <c r="AEV64"/>
      <c r="AEW64"/>
      <c r="AEX64"/>
      <c r="AEY64"/>
      <c r="AEZ64"/>
      <c r="AFA64"/>
      <c r="AFB64"/>
      <c r="AFC64"/>
      <c r="AFD64"/>
      <c r="AFE64"/>
      <c r="AFF64"/>
      <c r="AFG64"/>
      <c r="AFH64"/>
      <c r="AFI64"/>
      <c r="AFJ64"/>
      <c r="AFK64"/>
      <c r="AFL64"/>
      <c r="AFM64"/>
      <c r="AFN64"/>
      <c r="AFO64"/>
      <c r="AFP64"/>
      <c r="AFQ64"/>
      <c r="AFR64"/>
      <c r="AFS64"/>
      <c r="AFT64"/>
      <c r="AFU64"/>
      <c r="AFV64"/>
      <c r="AFW64"/>
      <c r="AFX64"/>
      <c r="AFY64"/>
      <c r="AFZ64"/>
      <c r="AGA64"/>
      <c r="AGB64"/>
      <c r="AGC64"/>
      <c r="AGD64"/>
      <c r="AGE64"/>
      <c r="AGF64"/>
      <c r="AGG64"/>
      <c r="AGH64"/>
      <c r="AGI64"/>
      <c r="AGJ64"/>
      <c r="AGK64"/>
      <c r="AGL64"/>
      <c r="AGM64"/>
      <c r="AGN64"/>
      <c r="AGO64"/>
      <c r="AGP64"/>
      <c r="AGQ64"/>
      <c r="AGR64"/>
      <c r="AGS64"/>
      <c r="AGT64"/>
      <c r="AGU64"/>
      <c r="AGV64"/>
      <c r="AGW64"/>
      <c r="AGX64"/>
      <c r="AGY64"/>
      <c r="AGZ64"/>
      <c r="AHA64"/>
      <c r="AHB64"/>
      <c r="AHC64"/>
      <c r="AHD64"/>
      <c r="AHE64"/>
      <c r="AHF64"/>
      <c r="AHG64"/>
      <c r="AHH64"/>
      <c r="AHI64"/>
      <c r="AHJ64"/>
      <c r="AHK64"/>
      <c r="AHL64"/>
      <c r="AHM64"/>
      <c r="AHN64"/>
      <c r="AHO64"/>
      <c r="AHP64"/>
      <c r="AHQ64"/>
      <c r="AHR64"/>
      <c r="AHS64"/>
      <c r="AHT64"/>
      <c r="AHU64"/>
      <c r="AHV64"/>
      <c r="AHW64"/>
      <c r="AHX64"/>
      <c r="AHY64"/>
      <c r="AHZ64"/>
      <c r="AIA64"/>
      <c r="AIB64"/>
      <c r="AIC64"/>
      <c r="AID64"/>
      <c r="AIE64"/>
      <c r="AIF64"/>
      <c r="AIG64"/>
      <c r="AIH64"/>
      <c r="AII64"/>
      <c r="AIJ64"/>
      <c r="AIK64"/>
      <c r="AIL64"/>
      <c r="AIM64"/>
      <c r="AIN64"/>
      <c r="AIO64"/>
      <c r="AIP64"/>
      <c r="AIQ64"/>
      <c r="AIR64"/>
      <c r="AIS64"/>
      <c r="AIT64"/>
      <c r="AIU64"/>
      <c r="AIV64"/>
      <c r="AIW64"/>
      <c r="AIX64"/>
      <c r="AIY64"/>
      <c r="AIZ64"/>
      <c r="AJA64"/>
      <c r="AJB64"/>
      <c r="AJC64"/>
      <c r="AJD64"/>
      <c r="AJE64"/>
      <c r="AJF64"/>
      <c r="AJG64"/>
      <c r="AJH64"/>
      <c r="AJI64"/>
      <c r="AJJ64"/>
      <c r="AJK64"/>
      <c r="AJL64"/>
      <c r="AJM64"/>
      <c r="AJN64"/>
      <c r="AJO64"/>
      <c r="AJP64"/>
      <c r="AJQ64"/>
      <c r="AJR64"/>
      <c r="AJS64"/>
      <c r="AJT64"/>
      <c r="AJU64"/>
      <c r="AJV64"/>
      <c r="AJW64"/>
      <c r="AJX64"/>
      <c r="AJY64"/>
      <c r="AJZ64"/>
      <c r="AKA64"/>
      <c r="AKB64"/>
      <c r="AKC64"/>
      <c r="AKD64"/>
      <c r="AKE64"/>
      <c r="AKF64"/>
      <c r="AKG64"/>
      <c r="AKH64"/>
      <c r="AKI64"/>
      <c r="AKJ64"/>
      <c r="AKK64"/>
      <c r="AKL64"/>
      <c r="AKM64"/>
      <c r="AKN64"/>
      <c r="AKO64"/>
      <c r="AKP64"/>
      <c r="AKQ64"/>
      <c r="AKR64"/>
      <c r="AKS64"/>
      <c r="AKT64"/>
      <c r="AKU64"/>
      <c r="AKV64"/>
      <c r="AKW64"/>
      <c r="AKX64"/>
      <c r="AKY64"/>
      <c r="AKZ64"/>
      <c r="ALA64"/>
      <c r="ALB64"/>
      <c r="ALC64"/>
      <c r="ALD64"/>
      <c r="ALE64"/>
      <c r="ALF64"/>
      <c r="ALG64"/>
      <c r="ALH64"/>
      <c r="ALI64"/>
      <c r="ALJ64"/>
      <c r="ALK64"/>
      <c r="ALL64"/>
      <c r="ALM64"/>
      <c r="ALN64"/>
      <c r="ALO64"/>
      <c r="ALP64"/>
      <c r="ALQ64"/>
      <c r="ALR64"/>
      <c r="ALS64"/>
      <c r="ALT64"/>
      <c r="ALU64"/>
      <c r="ALV64"/>
      <c r="ALW64"/>
      <c r="ALX64"/>
      <c r="ALY64"/>
      <c r="ALZ64"/>
      <c r="AMA64"/>
      <c r="AMB64"/>
      <c r="AMC64"/>
      <c r="AMD64"/>
      <c r="AME64"/>
      <c r="AMF64"/>
      <c r="AMG64"/>
      <c r="AMH64"/>
      <c r="AMI64"/>
      <c r="AMJ64"/>
      <c r="AMK64"/>
      <c r="AML64"/>
      <c r="AMM64"/>
      <c r="AMN64"/>
      <c r="AMO64"/>
      <c r="AMP64"/>
      <c r="AMQ64"/>
      <c r="AMR64"/>
      <c r="AMS64"/>
      <c r="AMT64"/>
      <c r="AMU64"/>
      <c r="AMV64"/>
      <c r="AMW64"/>
      <c r="AMX64"/>
      <c r="AMY64"/>
      <c r="AMZ64"/>
      <c r="ANA64"/>
      <c r="ANB64"/>
      <c r="ANC64"/>
      <c r="AND64"/>
      <c r="ANE64"/>
      <c r="ANF64"/>
      <c r="ANG64"/>
      <c r="ANH64"/>
      <c r="ANI64"/>
      <c r="ANJ64"/>
      <c r="ANK64"/>
      <c r="ANL64"/>
      <c r="ANM64"/>
      <c r="ANN64"/>
      <c r="ANO64"/>
      <c r="ANP64"/>
      <c r="ANQ64"/>
      <c r="ANR64"/>
      <c r="ANS64"/>
      <c r="ANT64"/>
      <c r="ANU64"/>
      <c r="ANV64"/>
      <c r="ANW64"/>
      <c r="ANX64"/>
      <c r="ANY64"/>
      <c r="ANZ64"/>
      <c r="AOA64"/>
      <c r="AOB64"/>
      <c r="AOC64"/>
      <c r="AOD64"/>
      <c r="AOE64"/>
      <c r="AOF64"/>
      <c r="AOG64"/>
      <c r="AOH64"/>
      <c r="AOI64"/>
      <c r="AOJ64"/>
      <c r="AOK64"/>
      <c r="AOL64"/>
      <c r="AOM64"/>
      <c r="AON64"/>
      <c r="AOO64"/>
      <c r="AOP64"/>
      <c r="AOQ64"/>
      <c r="AOR64"/>
      <c r="AOS64"/>
      <c r="AOT64"/>
      <c r="AOU64"/>
      <c r="AOV64"/>
      <c r="AOW64"/>
      <c r="AOX64"/>
      <c r="AOY64"/>
      <c r="AOZ64"/>
      <c r="APA64"/>
      <c r="APB64"/>
      <c r="APC64"/>
      <c r="APD64"/>
      <c r="APE64"/>
      <c r="APF64"/>
      <c r="APG64"/>
      <c r="APH64"/>
      <c r="API64"/>
      <c r="APJ64"/>
      <c r="APK64"/>
      <c r="APL64"/>
      <c r="APM64"/>
      <c r="APN64"/>
      <c r="APO64"/>
      <c r="APP64"/>
      <c r="APQ64"/>
      <c r="APR64"/>
      <c r="APS64"/>
      <c r="APT64"/>
      <c r="APU64"/>
      <c r="APV64"/>
      <c r="APW64"/>
      <c r="APX64"/>
      <c r="APY64"/>
      <c r="APZ64"/>
      <c r="AQA64"/>
      <c r="AQB64"/>
      <c r="AQC64"/>
      <c r="AQD64"/>
      <c r="AQE64"/>
      <c r="AQF64"/>
      <c r="AQG64"/>
      <c r="AQH64"/>
      <c r="AQI64"/>
      <c r="AQJ64"/>
      <c r="AQK64"/>
      <c r="AQL64"/>
      <c r="AQM64"/>
      <c r="AQN64"/>
      <c r="AQO64"/>
      <c r="AQP64"/>
      <c r="AQQ64"/>
      <c r="AQR64"/>
      <c r="AQS64"/>
      <c r="AQT64"/>
      <c r="AQU64"/>
      <c r="AQV64"/>
      <c r="AQW64"/>
      <c r="AQX64"/>
      <c r="AQY64"/>
      <c r="AQZ64"/>
      <c r="ARA64"/>
      <c r="ARB64"/>
      <c r="ARC64"/>
      <c r="ARD64"/>
      <c r="ARE64"/>
      <c r="ARF64"/>
      <c r="ARG64"/>
      <c r="ARH64"/>
      <c r="ARI64"/>
      <c r="ARJ64"/>
      <c r="ARK64"/>
      <c r="ARL64"/>
      <c r="ARM64"/>
      <c r="ARN64"/>
      <c r="ARO64"/>
      <c r="ARP64"/>
      <c r="ARQ64"/>
      <c r="ARR64"/>
      <c r="ARS64"/>
      <c r="ART64"/>
      <c r="ARU64"/>
      <c r="ARV64"/>
      <c r="ARW64"/>
      <c r="ARX64"/>
      <c r="ARY64"/>
      <c r="ARZ64"/>
      <c r="ASA64"/>
      <c r="ASB64"/>
      <c r="ASC64"/>
      <c r="ASD64"/>
      <c r="ASE64"/>
      <c r="ASF64"/>
      <c r="ASG64"/>
      <c r="ASH64"/>
      <c r="ASI64"/>
      <c r="ASJ64"/>
      <c r="ASK64"/>
      <c r="ASL64"/>
      <c r="ASM64"/>
      <c r="ASN64"/>
      <c r="ASO64"/>
      <c r="ASP64"/>
      <c r="ASQ64"/>
      <c r="ASR64"/>
      <c r="ASS64"/>
      <c r="AST64"/>
      <c r="ASU64"/>
      <c r="ASV64"/>
      <c r="ASW64"/>
      <c r="ASX64"/>
      <c r="ASY64"/>
      <c r="ASZ64"/>
      <c r="ATA64"/>
      <c r="ATB64"/>
      <c r="ATC64"/>
      <c r="ATD64"/>
      <c r="ATE64"/>
      <c r="ATF64"/>
      <c r="ATG64"/>
      <c r="ATH64"/>
      <c r="ATI64"/>
      <c r="ATJ64"/>
      <c r="ATK64"/>
      <c r="ATL64"/>
      <c r="ATM64"/>
      <c r="ATN64"/>
      <c r="ATO64"/>
      <c r="ATP64"/>
      <c r="ATQ64"/>
      <c r="ATR64"/>
      <c r="ATS64"/>
      <c r="ATT64"/>
      <c r="ATU64"/>
      <c r="ATV64"/>
      <c r="ATW64"/>
      <c r="ATX64"/>
      <c r="ATY64"/>
      <c r="ATZ64"/>
      <c r="AUA64"/>
      <c r="AUB64"/>
      <c r="AUC64"/>
      <c r="AUD64"/>
      <c r="AUE64"/>
      <c r="AUF64"/>
      <c r="AUG64"/>
      <c r="AUH64"/>
      <c r="AUI64"/>
      <c r="AUJ64"/>
      <c r="AUK64"/>
      <c r="AUL64"/>
      <c r="AUM64"/>
      <c r="AUN64"/>
      <c r="AUO64"/>
      <c r="AUP64"/>
      <c r="AUQ64"/>
      <c r="AUR64"/>
      <c r="AUS64"/>
      <c r="AUT64"/>
      <c r="AUU64"/>
      <c r="AUV64"/>
      <c r="AUW64"/>
      <c r="AUX64"/>
      <c r="AUY64"/>
      <c r="AUZ64"/>
      <c r="AVA64"/>
      <c r="AVB64"/>
      <c r="AVC64"/>
      <c r="AVD64"/>
      <c r="AVE64"/>
      <c r="AVF64"/>
      <c r="AVG64"/>
      <c r="AVH64"/>
      <c r="AVI64"/>
      <c r="AVJ64"/>
      <c r="AVK64"/>
      <c r="AVL64"/>
      <c r="AVM64"/>
      <c r="AVN64"/>
      <c r="AVO64"/>
      <c r="AVP64"/>
      <c r="AVQ64"/>
      <c r="AVR64"/>
      <c r="AVS64"/>
      <c r="AVT64"/>
      <c r="AVU64"/>
      <c r="AVV64"/>
      <c r="AVW64"/>
      <c r="AVX64"/>
      <c r="AVY64"/>
      <c r="AVZ64"/>
      <c r="AWA64"/>
      <c r="AWB64"/>
      <c r="AWC64"/>
      <c r="AWD64"/>
      <c r="AWE64"/>
      <c r="AWF64"/>
      <c r="AWG64"/>
      <c r="AWH64"/>
      <c r="AWI64"/>
      <c r="AWJ64"/>
      <c r="AWK64"/>
      <c r="AWL64"/>
      <c r="AWM64"/>
      <c r="AWN64"/>
      <c r="AWO64"/>
      <c r="AWP64"/>
      <c r="AWQ64"/>
      <c r="AWR64"/>
      <c r="AWS64"/>
      <c r="AWT64"/>
      <c r="AWU64"/>
      <c r="AWV64"/>
      <c r="AWW64"/>
      <c r="AWX64"/>
      <c r="AWY64"/>
      <c r="AWZ64"/>
      <c r="AXA64"/>
      <c r="AXB64"/>
      <c r="AXC64"/>
      <c r="AXD64"/>
      <c r="AXE64"/>
      <c r="AXF64"/>
      <c r="AXG64"/>
      <c r="AXH64"/>
      <c r="AXI64"/>
      <c r="AXJ64"/>
      <c r="AXK64"/>
      <c r="AXL64"/>
      <c r="AXM64"/>
      <c r="AXN64"/>
      <c r="AXO64"/>
      <c r="AXP64"/>
      <c r="AXQ64"/>
      <c r="AXR64"/>
      <c r="AXS64"/>
      <c r="AXT64"/>
      <c r="AXU64"/>
      <c r="AXV64"/>
      <c r="AXW64"/>
      <c r="AXX64"/>
      <c r="AXY64"/>
      <c r="AXZ64"/>
      <c r="AYA64"/>
      <c r="AYB64"/>
      <c r="AYC64"/>
      <c r="AYD64"/>
      <c r="AYE64"/>
      <c r="AYF64"/>
      <c r="AYG64"/>
      <c r="AYH64"/>
      <c r="AYI64"/>
      <c r="AYJ64"/>
      <c r="AYK64"/>
      <c r="AYL64"/>
      <c r="AYM64"/>
      <c r="AYN64"/>
      <c r="AYO64"/>
      <c r="AYP64"/>
      <c r="AYQ64"/>
      <c r="AYR64"/>
      <c r="AYS64"/>
      <c r="AYT64"/>
      <c r="AYU64"/>
      <c r="AYV64"/>
      <c r="AYW64"/>
      <c r="AYX64"/>
      <c r="AYY64"/>
      <c r="AYZ64"/>
      <c r="AZA64"/>
      <c r="AZB64"/>
      <c r="AZC64"/>
      <c r="AZD64"/>
      <c r="AZE64"/>
      <c r="AZF64"/>
      <c r="AZG64"/>
      <c r="AZH64"/>
      <c r="AZI64"/>
      <c r="AZJ64"/>
      <c r="AZK64"/>
      <c r="AZL64"/>
      <c r="AZM64"/>
      <c r="AZN64"/>
      <c r="AZO64"/>
      <c r="AZP64"/>
      <c r="AZQ64"/>
      <c r="AZR64"/>
      <c r="AZS64"/>
      <c r="AZT64"/>
      <c r="AZU64"/>
      <c r="AZV64"/>
      <c r="AZW64"/>
      <c r="AZX64"/>
      <c r="AZY64"/>
      <c r="AZZ64"/>
      <c r="BAA64"/>
      <c r="BAB64"/>
      <c r="BAC64"/>
      <c r="BAD64"/>
      <c r="BAE64"/>
      <c r="BAF64"/>
      <c r="BAG64"/>
      <c r="BAH64"/>
      <c r="BAI64"/>
      <c r="BAJ64"/>
      <c r="BAK64"/>
      <c r="BAL64"/>
      <c r="BAM64"/>
      <c r="BAN64"/>
      <c r="BAO64"/>
      <c r="BAP64"/>
      <c r="BAQ64"/>
      <c r="BAR64"/>
      <c r="BAS64"/>
      <c r="BAT64"/>
      <c r="BAU64"/>
      <c r="BAV64"/>
      <c r="BAW64"/>
      <c r="BAX64"/>
      <c r="BAY64"/>
      <c r="BAZ64"/>
      <c r="BBA64"/>
      <c r="BBB64"/>
      <c r="BBC64"/>
      <c r="BBD64"/>
      <c r="BBE64"/>
      <c r="BBF64"/>
      <c r="BBG64"/>
      <c r="BBH64"/>
      <c r="BBI64"/>
      <c r="BBJ64"/>
      <c r="BBK64"/>
      <c r="BBL64"/>
      <c r="BBM64"/>
      <c r="BBN64"/>
      <c r="BBO64"/>
      <c r="BBP64"/>
      <c r="BBQ64"/>
      <c r="BBR64"/>
      <c r="BBS64"/>
      <c r="BBT64"/>
      <c r="BBU64"/>
      <c r="BBV64"/>
      <c r="BBW64"/>
      <c r="BBX64"/>
      <c r="BBY64"/>
      <c r="BBZ64"/>
      <c r="BCA64"/>
      <c r="BCB64"/>
      <c r="BCC64"/>
      <c r="BCD64"/>
      <c r="BCE64"/>
      <c r="BCF64"/>
      <c r="BCG64"/>
      <c r="BCH64"/>
      <c r="BCI64"/>
      <c r="BCJ64"/>
      <c r="BCK64"/>
      <c r="BCL64"/>
      <c r="BCM64"/>
      <c r="BCN64"/>
      <c r="BCO64"/>
      <c r="BCP64"/>
      <c r="BCQ64"/>
      <c r="BCR64"/>
      <c r="BCS64"/>
      <c r="BCT64"/>
      <c r="BCU64"/>
      <c r="BCV64"/>
      <c r="BCW64"/>
      <c r="BCX64"/>
      <c r="BCY64"/>
      <c r="BCZ64"/>
      <c r="BDA64"/>
      <c r="BDB64"/>
      <c r="BDC64"/>
      <c r="BDD64"/>
      <c r="BDE64"/>
      <c r="BDF64"/>
      <c r="BDG64"/>
      <c r="BDH64"/>
      <c r="BDI64"/>
      <c r="BDJ64"/>
      <c r="BDK64"/>
      <c r="BDL64"/>
      <c r="BDM64"/>
      <c r="BDN64"/>
      <c r="BDO64"/>
      <c r="BDP64"/>
      <c r="BDQ64"/>
      <c r="BDR64"/>
      <c r="BDS64"/>
      <c r="BDT64"/>
      <c r="BDU64"/>
      <c r="BDV64"/>
      <c r="BDW64"/>
      <c r="BDX64"/>
      <c r="BDY64"/>
      <c r="BDZ64"/>
      <c r="BEA64"/>
      <c r="BEB64"/>
      <c r="BEC64"/>
      <c r="BED64"/>
      <c r="BEE64"/>
      <c r="BEF64"/>
      <c r="BEG64"/>
      <c r="BEH64"/>
      <c r="BEI64"/>
      <c r="BEJ64"/>
      <c r="BEK64"/>
      <c r="BEL64"/>
      <c r="BEM64"/>
      <c r="BEN64"/>
      <c r="BEO64"/>
      <c r="BEP64"/>
      <c r="BEQ64"/>
      <c r="BER64"/>
      <c r="BES64"/>
      <c r="BET64"/>
      <c r="BEU64"/>
      <c r="BEV64"/>
      <c r="BEW64"/>
      <c r="BEX64"/>
      <c r="BEY64"/>
      <c r="BEZ64"/>
      <c r="BFA64"/>
      <c r="BFB64"/>
      <c r="BFC64"/>
      <c r="BFD64"/>
      <c r="BFE64"/>
      <c r="BFF64"/>
      <c r="BFG64"/>
      <c r="BFH64"/>
      <c r="BFI64"/>
      <c r="BFJ64"/>
      <c r="BFK64"/>
      <c r="BFL64"/>
      <c r="BFM64"/>
      <c r="BFN64"/>
      <c r="BFO64"/>
      <c r="BFP64"/>
      <c r="BFQ64"/>
      <c r="BFR64"/>
      <c r="BFS64"/>
      <c r="BFT64"/>
      <c r="BFU64"/>
      <c r="BFV64"/>
      <c r="BFW64"/>
      <c r="BFX64"/>
      <c r="BFY64"/>
      <c r="BFZ64"/>
      <c r="BGA64"/>
      <c r="BGB64"/>
      <c r="BGC64"/>
      <c r="BGD64"/>
      <c r="BGE64"/>
      <c r="BGF64"/>
      <c r="BGG64"/>
      <c r="BGH64"/>
      <c r="BGI64"/>
      <c r="BGJ64"/>
      <c r="BGK64"/>
      <c r="BGL64"/>
      <c r="BGM64"/>
      <c r="BGN64"/>
      <c r="BGO64"/>
      <c r="BGP64"/>
      <c r="BGQ64"/>
      <c r="BGR64"/>
      <c r="BGS64"/>
      <c r="BGT64"/>
      <c r="BGU64"/>
      <c r="BGV64"/>
      <c r="BGW64"/>
      <c r="BGX64"/>
      <c r="BGY64"/>
      <c r="BGZ64"/>
      <c r="BHA64"/>
      <c r="BHB64"/>
      <c r="BHC64"/>
      <c r="BHD64"/>
      <c r="BHE64"/>
      <c r="BHF64"/>
      <c r="BHG64"/>
      <c r="BHH64"/>
      <c r="BHI64"/>
      <c r="BHJ64"/>
      <c r="BHK64"/>
      <c r="BHL64"/>
      <c r="BHM64"/>
      <c r="BHN64"/>
      <c r="BHO64"/>
      <c r="BHP64"/>
      <c r="BHQ64"/>
      <c r="BHR64"/>
      <c r="BHS64"/>
      <c r="BHT64"/>
      <c r="BHU64"/>
      <c r="BHV64"/>
      <c r="BHW64"/>
      <c r="BHX64"/>
      <c r="BHY64"/>
      <c r="BHZ64"/>
      <c r="BIA64"/>
      <c r="BIB64"/>
      <c r="BIC64"/>
      <c r="BID64"/>
      <c r="BIE64"/>
      <c r="BIF64"/>
      <c r="BIG64"/>
      <c r="BIH64"/>
      <c r="BII64"/>
      <c r="BIJ64"/>
      <c r="BIK64"/>
      <c r="BIL64"/>
      <c r="BIM64"/>
      <c r="BIN64"/>
      <c r="BIO64"/>
      <c r="BIP64"/>
      <c r="BIQ64"/>
      <c r="BIR64"/>
      <c r="BIS64"/>
      <c r="BIT64"/>
      <c r="BIU64"/>
      <c r="BIV64"/>
      <c r="BIW64"/>
      <c r="BIX64"/>
      <c r="BIY64"/>
      <c r="BIZ64"/>
      <c r="BJA64"/>
      <c r="BJB64"/>
      <c r="BJC64"/>
      <c r="BJD64"/>
      <c r="BJE64"/>
      <c r="BJF64"/>
      <c r="BJG64"/>
      <c r="BJH64"/>
      <c r="BJI64"/>
      <c r="BJJ64"/>
      <c r="BJK64"/>
      <c r="BJL64"/>
      <c r="BJM64"/>
      <c r="BJN64"/>
      <c r="BJO64"/>
      <c r="BJP64"/>
      <c r="BJQ64"/>
      <c r="BJR64"/>
      <c r="BJS64"/>
      <c r="BJT64"/>
      <c r="BJU64"/>
      <c r="BJV64"/>
      <c r="BJW64"/>
      <c r="BJX64"/>
      <c r="BJY64"/>
      <c r="BJZ64"/>
      <c r="BKA64"/>
      <c r="BKB64"/>
      <c r="BKC64"/>
      <c r="BKD64"/>
      <c r="BKE64"/>
      <c r="BKF64"/>
      <c r="BKG64"/>
      <c r="BKH64"/>
      <c r="BKI64"/>
      <c r="BKJ64"/>
      <c r="BKK64"/>
      <c r="BKL64"/>
      <c r="BKM64"/>
      <c r="BKN64"/>
      <c r="BKO64"/>
      <c r="BKP64"/>
      <c r="BKQ64"/>
      <c r="BKR64"/>
      <c r="BKS64"/>
      <c r="BKT64"/>
      <c r="BKU64"/>
      <c r="BKV64"/>
      <c r="BKW64"/>
      <c r="BKX64"/>
      <c r="BKY64"/>
      <c r="BKZ64"/>
      <c r="BLA64"/>
      <c r="BLB64"/>
      <c r="BLC64"/>
      <c r="BLD64"/>
      <c r="BLE64"/>
      <c r="BLF64"/>
      <c r="BLG64"/>
      <c r="BLH64"/>
      <c r="BLI64"/>
      <c r="BLJ64"/>
      <c r="BLK64"/>
      <c r="BLL64"/>
      <c r="BLM64"/>
      <c r="BLN64"/>
      <c r="BLO64"/>
      <c r="BLP64"/>
      <c r="BLQ64"/>
      <c r="BLR64"/>
      <c r="BLS64"/>
      <c r="BLT64"/>
      <c r="BLU64"/>
      <c r="BLV64"/>
      <c r="BLW64"/>
      <c r="BLX64"/>
      <c r="BLY64"/>
      <c r="BLZ64"/>
      <c r="BMA64"/>
      <c r="BMB64"/>
      <c r="BMC64"/>
      <c r="BMD64"/>
      <c r="BME64"/>
      <c r="BMF64"/>
      <c r="BMG64"/>
      <c r="BMH64"/>
      <c r="BMI64"/>
      <c r="BMJ64"/>
      <c r="BMK64"/>
      <c r="BML64"/>
      <c r="BMM64"/>
      <c r="BMN64"/>
      <c r="BMO64"/>
      <c r="BMP64"/>
      <c r="BMQ64"/>
      <c r="BMR64"/>
      <c r="BMS64"/>
      <c r="BMT64"/>
      <c r="BMU64"/>
      <c r="BMV64"/>
      <c r="BMW64"/>
      <c r="BMX64"/>
      <c r="BMY64"/>
      <c r="BMZ64"/>
      <c r="BNA64"/>
      <c r="BNB64"/>
      <c r="BNC64"/>
      <c r="BND64"/>
      <c r="BNE64"/>
      <c r="BNF64"/>
      <c r="BNG64"/>
      <c r="BNH64"/>
      <c r="BNI64"/>
      <c r="BNJ64"/>
      <c r="BNK64"/>
      <c r="BNL64"/>
      <c r="BNM64"/>
      <c r="BNN64"/>
      <c r="BNO64"/>
      <c r="BNP64"/>
      <c r="BNQ64"/>
      <c r="BNR64"/>
      <c r="BNS64"/>
      <c r="BNT64"/>
      <c r="BNU64"/>
      <c r="BNV64"/>
      <c r="BNW64"/>
      <c r="BNX64"/>
      <c r="BNY64"/>
      <c r="BNZ64"/>
      <c r="BOA64"/>
      <c r="BOB64"/>
      <c r="BOC64"/>
      <c r="BOD64"/>
      <c r="BOE64"/>
      <c r="BOF64"/>
      <c r="BOG64"/>
      <c r="BOH64"/>
      <c r="BOI64"/>
      <c r="BOJ64"/>
      <c r="BOK64"/>
      <c r="BOL64"/>
      <c r="BOM64"/>
      <c r="BON64"/>
      <c r="BOO64"/>
      <c r="BOP64"/>
      <c r="BOQ64"/>
      <c r="BOR64"/>
      <c r="BOS64"/>
      <c r="BOT64"/>
      <c r="BOU64"/>
      <c r="BOV64"/>
      <c r="BOW64"/>
      <c r="BOX64"/>
      <c r="BOY64"/>
      <c r="BOZ64"/>
      <c r="BPA64"/>
      <c r="BPB64"/>
      <c r="BPC64"/>
      <c r="BPD64"/>
      <c r="BPE64"/>
      <c r="BPF64"/>
      <c r="BPG64"/>
      <c r="BPH64"/>
      <c r="BPI64"/>
      <c r="BPJ64"/>
      <c r="BPK64"/>
      <c r="BPL64"/>
      <c r="BPM64"/>
      <c r="BPN64"/>
      <c r="BPO64"/>
      <c r="BPP64"/>
      <c r="BPQ64"/>
      <c r="BPR64"/>
      <c r="BPS64"/>
      <c r="BPT64"/>
      <c r="BPU64"/>
      <c r="BPV64"/>
      <c r="BPW64"/>
      <c r="BPX64"/>
      <c r="BPY64"/>
      <c r="BPZ64"/>
      <c r="BQA64"/>
      <c r="BQB64"/>
      <c r="BQC64"/>
      <c r="BQD64"/>
      <c r="BQE64"/>
      <c r="BQF64"/>
      <c r="BQG64"/>
      <c r="BQH64"/>
      <c r="BQI64"/>
      <c r="BQJ64"/>
      <c r="BQK64"/>
      <c r="BQL64"/>
      <c r="BQM64"/>
      <c r="BQN64"/>
      <c r="BQO64"/>
      <c r="BQP64"/>
      <c r="BQQ64"/>
      <c r="BQR64"/>
      <c r="BQS64"/>
      <c r="BQT64"/>
      <c r="BQU64"/>
      <c r="BQV64"/>
      <c r="BQW64"/>
      <c r="BQX64"/>
      <c r="BQY64"/>
      <c r="BQZ64"/>
      <c r="BRA64"/>
      <c r="BRB64"/>
      <c r="BRC64"/>
      <c r="BRD64"/>
      <c r="BRE64"/>
      <c r="BRF64"/>
      <c r="BRG64"/>
      <c r="BRH64"/>
      <c r="BRI64"/>
      <c r="BRJ64"/>
      <c r="BRK64"/>
      <c r="BRL64"/>
      <c r="BRM64"/>
      <c r="BRN64"/>
      <c r="BRO64"/>
      <c r="BRP64"/>
      <c r="BRQ64"/>
      <c r="BRR64"/>
      <c r="BRS64"/>
      <c r="BRT64"/>
      <c r="BRU64"/>
      <c r="BRV64"/>
      <c r="BRW64"/>
      <c r="BRX64"/>
      <c r="BRY64"/>
      <c r="BRZ64"/>
      <c r="BSA64"/>
      <c r="BSB64"/>
      <c r="BSC64"/>
      <c r="BSD64"/>
      <c r="BSE64"/>
      <c r="BSF64"/>
      <c r="BSG64"/>
      <c r="BSH64"/>
      <c r="BSI64"/>
      <c r="BSJ64"/>
      <c r="BSK64"/>
      <c r="BSL64"/>
      <c r="BSM64"/>
      <c r="BSN64"/>
      <c r="BSO64"/>
      <c r="BSP64"/>
      <c r="BSQ64"/>
      <c r="BSR64"/>
      <c r="BSS64"/>
      <c r="BST64"/>
      <c r="BSU64"/>
      <c r="BSV64"/>
      <c r="BSW64"/>
      <c r="BSX64"/>
      <c r="BSY64"/>
      <c r="BSZ64"/>
      <c r="BTA64"/>
      <c r="BTB64"/>
      <c r="BTC64"/>
      <c r="BTD64"/>
      <c r="BTE64"/>
      <c r="BTF64"/>
      <c r="BTG64"/>
      <c r="BTH64"/>
      <c r="BTI64"/>
      <c r="BTJ64"/>
      <c r="BTK64"/>
      <c r="BTL64"/>
      <c r="BTM64"/>
      <c r="BTN64"/>
      <c r="BTO64"/>
      <c r="BTP64"/>
      <c r="BTQ64"/>
      <c r="BTR64"/>
      <c r="BTS64"/>
      <c r="BTT64"/>
      <c r="BTU64"/>
      <c r="BTV64"/>
      <c r="BTW64"/>
      <c r="BTX64"/>
      <c r="BTY64"/>
      <c r="BTZ64"/>
      <c r="BUA64"/>
      <c r="BUB64"/>
      <c r="BUC64"/>
      <c r="BUD64"/>
      <c r="BUE64"/>
      <c r="BUF64"/>
      <c r="BUG64"/>
      <c r="BUH64"/>
      <c r="BUI64"/>
      <c r="BUJ64"/>
      <c r="BUK64"/>
      <c r="BUL64"/>
      <c r="BUM64"/>
      <c r="BUN64"/>
      <c r="BUO64"/>
      <c r="BUP64"/>
      <c r="BUQ64"/>
      <c r="BUR64"/>
      <c r="BUS64"/>
      <c r="BUT64"/>
      <c r="BUU64"/>
      <c r="BUV64"/>
      <c r="BUW64"/>
      <c r="BUX64"/>
      <c r="BUY64"/>
      <c r="BUZ64"/>
      <c r="BVA64"/>
      <c r="BVB64"/>
      <c r="BVC64"/>
      <c r="BVD64"/>
      <c r="BVE64"/>
      <c r="BVF64"/>
      <c r="BVG64"/>
      <c r="BVH64"/>
      <c r="BVI64"/>
      <c r="BVJ64"/>
      <c r="BVK64"/>
      <c r="BVL64"/>
      <c r="BVM64"/>
      <c r="BVN64"/>
      <c r="BVO64"/>
      <c r="BVP64"/>
      <c r="BVQ64"/>
      <c r="BVR64"/>
      <c r="BVS64"/>
      <c r="BVT64"/>
      <c r="BVU64"/>
      <c r="BVV64"/>
      <c r="BVW64"/>
      <c r="BVX64"/>
      <c r="BVY64"/>
      <c r="BVZ64"/>
      <c r="BWA64"/>
      <c r="BWB64"/>
      <c r="BWC64"/>
      <c r="BWD64"/>
      <c r="BWE64"/>
      <c r="BWF64"/>
      <c r="BWG64"/>
      <c r="BWH64"/>
      <c r="BWI64"/>
      <c r="BWJ64"/>
      <c r="BWK64"/>
      <c r="BWL64"/>
      <c r="BWM64"/>
      <c r="BWN64"/>
      <c r="BWO64"/>
      <c r="BWP64"/>
      <c r="BWQ64"/>
      <c r="BWR64"/>
      <c r="BWS64"/>
      <c r="BWT64"/>
      <c r="BWU64"/>
      <c r="BWV64"/>
      <c r="BWW64"/>
      <c r="BWX64"/>
      <c r="BWY64"/>
      <c r="BWZ64"/>
      <c r="BXA64"/>
      <c r="BXB64"/>
      <c r="BXC64"/>
      <c r="BXD64"/>
      <c r="BXE64"/>
      <c r="BXF64"/>
      <c r="BXG64"/>
      <c r="BXH64"/>
      <c r="BXI64"/>
      <c r="BXJ64"/>
      <c r="BXK64"/>
      <c r="BXL64"/>
      <c r="BXM64"/>
      <c r="BXN64"/>
      <c r="BXO64"/>
      <c r="BXP64"/>
      <c r="BXQ64"/>
      <c r="BXR64"/>
      <c r="BXS64"/>
      <c r="BXT64"/>
      <c r="BXU64"/>
      <c r="BXV64"/>
      <c r="BXW64"/>
      <c r="BXX64"/>
      <c r="BXY64"/>
      <c r="BXZ64"/>
      <c r="BYA64"/>
      <c r="BYB64"/>
      <c r="BYC64"/>
      <c r="BYD64"/>
      <c r="BYE64"/>
      <c r="BYF64"/>
      <c r="BYG64"/>
      <c r="BYH64"/>
      <c r="BYI64"/>
      <c r="BYJ64"/>
      <c r="BYK64"/>
      <c r="BYL64"/>
      <c r="BYM64"/>
      <c r="BYN64"/>
      <c r="BYO64"/>
      <c r="BYP64"/>
      <c r="BYQ64"/>
      <c r="BYR64"/>
      <c r="BYS64"/>
      <c r="BYT64"/>
      <c r="BYU64"/>
      <c r="BYV64"/>
      <c r="BYW64"/>
      <c r="BYX64"/>
      <c r="BYY64"/>
      <c r="BYZ64"/>
      <c r="BZA64"/>
      <c r="BZB64"/>
      <c r="BZC64"/>
      <c r="BZD64"/>
      <c r="BZE64"/>
      <c r="BZF64"/>
      <c r="BZG64"/>
      <c r="BZH64"/>
      <c r="BZI64"/>
      <c r="BZJ64"/>
      <c r="BZK64"/>
      <c r="BZL64"/>
      <c r="BZM64"/>
      <c r="BZN64"/>
      <c r="BZO64"/>
      <c r="BZP64"/>
      <c r="BZQ64"/>
      <c r="BZR64"/>
      <c r="BZS64"/>
      <c r="BZT64"/>
      <c r="BZU64"/>
      <c r="BZV64"/>
      <c r="BZW64"/>
      <c r="BZX64"/>
      <c r="BZY64"/>
      <c r="BZZ64"/>
      <c r="CAA64"/>
      <c r="CAB64"/>
      <c r="CAC64"/>
      <c r="CAD64"/>
      <c r="CAE64"/>
      <c r="CAF64"/>
      <c r="CAG64"/>
      <c r="CAH64"/>
      <c r="CAI64"/>
      <c r="CAJ64"/>
      <c r="CAK64"/>
      <c r="CAL64"/>
      <c r="CAM64"/>
      <c r="CAN64"/>
      <c r="CAO64"/>
      <c r="CAP64"/>
      <c r="CAQ64"/>
      <c r="CAR64"/>
      <c r="CAS64"/>
      <c r="CAT64"/>
      <c r="CAU64"/>
      <c r="CAV64"/>
      <c r="CAW64"/>
      <c r="CAX64"/>
      <c r="CAY64"/>
      <c r="CAZ64"/>
      <c r="CBA64"/>
      <c r="CBB64"/>
      <c r="CBC64"/>
      <c r="CBD64"/>
      <c r="CBE64"/>
      <c r="CBF64"/>
      <c r="CBG64"/>
      <c r="CBH64"/>
      <c r="CBI64"/>
      <c r="CBJ64"/>
      <c r="CBK64"/>
      <c r="CBL64"/>
      <c r="CBM64"/>
      <c r="CBN64"/>
      <c r="CBO64"/>
      <c r="CBP64"/>
      <c r="CBQ64"/>
      <c r="CBR64"/>
      <c r="CBS64"/>
      <c r="CBT64"/>
      <c r="CBU64"/>
      <c r="CBV64"/>
      <c r="CBW64"/>
      <c r="CBX64"/>
      <c r="CBY64"/>
      <c r="CBZ64"/>
      <c r="CCA64"/>
      <c r="CCB64"/>
      <c r="CCC64"/>
      <c r="CCD64"/>
      <c r="CCE64"/>
      <c r="CCF64"/>
      <c r="CCG64"/>
      <c r="CCH64"/>
      <c r="CCI64"/>
      <c r="CCJ64"/>
      <c r="CCK64"/>
      <c r="CCL64"/>
      <c r="CCM64"/>
      <c r="CCN64"/>
      <c r="CCO64"/>
      <c r="CCP64"/>
      <c r="CCQ64"/>
      <c r="CCR64"/>
      <c r="CCS64"/>
      <c r="CCT64"/>
      <c r="CCU64"/>
      <c r="CCV64"/>
      <c r="CCW64"/>
      <c r="CCX64"/>
      <c r="CCY64"/>
      <c r="CCZ64"/>
      <c r="CDA64"/>
      <c r="CDB64"/>
      <c r="CDC64"/>
      <c r="CDD64"/>
      <c r="CDE64"/>
      <c r="CDF64"/>
      <c r="CDG64"/>
      <c r="CDH64"/>
      <c r="CDI64"/>
      <c r="CDJ64"/>
      <c r="CDK64"/>
      <c r="CDL64"/>
      <c r="CDM64"/>
      <c r="CDN64"/>
      <c r="CDO64"/>
      <c r="CDP64"/>
      <c r="CDQ64"/>
      <c r="CDR64"/>
      <c r="CDS64"/>
      <c r="CDT64"/>
      <c r="CDU64"/>
      <c r="CDV64"/>
      <c r="CDW64"/>
      <c r="CDX64"/>
      <c r="CDY64"/>
      <c r="CDZ64"/>
      <c r="CEA64"/>
      <c r="CEB64"/>
      <c r="CEC64"/>
      <c r="CED64"/>
      <c r="CEE64"/>
      <c r="CEF64"/>
      <c r="CEG64"/>
      <c r="CEH64"/>
      <c r="CEI64"/>
      <c r="CEJ64"/>
      <c r="CEK64"/>
      <c r="CEL64"/>
      <c r="CEM64"/>
      <c r="CEN64"/>
      <c r="CEO64"/>
      <c r="CEP64"/>
      <c r="CEQ64"/>
      <c r="CER64"/>
      <c r="CES64"/>
      <c r="CET64"/>
      <c r="CEU64"/>
      <c r="CEV64"/>
      <c r="CEW64"/>
      <c r="CEX64"/>
      <c r="CEY64"/>
      <c r="CEZ64"/>
      <c r="CFA64"/>
      <c r="CFB64"/>
      <c r="CFC64"/>
      <c r="CFD64"/>
      <c r="CFE64"/>
      <c r="CFF64"/>
      <c r="CFG64"/>
      <c r="CFH64"/>
      <c r="CFI64"/>
      <c r="CFJ64"/>
      <c r="CFK64"/>
      <c r="CFL64"/>
      <c r="CFM64"/>
      <c r="CFN64"/>
      <c r="CFO64"/>
      <c r="CFP64"/>
      <c r="CFQ64"/>
      <c r="CFR64"/>
      <c r="CFS64"/>
      <c r="CFT64"/>
      <c r="CFU64"/>
      <c r="CFV64"/>
      <c r="CFW64"/>
      <c r="CFX64"/>
      <c r="CFY64"/>
      <c r="CFZ64"/>
      <c r="CGA64"/>
      <c r="CGB64"/>
      <c r="CGC64"/>
      <c r="CGD64"/>
      <c r="CGE64"/>
      <c r="CGF64"/>
      <c r="CGG64"/>
      <c r="CGH64"/>
      <c r="CGI64"/>
      <c r="CGJ64"/>
      <c r="CGK64"/>
      <c r="CGL64"/>
      <c r="CGM64"/>
      <c r="CGN64"/>
      <c r="CGO64"/>
      <c r="CGP64"/>
      <c r="CGQ64"/>
      <c r="CGR64"/>
      <c r="CGS64"/>
      <c r="CGT64"/>
      <c r="CGU64"/>
      <c r="CGV64"/>
      <c r="CGW64"/>
      <c r="CGX64"/>
      <c r="CGY64"/>
      <c r="CGZ64"/>
      <c r="CHA64"/>
      <c r="CHB64"/>
      <c r="CHC64"/>
      <c r="CHD64"/>
      <c r="CHE64"/>
      <c r="CHF64"/>
      <c r="CHG64"/>
      <c r="CHH64"/>
      <c r="CHI64"/>
      <c r="CHJ64"/>
      <c r="CHK64"/>
      <c r="CHL64"/>
      <c r="CHM64"/>
      <c r="CHN64"/>
      <c r="CHO64"/>
      <c r="CHP64"/>
      <c r="CHQ64"/>
      <c r="CHR64"/>
      <c r="CHS64"/>
      <c r="CHT64"/>
      <c r="CHU64"/>
      <c r="CHV64"/>
      <c r="CHW64"/>
      <c r="CHX64"/>
      <c r="CHY64"/>
      <c r="CHZ64"/>
      <c r="CIA64"/>
      <c r="CIB64"/>
      <c r="CIC64"/>
      <c r="CID64"/>
      <c r="CIE64"/>
      <c r="CIF64"/>
      <c r="CIG64"/>
      <c r="CIH64"/>
      <c r="CII64"/>
      <c r="CIJ64"/>
      <c r="CIK64"/>
      <c r="CIL64"/>
      <c r="CIM64"/>
      <c r="CIN64"/>
      <c r="CIO64"/>
      <c r="CIP64"/>
      <c r="CIQ64"/>
      <c r="CIR64"/>
      <c r="CIS64"/>
      <c r="CIT64"/>
      <c r="CIU64"/>
      <c r="CIV64"/>
      <c r="CIW64"/>
      <c r="CIX64"/>
      <c r="CIY64"/>
      <c r="CIZ64"/>
      <c r="CJA64"/>
      <c r="CJB64"/>
      <c r="CJC64"/>
      <c r="CJD64"/>
      <c r="CJE64"/>
      <c r="CJF64"/>
      <c r="CJG64"/>
      <c r="CJH64"/>
      <c r="CJI64"/>
      <c r="CJJ64"/>
      <c r="CJK64"/>
      <c r="CJL64"/>
      <c r="CJM64"/>
      <c r="CJN64"/>
      <c r="CJO64"/>
      <c r="CJP64"/>
      <c r="CJQ64"/>
      <c r="CJR64"/>
      <c r="CJS64"/>
      <c r="CJT64"/>
      <c r="CJU64"/>
      <c r="CJV64"/>
      <c r="CJW64"/>
      <c r="CJX64"/>
      <c r="CJY64"/>
      <c r="CJZ64"/>
      <c r="CKA64"/>
      <c r="CKB64"/>
      <c r="CKC64"/>
      <c r="CKD64"/>
      <c r="CKE64"/>
      <c r="CKF64"/>
      <c r="CKG64"/>
      <c r="CKH64"/>
      <c r="CKI64"/>
      <c r="CKJ64"/>
      <c r="CKK64"/>
      <c r="CKL64"/>
      <c r="CKM64"/>
      <c r="CKN64"/>
      <c r="CKO64"/>
      <c r="CKP64"/>
      <c r="CKQ64"/>
      <c r="CKR64"/>
      <c r="CKS64"/>
      <c r="CKT64"/>
      <c r="CKU64"/>
      <c r="CKV64"/>
      <c r="CKW64"/>
      <c r="CKX64"/>
      <c r="CKY64"/>
      <c r="CKZ64"/>
      <c r="CLA64"/>
      <c r="CLB64"/>
      <c r="CLC64"/>
      <c r="CLD64"/>
      <c r="CLE64"/>
      <c r="CLF64"/>
      <c r="CLG64"/>
      <c r="CLH64"/>
      <c r="CLI64"/>
      <c r="CLJ64"/>
      <c r="CLK64"/>
      <c r="CLL64"/>
      <c r="CLM64"/>
      <c r="CLN64"/>
      <c r="CLO64"/>
      <c r="CLP64"/>
      <c r="CLQ64"/>
      <c r="CLR64"/>
      <c r="CLS64"/>
      <c r="CLT64"/>
      <c r="CLU64"/>
      <c r="CLV64"/>
      <c r="CLW64"/>
      <c r="CLX64"/>
      <c r="CLY64"/>
      <c r="CLZ64"/>
      <c r="CMA64"/>
      <c r="CMB64"/>
      <c r="CMC64"/>
      <c r="CMD64"/>
      <c r="CME64"/>
      <c r="CMF64"/>
      <c r="CMG64"/>
      <c r="CMH64"/>
      <c r="CMI64"/>
      <c r="CMJ64"/>
      <c r="CMK64"/>
      <c r="CML64"/>
      <c r="CMM64"/>
      <c r="CMN64"/>
      <c r="CMO64"/>
      <c r="CMP64"/>
      <c r="CMQ64"/>
      <c r="CMR64"/>
      <c r="CMS64"/>
      <c r="CMT64"/>
      <c r="CMU64"/>
      <c r="CMV64"/>
      <c r="CMW64"/>
      <c r="CMX64"/>
      <c r="CMY64"/>
      <c r="CMZ64"/>
      <c r="CNA64"/>
      <c r="CNB64"/>
      <c r="CNC64"/>
      <c r="CND64"/>
      <c r="CNE64"/>
      <c r="CNF64"/>
      <c r="CNG64"/>
      <c r="CNH64"/>
      <c r="CNI64"/>
      <c r="CNJ64"/>
      <c r="CNK64"/>
      <c r="CNL64"/>
      <c r="CNM64"/>
      <c r="CNN64"/>
      <c r="CNO64"/>
      <c r="CNP64"/>
      <c r="CNQ64"/>
      <c r="CNR64"/>
      <c r="CNS64"/>
      <c r="CNT64"/>
      <c r="CNU64"/>
      <c r="CNV64"/>
      <c r="CNW64"/>
      <c r="CNX64"/>
      <c r="CNY64"/>
      <c r="CNZ64"/>
      <c r="COA64"/>
      <c r="COB64"/>
      <c r="COC64"/>
      <c r="COD64"/>
      <c r="COE64"/>
      <c r="COF64"/>
      <c r="COG64"/>
      <c r="COH64"/>
      <c r="COI64"/>
      <c r="COJ64"/>
      <c r="COK64"/>
      <c r="COL64"/>
      <c r="COM64"/>
      <c r="CON64"/>
      <c r="COO64"/>
      <c r="COP64"/>
      <c r="COQ64"/>
      <c r="COR64"/>
      <c r="COS64"/>
      <c r="COT64"/>
      <c r="COU64"/>
      <c r="COV64"/>
      <c r="COW64"/>
      <c r="COX64"/>
      <c r="COY64"/>
      <c r="COZ64"/>
      <c r="CPA64"/>
      <c r="CPB64"/>
      <c r="CPC64"/>
      <c r="CPD64"/>
      <c r="CPE64"/>
      <c r="CPF64"/>
      <c r="CPG64"/>
      <c r="CPH64"/>
      <c r="CPI64"/>
      <c r="CPJ64"/>
      <c r="CPK64"/>
      <c r="CPL64"/>
      <c r="CPM64"/>
      <c r="CPN64"/>
      <c r="CPO64"/>
      <c r="CPP64"/>
      <c r="CPQ64"/>
      <c r="CPR64"/>
      <c r="CPS64"/>
      <c r="CPT64"/>
      <c r="CPU64"/>
      <c r="CPV64"/>
      <c r="CPW64"/>
      <c r="CPX64"/>
      <c r="CPY64"/>
      <c r="CPZ64"/>
      <c r="CQA64"/>
      <c r="CQB64"/>
      <c r="CQC64"/>
      <c r="CQD64"/>
      <c r="CQE64"/>
      <c r="CQF64"/>
      <c r="CQG64"/>
      <c r="CQH64"/>
      <c r="CQI64"/>
      <c r="CQJ64"/>
      <c r="CQK64"/>
      <c r="CQL64"/>
      <c r="CQM64"/>
      <c r="CQN64"/>
      <c r="CQO64"/>
      <c r="CQP64"/>
      <c r="CQQ64"/>
      <c r="CQR64"/>
      <c r="CQS64"/>
      <c r="CQT64"/>
      <c r="CQU64"/>
      <c r="CQV64"/>
      <c r="CQW64"/>
      <c r="CQX64"/>
      <c r="CQY64"/>
      <c r="CQZ64"/>
      <c r="CRA64"/>
      <c r="CRB64"/>
      <c r="CRC64"/>
      <c r="CRD64"/>
      <c r="CRE64"/>
      <c r="CRF64"/>
      <c r="CRG64"/>
      <c r="CRH64"/>
      <c r="CRI64"/>
      <c r="CRJ64"/>
      <c r="CRK64"/>
      <c r="CRL64"/>
      <c r="CRM64"/>
      <c r="CRN64"/>
      <c r="CRO64"/>
      <c r="CRP64"/>
      <c r="CRQ64"/>
      <c r="CRR64"/>
      <c r="CRS64"/>
      <c r="CRT64"/>
      <c r="CRU64"/>
      <c r="CRV64"/>
      <c r="CRW64"/>
      <c r="CRX64"/>
      <c r="CRY64"/>
      <c r="CRZ64"/>
      <c r="CSA64"/>
      <c r="CSB64"/>
      <c r="CSC64"/>
      <c r="CSD64"/>
      <c r="CSE64"/>
      <c r="CSF64"/>
      <c r="CSG64"/>
      <c r="CSH64"/>
      <c r="CSI64"/>
      <c r="CSJ64"/>
      <c r="CSK64"/>
      <c r="CSL64"/>
      <c r="CSM64"/>
      <c r="CSN64"/>
      <c r="CSO64"/>
      <c r="CSP64"/>
      <c r="CSQ64"/>
      <c r="CSR64"/>
      <c r="CSS64"/>
      <c r="CST64"/>
      <c r="CSU64"/>
      <c r="CSV64"/>
      <c r="CSW64"/>
      <c r="CSX64"/>
      <c r="CSY64"/>
      <c r="CSZ64"/>
      <c r="CTA64"/>
      <c r="CTB64"/>
      <c r="CTC64"/>
      <c r="CTD64"/>
      <c r="CTE64"/>
      <c r="CTF64"/>
      <c r="CTG64"/>
      <c r="CTH64"/>
      <c r="CTI64"/>
      <c r="CTJ64"/>
      <c r="CTK64"/>
      <c r="CTL64"/>
      <c r="CTM64"/>
      <c r="CTN64"/>
      <c r="CTO64"/>
      <c r="CTP64"/>
      <c r="CTQ64"/>
      <c r="CTR64"/>
      <c r="CTS64"/>
      <c r="CTT64"/>
      <c r="CTU64"/>
      <c r="CTV64"/>
      <c r="CTW64"/>
      <c r="CTX64"/>
      <c r="CTY64"/>
      <c r="CTZ64"/>
      <c r="CUA64"/>
      <c r="CUB64"/>
      <c r="CUC64"/>
      <c r="CUD64"/>
      <c r="CUE64"/>
      <c r="CUF64"/>
      <c r="CUG64"/>
      <c r="CUH64"/>
      <c r="CUI64"/>
      <c r="CUJ64"/>
      <c r="CUK64"/>
      <c r="CUL64"/>
      <c r="CUM64"/>
      <c r="CUN64"/>
      <c r="CUO64"/>
      <c r="CUP64"/>
      <c r="CUQ64"/>
      <c r="CUR64"/>
      <c r="CUS64"/>
      <c r="CUT64"/>
      <c r="CUU64"/>
      <c r="CUV64"/>
      <c r="CUW64"/>
      <c r="CUX64"/>
      <c r="CUY64"/>
      <c r="CUZ64"/>
      <c r="CVA64"/>
      <c r="CVB64"/>
      <c r="CVC64"/>
      <c r="CVD64"/>
      <c r="CVE64"/>
      <c r="CVF64"/>
      <c r="CVG64"/>
      <c r="CVH64"/>
      <c r="CVI64"/>
      <c r="CVJ64"/>
      <c r="CVK64"/>
      <c r="CVL64"/>
      <c r="CVM64"/>
      <c r="CVN64"/>
      <c r="CVO64"/>
      <c r="CVP64"/>
      <c r="CVQ64"/>
      <c r="CVR64"/>
      <c r="CVS64"/>
      <c r="CVT64"/>
      <c r="CVU64"/>
      <c r="CVV64"/>
      <c r="CVW64"/>
      <c r="CVX64"/>
      <c r="CVY64"/>
      <c r="CVZ64"/>
      <c r="CWA64"/>
      <c r="CWB64"/>
      <c r="CWC64"/>
      <c r="CWD64"/>
      <c r="CWE64"/>
      <c r="CWF64"/>
      <c r="CWG64"/>
      <c r="CWH64"/>
      <c r="CWI64"/>
      <c r="CWJ64"/>
      <c r="CWK64"/>
      <c r="CWL64"/>
      <c r="CWM64"/>
      <c r="CWN64"/>
      <c r="CWO64"/>
      <c r="CWP64"/>
      <c r="CWQ64"/>
      <c r="CWR64"/>
      <c r="CWS64"/>
      <c r="CWT64"/>
      <c r="CWU64"/>
      <c r="CWV64"/>
      <c r="CWW64"/>
      <c r="CWX64"/>
      <c r="CWY64"/>
      <c r="CWZ64"/>
      <c r="CXA64"/>
      <c r="CXB64"/>
      <c r="CXC64"/>
      <c r="CXD64"/>
      <c r="CXE64"/>
      <c r="CXF64"/>
      <c r="CXG64"/>
      <c r="CXH64"/>
      <c r="CXI64"/>
      <c r="CXJ64"/>
      <c r="CXK64"/>
      <c r="CXL64"/>
      <c r="CXM64"/>
      <c r="CXN64"/>
      <c r="CXO64"/>
      <c r="CXP64"/>
      <c r="CXQ64"/>
      <c r="CXR64"/>
      <c r="CXS64"/>
      <c r="CXT64"/>
      <c r="CXU64"/>
      <c r="CXV64"/>
      <c r="CXW64"/>
      <c r="CXX64"/>
      <c r="CXY64"/>
      <c r="CXZ64"/>
      <c r="CYA64"/>
      <c r="CYB64"/>
      <c r="CYC64"/>
      <c r="CYD64"/>
      <c r="CYE64"/>
      <c r="CYF64"/>
      <c r="CYG64"/>
      <c r="CYH64"/>
      <c r="CYI64"/>
      <c r="CYJ64"/>
      <c r="CYK64"/>
      <c r="CYL64"/>
      <c r="CYM64"/>
      <c r="CYN64"/>
      <c r="CYO64"/>
      <c r="CYP64"/>
      <c r="CYQ64"/>
      <c r="CYR64"/>
      <c r="CYS64"/>
      <c r="CYT64"/>
      <c r="CYU64"/>
      <c r="CYV64"/>
      <c r="CYW64"/>
      <c r="CYX64"/>
      <c r="CYY64"/>
      <c r="CYZ64"/>
      <c r="CZA64"/>
      <c r="CZB64"/>
      <c r="CZC64"/>
      <c r="CZD64"/>
      <c r="CZE64"/>
      <c r="CZF64"/>
      <c r="CZG64"/>
      <c r="CZH64"/>
      <c r="CZI64"/>
      <c r="CZJ64"/>
      <c r="CZK64"/>
      <c r="CZL64"/>
      <c r="CZM64"/>
      <c r="CZN64"/>
      <c r="CZO64"/>
      <c r="CZP64"/>
      <c r="CZQ64"/>
      <c r="CZR64"/>
      <c r="CZS64"/>
      <c r="CZT64"/>
      <c r="CZU64"/>
      <c r="CZV64"/>
      <c r="CZW64"/>
      <c r="CZX64"/>
      <c r="CZY64"/>
      <c r="CZZ64"/>
      <c r="DAA64"/>
      <c r="DAB64"/>
      <c r="DAC64"/>
      <c r="DAD64"/>
      <c r="DAE64"/>
      <c r="DAF64"/>
      <c r="DAG64"/>
      <c r="DAH64"/>
      <c r="DAI64"/>
      <c r="DAJ64"/>
      <c r="DAK64"/>
      <c r="DAL64"/>
      <c r="DAM64"/>
      <c r="DAN64"/>
      <c r="DAO64"/>
      <c r="DAP64"/>
      <c r="DAQ64"/>
      <c r="DAR64"/>
      <c r="DAS64"/>
      <c r="DAT64"/>
      <c r="DAU64"/>
      <c r="DAV64"/>
      <c r="DAW64"/>
      <c r="DAX64"/>
      <c r="DAY64"/>
      <c r="DAZ64"/>
      <c r="DBA64"/>
      <c r="DBB64"/>
      <c r="DBC64"/>
      <c r="DBD64"/>
      <c r="DBE64"/>
      <c r="DBF64"/>
      <c r="DBG64"/>
      <c r="DBH64"/>
      <c r="DBI64"/>
      <c r="DBJ64"/>
      <c r="DBK64"/>
      <c r="DBL64"/>
      <c r="DBM64"/>
      <c r="DBN64"/>
      <c r="DBO64"/>
      <c r="DBP64"/>
      <c r="DBQ64"/>
      <c r="DBR64"/>
      <c r="DBS64"/>
      <c r="DBT64"/>
      <c r="DBU64"/>
      <c r="DBV64"/>
      <c r="DBW64"/>
      <c r="DBX64"/>
      <c r="DBY64"/>
      <c r="DBZ64"/>
      <c r="DCA64"/>
      <c r="DCB64"/>
      <c r="DCC64"/>
      <c r="DCD64"/>
      <c r="DCE64"/>
      <c r="DCF64"/>
      <c r="DCG64"/>
      <c r="DCH64"/>
      <c r="DCI64"/>
      <c r="DCJ64"/>
      <c r="DCK64"/>
      <c r="DCL64"/>
      <c r="DCM64"/>
      <c r="DCN64"/>
      <c r="DCO64"/>
      <c r="DCP64"/>
      <c r="DCQ64"/>
      <c r="DCR64"/>
      <c r="DCS64"/>
      <c r="DCT64"/>
      <c r="DCU64"/>
      <c r="DCV64"/>
      <c r="DCW64"/>
      <c r="DCX64"/>
      <c r="DCY64"/>
      <c r="DCZ64"/>
      <c r="DDA64"/>
      <c r="DDB64"/>
      <c r="DDC64"/>
      <c r="DDD64"/>
      <c r="DDE64"/>
      <c r="DDF64"/>
      <c r="DDG64"/>
      <c r="DDH64"/>
      <c r="DDI64"/>
      <c r="DDJ64"/>
      <c r="DDK64"/>
      <c r="DDL64"/>
      <c r="DDM64"/>
      <c r="DDN64"/>
      <c r="DDO64"/>
      <c r="DDP64"/>
      <c r="DDQ64"/>
      <c r="DDR64"/>
      <c r="DDS64"/>
      <c r="DDT64"/>
      <c r="DDU64"/>
      <c r="DDV64"/>
      <c r="DDW64"/>
      <c r="DDX64"/>
      <c r="DDY64"/>
      <c r="DDZ64"/>
      <c r="DEA64"/>
      <c r="DEB64"/>
      <c r="DEC64"/>
      <c r="DED64"/>
      <c r="DEE64"/>
      <c r="DEF64"/>
      <c r="DEG64"/>
      <c r="DEH64"/>
      <c r="DEI64"/>
      <c r="DEJ64"/>
      <c r="DEK64"/>
      <c r="DEL64"/>
      <c r="DEM64"/>
      <c r="DEN64"/>
      <c r="DEO64"/>
      <c r="DEP64"/>
      <c r="DEQ64"/>
      <c r="DER64"/>
      <c r="DES64"/>
      <c r="DET64"/>
      <c r="DEU64"/>
      <c r="DEV64"/>
      <c r="DEW64"/>
      <c r="DEX64"/>
      <c r="DEY64"/>
      <c r="DEZ64"/>
      <c r="DFA64"/>
      <c r="DFB64"/>
      <c r="DFC64"/>
      <c r="DFD64"/>
      <c r="DFE64"/>
      <c r="DFF64"/>
      <c r="DFG64"/>
      <c r="DFH64"/>
      <c r="DFI64"/>
      <c r="DFJ64"/>
      <c r="DFK64"/>
      <c r="DFL64"/>
      <c r="DFM64"/>
      <c r="DFN64"/>
      <c r="DFO64"/>
      <c r="DFP64"/>
      <c r="DFQ64"/>
      <c r="DFR64"/>
      <c r="DFS64"/>
      <c r="DFT64"/>
      <c r="DFU64"/>
      <c r="DFV64"/>
      <c r="DFW64"/>
      <c r="DFX64"/>
      <c r="DFY64"/>
      <c r="DFZ64"/>
      <c r="DGA64"/>
      <c r="DGB64"/>
      <c r="DGC64"/>
      <c r="DGD64"/>
      <c r="DGE64"/>
      <c r="DGF64"/>
      <c r="DGG64"/>
      <c r="DGH64"/>
      <c r="DGI64"/>
      <c r="DGJ64"/>
      <c r="DGK64"/>
      <c r="DGL64"/>
      <c r="DGM64"/>
      <c r="DGN64"/>
      <c r="DGO64"/>
      <c r="DGP64"/>
      <c r="DGQ64"/>
      <c r="DGR64"/>
      <c r="DGS64"/>
      <c r="DGT64"/>
      <c r="DGU64"/>
      <c r="DGV64"/>
      <c r="DGW64"/>
      <c r="DGX64"/>
      <c r="DGY64"/>
      <c r="DGZ64"/>
      <c r="DHA64"/>
      <c r="DHB64"/>
      <c r="DHC64"/>
      <c r="DHD64"/>
      <c r="DHE64"/>
      <c r="DHF64"/>
      <c r="DHG64"/>
      <c r="DHH64"/>
      <c r="DHI64"/>
      <c r="DHJ64"/>
      <c r="DHK64"/>
      <c r="DHL64"/>
      <c r="DHM64"/>
      <c r="DHN64"/>
      <c r="DHO64"/>
      <c r="DHP64"/>
      <c r="DHQ64"/>
      <c r="DHR64"/>
      <c r="DHS64"/>
      <c r="DHT64"/>
      <c r="DHU64"/>
      <c r="DHV64"/>
      <c r="DHW64"/>
      <c r="DHX64"/>
      <c r="DHY64"/>
      <c r="DHZ64"/>
      <c r="DIA64"/>
      <c r="DIB64"/>
      <c r="DIC64"/>
      <c r="DID64"/>
      <c r="DIE64"/>
      <c r="DIF64"/>
      <c r="DIG64"/>
      <c r="DIH64"/>
      <c r="DII64"/>
      <c r="DIJ64"/>
      <c r="DIK64"/>
      <c r="DIL64"/>
      <c r="DIM64"/>
      <c r="DIN64"/>
      <c r="DIO64"/>
      <c r="DIP64"/>
      <c r="DIQ64"/>
      <c r="DIR64"/>
      <c r="DIS64"/>
      <c r="DIT64"/>
      <c r="DIU64"/>
      <c r="DIV64"/>
      <c r="DIW64"/>
      <c r="DIX64"/>
      <c r="DIY64"/>
      <c r="DIZ64"/>
      <c r="DJA64"/>
      <c r="DJB64"/>
      <c r="DJC64"/>
      <c r="DJD64"/>
      <c r="DJE64"/>
      <c r="DJF64"/>
      <c r="DJG64"/>
      <c r="DJH64"/>
      <c r="DJI64"/>
      <c r="DJJ64"/>
      <c r="DJK64"/>
      <c r="DJL64"/>
      <c r="DJM64"/>
      <c r="DJN64"/>
      <c r="DJO64"/>
      <c r="DJP64"/>
      <c r="DJQ64"/>
      <c r="DJR64"/>
      <c r="DJS64"/>
      <c r="DJT64"/>
      <c r="DJU64"/>
      <c r="DJV64"/>
      <c r="DJW64"/>
      <c r="DJX64"/>
      <c r="DJY64"/>
      <c r="DJZ64"/>
      <c r="DKA64"/>
      <c r="DKB64"/>
      <c r="DKC64"/>
      <c r="DKD64"/>
      <c r="DKE64"/>
      <c r="DKF64"/>
      <c r="DKG64"/>
      <c r="DKH64"/>
      <c r="DKI64"/>
      <c r="DKJ64"/>
      <c r="DKK64"/>
      <c r="DKL64"/>
      <c r="DKM64"/>
      <c r="DKN64"/>
      <c r="DKO64"/>
      <c r="DKP64"/>
      <c r="DKQ64"/>
      <c r="DKR64"/>
      <c r="DKS64"/>
      <c r="DKT64"/>
      <c r="DKU64"/>
      <c r="DKV64"/>
      <c r="DKW64"/>
      <c r="DKX64"/>
      <c r="DKY64"/>
      <c r="DKZ64"/>
      <c r="DLA64"/>
      <c r="DLB64"/>
      <c r="DLC64"/>
      <c r="DLD64"/>
      <c r="DLE64"/>
      <c r="DLF64"/>
      <c r="DLG64"/>
      <c r="DLH64"/>
      <c r="DLI64"/>
      <c r="DLJ64"/>
      <c r="DLK64"/>
      <c r="DLL64"/>
      <c r="DLM64"/>
      <c r="DLN64"/>
      <c r="DLO64"/>
      <c r="DLP64"/>
      <c r="DLQ64"/>
      <c r="DLR64"/>
      <c r="DLS64"/>
      <c r="DLT64"/>
      <c r="DLU64"/>
      <c r="DLV64"/>
      <c r="DLW64"/>
      <c r="DLX64"/>
      <c r="DLY64"/>
      <c r="DLZ64"/>
      <c r="DMA64"/>
      <c r="DMB64"/>
      <c r="DMC64"/>
      <c r="DMD64"/>
      <c r="DME64"/>
      <c r="DMF64"/>
      <c r="DMG64"/>
      <c r="DMH64"/>
      <c r="DMI64"/>
      <c r="DMJ64"/>
      <c r="DMK64"/>
      <c r="DML64"/>
      <c r="DMM64"/>
      <c r="DMN64"/>
      <c r="DMO64"/>
      <c r="DMP64"/>
      <c r="DMQ64"/>
      <c r="DMR64"/>
      <c r="DMS64"/>
      <c r="DMT64"/>
      <c r="DMU64"/>
      <c r="DMV64"/>
      <c r="DMW64"/>
      <c r="DMX64"/>
      <c r="DMY64"/>
      <c r="DMZ64"/>
      <c r="DNA64"/>
      <c r="DNB64"/>
      <c r="DNC64"/>
      <c r="DND64"/>
      <c r="DNE64"/>
      <c r="DNF64"/>
      <c r="DNG64"/>
      <c r="DNH64"/>
      <c r="DNI64"/>
      <c r="DNJ64"/>
      <c r="DNK64"/>
      <c r="DNL64"/>
      <c r="DNM64"/>
      <c r="DNN64"/>
      <c r="DNO64"/>
      <c r="DNP64"/>
      <c r="DNQ64"/>
      <c r="DNR64"/>
      <c r="DNS64"/>
      <c r="DNT64"/>
      <c r="DNU64"/>
      <c r="DNV64"/>
      <c r="DNW64"/>
      <c r="DNX64"/>
      <c r="DNY64"/>
      <c r="DNZ64"/>
      <c r="DOA64"/>
      <c r="DOB64"/>
      <c r="DOC64"/>
      <c r="DOD64"/>
      <c r="DOE64"/>
      <c r="DOF64"/>
      <c r="DOG64"/>
      <c r="DOH64"/>
      <c r="DOI64"/>
      <c r="DOJ64"/>
      <c r="DOK64"/>
      <c r="DOL64"/>
      <c r="DOM64"/>
      <c r="DON64"/>
      <c r="DOO64"/>
      <c r="DOP64"/>
      <c r="DOQ64"/>
      <c r="DOR64"/>
      <c r="DOS64"/>
      <c r="DOT64"/>
      <c r="DOU64"/>
      <c r="DOV64"/>
      <c r="DOW64"/>
      <c r="DOX64"/>
      <c r="DOY64"/>
      <c r="DOZ64"/>
      <c r="DPA64"/>
      <c r="DPB64"/>
      <c r="DPC64"/>
      <c r="DPD64"/>
      <c r="DPE64"/>
      <c r="DPF64"/>
      <c r="DPG64"/>
      <c r="DPH64"/>
      <c r="DPI64"/>
      <c r="DPJ64"/>
      <c r="DPK64"/>
      <c r="DPL64"/>
      <c r="DPM64"/>
      <c r="DPN64"/>
      <c r="DPO64"/>
      <c r="DPP64"/>
      <c r="DPQ64"/>
      <c r="DPR64"/>
      <c r="DPS64"/>
      <c r="DPT64"/>
      <c r="DPU64"/>
      <c r="DPV64"/>
      <c r="DPW64"/>
      <c r="DPX64"/>
      <c r="DPY64"/>
      <c r="DPZ64"/>
      <c r="DQA64"/>
      <c r="DQB64"/>
      <c r="DQC64"/>
      <c r="DQD64"/>
      <c r="DQE64"/>
      <c r="DQF64"/>
      <c r="DQG64"/>
      <c r="DQH64"/>
      <c r="DQI64"/>
      <c r="DQJ64"/>
      <c r="DQK64"/>
      <c r="DQL64"/>
      <c r="DQM64"/>
      <c r="DQN64"/>
      <c r="DQO64"/>
      <c r="DQP64"/>
      <c r="DQQ64"/>
      <c r="DQR64"/>
      <c r="DQS64"/>
      <c r="DQT64"/>
      <c r="DQU64"/>
      <c r="DQV64"/>
      <c r="DQW64"/>
      <c r="DQX64"/>
      <c r="DQY64"/>
      <c r="DQZ64"/>
      <c r="DRA64"/>
      <c r="DRB64"/>
      <c r="DRC64"/>
      <c r="DRD64"/>
      <c r="DRE64"/>
      <c r="DRF64"/>
      <c r="DRG64"/>
      <c r="DRH64"/>
      <c r="DRI64"/>
      <c r="DRJ64"/>
      <c r="DRK64"/>
      <c r="DRL64"/>
      <c r="DRM64"/>
      <c r="DRN64"/>
      <c r="DRO64"/>
      <c r="DRP64"/>
      <c r="DRQ64"/>
      <c r="DRR64"/>
      <c r="DRS64"/>
      <c r="DRT64"/>
      <c r="DRU64"/>
      <c r="DRV64"/>
      <c r="DRW64"/>
      <c r="DRX64"/>
      <c r="DRY64"/>
      <c r="DRZ64"/>
      <c r="DSA64"/>
      <c r="DSB64"/>
      <c r="DSC64"/>
      <c r="DSD64"/>
      <c r="DSE64"/>
      <c r="DSF64"/>
      <c r="DSG64"/>
      <c r="DSH64"/>
      <c r="DSI64"/>
      <c r="DSJ64"/>
      <c r="DSK64"/>
      <c r="DSL64"/>
      <c r="DSM64"/>
      <c r="DSN64"/>
      <c r="DSO64"/>
      <c r="DSP64"/>
      <c r="DSQ64"/>
      <c r="DSR64"/>
      <c r="DSS64"/>
      <c r="DST64"/>
      <c r="DSU64"/>
      <c r="DSV64"/>
      <c r="DSW64"/>
      <c r="DSX64"/>
      <c r="DSY64"/>
      <c r="DSZ64"/>
      <c r="DTA64"/>
      <c r="DTB64"/>
      <c r="DTC64"/>
      <c r="DTD64"/>
      <c r="DTE64"/>
      <c r="DTF64"/>
      <c r="DTG64"/>
      <c r="DTH64"/>
      <c r="DTI64"/>
      <c r="DTJ64"/>
      <c r="DTK64"/>
      <c r="DTL64"/>
      <c r="DTM64"/>
      <c r="DTN64"/>
      <c r="DTO64"/>
      <c r="DTP64"/>
      <c r="DTQ64"/>
      <c r="DTR64"/>
      <c r="DTS64"/>
      <c r="DTT64"/>
      <c r="DTU64"/>
      <c r="DTV64"/>
      <c r="DTW64"/>
      <c r="DTX64"/>
      <c r="DTY64"/>
      <c r="DTZ64"/>
      <c r="DUA64"/>
      <c r="DUB64"/>
      <c r="DUC64"/>
      <c r="DUD64"/>
      <c r="DUE64"/>
      <c r="DUF64"/>
      <c r="DUG64"/>
      <c r="DUH64"/>
      <c r="DUI64"/>
      <c r="DUJ64"/>
      <c r="DUK64"/>
      <c r="DUL64"/>
      <c r="DUM64"/>
      <c r="DUN64"/>
      <c r="DUO64"/>
      <c r="DUP64"/>
      <c r="DUQ64"/>
      <c r="DUR64"/>
      <c r="DUS64"/>
      <c r="DUT64"/>
      <c r="DUU64"/>
      <c r="DUV64"/>
      <c r="DUW64"/>
      <c r="DUX64"/>
      <c r="DUY64"/>
      <c r="DUZ64"/>
      <c r="DVA64"/>
      <c r="DVB64"/>
      <c r="DVC64"/>
      <c r="DVD64"/>
      <c r="DVE64"/>
      <c r="DVF64"/>
      <c r="DVG64"/>
      <c r="DVH64"/>
      <c r="DVI64"/>
      <c r="DVJ64"/>
      <c r="DVK64"/>
      <c r="DVL64"/>
      <c r="DVM64"/>
      <c r="DVN64"/>
      <c r="DVO64"/>
      <c r="DVP64"/>
      <c r="DVQ64"/>
      <c r="DVR64"/>
      <c r="DVS64"/>
      <c r="DVT64"/>
      <c r="DVU64"/>
      <c r="DVV64"/>
      <c r="DVW64"/>
      <c r="DVX64"/>
      <c r="DVY64"/>
      <c r="DVZ64"/>
      <c r="DWA64"/>
      <c r="DWB64"/>
      <c r="DWC64"/>
      <c r="DWD64"/>
      <c r="DWE64"/>
      <c r="DWF64"/>
      <c r="DWG64"/>
      <c r="DWH64"/>
      <c r="DWI64"/>
      <c r="DWJ64"/>
      <c r="DWK64"/>
      <c r="DWL64"/>
      <c r="DWM64"/>
      <c r="DWN64"/>
      <c r="DWO64"/>
      <c r="DWP64"/>
      <c r="DWQ64"/>
      <c r="DWR64"/>
      <c r="DWS64"/>
      <c r="DWT64"/>
      <c r="DWU64"/>
      <c r="DWV64"/>
      <c r="DWW64"/>
      <c r="DWX64"/>
      <c r="DWY64"/>
      <c r="DWZ64"/>
      <c r="DXA64"/>
      <c r="DXB64"/>
      <c r="DXC64"/>
      <c r="DXD64"/>
      <c r="DXE64"/>
      <c r="DXF64"/>
      <c r="DXG64"/>
      <c r="DXH64"/>
      <c r="DXI64"/>
      <c r="DXJ64"/>
      <c r="DXK64"/>
      <c r="DXL64"/>
      <c r="DXM64"/>
      <c r="DXN64"/>
      <c r="DXO64"/>
      <c r="DXP64"/>
      <c r="DXQ64"/>
      <c r="DXR64"/>
      <c r="DXS64"/>
      <c r="DXT64"/>
      <c r="DXU64"/>
      <c r="DXV64"/>
      <c r="DXW64"/>
      <c r="DXX64"/>
      <c r="DXY64"/>
      <c r="DXZ64"/>
      <c r="DYA64"/>
      <c r="DYB64"/>
      <c r="DYC64"/>
      <c r="DYD64"/>
      <c r="DYE64"/>
      <c r="DYF64"/>
      <c r="DYG64"/>
      <c r="DYH64"/>
      <c r="DYI64"/>
      <c r="DYJ64"/>
      <c r="DYK64"/>
      <c r="DYL64"/>
      <c r="DYM64"/>
      <c r="DYN64"/>
      <c r="DYO64"/>
      <c r="DYP64"/>
      <c r="DYQ64"/>
      <c r="DYR64"/>
      <c r="DYS64"/>
      <c r="DYT64"/>
      <c r="DYU64"/>
      <c r="DYV64"/>
      <c r="DYW64"/>
      <c r="DYX64"/>
      <c r="DYY64"/>
      <c r="DYZ64"/>
      <c r="DZA64"/>
      <c r="DZB64"/>
      <c r="DZC64"/>
      <c r="DZD64"/>
      <c r="DZE64"/>
      <c r="DZF64"/>
      <c r="DZG64"/>
      <c r="DZH64"/>
      <c r="DZI64"/>
      <c r="DZJ64"/>
      <c r="DZK64"/>
      <c r="DZL64"/>
      <c r="DZM64"/>
      <c r="DZN64"/>
      <c r="DZO64"/>
      <c r="DZP64"/>
      <c r="DZQ64"/>
      <c r="DZR64"/>
      <c r="DZS64"/>
      <c r="DZT64"/>
      <c r="DZU64"/>
      <c r="DZV64"/>
      <c r="DZW64"/>
      <c r="DZX64"/>
      <c r="DZY64"/>
      <c r="DZZ64"/>
      <c r="EAA64"/>
      <c r="EAB64"/>
      <c r="EAC64"/>
      <c r="EAD64"/>
      <c r="EAE64"/>
      <c r="EAF64"/>
      <c r="EAG64"/>
      <c r="EAH64"/>
      <c r="EAI64"/>
      <c r="EAJ64"/>
      <c r="EAK64"/>
      <c r="EAL64"/>
      <c r="EAM64"/>
      <c r="EAN64"/>
      <c r="EAO64"/>
      <c r="EAP64"/>
      <c r="EAQ64"/>
      <c r="EAR64"/>
      <c r="EAS64"/>
      <c r="EAT64"/>
      <c r="EAU64"/>
      <c r="EAV64"/>
      <c r="EAW64"/>
      <c r="EAX64"/>
      <c r="EAY64"/>
      <c r="EAZ64"/>
      <c r="EBA64"/>
      <c r="EBB64"/>
      <c r="EBC64"/>
      <c r="EBD64"/>
      <c r="EBE64"/>
      <c r="EBF64"/>
      <c r="EBG64"/>
      <c r="EBH64"/>
      <c r="EBI64"/>
      <c r="EBJ64"/>
      <c r="EBK64"/>
      <c r="EBL64"/>
      <c r="EBM64"/>
      <c r="EBN64"/>
      <c r="EBO64"/>
      <c r="EBP64"/>
      <c r="EBQ64"/>
      <c r="EBR64"/>
      <c r="EBS64"/>
      <c r="EBT64"/>
      <c r="EBU64"/>
      <c r="EBV64"/>
      <c r="EBW64"/>
      <c r="EBX64"/>
      <c r="EBY64"/>
      <c r="EBZ64"/>
      <c r="ECA64"/>
      <c r="ECB64"/>
      <c r="ECC64"/>
      <c r="ECD64"/>
      <c r="ECE64"/>
      <c r="ECF64"/>
      <c r="ECG64"/>
      <c r="ECH64"/>
      <c r="ECI64"/>
      <c r="ECJ64"/>
      <c r="ECK64"/>
      <c r="ECL64"/>
      <c r="ECM64"/>
      <c r="ECN64"/>
      <c r="ECO64"/>
      <c r="ECP64"/>
      <c r="ECQ64"/>
      <c r="ECR64"/>
      <c r="ECS64"/>
      <c r="ECT64"/>
      <c r="ECU64"/>
      <c r="ECV64"/>
      <c r="ECW64"/>
      <c r="ECX64"/>
      <c r="ECY64"/>
      <c r="ECZ64"/>
      <c r="EDA64"/>
      <c r="EDB64"/>
      <c r="EDC64"/>
      <c r="EDD64"/>
      <c r="EDE64"/>
      <c r="EDF64"/>
      <c r="EDG64"/>
      <c r="EDH64"/>
      <c r="EDI64"/>
      <c r="EDJ64"/>
      <c r="EDK64"/>
      <c r="EDL64"/>
      <c r="EDM64"/>
      <c r="EDN64"/>
      <c r="EDO64"/>
      <c r="EDP64"/>
      <c r="EDQ64"/>
      <c r="EDR64"/>
      <c r="EDS64"/>
      <c r="EDT64"/>
      <c r="EDU64"/>
      <c r="EDV64"/>
      <c r="EDW64"/>
      <c r="EDX64"/>
      <c r="EDY64"/>
      <c r="EDZ64"/>
      <c r="EEA64"/>
      <c r="EEB64"/>
      <c r="EEC64"/>
      <c r="EED64"/>
      <c r="EEE64"/>
      <c r="EEF64"/>
      <c r="EEG64"/>
      <c r="EEH64"/>
      <c r="EEI64"/>
      <c r="EEJ64"/>
      <c r="EEK64"/>
      <c r="EEL64"/>
      <c r="EEM64"/>
      <c r="EEN64"/>
      <c r="EEO64"/>
      <c r="EEP64"/>
      <c r="EEQ64"/>
      <c r="EER64"/>
      <c r="EES64"/>
      <c r="EET64"/>
      <c r="EEU64"/>
      <c r="EEV64"/>
      <c r="EEW64"/>
      <c r="EEX64"/>
      <c r="EEY64"/>
      <c r="EEZ64"/>
      <c r="EFA64"/>
      <c r="EFB64"/>
      <c r="EFC64"/>
      <c r="EFD64"/>
      <c r="EFE64"/>
      <c r="EFF64"/>
      <c r="EFG64"/>
      <c r="EFH64"/>
      <c r="EFI64"/>
      <c r="EFJ64"/>
      <c r="EFK64"/>
      <c r="EFL64"/>
      <c r="EFM64"/>
      <c r="EFN64"/>
      <c r="EFO64"/>
      <c r="EFP64"/>
      <c r="EFQ64"/>
      <c r="EFR64"/>
      <c r="EFS64"/>
      <c r="EFT64"/>
      <c r="EFU64"/>
      <c r="EFV64"/>
      <c r="EFW64"/>
      <c r="EFX64"/>
      <c r="EFY64"/>
      <c r="EFZ64"/>
      <c r="EGA64"/>
      <c r="EGB64"/>
      <c r="EGC64"/>
      <c r="EGD64"/>
      <c r="EGE64"/>
      <c r="EGF64"/>
      <c r="EGG64"/>
      <c r="EGH64"/>
      <c r="EGI64"/>
      <c r="EGJ64"/>
      <c r="EGK64"/>
      <c r="EGL64"/>
      <c r="EGM64"/>
      <c r="EGN64"/>
      <c r="EGO64"/>
      <c r="EGP64"/>
      <c r="EGQ64"/>
      <c r="EGR64"/>
      <c r="EGS64"/>
      <c r="EGT64"/>
      <c r="EGU64"/>
      <c r="EGV64"/>
      <c r="EGW64"/>
      <c r="EGX64"/>
      <c r="EGY64"/>
      <c r="EGZ64"/>
      <c r="EHA64"/>
      <c r="EHB64"/>
      <c r="EHC64"/>
      <c r="EHD64"/>
      <c r="EHE64"/>
      <c r="EHF64"/>
      <c r="EHG64"/>
      <c r="EHH64"/>
      <c r="EHI64"/>
      <c r="EHJ64"/>
      <c r="EHK64"/>
      <c r="EHL64"/>
      <c r="EHM64"/>
      <c r="EHN64"/>
      <c r="EHO64"/>
      <c r="EHP64"/>
      <c r="EHQ64"/>
      <c r="EHR64"/>
      <c r="EHS64"/>
      <c r="EHT64"/>
      <c r="EHU64"/>
      <c r="EHV64"/>
      <c r="EHW64"/>
      <c r="EHX64"/>
      <c r="EHY64"/>
      <c r="EHZ64"/>
      <c r="EIA64"/>
      <c r="EIB64"/>
      <c r="EIC64"/>
      <c r="EID64"/>
      <c r="EIE64"/>
      <c r="EIF64"/>
      <c r="EIG64"/>
      <c r="EIH64"/>
      <c r="EII64"/>
      <c r="EIJ64"/>
      <c r="EIK64"/>
      <c r="EIL64"/>
      <c r="EIM64"/>
      <c r="EIN64"/>
      <c r="EIO64"/>
      <c r="EIP64"/>
      <c r="EIQ64"/>
      <c r="EIR64"/>
      <c r="EIS64"/>
      <c r="EIT64"/>
      <c r="EIU64"/>
      <c r="EIV64"/>
      <c r="EIW64"/>
      <c r="EIX64"/>
      <c r="EIY64"/>
      <c r="EIZ64"/>
      <c r="EJA64"/>
      <c r="EJB64"/>
      <c r="EJC64"/>
      <c r="EJD64"/>
      <c r="EJE64"/>
      <c r="EJF64"/>
      <c r="EJG64"/>
      <c r="EJH64"/>
      <c r="EJI64"/>
      <c r="EJJ64"/>
      <c r="EJK64"/>
      <c r="EJL64"/>
      <c r="EJM64"/>
      <c r="EJN64"/>
      <c r="EJO64"/>
      <c r="EJP64"/>
      <c r="EJQ64"/>
      <c r="EJR64"/>
      <c r="EJS64"/>
      <c r="EJT64"/>
      <c r="EJU64"/>
      <c r="EJV64"/>
      <c r="EJW64"/>
      <c r="EJX64"/>
      <c r="EJY64"/>
      <c r="EJZ64"/>
      <c r="EKA64"/>
      <c r="EKB64"/>
      <c r="EKC64"/>
      <c r="EKD64"/>
      <c r="EKE64"/>
      <c r="EKF64"/>
      <c r="EKG64"/>
      <c r="EKH64"/>
      <c r="EKI64"/>
      <c r="EKJ64"/>
      <c r="EKK64"/>
      <c r="EKL64"/>
      <c r="EKM64"/>
      <c r="EKN64"/>
      <c r="EKO64"/>
      <c r="EKP64"/>
      <c r="EKQ64"/>
      <c r="EKR64"/>
      <c r="EKS64"/>
      <c r="EKT64"/>
      <c r="EKU64"/>
      <c r="EKV64"/>
      <c r="EKW64"/>
      <c r="EKX64"/>
      <c r="EKY64"/>
      <c r="EKZ64"/>
      <c r="ELA64"/>
      <c r="ELB64"/>
      <c r="ELC64"/>
      <c r="ELD64"/>
      <c r="ELE64"/>
      <c r="ELF64"/>
      <c r="ELG64"/>
      <c r="ELH64"/>
      <c r="ELI64"/>
      <c r="ELJ64"/>
      <c r="ELK64"/>
      <c r="ELL64"/>
      <c r="ELM64"/>
      <c r="ELN64"/>
      <c r="ELO64"/>
      <c r="ELP64"/>
      <c r="ELQ64"/>
      <c r="ELR64"/>
      <c r="ELS64"/>
      <c r="ELT64"/>
      <c r="ELU64"/>
      <c r="ELV64"/>
      <c r="ELW64"/>
      <c r="ELX64"/>
      <c r="ELY64"/>
      <c r="ELZ64"/>
      <c r="EMA64"/>
      <c r="EMB64"/>
      <c r="EMC64"/>
      <c r="EMD64"/>
      <c r="EME64"/>
      <c r="EMF64"/>
      <c r="EMG64"/>
      <c r="EMH64"/>
      <c r="EMI64"/>
      <c r="EMJ64"/>
      <c r="EMK64"/>
      <c r="EML64"/>
      <c r="EMM64"/>
      <c r="EMN64"/>
      <c r="EMO64"/>
      <c r="EMP64"/>
      <c r="EMQ64"/>
      <c r="EMR64"/>
      <c r="EMS64"/>
      <c r="EMT64"/>
      <c r="EMU64"/>
      <c r="EMV64"/>
      <c r="EMW64"/>
      <c r="EMX64"/>
      <c r="EMY64"/>
      <c r="EMZ64"/>
      <c r="ENA64"/>
      <c r="ENB64"/>
      <c r="ENC64"/>
      <c r="END64"/>
      <c r="ENE64"/>
      <c r="ENF64"/>
      <c r="ENG64"/>
      <c r="ENH64"/>
      <c r="ENI64"/>
      <c r="ENJ64"/>
      <c r="ENK64"/>
      <c r="ENL64"/>
      <c r="ENM64"/>
      <c r="ENN64"/>
      <c r="ENO64"/>
      <c r="ENP64"/>
      <c r="ENQ64"/>
      <c r="ENR64"/>
      <c r="ENS64"/>
      <c r="ENT64"/>
      <c r="ENU64"/>
      <c r="ENV64"/>
      <c r="ENW64"/>
      <c r="ENX64"/>
      <c r="ENY64"/>
      <c r="ENZ64"/>
      <c r="EOA64"/>
      <c r="EOB64"/>
      <c r="EOC64"/>
      <c r="EOD64"/>
      <c r="EOE64"/>
      <c r="EOF64"/>
      <c r="EOG64"/>
      <c r="EOH64"/>
      <c r="EOI64"/>
      <c r="EOJ64"/>
      <c r="EOK64"/>
      <c r="EOL64"/>
      <c r="EOM64"/>
      <c r="EON64"/>
      <c r="EOO64"/>
      <c r="EOP64"/>
      <c r="EOQ64"/>
      <c r="EOR64"/>
      <c r="EOS64"/>
      <c r="EOT64"/>
      <c r="EOU64"/>
      <c r="EOV64"/>
      <c r="EOW64"/>
      <c r="EOX64"/>
      <c r="EOY64"/>
      <c r="EOZ64"/>
      <c r="EPA64"/>
      <c r="EPB64"/>
      <c r="EPC64"/>
      <c r="EPD64"/>
      <c r="EPE64"/>
      <c r="EPF64"/>
      <c r="EPG64"/>
      <c r="EPH64"/>
      <c r="EPI64"/>
      <c r="EPJ64"/>
      <c r="EPK64"/>
      <c r="EPL64"/>
      <c r="EPM64"/>
      <c r="EPN64"/>
      <c r="EPO64"/>
      <c r="EPP64"/>
      <c r="EPQ64"/>
      <c r="EPR64"/>
      <c r="EPS64"/>
      <c r="EPT64"/>
      <c r="EPU64"/>
      <c r="EPV64"/>
      <c r="EPW64"/>
      <c r="EPX64"/>
      <c r="EPY64"/>
      <c r="EPZ64"/>
      <c r="EQA64"/>
      <c r="EQB64"/>
      <c r="EQC64"/>
      <c r="EQD64"/>
      <c r="EQE64"/>
      <c r="EQF64"/>
      <c r="EQG64"/>
      <c r="EQH64"/>
      <c r="EQI64"/>
      <c r="EQJ64"/>
      <c r="EQK64"/>
      <c r="EQL64"/>
      <c r="EQM64"/>
      <c r="EQN64"/>
      <c r="EQO64"/>
      <c r="EQP64"/>
      <c r="EQQ64"/>
      <c r="EQR64"/>
      <c r="EQS64"/>
      <c r="EQT64"/>
      <c r="EQU64"/>
      <c r="EQV64"/>
      <c r="EQW64"/>
      <c r="EQX64"/>
      <c r="EQY64"/>
      <c r="EQZ64"/>
      <c r="ERA64"/>
      <c r="ERB64"/>
      <c r="ERC64"/>
      <c r="ERD64"/>
      <c r="ERE64"/>
      <c r="ERF64"/>
      <c r="ERG64"/>
      <c r="ERH64"/>
      <c r="ERI64"/>
      <c r="ERJ64"/>
      <c r="ERK64"/>
      <c r="ERL64"/>
      <c r="ERM64"/>
      <c r="ERN64"/>
      <c r="ERO64"/>
      <c r="ERP64"/>
      <c r="ERQ64"/>
      <c r="ERR64"/>
      <c r="ERS64"/>
      <c r="ERT64"/>
      <c r="ERU64"/>
      <c r="ERV64"/>
      <c r="ERW64"/>
      <c r="ERX64"/>
      <c r="ERY64"/>
      <c r="ERZ64"/>
      <c r="ESA64"/>
      <c r="ESB64"/>
      <c r="ESC64"/>
      <c r="ESD64"/>
      <c r="ESE64"/>
      <c r="ESF64"/>
      <c r="ESG64"/>
      <c r="ESH64"/>
      <c r="ESI64"/>
      <c r="ESJ64"/>
      <c r="ESK64"/>
      <c r="ESL64"/>
      <c r="ESM64"/>
      <c r="ESN64"/>
      <c r="ESO64"/>
      <c r="ESP64"/>
      <c r="ESQ64"/>
      <c r="ESR64"/>
      <c r="ESS64"/>
      <c r="EST64"/>
      <c r="ESU64"/>
      <c r="ESV64"/>
      <c r="ESW64"/>
      <c r="ESX64"/>
      <c r="ESY64"/>
      <c r="ESZ64"/>
      <c r="ETA64"/>
      <c r="ETB64"/>
      <c r="ETC64"/>
      <c r="ETD64"/>
      <c r="ETE64"/>
      <c r="ETF64"/>
      <c r="ETG64"/>
      <c r="ETH64"/>
      <c r="ETI64"/>
      <c r="ETJ64"/>
      <c r="ETK64"/>
      <c r="ETL64"/>
      <c r="ETM64"/>
      <c r="ETN64"/>
      <c r="ETO64"/>
      <c r="ETP64"/>
      <c r="ETQ64"/>
      <c r="ETR64"/>
      <c r="ETS64"/>
      <c r="ETT64"/>
      <c r="ETU64"/>
      <c r="ETV64"/>
      <c r="ETW64"/>
      <c r="ETX64"/>
      <c r="ETY64"/>
      <c r="ETZ64"/>
      <c r="EUA64"/>
      <c r="EUB64"/>
      <c r="EUC64"/>
      <c r="EUD64"/>
      <c r="EUE64"/>
      <c r="EUF64"/>
      <c r="EUG64"/>
      <c r="EUH64"/>
      <c r="EUI64"/>
      <c r="EUJ64"/>
      <c r="EUK64"/>
      <c r="EUL64"/>
      <c r="EUM64"/>
      <c r="EUN64"/>
      <c r="EUO64"/>
      <c r="EUP64"/>
      <c r="EUQ64"/>
      <c r="EUR64"/>
      <c r="EUS64"/>
      <c r="EUT64"/>
      <c r="EUU64"/>
      <c r="EUV64"/>
      <c r="EUW64"/>
      <c r="EUX64"/>
      <c r="EUY64"/>
      <c r="EUZ64"/>
      <c r="EVA64"/>
      <c r="EVB64"/>
      <c r="EVC64"/>
      <c r="EVD64"/>
      <c r="EVE64"/>
      <c r="EVF64"/>
      <c r="EVG64"/>
      <c r="EVH64"/>
      <c r="EVI64"/>
      <c r="EVJ64"/>
      <c r="EVK64"/>
      <c r="EVL64"/>
      <c r="EVM64"/>
      <c r="EVN64"/>
      <c r="EVO64"/>
      <c r="EVP64"/>
      <c r="EVQ64"/>
      <c r="EVR64"/>
      <c r="EVS64"/>
      <c r="EVT64"/>
      <c r="EVU64"/>
      <c r="EVV64"/>
      <c r="EVW64"/>
      <c r="EVX64"/>
      <c r="EVY64"/>
      <c r="EVZ64"/>
      <c r="EWA64"/>
      <c r="EWB64"/>
      <c r="EWC64"/>
      <c r="EWD64"/>
      <c r="EWE64"/>
      <c r="EWF64"/>
      <c r="EWG64"/>
      <c r="EWH64"/>
      <c r="EWI64"/>
      <c r="EWJ64"/>
      <c r="EWK64"/>
      <c r="EWL64"/>
      <c r="EWM64"/>
      <c r="EWN64"/>
      <c r="EWO64"/>
      <c r="EWP64"/>
      <c r="EWQ64"/>
      <c r="EWR64"/>
      <c r="EWS64"/>
      <c r="EWT64"/>
      <c r="EWU64"/>
      <c r="EWV64"/>
      <c r="EWW64"/>
      <c r="EWX64"/>
      <c r="EWY64"/>
      <c r="EWZ64"/>
      <c r="EXA64"/>
      <c r="EXB64"/>
      <c r="EXC64"/>
      <c r="EXD64"/>
      <c r="EXE64"/>
      <c r="EXF64"/>
      <c r="EXG64"/>
      <c r="EXH64"/>
      <c r="EXI64"/>
      <c r="EXJ64"/>
      <c r="EXK64"/>
      <c r="EXL64"/>
      <c r="EXM64"/>
      <c r="EXN64"/>
      <c r="EXO64"/>
      <c r="EXP64"/>
      <c r="EXQ64"/>
      <c r="EXR64"/>
      <c r="EXS64"/>
      <c r="EXT64"/>
      <c r="EXU64"/>
      <c r="EXV64"/>
      <c r="EXW64"/>
      <c r="EXX64"/>
      <c r="EXY64"/>
      <c r="EXZ64"/>
      <c r="EYA64"/>
      <c r="EYB64"/>
      <c r="EYC64"/>
      <c r="EYD64"/>
      <c r="EYE64"/>
      <c r="EYF64"/>
      <c r="EYG64"/>
      <c r="EYH64"/>
      <c r="EYI64"/>
      <c r="EYJ64"/>
      <c r="EYK64"/>
      <c r="EYL64"/>
      <c r="EYM64"/>
      <c r="EYN64"/>
      <c r="EYO64"/>
      <c r="EYP64"/>
      <c r="EYQ64"/>
      <c r="EYR64"/>
      <c r="EYS64"/>
      <c r="EYT64"/>
      <c r="EYU64"/>
      <c r="EYV64"/>
      <c r="EYW64"/>
      <c r="EYX64"/>
      <c r="EYY64"/>
      <c r="EYZ64"/>
      <c r="EZA64"/>
      <c r="EZB64"/>
      <c r="EZC64"/>
      <c r="EZD64"/>
      <c r="EZE64"/>
      <c r="EZF64"/>
      <c r="EZG64"/>
      <c r="EZH64"/>
      <c r="EZI64"/>
      <c r="EZJ64"/>
      <c r="EZK64"/>
      <c r="EZL64"/>
      <c r="EZM64"/>
      <c r="EZN64"/>
      <c r="EZO64"/>
      <c r="EZP64"/>
      <c r="EZQ64"/>
      <c r="EZR64"/>
      <c r="EZS64"/>
      <c r="EZT64"/>
      <c r="EZU64"/>
      <c r="EZV64"/>
      <c r="EZW64"/>
      <c r="EZX64"/>
      <c r="EZY64"/>
      <c r="EZZ64"/>
      <c r="FAA64"/>
      <c r="FAB64"/>
      <c r="FAC64"/>
      <c r="FAD64"/>
      <c r="FAE64"/>
      <c r="FAF64"/>
      <c r="FAG64"/>
      <c r="FAH64"/>
      <c r="FAI64"/>
      <c r="FAJ64"/>
      <c r="FAK64"/>
      <c r="FAL64"/>
      <c r="FAM64"/>
      <c r="FAN64"/>
      <c r="FAO64"/>
      <c r="FAP64"/>
      <c r="FAQ64"/>
      <c r="FAR64"/>
      <c r="FAS64"/>
      <c r="FAT64"/>
      <c r="FAU64"/>
      <c r="FAV64"/>
      <c r="FAW64"/>
      <c r="FAX64"/>
      <c r="FAY64"/>
      <c r="FAZ64"/>
      <c r="FBA64"/>
      <c r="FBB64"/>
      <c r="FBC64"/>
      <c r="FBD64"/>
      <c r="FBE64"/>
      <c r="FBF64"/>
      <c r="FBG64"/>
      <c r="FBH64"/>
      <c r="FBI64"/>
      <c r="FBJ64"/>
      <c r="FBK64"/>
      <c r="FBL64"/>
      <c r="FBM64"/>
      <c r="FBN64"/>
      <c r="FBO64"/>
      <c r="FBP64"/>
      <c r="FBQ64"/>
      <c r="FBR64"/>
      <c r="FBS64"/>
      <c r="FBT64"/>
      <c r="FBU64"/>
      <c r="FBV64"/>
      <c r="FBW64"/>
      <c r="FBX64"/>
      <c r="FBY64"/>
      <c r="FBZ64"/>
      <c r="FCA64"/>
      <c r="FCB64"/>
      <c r="FCC64"/>
      <c r="FCD64"/>
      <c r="FCE64"/>
      <c r="FCF64"/>
      <c r="FCG64"/>
      <c r="FCH64"/>
      <c r="FCI64"/>
      <c r="FCJ64"/>
      <c r="FCK64"/>
      <c r="FCL64"/>
      <c r="FCM64"/>
      <c r="FCN64"/>
      <c r="FCO64"/>
      <c r="FCP64"/>
      <c r="FCQ64"/>
      <c r="FCR64"/>
      <c r="FCS64"/>
      <c r="FCT64"/>
      <c r="FCU64"/>
      <c r="FCV64"/>
      <c r="FCW64"/>
      <c r="FCX64"/>
      <c r="FCY64"/>
      <c r="FCZ64"/>
      <c r="FDA64"/>
      <c r="FDB64"/>
      <c r="FDC64"/>
      <c r="FDD64"/>
      <c r="FDE64"/>
      <c r="FDF64"/>
      <c r="FDG64"/>
      <c r="FDH64"/>
      <c r="FDI64"/>
      <c r="FDJ64"/>
      <c r="FDK64"/>
      <c r="FDL64"/>
      <c r="FDM64"/>
      <c r="FDN64"/>
      <c r="FDO64"/>
      <c r="FDP64"/>
      <c r="FDQ64"/>
      <c r="FDR64"/>
      <c r="FDS64"/>
      <c r="FDT64"/>
      <c r="FDU64"/>
      <c r="FDV64"/>
      <c r="FDW64"/>
      <c r="FDX64"/>
      <c r="FDY64"/>
      <c r="FDZ64"/>
      <c r="FEA64"/>
      <c r="FEB64"/>
      <c r="FEC64"/>
      <c r="FED64"/>
      <c r="FEE64"/>
      <c r="FEF64"/>
      <c r="FEG64"/>
      <c r="FEH64"/>
      <c r="FEI64"/>
      <c r="FEJ64"/>
      <c r="FEK64"/>
      <c r="FEL64"/>
      <c r="FEM64"/>
      <c r="FEN64"/>
      <c r="FEO64"/>
      <c r="FEP64"/>
      <c r="FEQ64"/>
      <c r="FER64"/>
      <c r="FES64"/>
      <c r="FET64"/>
      <c r="FEU64"/>
      <c r="FEV64"/>
      <c r="FEW64"/>
      <c r="FEX64"/>
      <c r="FEY64"/>
      <c r="FEZ64"/>
      <c r="FFA64"/>
      <c r="FFB64"/>
      <c r="FFC64"/>
      <c r="FFD64"/>
      <c r="FFE64"/>
      <c r="FFF64"/>
      <c r="FFG64"/>
      <c r="FFH64"/>
      <c r="FFI64"/>
      <c r="FFJ64"/>
      <c r="FFK64"/>
      <c r="FFL64"/>
      <c r="FFM64"/>
      <c r="FFN64"/>
      <c r="FFO64"/>
      <c r="FFP64"/>
      <c r="FFQ64"/>
      <c r="FFR64"/>
      <c r="FFS64"/>
      <c r="FFT64"/>
      <c r="FFU64"/>
      <c r="FFV64"/>
      <c r="FFW64"/>
      <c r="FFX64"/>
      <c r="FFY64"/>
      <c r="FFZ64"/>
      <c r="FGA64"/>
      <c r="FGB64"/>
      <c r="FGC64"/>
      <c r="FGD64"/>
      <c r="FGE64"/>
      <c r="FGF64"/>
      <c r="FGG64"/>
      <c r="FGH64"/>
      <c r="FGI64"/>
      <c r="FGJ64"/>
      <c r="FGK64"/>
      <c r="FGL64"/>
      <c r="FGM64"/>
      <c r="FGN64"/>
      <c r="FGO64"/>
      <c r="FGP64"/>
      <c r="FGQ64"/>
      <c r="FGR64"/>
      <c r="FGS64"/>
      <c r="FGT64"/>
      <c r="FGU64"/>
      <c r="FGV64"/>
      <c r="FGW64"/>
      <c r="FGX64"/>
      <c r="FGY64"/>
      <c r="FGZ64"/>
      <c r="FHA64"/>
      <c r="FHB64"/>
      <c r="FHC64"/>
      <c r="FHD64"/>
      <c r="FHE64"/>
      <c r="FHF64"/>
      <c r="FHG64"/>
      <c r="FHH64"/>
      <c r="FHI64"/>
      <c r="FHJ64"/>
      <c r="FHK64"/>
      <c r="FHL64"/>
      <c r="FHM64"/>
      <c r="FHN64"/>
      <c r="FHO64"/>
      <c r="FHP64"/>
      <c r="FHQ64"/>
      <c r="FHR64"/>
      <c r="FHS64"/>
      <c r="FHT64"/>
      <c r="FHU64"/>
      <c r="FHV64"/>
      <c r="FHW64"/>
      <c r="FHX64"/>
      <c r="FHY64"/>
      <c r="FHZ64"/>
      <c r="FIA64"/>
      <c r="FIB64"/>
      <c r="FIC64"/>
      <c r="FID64"/>
      <c r="FIE64"/>
      <c r="FIF64"/>
      <c r="FIG64"/>
      <c r="FIH64"/>
      <c r="FII64"/>
      <c r="FIJ64"/>
      <c r="FIK64"/>
      <c r="FIL64"/>
      <c r="FIM64"/>
      <c r="FIN64"/>
      <c r="FIO64"/>
      <c r="FIP64"/>
      <c r="FIQ64"/>
      <c r="FIR64"/>
      <c r="FIS64"/>
      <c r="FIT64"/>
      <c r="FIU64"/>
      <c r="FIV64"/>
      <c r="FIW64"/>
      <c r="FIX64"/>
      <c r="FIY64"/>
      <c r="FIZ64"/>
      <c r="FJA64"/>
      <c r="FJB64"/>
      <c r="FJC64"/>
      <c r="FJD64"/>
      <c r="FJE64"/>
      <c r="FJF64"/>
      <c r="FJG64"/>
      <c r="FJH64"/>
      <c r="FJI64"/>
      <c r="FJJ64"/>
      <c r="FJK64"/>
      <c r="FJL64"/>
      <c r="FJM64"/>
      <c r="FJN64"/>
      <c r="FJO64"/>
      <c r="FJP64"/>
      <c r="FJQ64"/>
      <c r="FJR64"/>
      <c r="FJS64"/>
      <c r="FJT64"/>
      <c r="FJU64"/>
      <c r="FJV64"/>
      <c r="FJW64"/>
      <c r="FJX64"/>
      <c r="FJY64"/>
      <c r="FJZ64"/>
      <c r="FKA64"/>
      <c r="FKB64"/>
      <c r="FKC64"/>
      <c r="FKD64"/>
      <c r="FKE64"/>
      <c r="FKF64"/>
      <c r="FKG64"/>
      <c r="FKH64"/>
      <c r="FKI64"/>
      <c r="FKJ64"/>
      <c r="FKK64"/>
      <c r="FKL64"/>
      <c r="FKM64"/>
      <c r="FKN64"/>
      <c r="FKO64"/>
      <c r="FKP64"/>
      <c r="FKQ64"/>
      <c r="FKR64"/>
      <c r="FKS64"/>
      <c r="FKT64"/>
      <c r="FKU64"/>
      <c r="FKV64"/>
      <c r="FKW64"/>
      <c r="FKX64"/>
      <c r="FKY64"/>
      <c r="FKZ64"/>
      <c r="FLA64"/>
      <c r="FLB64"/>
      <c r="FLC64"/>
      <c r="FLD64"/>
      <c r="FLE64"/>
      <c r="FLF64"/>
      <c r="FLG64"/>
      <c r="FLH64"/>
      <c r="FLI64"/>
      <c r="FLJ64"/>
      <c r="FLK64"/>
      <c r="FLL64"/>
      <c r="FLM64"/>
      <c r="FLN64"/>
      <c r="FLO64"/>
      <c r="FLP64"/>
      <c r="FLQ64"/>
      <c r="FLR64"/>
      <c r="FLS64"/>
      <c r="FLT64"/>
      <c r="FLU64"/>
      <c r="FLV64"/>
      <c r="FLW64"/>
      <c r="FLX64"/>
      <c r="FLY64"/>
      <c r="FLZ64"/>
      <c r="FMA64"/>
      <c r="FMB64"/>
      <c r="FMC64"/>
      <c r="FMD64"/>
      <c r="FME64"/>
      <c r="FMF64"/>
      <c r="FMG64"/>
      <c r="FMH64"/>
      <c r="FMI64"/>
      <c r="FMJ64"/>
      <c r="FMK64"/>
      <c r="FML64"/>
      <c r="FMM64"/>
      <c r="FMN64"/>
      <c r="FMO64"/>
      <c r="FMP64"/>
      <c r="FMQ64"/>
      <c r="FMR64"/>
      <c r="FMS64"/>
      <c r="FMT64"/>
      <c r="FMU64"/>
      <c r="FMV64"/>
      <c r="FMW64"/>
      <c r="FMX64"/>
      <c r="FMY64"/>
      <c r="FMZ64"/>
      <c r="FNA64"/>
      <c r="FNB64"/>
      <c r="FNC64"/>
      <c r="FND64"/>
      <c r="FNE64"/>
      <c r="FNF64"/>
      <c r="FNG64"/>
      <c r="FNH64"/>
      <c r="FNI64"/>
      <c r="FNJ64"/>
      <c r="FNK64"/>
      <c r="FNL64"/>
      <c r="FNM64"/>
      <c r="FNN64"/>
      <c r="FNO64"/>
      <c r="FNP64"/>
      <c r="FNQ64"/>
      <c r="FNR64"/>
      <c r="FNS64"/>
      <c r="FNT64"/>
      <c r="FNU64"/>
      <c r="FNV64"/>
      <c r="FNW64"/>
      <c r="FNX64"/>
      <c r="FNY64"/>
      <c r="FNZ64"/>
      <c r="FOA64"/>
      <c r="FOB64"/>
      <c r="FOC64"/>
      <c r="FOD64"/>
      <c r="FOE64"/>
      <c r="FOF64"/>
      <c r="FOG64"/>
      <c r="FOH64"/>
      <c r="FOI64"/>
      <c r="FOJ64"/>
      <c r="FOK64"/>
      <c r="FOL64"/>
      <c r="FOM64"/>
      <c r="FON64"/>
      <c r="FOO64"/>
      <c r="FOP64"/>
      <c r="FOQ64"/>
      <c r="FOR64"/>
      <c r="FOS64"/>
      <c r="FOT64"/>
      <c r="FOU64"/>
      <c r="FOV64"/>
      <c r="FOW64"/>
      <c r="FOX64"/>
      <c r="FOY64"/>
      <c r="FOZ64"/>
      <c r="FPA64"/>
      <c r="FPB64"/>
      <c r="FPC64"/>
      <c r="FPD64"/>
      <c r="FPE64"/>
      <c r="FPF64"/>
      <c r="FPG64"/>
      <c r="FPH64"/>
      <c r="FPI64"/>
      <c r="FPJ64"/>
      <c r="FPK64"/>
      <c r="FPL64"/>
      <c r="FPM64"/>
      <c r="FPN64"/>
      <c r="FPO64"/>
      <c r="FPP64"/>
      <c r="FPQ64"/>
      <c r="FPR64"/>
      <c r="FPS64"/>
      <c r="FPT64"/>
      <c r="FPU64"/>
      <c r="FPV64"/>
      <c r="FPW64"/>
      <c r="FPX64"/>
      <c r="FPY64"/>
      <c r="FPZ64"/>
      <c r="FQA64"/>
      <c r="FQB64"/>
      <c r="FQC64"/>
      <c r="FQD64"/>
      <c r="FQE64"/>
      <c r="FQF64"/>
      <c r="FQG64"/>
      <c r="FQH64"/>
      <c r="FQI64"/>
      <c r="FQJ64"/>
      <c r="FQK64"/>
      <c r="FQL64"/>
      <c r="FQM64"/>
      <c r="FQN64"/>
      <c r="FQO64"/>
      <c r="FQP64"/>
      <c r="FQQ64"/>
      <c r="FQR64"/>
      <c r="FQS64"/>
      <c r="FQT64"/>
      <c r="FQU64"/>
      <c r="FQV64"/>
      <c r="FQW64"/>
      <c r="FQX64"/>
      <c r="FQY64"/>
      <c r="FQZ64"/>
      <c r="FRA64"/>
      <c r="FRB64"/>
      <c r="FRC64"/>
      <c r="FRD64"/>
      <c r="FRE64"/>
      <c r="FRF64"/>
      <c r="FRG64"/>
      <c r="FRH64"/>
      <c r="FRI64"/>
      <c r="FRJ64"/>
      <c r="FRK64"/>
      <c r="FRL64"/>
      <c r="FRM64"/>
      <c r="FRN64"/>
      <c r="FRO64"/>
      <c r="FRP64"/>
      <c r="FRQ64"/>
      <c r="FRR64"/>
      <c r="FRS64"/>
      <c r="FRT64"/>
      <c r="FRU64"/>
      <c r="FRV64"/>
      <c r="FRW64"/>
      <c r="FRX64"/>
      <c r="FRY64"/>
      <c r="FRZ64"/>
      <c r="FSA64"/>
      <c r="FSB64"/>
      <c r="FSC64"/>
      <c r="FSD64"/>
      <c r="FSE64"/>
      <c r="FSF64"/>
      <c r="FSG64"/>
      <c r="FSH64"/>
      <c r="FSI64"/>
      <c r="FSJ64"/>
      <c r="FSK64"/>
      <c r="FSL64"/>
      <c r="FSM64"/>
      <c r="FSN64"/>
      <c r="FSO64"/>
      <c r="FSP64"/>
      <c r="FSQ64"/>
      <c r="FSR64"/>
      <c r="FSS64"/>
      <c r="FST64"/>
      <c r="FSU64"/>
      <c r="FSV64"/>
      <c r="FSW64"/>
      <c r="FSX64"/>
      <c r="FSY64"/>
      <c r="FSZ64"/>
      <c r="FTA64"/>
      <c r="FTB64"/>
      <c r="FTC64"/>
      <c r="FTD64"/>
      <c r="FTE64"/>
      <c r="FTF64"/>
      <c r="FTG64"/>
      <c r="FTH64"/>
      <c r="FTI64"/>
      <c r="FTJ64"/>
      <c r="FTK64"/>
      <c r="FTL64"/>
      <c r="FTM64"/>
      <c r="FTN64"/>
      <c r="FTO64"/>
      <c r="FTP64"/>
      <c r="FTQ64"/>
      <c r="FTR64"/>
      <c r="FTS64"/>
      <c r="FTT64"/>
      <c r="FTU64"/>
      <c r="FTV64"/>
      <c r="FTW64"/>
      <c r="FTX64"/>
      <c r="FTY64"/>
      <c r="FTZ64"/>
      <c r="FUA64"/>
      <c r="FUB64"/>
      <c r="FUC64"/>
      <c r="FUD64"/>
      <c r="FUE64"/>
      <c r="FUF64"/>
      <c r="FUG64"/>
      <c r="FUH64"/>
      <c r="FUI64"/>
      <c r="FUJ64"/>
      <c r="FUK64"/>
      <c r="FUL64"/>
      <c r="FUM64"/>
      <c r="FUN64"/>
      <c r="FUO64"/>
      <c r="FUP64"/>
      <c r="FUQ64"/>
      <c r="FUR64"/>
      <c r="FUS64"/>
      <c r="FUT64"/>
      <c r="FUU64"/>
      <c r="FUV64"/>
      <c r="FUW64"/>
      <c r="FUX64"/>
      <c r="FUY64"/>
      <c r="FUZ64"/>
      <c r="FVA64"/>
      <c r="FVB64"/>
      <c r="FVC64"/>
      <c r="FVD64"/>
      <c r="FVE64"/>
      <c r="FVF64"/>
      <c r="FVG64"/>
      <c r="FVH64"/>
      <c r="FVI64"/>
      <c r="FVJ64"/>
      <c r="FVK64"/>
      <c r="FVL64"/>
      <c r="FVM64"/>
      <c r="FVN64"/>
      <c r="FVO64"/>
      <c r="FVP64"/>
      <c r="FVQ64"/>
      <c r="FVR64"/>
      <c r="FVS64"/>
      <c r="FVT64"/>
      <c r="FVU64"/>
      <c r="FVV64"/>
      <c r="FVW64"/>
      <c r="FVX64"/>
      <c r="FVY64"/>
      <c r="FVZ64"/>
      <c r="FWA64"/>
      <c r="FWB64"/>
      <c r="FWC64"/>
      <c r="FWD64"/>
      <c r="FWE64"/>
      <c r="FWF64"/>
      <c r="FWG64"/>
      <c r="FWH64"/>
      <c r="FWI64"/>
      <c r="FWJ64"/>
      <c r="FWK64"/>
      <c r="FWL64"/>
      <c r="FWM64"/>
      <c r="FWN64"/>
      <c r="FWO64"/>
      <c r="FWP64"/>
      <c r="FWQ64"/>
      <c r="FWR64"/>
      <c r="FWS64"/>
      <c r="FWT64"/>
      <c r="FWU64"/>
      <c r="FWV64"/>
      <c r="FWW64"/>
      <c r="FWX64"/>
      <c r="FWY64"/>
      <c r="FWZ64"/>
      <c r="FXA64"/>
      <c r="FXB64"/>
      <c r="FXC64"/>
      <c r="FXD64"/>
      <c r="FXE64"/>
      <c r="FXF64"/>
      <c r="FXG64"/>
      <c r="FXH64"/>
      <c r="FXI64"/>
      <c r="FXJ64"/>
      <c r="FXK64"/>
      <c r="FXL64"/>
      <c r="FXM64"/>
      <c r="FXN64"/>
      <c r="FXO64"/>
      <c r="FXP64"/>
      <c r="FXQ64"/>
      <c r="FXR64"/>
      <c r="FXS64"/>
      <c r="FXT64"/>
      <c r="FXU64"/>
      <c r="FXV64"/>
      <c r="FXW64"/>
      <c r="FXX64"/>
      <c r="FXY64"/>
      <c r="FXZ64"/>
      <c r="FYA64"/>
      <c r="FYB64"/>
      <c r="FYC64"/>
      <c r="FYD64"/>
      <c r="FYE64"/>
      <c r="FYF64"/>
      <c r="FYG64"/>
      <c r="FYH64"/>
      <c r="FYI64"/>
      <c r="FYJ64"/>
      <c r="FYK64"/>
      <c r="FYL64"/>
      <c r="FYM64"/>
      <c r="FYN64"/>
      <c r="FYO64"/>
      <c r="FYP64"/>
      <c r="FYQ64"/>
      <c r="FYR64"/>
      <c r="FYS64"/>
      <c r="FYT64"/>
      <c r="FYU64"/>
      <c r="FYV64"/>
      <c r="FYW64"/>
      <c r="FYX64"/>
      <c r="FYY64"/>
      <c r="FYZ64"/>
      <c r="FZA64"/>
      <c r="FZB64"/>
      <c r="FZC64"/>
      <c r="FZD64"/>
      <c r="FZE64"/>
      <c r="FZF64"/>
      <c r="FZG64"/>
      <c r="FZH64"/>
      <c r="FZI64"/>
      <c r="FZJ64"/>
      <c r="FZK64"/>
      <c r="FZL64"/>
      <c r="FZM64"/>
      <c r="FZN64"/>
      <c r="FZO64"/>
      <c r="FZP64"/>
      <c r="FZQ64"/>
      <c r="FZR64"/>
      <c r="FZS64"/>
      <c r="FZT64"/>
      <c r="FZU64"/>
      <c r="FZV64"/>
      <c r="FZW64"/>
      <c r="FZX64"/>
      <c r="FZY64"/>
      <c r="FZZ64"/>
      <c r="GAA64"/>
      <c r="GAB64"/>
      <c r="GAC64"/>
      <c r="GAD64"/>
      <c r="GAE64"/>
      <c r="GAF64"/>
      <c r="GAG64"/>
      <c r="GAH64"/>
      <c r="GAI64"/>
      <c r="GAJ64"/>
      <c r="GAK64"/>
      <c r="GAL64"/>
      <c r="GAM64"/>
      <c r="GAN64"/>
      <c r="GAO64"/>
      <c r="GAP64"/>
      <c r="GAQ64"/>
      <c r="GAR64"/>
      <c r="GAS64"/>
      <c r="GAT64"/>
      <c r="GAU64"/>
      <c r="GAV64"/>
      <c r="GAW64"/>
      <c r="GAX64"/>
      <c r="GAY64"/>
      <c r="GAZ64"/>
      <c r="GBA64"/>
      <c r="GBB64"/>
      <c r="GBC64"/>
      <c r="GBD64"/>
      <c r="GBE64"/>
      <c r="GBF64"/>
      <c r="GBG64"/>
      <c r="GBH64"/>
      <c r="GBI64"/>
      <c r="GBJ64"/>
      <c r="GBK64"/>
      <c r="GBL64"/>
      <c r="GBM64"/>
      <c r="GBN64"/>
      <c r="GBO64"/>
      <c r="GBP64"/>
      <c r="GBQ64"/>
      <c r="GBR64"/>
      <c r="GBS64"/>
      <c r="GBT64"/>
      <c r="GBU64"/>
      <c r="GBV64"/>
      <c r="GBW64"/>
      <c r="GBX64"/>
      <c r="GBY64"/>
      <c r="GBZ64"/>
      <c r="GCA64"/>
      <c r="GCB64"/>
      <c r="GCC64"/>
      <c r="GCD64"/>
      <c r="GCE64"/>
      <c r="GCF64"/>
      <c r="GCG64"/>
      <c r="GCH64"/>
      <c r="GCI64"/>
      <c r="GCJ64"/>
      <c r="GCK64"/>
      <c r="GCL64"/>
      <c r="GCM64"/>
      <c r="GCN64"/>
      <c r="GCO64"/>
      <c r="GCP64"/>
      <c r="GCQ64"/>
      <c r="GCR64"/>
      <c r="GCS64"/>
      <c r="GCT64"/>
      <c r="GCU64"/>
      <c r="GCV64"/>
      <c r="GCW64"/>
      <c r="GCX64"/>
      <c r="GCY64"/>
      <c r="GCZ64"/>
      <c r="GDA64"/>
      <c r="GDB64"/>
      <c r="GDC64"/>
      <c r="GDD64"/>
      <c r="GDE64"/>
      <c r="GDF64"/>
      <c r="GDG64"/>
      <c r="GDH64"/>
      <c r="GDI64"/>
      <c r="GDJ64"/>
      <c r="GDK64"/>
      <c r="GDL64"/>
      <c r="GDM64"/>
      <c r="GDN64"/>
      <c r="GDO64"/>
      <c r="GDP64"/>
      <c r="GDQ64"/>
      <c r="GDR64"/>
      <c r="GDS64"/>
      <c r="GDT64"/>
      <c r="GDU64"/>
      <c r="GDV64"/>
      <c r="GDW64"/>
      <c r="GDX64"/>
      <c r="GDY64"/>
      <c r="GDZ64"/>
      <c r="GEA64"/>
      <c r="GEB64"/>
      <c r="GEC64"/>
      <c r="GED64"/>
      <c r="GEE64"/>
      <c r="GEF64"/>
      <c r="GEG64"/>
      <c r="GEH64"/>
      <c r="GEI64"/>
      <c r="GEJ64"/>
      <c r="GEK64"/>
      <c r="GEL64"/>
      <c r="GEM64"/>
      <c r="GEN64"/>
      <c r="GEO64"/>
      <c r="GEP64"/>
      <c r="GEQ64"/>
      <c r="GER64"/>
      <c r="GES64"/>
      <c r="GET64"/>
      <c r="GEU64"/>
      <c r="GEV64"/>
      <c r="GEW64"/>
      <c r="GEX64"/>
      <c r="GEY64"/>
      <c r="GEZ64"/>
      <c r="GFA64"/>
      <c r="GFB64"/>
      <c r="GFC64"/>
      <c r="GFD64"/>
      <c r="GFE64"/>
      <c r="GFF64"/>
      <c r="GFG64"/>
      <c r="GFH64"/>
      <c r="GFI64"/>
      <c r="GFJ64"/>
      <c r="GFK64"/>
      <c r="GFL64"/>
      <c r="GFM64"/>
      <c r="GFN64"/>
      <c r="GFO64"/>
      <c r="GFP64"/>
      <c r="GFQ64"/>
      <c r="GFR64"/>
      <c r="GFS64"/>
      <c r="GFT64"/>
      <c r="GFU64"/>
      <c r="GFV64"/>
      <c r="GFW64"/>
      <c r="GFX64"/>
      <c r="GFY64"/>
      <c r="GFZ64"/>
      <c r="GGA64"/>
      <c r="GGB64"/>
      <c r="GGC64"/>
      <c r="GGD64"/>
      <c r="GGE64"/>
      <c r="GGF64"/>
      <c r="GGG64"/>
      <c r="GGH64"/>
      <c r="GGI64"/>
      <c r="GGJ64"/>
      <c r="GGK64"/>
      <c r="GGL64"/>
      <c r="GGM64"/>
      <c r="GGN64"/>
      <c r="GGO64"/>
      <c r="GGP64"/>
      <c r="GGQ64"/>
      <c r="GGR64"/>
      <c r="GGS64"/>
      <c r="GGT64"/>
      <c r="GGU64"/>
      <c r="GGV64"/>
      <c r="GGW64"/>
      <c r="GGX64"/>
      <c r="GGY64"/>
      <c r="GGZ64"/>
      <c r="GHA64"/>
      <c r="GHB64"/>
      <c r="GHC64"/>
      <c r="GHD64"/>
      <c r="GHE64"/>
      <c r="GHF64"/>
      <c r="GHG64"/>
      <c r="GHH64"/>
      <c r="GHI64"/>
      <c r="GHJ64"/>
      <c r="GHK64"/>
      <c r="GHL64"/>
      <c r="GHM64"/>
      <c r="GHN64"/>
      <c r="GHO64"/>
      <c r="GHP64"/>
      <c r="GHQ64"/>
      <c r="GHR64"/>
      <c r="GHS64"/>
      <c r="GHT64"/>
      <c r="GHU64"/>
      <c r="GHV64"/>
      <c r="GHW64"/>
      <c r="GHX64"/>
      <c r="GHY64"/>
      <c r="GHZ64"/>
      <c r="GIA64"/>
      <c r="GIB64"/>
      <c r="GIC64"/>
      <c r="GID64"/>
      <c r="GIE64"/>
      <c r="GIF64"/>
      <c r="GIG64"/>
      <c r="GIH64"/>
      <c r="GII64"/>
      <c r="GIJ64"/>
      <c r="GIK64"/>
      <c r="GIL64"/>
      <c r="GIM64"/>
      <c r="GIN64"/>
      <c r="GIO64"/>
      <c r="GIP64"/>
      <c r="GIQ64"/>
      <c r="GIR64"/>
      <c r="GIS64"/>
      <c r="GIT64"/>
      <c r="GIU64"/>
      <c r="GIV64"/>
      <c r="GIW64"/>
      <c r="GIX64"/>
      <c r="GIY64"/>
      <c r="GIZ64"/>
      <c r="GJA64"/>
      <c r="GJB64"/>
      <c r="GJC64"/>
      <c r="GJD64"/>
      <c r="GJE64"/>
      <c r="GJF64"/>
      <c r="GJG64"/>
      <c r="GJH64"/>
      <c r="GJI64"/>
      <c r="GJJ64"/>
      <c r="GJK64"/>
      <c r="GJL64"/>
      <c r="GJM64"/>
      <c r="GJN64"/>
      <c r="GJO64"/>
      <c r="GJP64"/>
      <c r="GJQ64"/>
      <c r="GJR64"/>
      <c r="GJS64"/>
      <c r="GJT64"/>
      <c r="GJU64"/>
      <c r="GJV64"/>
      <c r="GJW64"/>
      <c r="GJX64"/>
      <c r="GJY64"/>
      <c r="GJZ64"/>
      <c r="GKA64"/>
      <c r="GKB64"/>
      <c r="GKC64"/>
      <c r="GKD64"/>
      <c r="GKE64"/>
      <c r="GKF64"/>
      <c r="GKG64"/>
      <c r="GKH64"/>
      <c r="GKI64"/>
      <c r="GKJ64"/>
      <c r="GKK64"/>
      <c r="GKL64"/>
      <c r="GKM64"/>
      <c r="GKN64"/>
      <c r="GKO64"/>
      <c r="GKP64"/>
      <c r="GKQ64"/>
      <c r="GKR64"/>
      <c r="GKS64"/>
      <c r="GKT64"/>
      <c r="GKU64"/>
      <c r="GKV64"/>
      <c r="GKW64"/>
      <c r="GKX64"/>
      <c r="GKY64"/>
      <c r="GKZ64"/>
      <c r="GLA64"/>
      <c r="GLB64"/>
      <c r="GLC64"/>
      <c r="GLD64"/>
      <c r="GLE64"/>
      <c r="GLF64"/>
      <c r="GLG64"/>
      <c r="GLH64"/>
      <c r="GLI64"/>
      <c r="GLJ64"/>
      <c r="GLK64"/>
      <c r="GLL64"/>
      <c r="GLM64"/>
      <c r="GLN64"/>
      <c r="GLO64"/>
      <c r="GLP64"/>
      <c r="GLQ64"/>
      <c r="GLR64"/>
      <c r="GLS64"/>
      <c r="GLT64"/>
      <c r="GLU64"/>
      <c r="GLV64"/>
      <c r="GLW64"/>
      <c r="GLX64"/>
      <c r="GLY64"/>
      <c r="GLZ64"/>
      <c r="GMA64"/>
      <c r="GMB64"/>
      <c r="GMC64"/>
      <c r="GMD64"/>
      <c r="GME64"/>
      <c r="GMF64"/>
      <c r="GMG64"/>
      <c r="GMH64"/>
      <c r="GMI64"/>
      <c r="GMJ64"/>
      <c r="GMK64"/>
      <c r="GML64"/>
      <c r="GMM64"/>
      <c r="GMN64"/>
      <c r="GMO64"/>
      <c r="GMP64"/>
      <c r="GMQ64"/>
      <c r="GMR64"/>
      <c r="GMS64"/>
      <c r="GMT64"/>
      <c r="GMU64"/>
      <c r="GMV64"/>
      <c r="GMW64"/>
      <c r="GMX64"/>
      <c r="GMY64"/>
      <c r="GMZ64"/>
      <c r="GNA64"/>
      <c r="GNB64"/>
      <c r="GNC64"/>
      <c r="GND64"/>
      <c r="GNE64"/>
      <c r="GNF64"/>
      <c r="GNG64"/>
      <c r="GNH64"/>
      <c r="GNI64"/>
      <c r="GNJ64"/>
      <c r="GNK64"/>
      <c r="GNL64"/>
      <c r="GNM64"/>
      <c r="GNN64"/>
      <c r="GNO64"/>
      <c r="GNP64"/>
      <c r="GNQ64"/>
      <c r="GNR64"/>
      <c r="GNS64"/>
      <c r="GNT64"/>
      <c r="GNU64"/>
      <c r="GNV64"/>
      <c r="GNW64"/>
      <c r="GNX64"/>
      <c r="GNY64"/>
      <c r="GNZ64"/>
      <c r="GOA64"/>
      <c r="GOB64"/>
      <c r="GOC64"/>
      <c r="GOD64"/>
      <c r="GOE64"/>
      <c r="GOF64"/>
      <c r="GOG64"/>
      <c r="GOH64"/>
      <c r="GOI64"/>
      <c r="GOJ64"/>
      <c r="GOK64"/>
      <c r="GOL64"/>
      <c r="GOM64"/>
      <c r="GON64"/>
      <c r="GOO64"/>
      <c r="GOP64"/>
      <c r="GOQ64"/>
      <c r="GOR64"/>
      <c r="GOS64"/>
      <c r="GOT64"/>
      <c r="GOU64"/>
      <c r="GOV64"/>
      <c r="GOW64"/>
      <c r="GOX64"/>
      <c r="GOY64"/>
      <c r="GOZ64"/>
      <c r="GPA64"/>
      <c r="GPB64"/>
      <c r="GPC64"/>
      <c r="GPD64"/>
      <c r="GPE64"/>
      <c r="GPF64"/>
      <c r="GPG64"/>
      <c r="GPH64"/>
      <c r="GPI64"/>
      <c r="GPJ64"/>
      <c r="GPK64"/>
      <c r="GPL64"/>
      <c r="GPM64"/>
      <c r="GPN64"/>
      <c r="GPO64"/>
      <c r="GPP64"/>
      <c r="GPQ64"/>
      <c r="GPR64"/>
      <c r="GPS64"/>
      <c r="GPT64"/>
      <c r="GPU64"/>
      <c r="GPV64"/>
      <c r="GPW64"/>
      <c r="GPX64"/>
      <c r="GPY64"/>
      <c r="GPZ64"/>
      <c r="GQA64"/>
      <c r="GQB64"/>
      <c r="GQC64"/>
      <c r="GQD64"/>
      <c r="GQE64"/>
      <c r="GQF64"/>
      <c r="GQG64"/>
      <c r="GQH64"/>
      <c r="GQI64"/>
      <c r="GQJ64"/>
      <c r="GQK64"/>
      <c r="GQL64"/>
      <c r="GQM64"/>
      <c r="GQN64"/>
      <c r="GQO64"/>
      <c r="GQP64"/>
      <c r="GQQ64"/>
      <c r="GQR64"/>
      <c r="GQS64"/>
      <c r="GQT64"/>
      <c r="GQU64"/>
      <c r="GQV64"/>
      <c r="GQW64"/>
      <c r="GQX64"/>
      <c r="GQY64"/>
      <c r="GQZ64"/>
      <c r="GRA64"/>
      <c r="GRB64"/>
      <c r="GRC64"/>
      <c r="GRD64"/>
      <c r="GRE64"/>
      <c r="GRF64"/>
      <c r="GRG64"/>
      <c r="GRH64"/>
      <c r="GRI64"/>
      <c r="GRJ64"/>
      <c r="GRK64"/>
      <c r="GRL64"/>
      <c r="GRM64"/>
      <c r="GRN64"/>
      <c r="GRO64"/>
      <c r="GRP64"/>
      <c r="GRQ64"/>
      <c r="GRR64"/>
      <c r="GRS64"/>
      <c r="GRT64"/>
      <c r="GRU64"/>
      <c r="GRV64"/>
      <c r="GRW64"/>
      <c r="GRX64"/>
      <c r="GRY64"/>
      <c r="GRZ64"/>
      <c r="GSA64"/>
      <c r="GSB64"/>
      <c r="GSC64"/>
      <c r="GSD64"/>
      <c r="GSE64"/>
      <c r="GSF64"/>
      <c r="GSG64"/>
      <c r="GSH64"/>
      <c r="GSI64"/>
      <c r="GSJ64"/>
      <c r="GSK64"/>
      <c r="GSL64"/>
      <c r="GSM64"/>
      <c r="GSN64"/>
      <c r="GSO64"/>
      <c r="GSP64"/>
      <c r="GSQ64"/>
      <c r="GSR64"/>
      <c r="GSS64"/>
      <c r="GST64"/>
      <c r="GSU64"/>
      <c r="GSV64"/>
      <c r="GSW64"/>
      <c r="GSX64"/>
      <c r="GSY64"/>
      <c r="GSZ64"/>
      <c r="GTA64"/>
      <c r="GTB64"/>
      <c r="GTC64"/>
      <c r="GTD64"/>
      <c r="GTE64"/>
      <c r="GTF64"/>
      <c r="GTG64"/>
      <c r="GTH64"/>
      <c r="GTI64"/>
      <c r="GTJ64"/>
      <c r="GTK64"/>
      <c r="GTL64"/>
      <c r="GTM64"/>
      <c r="GTN64"/>
      <c r="GTO64"/>
      <c r="GTP64"/>
      <c r="GTQ64"/>
      <c r="GTR64"/>
      <c r="GTS64"/>
      <c r="GTT64"/>
      <c r="GTU64"/>
      <c r="GTV64"/>
      <c r="GTW64"/>
      <c r="GTX64"/>
      <c r="GTY64"/>
      <c r="GTZ64"/>
      <c r="GUA64"/>
      <c r="GUB64"/>
      <c r="GUC64"/>
      <c r="GUD64"/>
      <c r="GUE64"/>
      <c r="GUF64"/>
      <c r="GUG64"/>
      <c r="GUH64"/>
      <c r="GUI64"/>
      <c r="GUJ64"/>
      <c r="GUK64"/>
      <c r="GUL64"/>
      <c r="GUM64"/>
      <c r="GUN64"/>
      <c r="GUO64"/>
      <c r="GUP64"/>
      <c r="GUQ64"/>
      <c r="GUR64"/>
      <c r="GUS64"/>
      <c r="GUT64"/>
      <c r="GUU64"/>
      <c r="GUV64"/>
      <c r="GUW64"/>
      <c r="GUX64"/>
      <c r="GUY64"/>
      <c r="GUZ64"/>
      <c r="GVA64"/>
      <c r="GVB64"/>
      <c r="GVC64"/>
      <c r="GVD64"/>
      <c r="GVE64"/>
      <c r="GVF64"/>
      <c r="GVG64"/>
      <c r="GVH64"/>
      <c r="GVI64"/>
      <c r="GVJ64"/>
      <c r="GVK64"/>
      <c r="GVL64"/>
      <c r="GVM64"/>
      <c r="GVN64"/>
      <c r="GVO64"/>
      <c r="GVP64"/>
      <c r="GVQ64"/>
      <c r="GVR64"/>
      <c r="GVS64"/>
      <c r="GVT64"/>
      <c r="GVU64"/>
      <c r="GVV64"/>
      <c r="GVW64"/>
      <c r="GVX64"/>
      <c r="GVY64"/>
      <c r="GVZ64"/>
      <c r="GWA64"/>
      <c r="GWB64"/>
      <c r="GWC64"/>
      <c r="GWD64"/>
      <c r="GWE64"/>
      <c r="GWF64"/>
      <c r="GWG64"/>
      <c r="GWH64"/>
      <c r="GWI64"/>
      <c r="GWJ64"/>
      <c r="GWK64"/>
      <c r="GWL64"/>
      <c r="GWM64"/>
      <c r="GWN64"/>
      <c r="GWO64"/>
      <c r="GWP64"/>
      <c r="GWQ64"/>
      <c r="GWR64"/>
      <c r="GWS64"/>
      <c r="GWT64"/>
      <c r="GWU64"/>
      <c r="GWV64"/>
      <c r="GWW64"/>
      <c r="GWX64"/>
      <c r="GWY64"/>
      <c r="GWZ64"/>
      <c r="GXA64"/>
      <c r="GXB64"/>
      <c r="GXC64"/>
      <c r="GXD64"/>
      <c r="GXE64"/>
      <c r="GXF64"/>
      <c r="GXG64"/>
      <c r="GXH64"/>
      <c r="GXI64"/>
      <c r="GXJ64"/>
      <c r="GXK64"/>
      <c r="GXL64"/>
      <c r="GXM64"/>
      <c r="GXN64"/>
      <c r="GXO64"/>
      <c r="GXP64"/>
      <c r="GXQ64"/>
      <c r="GXR64"/>
      <c r="GXS64"/>
      <c r="GXT64"/>
      <c r="GXU64"/>
      <c r="GXV64"/>
      <c r="GXW64"/>
      <c r="GXX64"/>
      <c r="GXY64"/>
      <c r="GXZ64"/>
      <c r="GYA64"/>
      <c r="GYB64"/>
      <c r="GYC64"/>
      <c r="GYD64"/>
      <c r="GYE64"/>
      <c r="GYF64"/>
      <c r="GYG64"/>
      <c r="GYH64"/>
      <c r="GYI64"/>
      <c r="GYJ64"/>
      <c r="GYK64"/>
      <c r="GYL64"/>
      <c r="GYM64"/>
      <c r="GYN64"/>
      <c r="GYO64"/>
      <c r="GYP64"/>
      <c r="GYQ64"/>
      <c r="GYR64"/>
      <c r="GYS64"/>
      <c r="GYT64"/>
      <c r="GYU64"/>
      <c r="GYV64"/>
      <c r="GYW64"/>
      <c r="GYX64"/>
      <c r="GYY64"/>
      <c r="GYZ64"/>
      <c r="GZA64"/>
      <c r="GZB64"/>
      <c r="GZC64"/>
      <c r="GZD64"/>
      <c r="GZE64"/>
      <c r="GZF64"/>
      <c r="GZG64"/>
      <c r="GZH64"/>
      <c r="GZI64"/>
      <c r="GZJ64"/>
      <c r="GZK64"/>
      <c r="GZL64"/>
      <c r="GZM64"/>
      <c r="GZN64"/>
      <c r="GZO64"/>
      <c r="GZP64"/>
      <c r="GZQ64"/>
      <c r="GZR64"/>
      <c r="GZS64"/>
      <c r="GZT64"/>
      <c r="GZU64"/>
      <c r="GZV64"/>
      <c r="GZW64"/>
      <c r="GZX64"/>
      <c r="GZY64"/>
      <c r="GZZ64"/>
      <c r="HAA64"/>
      <c r="HAB64"/>
      <c r="HAC64"/>
      <c r="HAD64"/>
      <c r="HAE64"/>
      <c r="HAF64"/>
      <c r="HAG64"/>
      <c r="HAH64"/>
      <c r="HAI64"/>
      <c r="HAJ64"/>
      <c r="HAK64"/>
      <c r="HAL64"/>
      <c r="HAM64"/>
      <c r="HAN64"/>
      <c r="HAO64"/>
      <c r="HAP64"/>
      <c r="HAQ64"/>
      <c r="HAR64"/>
      <c r="HAS64"/>
      <c r="HAT64"/>
      <c r="HAU64"/>
      <c r="HAV64"/>
      <c r="HAW64"/>
      <c r="HAX64"/>
      <c r="HAY64"/>
      <c r="HAZ64"/>
      <c r="HBA64"/>
      <c r="HBB64"/>
      <c r="HBC64"/>
      <c r="HBD64"/>
      <c r="HBE64"/>
      <c r="HBF64"/>
      <c r="HBG64"/>
      <c r="HBH64"/>
      <c r="HBI64"/>
      <c r="HBJ64"/>
      <c r="HBK64"/>
      <c r="HBL64"/>
      <c r="HBM64"/>
      <c r="HBN64"/>
      <c r="HBO64"/>
      <c r="HBP64"/>
      <c r="HBQ64"/>
      <c r="HBR64"/>
      <c r="HBS64"/>
      <c r="HBT64"/>
      <c r="HBU64"/>
      <c r="HBV64"/>
      <c r="HBW64"/>
      <c r="HBX64"/>
      <c r="HBY64"/>
      <c r="HBZ64"/>
      <c r="HCA64"/>
      <c r="HCB64"/>
      <c r="HCC64"/>
      <c r="HCD64"/>
      <c r="HCE64"/>
      <c r="HCF64"/>
      <c r="HCG64"/>
      <c r="HCH64"/>
      <c r="HCI64"/>
      <c r="HCJ64"/>
      <c r="HCK64"/>
      <c r="HCL64"/>
      <c r="HCM64"/>
      <c r="HCN64"/>
      <c r="HCO64"/>
      <c r="HCP64"/>
      <c r="HCQ64"/>
      <c r="HCR64"/>
      <c r="HCS64"/>
      <c r="HCT64"/>
      <c r="HCU64"/>
      <c r="HCV64"/>
      <c r="HCW64"/>
      <c r="HCX64"/>
      <c r="HCY64"/>
      <c r="HCZ64"/>
      <c r="HDA64"/>
      <c r="HDB64"/>
      <c r="HDC64"/>
      <c r="HDD64"/>
      <c r="HDE64"/>
      <c r="HDF64"/>
      <c r="HDG64"/>
      <c r="HDH64"/>
      <c r="HDI64"/>
      <c r="HDJ64"/>
      <c r="HDK64"/>
      <c r="HDL64"/>
      <c r="HDM64"/>
      <c r="HDN64"/>
      <c r="HDO64"/>
      <c r="HDP64"/>
      <c r="HDQ64"/>
      <c r="HDR64"/>
      <c r="HDS64"/>
      <c r="HDT64"/>
      <c r="HDU64"/>
      <c r="HDV64"/>
      <c r="HDW64"/>
      <c r="HDX64"/>
      <c r="HDY64"/>
      <c r="HDZ64"/>
      <c r="HEA64"/>
      <c r="HEB64"/>
      <c r="HEC64"/>
      <c r="HED64"/>
      <c r="HEE64"/>
      <c r="HEF64"/>
      <c r="HEG64"/>
      <c r="HEH64"/>
      <c r="HEI64"/>
      <c r="HEJ64"/>
      <c r="HEK64"/>
      <c r="HEL64"/>
      <c r="HEM64"/>
      <c r="HEN64"/>
      <c r="HEO64"/>
      <c r="HEP64"/>
      <c r="HEQ64"/>
      <c r="HER64"/>
      <c r="HES64"/>
      <c r="HET64"/>
      <c r="HEU64"/>
      <c r="HEV64"/>
      <c r="HEW64"/>
      <c r="HEX64"/>
      <c r="HEY64"/>
      <c r="HEZ64"/>
      <c r="HFA64"/>
      <c r="HFB64"/>
      <c r="HFC64"/>
      <c r="HFD64"/>
      <c r="HFE64"/>
      <c r="HFF64"/>
      <c r="HFG64"/>
      <c r="HFH64"/>
      <c r="HFI64"/>
      <c r="HFJ64"/>
      <c r="HFK64"/>
      <c r="HFL64"/>
      <c r="HFM64"/>
      <c r="HFN64"/>
      <c r="HFO64"/>
      <c r="HFP64"/>
      <c r="HFQ64"/>
      <c r="HFR64"/>
      <c r="HFS64"/>
      <c r="HFT64"/>
      <c r="HFU64"/>
      <c r="HFV64"/>
      <c r="HFW64"/>
      <c r="HFX64"/>
      <c r="HFY64"/>
      <c r="HFZ64"/>
      <c r="HGA64"/>
      <c r="HGB64"/>
      <c r="HGC64"/>
      <c r="HGD64"/>
      <c r="HGE64"/>
      <c r="HGF64"/>
      <c r="HGG64"/>
      <c r="HGH64"/>
      <c r="HGI64"/>
      <c r="HGJ64"/>
      <c r="HGK64"/>
      <c r="HGL64"/>
      <c r="HGM64"/>
      <c r="HGN64"/>
      <c r="HGO64"/>
      <c r="HGP64"/>
      <c r="HGQ64"/>
      <c r="HGR64"/>
      <c r="HGS64"/>
      <c r="HGT64"/>
      <c r="HGU64"/>
      <c r="HGV64"/>
      <c r="HGW64"/>
      <c r="HGX64"/>
      <c r="HGY64"/>
      <c r="HGZ64"/>
      <c r="HHA64"/>
      <c r="HHB64"/>
      <c r="HHC64"/>
      <c r="HHD64"/>
      <c r="HHE64"/>
      <c r="HHF64"/>
      <c r="HHG64"/>
      <c r="HHH64"/>
      <c r="HHI64"/>
      <c r="HHJ64"/>
      <c r="HHK64"/>
      <c r="HHL64"/>
      <c r="HHM64"/>
      <c r="HHN64"/>
      <c r="HHO64"/>
      <c r="HHP64"/>
      <c r="HHQ64"/>
      <c r="HHR64"/>
      <c r="HHS64"/>
      <c r="HHT64"/>
      <c r="HHU64"/>
      <c r="HHV64"/>
      <c r="HHW64"/>
      <c r="HHX64"/>
      <c r="HHY64"/>
      <c r="HHZ64"/>
      <c r="HIA64"/>
      <c r="HIB64"/>
      <c r="HIC64"/>
      <c r="HID64"/>
      <c r="HIE64"/>
      <c r="HIF64"/>
      <c r="HIG64"/>
      <c r="HIH64"/>
      <c r="HII64"/>
      <c r="HIJ64"/>
      <c r="HIK64"/>
      <c r="HIL64"/>
      <c r="HIM64"/>
      <c r="HIN64"/>
      <c r="HIO64"/>
      <c r="HIP64"/>
      <c r="HIQ64"/>
      <c r="HIR64"/>
      <c r="HIS64"/>
      <c r="HIT64"/>
      <c r="HIU64"/>
      <c r="HIV64"/>
      <c r="HIW64"/>
      <c r="HIX64"/>
      <c r="HIY64"/>
      <c r="HIZ64"/>
      <c r="HJA64"/>
      <c r="HJB64"/>
      <c r="HJC64"/>
      <c r="HJD64"/>
      <c r="HJE64"/>
      <c r="HJF64"/>
      <c r="HJG64"/>
      <c r="HJH64"/>
      <c r="HJI64"/>
      <c r="HJJ64"/>
      <c r="HJK64"/>
      <c r="HJL64"/>
      <c r="HJM64"/>
      <c r="HJN64"/>
      <c r="HJO64"/>
      <c r="HJP64"/>
      <c r="HJQ64"/>
      <c r="HJR64"/>
      <c r="HJS64"/>
      <c r="HJT64"/>
      <c r="HJU64"/>
      <c r="HJV64"/>
      <c r="HJW64"/>
      <c r="HJX64"/>
      <c r="HJY64"/>
      <c r="HJZ64"/>
      <c r="HKA64"/>
      <c r="HKB64"/>
      <c r="HKC64"/>
      <c r="HKD64"/>
      <c r="HKE64"/>
      <c r="HKF64"/>
      <c r="HKG64"/>
      <c r="HKH64"/>
      <c r="HKI64"/>
      <c r="HKJ64"/>
      <c r="HKK64"/>
      <c r="HKL64"/>
      <c r="HKM64"/>
      <c r="HKN64"/>
      <c r="HKO64"/>
      <c r="HKP64"/>
      <c r="HKQ64"/>
      <c r="HKR64"/>
      <c r="HKS64"/>
      <c r="HKT64"/>
      <c r="HKU64"/>
      <c r="HKV64"/>
      <c r="HKW64"/>
      <c r="HKX64"/>
      <c r="HKY64"/>
      <c r="HKZ64"/>
      <c r="HLA64"/>
      <c r="HLB64"/>
      <c r="HLC64"/>
      <c r="HLD64"/>
      <c r="HLE64"/>
      <c r="HLF64"/>
      <c r="HLG64"/>
      <c r="HLH64"/>
      <c r="HLI64"/>
      <c r="HLJ64"/>
      <c r="HLK64"/>
      <c r="HLL64"/>
      <c r="HLM64"/>
      <c r="HLN64"/>
      <c r="HLO64"/>
      <c r="HLP64"/>
      <c r="HLQ64"/>
      <c r="HLR64"/>
      <c r="HLS64"/>
      <c r="HLT64"/>
      <c r="HLU64"/>
      <c r="HLV64"/>
      <c r="HLW64"/>
      <c r="HLX64"/>
      <c r="HLY64"/>
      <c r="HLZ64"/>
      <c r="HMA64"/>
      <c r="HMB64"/>
      <c r="HMC64"/>
      <c r="HMD64"/>
      <c r="HME64"/>
      <c r="HMF64"/>
      <c r="HMG64"/>
      <c r="HMH64"/>
      <c r="HMI64"/>
      <c r="HMJ64"/>
      <c r="HMK64"/>
      <c r="HML64"/>
      <c r="HMM64"/>
      <c r="HMN64"/>
      <c r="HMO64"/>
      <c r="HMP64"/>
      <c r="HMQ64"/>
      <c r="HMR64"/>
      <c r="HMS64"/>
      <c r="HMT64"/>
      <c r="HMU64"/>
      <c r="HMV64"/>
      <c r="HMW64"/>
      <c r="HMX64"/>
      <c r="HMY64"/>
      <c r="HMZ64"/>
      <c r="HNA64"/>
      <c r="HNB64"/>
      <c r="HNC64"/>
      <c r="HND64"/>
      <c r="HNE64"/>
      <c r="HNF64"/>
      <c r="HNG64"/>
      <c r="HNH64"/>
      <c r="HNI64"/>
      <c r="HNJ64"/>
      <c r="HNK64"/>
      <c r="HNL64"/>
      <c r="HNM64"/>
      <c r="HNN64"/>
      <c r="HNO64"/>
      <c r="HNP64"/>
      <c r="HNQ64"/>
      <c r="HNR64"/>
      <c r="HNS64"/>
      <c r="HNT64"/>
      <c r="HNU64"/>
      <c r="HNV64"/>
      <c r="HNW64"/>
      <c r="HNX64"/>
      <c r="HNY64"/>
      <c r="HNZ64"/>
      <c r="HOA64"/>
      <c r="HOB64"/>
      <c r="HOC64"/>
      <c r="HOD64"/>
      <c r="HOE64"/>
      <c r="HOF64"/>
      <c r="HOG64"/>
      <c r="HOH64"/>
      <c r="HOI64"/>
      <c r="HOJ64"/>
      <c r="HOK64"/>
      <c r="HOL64"/>
      <c r="HOM64"/>
      <c r="HON64"/>
      <c r="HOO64"/>
      <c r="HOP64"/>
      <c r="HOQ64"/>
      <c r="HOR64"/>
      <c r="HOS64"/>
      <c r="HOT64"/>
      <c r="HOU64"/>
      <c r="HOV64"/>
      <c r="HOW64"/>
      <c r="HOX64"/>
      <c r="HOY64"/>
      <c r="HOZ64"/>
      <c r="HPA64"/>
      <c r="HPB64"/>
      <c r="HPC64"/>
      <c r="HPD64"/>
      <c r="HPE64"/>
      <c r="HPF64"/>
      <c r="HPG64"/>
      <c r="HPH64"/>
      <c r="HPI64"/>
      <c r="HPJ64"/>
      <c r="HPK64"/>
      <c r="HPL64"/>
      <c r="HPM64"/>
      <c r="HPN64"/>
      <c r="HPO64"/>
      <c r="HPP64"/>
      <c r="HPQ64"/>
      <c r="HPR64"/>
      <c r="HPS64"/>
      <c r="HPT64"/>
      <c r="HPU64"/>
      <c r="HPV64"/>
      <c r="HPW64"/>
      <c r="HPX64"/>
      <c r="HPY64"/>
      <c r="HPZ64"/>
      <c r="HQA64"/>
      <c r="HQB64"/>
      <c r="HQC64"/>
      <c r="HQD64"/>
      <c r="HQE64"/>
      <c r="HQF64"/>
      <c r="HQG64"/>
      <c r="HQH64"/>
      <c r="HQI64"/>
      <c r="HQJ64"/>
      <c r="HQK64"/>
      <c r="HQL64"/>
      <c r="HQM64"/>
      <c r="HQN64"/>
      <c r="HQO64"/>
      <c r="HQP64"/>
      <c r="HQQ64"/>
      <c r="HQR64"/>
      <c r="HQS64"/>
      <c r="HQT64"/>
      <c r="HQU64"/>
      <c r="HQV64"/>
      <c r="HQW64"/>
      <c r="HQX64"/>
      <c r="HQY64"/>
      <c r="HQZ64"/>
      <c r="HRA64"/>
      <c r="HRB64"/>
      <c r="HRC64"/>
      <c r="HRD64"/>
      <c r="HRE64"/>
      <c r="HRF64"/>
      <c r="HRG64"/>
      <c r="HRH64"/>
      <c r="HRI64"/>
      <c r="HRJ64"/>
      <c r="HRK64"/>
      <c r="HRL64"/>
      <c r="HRM64"/>
      <c r="HRN64"/>
      <c r="HRO64"/>
      <c r="HRP64"/>
      <c r="HRQ64"/>
      <c r="HRR64"/>
      <c r="HRS64"/>
      <c r="HRT64"/>
      <c r="HRU64"/>
      <c r="HRV64"/>
      <c r="HRW64"/>
      <c r="HRX64"/>
      <c r="HRY64"/>
      <c r="HRZ64"/>
      <c r="HSA64"/>
      <c r="HSB64"/>
      <c r="HSC64"/>
      <c r="HSD64"/>
      <c r="HSE64"/>
      <c r="HSF64"/>
      <c r="HSG64"/>
      <c r="HSH64"/>
      <c r="HSI64"/>
      <c r="HSJ64"/>
      <c r="HSK64"/>
      <c r="HSL64"/>
      <c r="HSM64"/>
      <c r="HSN64"/>
      <c r="HSO64"/>
      <c r="HSP64"/>
      <c r="HSQ64"/>
      <c r="HSR64"/>
      <c r="HSS64"/>
      <c r="HST64"/>
      <c r="HSU64"/>
      <c r="HSV64"/>
      <c r="HSW64"/>
      <c r="HSX64"/>
      <c r="HSY64"/>
      <c r="HSZ64"/>
      <c r="HTA64"/>
      <c r="HTB64"/>
      <c r="HTC64"/>
      <c r="HTD64"/>
      <c r="HTE64"/>
      <c r="HTF64"/>
      <c r="HTG64"/>
      <c r="HTH64"/>
      <c r="HTI64"/>
      <c r="HTJ64"/>
      <c r="HTK64"/>
      <c r="HTL64"/>
      <c r="HTM64"/>
      <c r="HTN64"/>
      <c r="HTO64"/>
      <c r="HTP64"/>
      <c r="HTQ64"/>
      <c r="HTR64"/>
      <c r="HTS64"/>
      <c r="HTT64"/>
      <c r="HTU64"/>
      <c r="HTV64"/>
      <c r="HTW64"/>
      <c r="HTX64"/>
      <c r="HTY64"/>
      <c r="HTZ64"/>
      <c r="HUA64"/>
      <c r="HUB64"/>
      <c r="HUC64"/>
      <c r="HUD64"/>
      <c r="HUE64"/>
      <c r="HUF64"/>
      <c r="HUG64"/>
      <c r="HUH64"/>
      <c r="HUI64"/>
      <c r="HUJ64"/>
      <c r="HUK64"/>
      <c r="HUL64"/>
      <c r="HUM64"/>
      <c r="HUN64"/>
      <c r="HUO64"/>
      <c r="HUP64"/>
      <c r="HUQ64"/>
      <c r="HUR64"/>
      <c r="HUS64"/>
      <c r="HUT64"/>
      <c r="HUU64"/>
      <c r="HUV64"/>
      <c r="HUW64"/>
      <c r="HUX64"/>
      <c r="HUY64"/>
      <c r="HUZ64"/>
      <c r="HVA64"/>
      <c r="HVB64"/>
      <c r="HVC64"/>
      <c r="HVD64"/>
      <c r="HVE64"/>
      <c r="HVF64"/>
      <c r="HVG64"/>
      <c r="HVH64"/>
      <c r="HVI64"/>
      <c r="HVJ64"/>
      <c r="HVK64"/>
      <c r="HVL64"/>
      <c r="HVM64"/>
      <c r="HVN64"/>
      <c r="HVO64"/>
      <c r="HVP64"/>
      <c r="HVQ64"/>
      <c r="HVR64"/>
      <c r="HVS64"/>
      <c r="HVT64"/>
      <c r="HVU64"/>
      <c r="HVV64"/>
      <c r="HVW64"/>
      <c r="HVX64"/>
      <c r="HVY64"/>
      <c r="HVZ64"/>
      <c r="HWA64"/>
      <c r="HWB64"/>
      <c r="HWC64"/>
      <c r="HWD64"/>
      <c r="HWE64"/>
      <c r="HWF64"/>
      <c r="HWG64"/>
      <c r="HWH64"/>
      <c r="HWI64"/>
      <c r="HWJ64"/>
      <c r="HWK64"/>
      <c r="HWL64"/>
      <c r="HWM64"/>
      <c r="HWN64"/>
      <c r="HWO64"/>
      <c r="HWP64"/>
      <c r="HWQ64"/>
      <c r="HWR64"/>
      <c r="HWS64"/>
      <c r="HWT64"/>
      <c r="HWU64"/>
      <c r="HWV64"/>
      <c r="HWW64"/>
      <c r="HWX64"/>
      <c r="HWY64"/>
      <c r="HWZ64"/>
      <c r="HXA64"/>
      <c r="HXB64"/>
      <c r="HXC64"/>
      <c r="HXD64"/>
      <c r="HXE64"/>
      <c r="HXF64"/>
      <c r="HXG64"/>
      <c r="HXH64"/>
      <c r="HXI64"/>
      <c r="HXJ64"/>
      <c r="HXK64"/>
      <c r="HXL64"/>
      <c r="HXM64"/>
      <c r="HXN64"/>
      <c r="HXO64"/>
      <c r="HXP64"/>
      <c r="HXQ64"/>
      <c r="HXR64"/>
      <c r="HXS64"/>
      <c r="HXT64"/>
      <c r="HXU64"/>
      <c r="HXV64"/>
      <c r="HXW64"/>
      <c r="HXX64"/>
      <c r="HXY64"/>
      <c r="HXZ64"/>
      <c r="HYA64"/>
      <c r="HYB64"/>
      <c r="HYC64"/>
      <c r="HYD64"/>
      <c r="HYE64"/>
      <c r="HYF64"/>
      <c r="HYG64"/>
      <c r="HYH64"/>
      <c r="HYI64"/>
      <c r="HYJ64"/>
      <c r="HYK64"/>
      <c r="HYL64"/>
      <c r="HYM64"/>
      <c r="HYN64"/>
      <c r="HYO64"/>
      <c r="HYP64"/>
      <c r="HYQ64"/>
      <c r="HYR64"/>
      <c r="HYS64"/>
      <c r="HYT64"/>
      <c r="HYU64"/>
      <c r="HYV64"/>
      <c r="HYW64"/>
      <c r="HYX64"/>
      <c r="HYY64"/>
      <c r="HYZ64"/>
      <c r="HZA64"/>
      <c r="HZB64"/>
      <c r="HZC64"/>
      <c r="HZD64"/>
      <c r="HZE64"/>
      <c r="HZF64"/>
      <c r="HZG64"/>
      <c r="HZH64"/>
      <c r="HZI64"/>
      <c r="HZJ64"/>
      <c r="HZK64"/>
      <c r="HZL64"/>
      <c r="HZM64"/>
      <c r="HZN64"/>
      <c r="HZO64"/>
      <c r="HZP64"/>
      <c r="HZQ64"/>
      <c r="HZR64"/>
      <c r="HZS64"/>
      <c r="HZT64"/>
      <c r="HZU64"/>
      <c r="HZV64"/>
      <c r="HZW64"/>
      <c r="HZX64"/>
      <c r="HZY64"/>
      <c r="HZZ64"/>
      <c r="IAA64"/>
      <c r="IAB64"/>
      <c r="IAC64"/>
      <c r="IAD64"/>
      <c r="IAE64"/>
      <c r="IAF64"/>
      <c r="IAG64"/>
      <c r="IAH64"/>
      <c r="IAI64"/>
      <c r="IAJ64"/>
      <c r="IAK64"/>
      <c r="IAL64"/>
      <c r="IAM64"/>
      <c r="IAN64"/>
      <c r="IAO64"/>
      <c r="IAP64"/>
      <c r="IAQ64"/>
      <c r="IAR64"/>
      <c r="IAS64"/>
      <c r="IAT64"/>
      <c r="IAU64"/>
      <c r="IAV64"/>
      <c r="IAW64"/>
      <c r="IAX64"/>
      <c r="IAY64"/>
      <c r="IAZ64"/>
      <c r="IBA64"/>
      <c r="IBB64"/>
      <c r="IBC64"/>
      <c r="IBD64"/>
      <c r="IBE64"/>
      <c r="IBF64"/>
      <c r="IBG64"/>
      <c r="IBH64"/>
      <c r="IBI64"/>
      <c r="IBJ64"/>
      <c r="IBK64"/>
      <c r="IBL64"/>
      <c r="IBM64"/>
      <c r="IBN64"/>
      <c r="IBO64"/>
      <c r="IBP64"/>
      <c r="IBQ64"/>
      <c r="IBR64"/>
      <c r="IBS64"/>
      <c r="IBT64"/>
      <c r="IBU64"/>
      <c r="IBV64"/>
      <c r="IBW64"/>
      <c r="IBX64"/>
      <c r="IBY64"/>
      <c r="IBZ64"/>
      <c r="ICA64"/>
      <c r="ICB64"/>
      <c r="ICC64"/>
      <c r="ICD64"/>
      <c r="ICE64"/>
      <c r="ICF64"/>
      <c r="ICG64"/>
      <c r="ICH64"/>
      <c r="ICI64"/>
      <c r="ICJ64"/>
      <c r="ICK64"/>
      <c r="ICL64"/>
      <c r="ICM64"/>
      <c r="ICN64"/>
      <c r="ICO64"/>
      <c r="ICP64"/>
      <c r="ICQ64"/>
      <c r="ICR64"/>
      <c r="ICS64"/>
      <c r="ICT64"/>
      <c r="ICU64"/>
      <c r="ICV64"/>
      <c r="ICW64"/>
      <c r="ICX64"/>
      <c r="ICY64"/>
      <c r="ICZ64"/>
      <c r="IDA64"/>
      <c r="IDB64"/>
      <c r="IDC64"/>
      <c r="IDD64"/>
      <c r="IDE64"/>
      <c r="IDF64"/>
      <c r="IDG64"/>
      <c r="IDH64"/>
      <c r="IDI64"/>
      <c r="IDJ64"/>
      <c r="IDK64"/>
      <c r="IDL64"/>
      <c r="IDM64"/>
      <c r="IDN64"/>
      <c r="IDO64"/>
      <c r="IDP64"/>
      <c r="IDQ64"/>
      <c r="IDR64"/>
      <c r="IDS64"/>
      <c r="IDT64"/>
      <c r="IDU64"/>
      <c r="IDV64"/>
      <c r="IDW64"/>
      <c r="IDX64"/>
      <c r="IDY64"/>
      <c r="IDZ64"/>
      <c r="IEA64"/>
      <c r="IEB64"/>
      <c r="IEC64"/>
      <c r="IED64"/>
      <c r="IEE64"/>
      <c r="IEF64"/>
      <c r="IEG64"/>
      <c r="IEH64"/>
      <c r="IEI64"/>
      <c r="IEJ64"/>
      <c r="IEK64"/>
      <c r="IEL64"/>
      <c r="IEM64"/>
      <c r="IEN64"/>
      <c r="IEO64"/>
      <c r="IEP64"/>
      <c r="IEQ64"/>
      <c r="IER64"/>
      <c r="IES64"/>
      <c r="IET64"/>
      <c r="IEU64"/>
      <c r="IEV64"/>
      <c r="IEW64"/>
      <c r="IEX64"/>
      <c r="IEY64"/>
      <c r="IEZ64"/>
      <c r="IFA64"/>
      <c r="IFB64"/>
      <c r="IFC64"/>
      <c r="IFD64"/>
      <c r="IFE64"/>
      <c r="IFF64"/>
      <c r="IFG64"/>
      <c r="IFH64"/>
      <c r="IFI64"/>
      <c r="IFJ64"/>
      <c r="IFK64"/>
      <c r="IFL64"/>
      <c r="IFM64"/>
      <c r="IFN64"/>
      <c r="IFO64"/>
      <c r="IFP64"/>
      <c r="IFQ64"/>
      <c r="IFR64"/>
      <c r="IFS64"/>
      <c r="IFT64"/>
      <c r="IFU64"/>
      <c r="IFV64"/>
      <c r="IFW64"/>
      <c r="IFX64"/>
      <c r="IFY64"/>
      <c r="IFZ64"/>
      <c r="IGA64"/>
      <c r="IGB64"/>
      <c r="IGC64"/>
      <c r="IGD64"/>
      <c r="IGE64"/>
      <c r="IGF64"/>
      <c r="IGG64"/>
      <c r="IGH64"/>
      <c r="IGI64"/>
      <c r="IGJ64"/>
      <c r="IGK64"/>
      <c r="IGL64"/>
      <c r="IGM64"/>
      <c r="IGN64"/>
      <c r="IGO64"/>
      <c r="IGP64"/>
      <c r="IGQ64"/>
      <c r="IGR64"/>
      <c r="IGS64"/>
      <c r="IGT64"/>
      <c r="IGU64"/>
      <c r="IGV64"/>
      <c r="IGW64"/>
      <c r="IGX64"/>
      <c r="IGY64"/>
      <c r="IGZ64"/>
      <c r="IHA64"/>
      <c r="IHB64"/>
      <c r="IHC64"/>
      <c r="IHD64"/>
      <c r="IHE64"/>
      <c r="IHF64"/>
      <c r="IHG64"/>
      <c r="IHH64"/>
      <c r="IHI64"/>
      <c r="IHJ64"/>
      <c r="IHK64"/>
      <c r="IHL64"/>
      <c r="IHM64"/>
      <c r="IHN64"/>
      <c r="IHO64"/>
      <c r="IHP64"/>
      <c r="IHQ64"/>
      <c r="IHR64"/>
      <c r="IHS64"/>
      <c r="IHT64"/>
      <c r="IHU64"/>
      <c r="IHV64"/>
      <c r="IHW64"/>
      <c r="IHX64"/>
      <c r="IHY64"/>
      <c r="IHZ64"/>
      <c r="IIA64"/>
      <c r="IIB64"/>
      <c r="IIC64"/>
      <c r="IID64"/>
      <c r="IIE64"/>
      <c r="IIF64"/>
      <c r="IIG64"/>
      <c r="IIH64"/>
      <c r="III64"/>
      <c r="IIJ64"/>
      <c r="IIK64"/>
      <c r="IIL64"/>
      <c r="IIM64"/>
      <c r="IIN64"/>
      <c r="IIO64"/>
      <c r="IIP64"/>
      <c r="IIQ64"/>
      <c r="IIR64"/>
      <c r="IIS64"/>
      <c r="IIT64"/>
      <c r="IIU64"/>
      <c r="IIV64"/>
      <c r="IIW64"/>
      <c r="IIX64"/>
      <c r="IIY64"/>
      <c r="IIZ64"/>
      <c r="IJA64"/>
      <c r="IJB64"/>
      <c r="IJC64"/>
      <c r="IJD64"/>
      <c r="IJE64"/>
      <c r="IJF64"/>
      <c r="IJG64"/>
      <c r="IJH64"/>
      <c r="IJI64"/>
      <c r="IJJ64"/>
      <c r="IJK64"/>
      <c r="IJL64"/>
      <c r="IJM64"/>
      <c r="IJN64"/>
      <c r="IJO64"/>
      <c r="IJP64"/>
      <c r="IJQ64"/>
      <c r="IJR64"/>
      <c r="IJS64"/>
      <c r="IJT64"/>
      <c r="IJU64"/>
      <c r="IJV64"/>
      <c r="IJW64"/>
      <c r="IJX64"/>
      <c r="IJY64"/>
      <c r="IJZ64"/>
      <c r="IKA64"/>
      <c r="IKB64"/>
      <c r="IKC64"/>
      <c r="IKD64"/>
      <c r="IKE64"/>
      <c r="IKF64"/>
      <c r="IKG64"/>
      <c r="IKH64"/>
      <c r="IKI64"/>
      <c r="IKJ64"/>
      <c r="IKK64"/>
      <c r="IKL64"/>
      <c r="IKM64"/>
      <c r="IKN64"/>
      <c r="IKO64"/>
      <c r="IKP64"/>
      <c r="IKQ64"/>
      <c r="IKR64"/>
      <c r="IKS64"/>
      <c r="IKT64"/>
      <c r="IKU64"/>
      <c r="IKV64"/>
      <c r="IKW64"/>
      <c r="IKX64"/>
      <c r="IKY64"/>
      <c r="IKZ64"/>
      <c r="ILA64"/>
      <c r="ILB64"/>
      <c r="ILC64"/>
      <c r="ILD64"/>
      <c r="ILE64"/>
      <c r="ILF64"/>
      <c r="ILG64"/>
      <c r="ILH64"/>
      <c r="ILI64"/>
      <c r="ILJ64"/>
      <c r="ILK64"/>
      <c r="ILL64"/>
      <c r="ILM64"/>
      <c r="ILN64"/>
      <c r="ILO64"/>
      <c r="ILP64"/>
      <c r="ILQ64"/>
      <c r="ILR64"/>
      <c r="ILS64"/>
      <c r="ILT64"/>
      <c r="ILU64"/>
      <c r="ILV64"/>
      <c r="ILW64"/>
      <c r="ILX64"/>
      <c r="ILY64"/>
      <c r="ILZ64"/>
      <c r="IMA64"/>
      <c r="IMB64"/>
      <c r="IMC64"/>
      <c r="IMD64"/>
      <c r="IME64"/>
      <c r="IMF64"/>
      <c r="IMG64"/>
      <c r="IMH64"/>
      <c r="IMI64"/>
      <c r="IMJ64"/>
      <c r="IMK64"/>
      <c r="IML64"/>
      <c r="IMM64"/>
      <c r="IMN64"/>
      <c r="IMO64"/>
      <c r="IMP64"/>
      <c r="IMQ64"/>
      <c r="IMR64"/>
      <c r="IMS64"/>
      <c r="IMT64"/>
      <c r="IMU64"/>
      <c r="IMV64"/>
      <c r="IMW64"/>
      <c r="IMX64"/>
      <c r="IMY64"/>
      <c r="IMZ64"/>
      <c r="INA64"/>
      <c r="INB64"/>
      <c r="INC64"/>
      <c r="IND64"/>
      <c r="INE64"/>
      <c r="INF64"/>
      <c r="ING64"/>
      <c r="INH64"/>
      <c r="INI64"/>
      <c r="INJ64"/>
      <c r="INK64"/>
      <c r="INL64"/>
      <c r="INM64"/>
      <c r="INN64"/>
      <c r="INO64"/>
      <c r="INP64"/>
      <c r="INQ64"/>
      <c r="INR64"/>
      <c r="INS64"/>
      <c r="INT64"/>
      <c r="INU64"/>
      <c r="INV64"/>
      <c r="INW64"/>
      <c r="INX64"/>
      <c r="INY64"/>
      <c r="INZ64"/>
      <c r="IOA64"/>
      <c r="IOB64"/>
      <c r="IOC64"/>
      <c r="IOD64"/>
      <c r="IOE64"/>
      <c r="IOF64"/>
      <c r="IOG64"/>
      <c r="IOH64"/>
      <c r="IOI64"/>
      <c r="IOJ64"/>
      <c r="IOK64"/>
      <c r="IOL64"/>
      <c r="IOM64"/>
      <c r="ION64"/>
      <c r="IOO64"/>
      <c r="IOP64"/>
      <c r="IOQ64"/>
      <c r="IOR64"/>
      <c r="IOS64"/>
      <c r="IOT64"/>
      <c r="IOU64"/>
      <c r="IOV64"/>
      <c r="IOW64"/>
      <c r="IOX64"/>
      <c r="IOY64"/>
      <c r="IOZ64"/>
      <c r="IPA64"/>
      <c r="IPB64"/>
      <c r="IPC64"/>
      <c r="IPD64"/>
      <c r="IPE64"/>
      <c r="IPF64"/>
      <c r="IPG64"/>
      <c r="IPH64"/>
      <c r="IPI64"/>
      <c r="IPJ64"/>
      <c r="IPK64"/>
      <c r="IPL64"/>
      <c r="IPM64"/>
      <c r="IPN64"/>
      <c r="IPO64"/>
      <c r="IPP64"/>
      <c r="IPQ64"/>
      <c r="IPR64"/>
      <c r="IPS64"/>
      <c r="IPT64"/>
      <c r="IPU64"/>
      <c r="IPV64"/>
      <c r="IPW64"/>
      <c r="IPX64"/>
      <c r="IPY64"/>
      <c r="IPZ64"/>
      <c r="IQA64"/>
      <c r="IQB64"/>
      <c r="IQC64"/>
      <c r="IQD64"/>
      <c r="IQE64"/>
      <c r="IQF64"/>
      <c r="IQG64"/>
      <c r="IQH64"/>
      <c r="IQI64"/>
      <c r="IQJ64"/>
      <c r="IQK64"/>
      <c r="IQL64"/>
      <c r="IQM64"/>
      <c r="IQN64"/>
      <c r="IQO64"/>
      <c r="IQP64"/>
      <c r="IQQ64"/>
      <c r="IQR64"/>
      <c r="IQS64"/>
      <c r="IQT64"/>
      <c r="IQU64"/>
      <c r="IQV64"/>
      <c r="IQW64"/>
      <c r="IQX64"/>
      <c r="IQY64"/>
      <c r="IQZ64"/>
      <c r="IRA64"/>
      <c r="IRB64"/>
      <c r="IRC64"/>
      <c r="IRD64"/>
      <c r="IRE64"/>
      <c r="IRF64"/>
      <c r="IRG64"/>
      <c r="IRH64"/>
      <c r="IRI64"/>
      <c r="IRJ64"/>
      <c r="IRK64"/>
      <c r="IRL64"/>
      <c r="IRM64"/>
      <c r="IRN64"/>
      <c r="IRO64"/>
      <c r="IRP64"/>
      <c r="IRQ64"/>
      <c r="IRR64"/>
      <c r="IRS64"/>
      <c r="IRT64"/>
      <c r="IRU64"/>
      <c r="IRV64"/>
      <c r="IRW64"/>
      <c r="IRX64"/>
      <c r="IRY64"/>
      <c r="IRZ64"/>
      <c r="ISA64"/>
      <c r="ISB64"/>
      <c r="ISC64"/>
      <c r="ISD64"/>
      <c r="ISE64"/>
      <c r="ISF64"/>
      <c r="ISG64"/>
      <c r="ISH64"/>
      <c r="ISI64"/>
      <c r="ISJ64"/>
      <c r="ISK64"/>
      <c r="ISL64"/>
      <c r="ISM64"/>
      <c r="ISN64"/>
      <c r="ISO64"/>
      <c r="ISP64"/>
      <c r="ISQ64"/>
      <c r="ISR64"/>
      <c r="ISS64"/>
      <c r="IST64"/>
      <c r="ISU64"/>
      <c r="ISV64"/>
      <c r="ISW64"/>
      <c r="ISX64"/>
      <c r="ISY64"/>
      <c r="ISZ64"/>
      <c r="ITA64"/>
      <c r="ITB64"/>
      <c r="ITC64"/>
      <c r="ITD64"/>
      <c r="ITE64"/>
      <c r="ITF64"/>
      <c r="ITG64"/>
      <c r="ITH64"/>
      <c r="ITI64"/>
      <c r="ITJ64"/>
      <c r="ITK64"/>
      <c r="ITL64"/>
      <c r="ITM64"/>
      <c r="ITN64"/>
      <c r="ITO64"/>
      <c r="ITP64"/>
      <c r="ITQ64"/>
      <c r="ITR64"/>
      <c r="ITS64"/>
      <c r="ITT64"/>
      <c r="ITU64"/>
      <c r="ITV64"/>
      <c r="ITW64"/>
      <c r="ITX64"/>
      <c r="ITY64"/>
      <c r="ITZ64"/>
      <c r="IUA64"/>
      <c r="IUB64"/>
      <c r="IUC64"/>
      <c r="IUD64"/>
      <c r="IUE64"/>
      <c r="IUF64"/>
      <c r="IUG64"/>
      <c r="IUH64"/>
      <c r="IUI64"/>
      <c r="IUJ64"/>
      <c r="IUK64"/>
      <c r="IUL64"/>
      <c r="IUM64"/>
      <c r="IUN64"/>
      <c r="IUO64"/>
      <c r="IUP64"/>
      <c r="IUQ64"/>
      <c r="IUR64"/>
      <c r="IUS64"/>
      <c r="IUT64"/>
      <c r="IUU64"/>
      <c r="IUV64"/>
      <c r="IUW64"/>
      <c r="IUX64"/>
      <c r="IUY64"/>
      <c r="IUZ64"/>
      <c r="IVA64"/>
      <c r="IVB64"/>
      <c r="IVC64"/>
      <c r="IVD64"/>
      <c r="IVE64"/>
      <c r="IVF64"/>
      <c r="IVG64"/>
      <c r="IVH64"/>
      <c r="IVI64"/>
      <c r="IVJ64"/>
      <c r="IVK64"/>
      <c r="IVL64"/>
      <c r="IVM64"/>
      <c r="IVN64"/>
      <c r="IVO64"/>
      <c r="IVP64"/>
      <c r="IVQ64"/>
      <c r="IVR64"/>
      <c r="IVS64"/>
      <c r="IVT64"/>
      <c r="IVU64"/>
      <c r="IVV64"/>
      <c r="IVW64"/>
      <c r="IVX64"/>
      <c r="IVY64"/>
      <c r="IVZ64"/>
      <c r="IWA64"/>
      <c r="IWB64"/>
      <c r="IWC64"/>
      <c r="IWD64"/>
      <c r="IWE64"/>
      <c r="IWF64"/>
      <c r="IWG64"/>
      <c r="IWH64"/>
      <c r="IWI64"/>
      <c r="IWJ64"/>
      <c r="IWK64"/>
      <c r="IWL64"/>
      <c r="IWM64"/>
      <c r="IWN64"/>
      <c r="IWO64"/>
      <c r="IWP64"/>
      <c r="IWQ64"/>
      <c r="IWR64"/>
      <c r="IWS64"/>
      <c r="IWT64"/>
      <c r="IWU64"/>
      <c r="IWV64"/>
      <c r="IWW64"/>
      <c r="IWX64"/>
      <c r="IWY64"/>
      <c r="IWZ64"/>
      <c r="IXA64"/>
      <c r="IXB64"/>
      <c r="IXC64"/>
      <c r="IXD64"/>
      <c r="IXE64"/>
      <c r="IXF64"/>
      <c r="IXG64"/>
      <c r="IXH64"/>
      <c r="IXI64"/>
      <c r="IXJ64"/>
      <c r="IXK64"/>
      <c r="IXL64"/>
      <c r="IXM64"/>
      <c r="IXN64"/>
      <c r="IXO64"/>
      <c r="IXP64"/>
      <c r="IXQ64"/>
      <c r="IXR64"/>
      <c r="IXS64"/>
      <c r="IXT64"/>
      <c r="IXU64"/>
      <c r="IXV64"/>
      <c r="IXW64"/>
      <c r="IXX64"/>
      <c r="IXY64"/>
      <c r="IXZ64"/>
      <c r="IYA64"/>
      <c r="IYB64"/>
      <c r="IYC64"/>
      <c r="IYD64"/>
      <c r="IYE64"/>
      <c r="IYF64"/>
      <c r="IYG64"/>
      <c r="IYH64"/>
      <c r="IYI64"/>
      <c r="IYJ64"/>
      <c r="IYK64"/>
      <c r="IYL64"/>
      <c r="IYM64"/>
      <c r="IYN64"/>
      <c r="IYO64"/>
      <c r="IYP64"/>
      <c r="IYQ64"/>
      <c r="IYR64"/>
      <c r="IYS64"/>
      <c r="IYT64"/>
      <c r="IYU64"/>
      <c r="IYV64"/>
      <c r="IYW64"/>
      <c r="IYX64"/>
      <c r="IYY64"/>
      <c r="IYZ64"/>
      <c r="IZA64"/>
      <c r="IZB64"/>
      <c r="IZC64"/>
      <c r="IZD64"/>
      <c r="IZE64"/>
      <c r="IZF64"/>
      <c r="IZG64"/>
      <c r="IZH64"/>
      <c r="IZI64"/>
      <c r="IZJ64"/>
      <c r="IZK64"/>
      <c r="IZL64"/>
      <c r="IZM64"/>
      <c r="IZN64"/>
      <c r="IZO64"/>
      <c r="IZP64"/>
      <c r="IZQ64"/>
      <c r="IZR64"/>
      <c r="IZS64"/>
      <c r="IZT64"/>
      <c r="IZU64"/>
      <c r="IZV64"/>
      <c r="IZW64"/>
      <c r="IZX64"/>
      <c r="IZY64"/>
      <c r="IZZ64"/>
      <c r="JAA64"/>
      <c r="JAB64"/>
      <c r="JAC64"/>
      <c r="JAD64"/>
      <c r="JAE64"/>
      <c r="JAF64"/>
      <c r="JAG64"/>
      <c r="JAH64"/>
      <c r="JAI64"/>
      <c r="JAJ64"/>
      <c r="JAK64"/>
      <c r="JAL64"/>
      <c r="JAM64"/>
      <c r="JAN64"/>
      <c r="JAO64"/>
      <c r="JAP64"/>
      <c r="JAQ64"/>
      <c r="JAR64"/>
      <c r="JAS64"/>
      <c r="JAT64"/>
      <c r="JAU64"/>
      <c r="JAV64"/>
      <c r="JAW64"/>
      <c r="JAX64"/>
      <c r="JAY64"/>
      <c r="JAZ64"/>
      <c r="JBA64"/>
      <c r="JBB64"/>
      <c r="JBC64"/>
      <c r="JBD64"/>
      <c r="JBE64"/>
      <c r="JBF64"/>
      <c r="JBG64"/>
      <c r="JBH64"/>
      <c r="JBI64"/>
      <c r="JBJ64"/>
      <c r="JBK64"/>
      <c r="JBL64"/>
      <c r="JBM64"/>
      <c r="JBN64"/>
      <c r="JBO64"/>
      <c r="JBP64"/>
      <c r="JBQ64"/>
      <c r="JBR64"/>
      <c r="JBS64"/>
      <c r="JBT64"/>
      <c r="JBU64"/>
      <c r="JBV64"/>
      <c r="JBW64"/>
      <c r="JBX64"/>
      <c r="JBY64"/>
      <c r="JBZ64"/>
      <c r="JCA64"/>
      <c r="JCB64"/>
      <c r="JCC64"/>
      <c r="JCD64"/>
      <c r="JCE64"/>
      <c r="JCF64"/>
      <c r="JCG64"/>
      <c r="JCH64"/>
      <c r="JCI64"/>
      <c r="JCJ64"/>
      <c r="JCK64"/>
      <c r="JCL64"/>
      <c r="JCM64"/>
      <c r="JCN64"/>
      <c r="JCO64"/>
      <c r="JCP64"/>
      <c r="JCQ64"/>
      <c r="JCR64"/>
      <c r="JCS64"/>
      <c r="JCT64"/>
      <c r="JCU64"/>
      <c r="JCV64"/>
      <c r="JCW64"/>
      <c r="JCX64"/>
      <c r="JCY64"/>
      <c r="JCZ64"/>
      <c r="JDA64"/>
      <c r="JDB64"/>
      <c r="JDC64"/>
      <c r="JDD64"/>
      <c r="JDE64"/>
      <c r="JDF64"/>
      <c r="JDG64"/>
      <c r="JDH64"/>
      <c r="JDI64"/>
      <c r="JDJ64"/>
      <c r="JDK64"/>
      <c r="JDL64"/>
      <c r="JDM64"/>
      <c r="JDN64"/>
      <c r="JDO64"/>
      <c r="JDP64"/>
      <c r="JDQ64"/>
      <c r="JDR64"/>
      <c r="JDS64"/>
      <c r="JDT64"/>
      <c r="JDU64"/>
      <c r="JDV64"/>
      <c r="JDW64"/>
      <c r="JDX64"/>
      <c r="JDY64"/>
      <c r="JDZ64"/>
      <c r="JEA64"/>
      <c r="JEB64"/>
      <c r="JEC64"/>
      <c r="JED64"/>
      <c r="JEE64"/>
      <c r="JEF64"/>
      <c r="JEG64"/>
      <c r="JEH64"/>
      <c r="JEI64"/>
      <c r="JEJ64"/>
      <c r="JEK64"/>
      <c r="JEL64"/>
      <c r="JEM64"/>
      <c r="JEN64"/>
      <c r="JEO64"/>
      <c r="JEP64"/>
      <c r="JEQ64"/>
      <c r="JER64"/>
      <c r="JES64"/>
      <c r="JET64"/>
      <c r="JEU64"/>
      <c r="JEV64"/>
      <c r="JEW64"/>
      <c r="JEX64"/>
      <c r="JEY64"/>
      <c r="JEZ64"/>
      <c r="JFA64"/>
      <c r="JFB64"/>
      <c r="JFC64"/>
      <c r="JFD64"/>
      <c r="JFE64"/>
      <c r="JFF64"/>
      <c r="JFG64"/>
      <c r="JFH64"/>
      <c r="JFI64"/>
      <c r="JFJ64"/>
      <c r="JFK64"/>
      <c r="JFL64"/>
      <c r="JFM64"/>
      <c r="JFN64"/>
      <c r="JFO64"/>
      <c r="JFP64"/>
      <c r="JFQ64"/>
      <c r="JFR64"/>
      <c r="JFS64"/>
      <c r="JFT64"/>
      <c r="JFU64"/>
      <c r="JFV64"/>
      <c r="JFW64"/>
      <c r="JFX64"/>
      <c r="JFY64"/>
      <c r="JFZ64"/>
      <c r="JGA64"/>
      <c r="JGB64"/>
      <c r="JGC64"/>
      <c r="JGD64"/>
      <c r="JGE64"/>
      <c r="JGF64"/>
      <c r="JGG64"/>
      <c r="JGH64"/>
      <c r="JGI64"/>
      <c r="JGJ64"/>
      <c r="JGK64"/>
      <c r="JGL64"/>
      <c r="JGM64"/>
      <c r="JGN64"/>
      <c r="JGO64"/>
      <c r="JGP64"/>
      <c r="JGQ64"/>
      <c r="JGR64"/>
      <c r="JGS64"/>
      <c r="JGT64"/>
      <c r="JGU64"/>
      <c r="JGV64"/>
      <c r="JGW64"/>
      <c r="JGX64"/>
      <c r="JGY64"/>
      <c r="JGZ64"/>
      <c r="JHA64"/>
      <c r="JHB64"/>
      <c r="JHC64"/>
      <c r="JHD64"/>
      <c r="JHE64"/>
      <c r="JHF64"/>
      <c r="JHG64"/>
      <c r="JHH64"/>
      <c r="JHI64"/>
      <c r="JHJ64"/>
      <c r="JHK64"/>
      <c r="JHL64"/>
      <c r="JHM64"/>
      <c r="JHN64"/>
      <c r="JHO64"/>
      <c r="JHP64"/>
      <c r="JHQ64"/>
      <c r="JHR64"/>
      <c r="JHS64"/>
      <c r="JHT64"/>
      <c r="JHU64"/>
      <c r="JHV64"/>
      <c r="JHW64"/>
      <c r="JHX64"/>
      <c r="JHY64"/>
      <c r="JHZ64"/>
      <c r="JIA64"/>
      <c r="JIB64"/>
      <c r="JIC64"/>
      <c r="JID64"/>
      <c r="JIE64"/>
      <c r="JIF64"/>
      <c r="JIG64"/>
      <c r="JIH64"/>
      <c r="JII64"/>
      <c r="JIJ64"/>
      <c r="JIK64"/>
      <c r="JIL64"/>
      <c r="JIM64"/>
      <c r="JIN64"/>
      <c r="JIO64"/>
      <c r="JIP64"/>
      <c r="JIQ64"/>
      <c r="JIR64"/>
      <c r="JIS64"/>
      <c r="JIT64"/>
      <c r="JIU64"/>
      <c r="JIV64"/>
      <c r="JIW64"/>
      <c r="JIX64"/>
      <c r="JIY64"/>
      <c r="JIZ64"/>
      <c r="JJA64"/>
      <c r="JJB64"/>
      <c r="JJC64"/>
      <c r="JJD64"/>
      <c r="JJE64"/>
      <c r="JJF64"/>
      <c r="JJG64"/>
      <c r="JJH64"/>
      <c r="JJI64"/>
      <c r="JJJ64"/>
      <c r="JJK64"/>
      <c r="JJL64"/>
      <c r="JJM64"/>
      <c r="JJN64"/>
      <c r="JJO64"/>
      <c r="JJP64"/>
      <c r="JJQ64"/>
      <c r="JJR64"/>
      <c r="JJS64"/>
      <c r="JJT64"/>
      <c r="JJU64"/>
      <c r="JJV64"/>
      <c r="JJW64"/>
      <c r="JJX64"/>
      <c r="JJY64"/>
      <c r="JJZ64"/>
      <c r="JKA64"/>
      <c r="JKB64"/>
      <c r="JKC64"/>
      <c r="JKD64"/>
      <c r="JKE64"/>
      <c r="JKF64"/>
      <c r="JKG64"/>
      <c r="JKH64"/>
      <c r="JKI64"/>
      <c r="JKJ64"/>
      <c r="JKK64"/>
      <c r="JKL64"/>
      <c r="JKM64"/>
      <c r="JKN64"/>
      <c r="JKO64"/>
      <c r="JKP64"/>
      <c r="JKQ64"/>
      <c r="JKR64"/>
      <c r="JKS64"/>
      <c r="JKT64"/>
      <c r="JKU64"/>
      <c r="JKV64"/>
      <c r="JKW64"/>
      <c r="JKX64"/>
      <c r="JKY64"/>
      <c r="JKZ64"/>
      <c r="JLA64"/>
      <c r="JLB64"/>
      <c r="JLC64"/>
      <c r="JLD64"/>
      <c r="JLE64"/>
      <c r="JLF64"/>
      <c r="JLG64"/>
      <c r="JLH64"/>
      <c r="JLI64"/>
      <c r="JLJ64"/>
      <c r="JLK64"/>
      <c r="JLL64"/>
      <c r="JLM64"/>
      <c r="JLN64"/>
      <c r="JLO64"/>
      <c r="JLP64"/>
      <c r="JLQ64"/>
      <c r="JLR64"/>
      <c r="JLS64"/>
      <c r="JLT64"/>
      <c r="JLU64"/>
      <c r="JLV64"/>
      <c r="JLW64"/>
      <c r="JLX64"/>
      <c r="JLY64"/>
      <c r="JLZ64"/>
      <c r="JMA64"/>
      <c r="JMB64"/>
      <c r="JMC64"/>
      <c r="JMD64"/>
      <c r="JME64"/>
      <c r="JMF64"/>
      <c r="JMG64"/>
      <c r="JMH64"/>
      <c r="JMI64"/>
      <c r="JMJ64"/>
      <c r="JMK64"/>
      <c r="JML64"/>
      <c r="JMM64"/>
      <c r="JMN64"/>
      <c r="JMO64"/>
      <c r="JMP64"/>
      <c r="JMQ64"/>
      <c r="JMR64"/>
      <c r="JMS64"/>
      <c r="JMT64"/>
      <c r="JMU64"/>
      <c r="JMV64"/>
      <c r="JMW64"/>
      <c r="JMX64"/>
      <c r="JMY64"/>
      <c r="JMZ64"/>
      <c r="JNA64"/>
      <c r="JNB64"/>
      <c r="JNC64"/>
      <c r="JND64"/>
      <c r="JNE64"/>
      <c r="JNF64"/>
      <c r="JNG64"/>
      <c r="JNH64"/>
      <c r="JNI64"/>
      <c r="JNJ64"/>
      <c r="JNK64"/>
      <c r="JNL64"/>
      <c r="JNM64"/>
      <c r="JNN64"/>
      <c r="JNO64"/>
      <c r="JNP64"/>
      <c r="JNQ64"/>
      <c r="JNR64"/>
      <c r="JNS64"/>
      <c r="JNT64"/>
      <c r="JNU64"/>
      <c r="JNV64"/>
      <c r="JNW64"/>
      <c r="JNX64"/>
      <c r="JNY64"/>
      <c r="JNZ64"/>
      <c r="JOA64"/>
      <c r="JOB64"/>
      <c r="JOC64"/>
      <c r="JOD64"/>
      <c r="JOE64"/>
      <c r="JOF64"/>
      <c r="JOG64"/>
      <c r="JOH64"/>
      <c r="JOI64"/>
      <c r="JOJ64"/>
      <c r="JOK64"/>
      <c r="JOL64"/>
      <c r="JOM64"/>
      <c r="JON64"/>
      <c r="JOO64"/>
      <c r="JOP64"/>
      <c r="JOQ64"/>
      <c r="JOR64"/>
      <c r="JOS64"/>
      <c r="JOT64"/>
      <c r="JOU64"/>
      <c r="JOV64"/>
      <c r="JOW64"/>
      <c r="JOX64"/>
      <c r="JOY64"/>
      <c r="JOZ64"/>
      <c r="JPA64"/>
      <c r="JPB64"/>
      <c r="JPC64"/>
      <c r="JPD64"/>
      <c r="JPE64"/>
      <c r="JPF64"/>
      <c r="JPG64"/>
      <c r="JPH64"/>
      <c r="JPI64"/>
      <c r="JPJ64"/>
      <c r="JPK64"/>
      <c r="JPL64"/>
      <c r="JPM64"/>
      <c r="JPN64"/>
      <c r="JPO64"/>
      <c r="JPP64"/>
      <c r="JPQ64"/>
      <c r="JPR64"/>
      <c r="JPS64"/>
      <c r="JPT64"/>
      <c r="JPU64"/>
      <c r="JPV64"/>
      <c r="JPW64"/>
      <c r="JPX64"/>
      <c r="JPY64"/>
      <c r="JPZ64"/>
      <c r="JQA64"/>
      <c r="JQB64"/>
      <c r="JQC64"/>
      <c r="JQD64"/>
      <c r="JQE64"/>
      <c r="JQF64"/>
      <c r="JQG64"/>
      <c r="JQH64"/>
      <c r="JQI64"/>
      <c r="JQJ64"/>
      <c r="JQK64"/>
      <c r="JQL64"/>
      <c r="JQM64"/>
      <c r="JQN64"/>
      <c r="JQO64"/>
      <c r="JQP64"/>
      <c r="JQQ64"/>
      <c r="JQR64"/>
      <c r="JQS64"/>
      <c r="JQT64"/>
      <c r="JQU64"/>
      <c r="JQV64"/>
      <c r="JQW64"/>
      <c r="JQX64"/>
      <c r="JQY64"/>
      <c r="JQZ64"/>
      <c r="JRA64"/>
      <c r="JRB64"/>
      <c r="JRC64"/>
      <c r="JRD64"/>
      <c r="JRE64"/>
      <c r="JRF64"/>
      <c r="JRG64"/>
      <c r="JRH64"/>
      <c r="JRI64"/>
      <c r="JRJ64"/>
      <c r="JRK64"/>
      <c r="JRL64"/>
      <c r="JRM64"/>
      <c r="JRN64"/>
      <c r="JRO64"/>
      <c r="JRP64"/>
      <c r="JRQ64"/>
      <c r="JRR64"/>
      <c r="JRS64"/>
      <c r="JRT64"/>
      <c r="JRU64"/>
      <c r="JRV64"/>
      <c r="JRW64"/>
      <c r="JRX64"/>
      <c r="JRY64"/>
      <c r="JRZ64"/>
      <c r="JSA64"/>
      <c r="JSB64"/>
      <c r="JSC64"/>
      <c r="JSD64"/>
      <c r="JSE64"/>
      <c r="JSF64"/>
      <c r="JSG64"/>
      <c r="JSH64"/>
      <c r="JSI64"/>
      <c r="JSJ64"/>
      <c r="JSK64"/>
      <c r="JSL64"/>
      <c r="JSM64"/>
      <c r="JSN64"/>
      <c r="JSO64"/>
      <c r="JSP64"/>
      <c r="JSQ64"/>
      <c r="JSR64"/>
      <c r="JSS64"/>
      <c r="JST64"/>
      <c r="JSU64"/>
      <c r="JSV64"/>
      <c r="JSW64"/>
      <c r="JSX64"/>
      <c r="JSY64"/>
      <c r="JSZ64"/>
      <c r="JTA64"/>
      <c r="JTB64"/>
      <c r="JTC64"/>
      <c r="JTD64"/>
      <c r="JTE64"/>
      <c r="JTF64"/>
      <c r="JTG64"/>
      <c r="JTH64"/>
      <c r="JTI64"/>
      <c r="JTJ64"/>
      <c r="JTK64"/>
      <c r="JTL64"/>
      <c r="JTM64"/>
      <c r="JTN64"/>
      <c r="JTO64"/>
      <c r="JTP64"/>
      <c r="JTQ64"/>
      <c r="JTR64"/>
      <c r="JTS64"/>
      <c r="JTT64"/>
      <c r="JTU64"/>
      <c r="JTV64"/>
      <c r="JTW64"/>
      <c r="JTX64"/>
      <c r="JTY64"/>
      <c r="JTZ64"/>
      <c r="JUA64"/>
      <c r="JUB64"/>
      <c r="JUC64"/>
      <c r="JUD64"/>
      <c r="JUE64"/>
      <c r="JUF64"/>
      <c r="JUG64"/>
      <c r="JUH64"/>
      <c r="JUI64"/>
      <c r="JUJ64"/>
      <c r="JUK64"/>
      <c r="JUL64"/>
      <c r="JUM64"/>
      <c r="JUN64"/>
      <c r="JUO64"/>
      <c r="JUP64"/>
      <c r="JUQ64"/>
      <c r="JUR64"/>
      <c r="JUS64"/>
      <c r="JUT64"/>
      <c r="JUU64"/>
      <c r="JUV64"/>
      <c r="JUW64"/>
      <c r="JUX64"/>
      <c r="JUY64"/>
      <c r="JUZ64"/>
      <c r="JVA64"/>
      <c r="JVB64"/>
      <c r="JVC64"/>
      <c r="JVD64"/>
      <c r="JVE64"/>
      <c r="JVF64"/>
      <c r="JVG64"/>
      <c r="JVH64"/>
      <c r="JVI64"/>
      <c r="JVJ64"/>
      <c r="JVK64"/>
      <c r="JVL64"/>
      <c r="JVM64"/>
      <c r="JVN64"/>
      <c r="JVO64"/>
      <c r="JVP64"/>
      <c r="JVQ64"/>
      <c r="JVR64"/>
      <c r="JVS64"/>
      <c r="JVT64"/>
      <c r="JVU64"/>
      <c r="JVV64"/>
      <c r="JVW64"/>
      <c r="JVX64"/>
      <c r="JVY64"/>
      <c r="JVZ64"/>
      <c r="JWA64"/>
      <c r="JWB64"/>
      <c r="JWC64"/>
      <c r="JWD64"/>
      <c r="JWE64"/>
      <c r="JWF64"/>
      <c r="JWG64"/>
      <c r="JWH64"/>
      <c r="JWI64"/>
      <c r="JWJ64"/>
      <c r="JWK64"/>
      <c r="JWL64"/>
      <c r="JWM64"/>
      <c r="JWN64"/>
      <c r="JWO64"/>
      <c r="JWP64"/>
      <c r="JWQ64"/>
      <c r="JWR64"/>
      <c r="JWS64"/>
      <c r="JWT64"/>
      <c r="JWU64"/>
      <c r="JWV64"/>
      <c r="JWW64"/>
      <c r="JWX64"/>
      <c r="JWY64"/>
      <c r="JWZ64"/>
      <c r="JXA64"/>
      <c r="JXB64"/>
      <c r="JXC64"/>
      <c r="JXD64"/>
      <c r="JXE64"/>
      <c r="JXF64"/>
      <c r="JXG64"/>
      <c r="JXH64"/>
      <c r="JXI64"/>
      <c r="JXJ64"/>
      <c r="JXK64"/>
      <c r="JXL64"/>
      <c r="JXM64"/>
      <c r="JXN64"/>
      <c r="JXO64"/>
      <c r="JXP64"/>
      <c r="JXQ64"/>
      <c r="JXR64"/>
      <c r="JXS64"/>
      <c r="JXT64"/>
      <c r="JXU64"/>
      <c r="JXV64"/>
      <c r="JXW64"/>
      <c r="JXX64"/>
      <c r="JXY64"/>
      <c r="JXZ64"/>
      <c r="JYA64"/>
      <c r="JYB64"/>
      <c r="JYC64"/>
      <c r="JYD64"/>
      <c r="JYE64"/>
      <c r="JYF64"/>
      <c r="JYG64"/>
      <c r="JYH64"/>
      <c r="JYI64"/>
      <c r="JYJ64"/>
      <c r="JYK64"/>
      <c r="JYL64"/>
      <c r="JYM64"/>
      <c r="JYN64"/>
      <c r="JYO64"/>
      <c r="JYP64"/>
      <c r="JYQ64"/>
      <c r="JYR64"/>
      <c r="JYS64"/>
      <c r="JYT64"/>
      <c r="JYU64"/>
      <c r="JYV64"/>
      <c r="JYW64"/>
      <c r="JYX64"/>
      <c r="JYY64"/>
      <c r="JYZ64"/>
      <c r="JZA64"/>
      <c r="JZB64"/>
      <c r="JZC64"/>
      <c r="JZD64"/>
      <c r="JZE64"/>
      <c r="JZF64"/>
      <c r="JZG64"/>
      <c r="JZH64"/>
      <c r="JZI64"/>
      <c r="JZJ64"/>
      <c r="JZK64"/>
      <c r="JZL64"/>
      <c r="JZM64"/>
      <c r="JZN64"/>
      <c r="JZO64"/>
      <c r="JZP64"/>
      <c r="JZQ64"/>
      <c r="JZR64"/>
      <c r="JZS64"/>
      <c r="JZT64"/>
      <c r="JZU64"/>
      <c r="JZV64"/>
      <c r="JZW64"/>
      <c r="JZX64"/>
      <c r="JZY64"/>
      <c r="JZZ64"/>
      <c r="KAA64"/>
      <c r="KAB64"/>
      <c r="KAC64"/>
      <c r="KAD64"/>
      <c r="KAE64"/>
      <c r="KAF64"/>
      <c r="KAG64"/>
      <c r="KAH64"/>
      <c r="KAI64"/>
      <c r="KAJ64"/>
      <c r="KAK64"/>
      <c r="KAL64"/>
      <c r="KAM64"/>
      <c r="KAN64"/>
      <c r="KAO64"/>
      <c r="KAP64"/>
      <c r="KAQ64"/>
      <c r="KAR64"/>
      <c r="KAS64"/>
      <c r="KAT64"/>
      <c r="KAU64"/>
      <c r="KAV64"/>
      <c r="KAW64"/>
      <c r="KAX64"/>
      <c r="KAY64"/>
      <c r="KAZ64"/>
      <c r="KBA64"/>
      <c r="KBB64"/>
      <c r="KBC64"/>
      <c r="KBD64"/>
      <c r="KBE64"/>
      <c r="KBF64"/>
      <c r="KBG64"/>
      <c r="KBH64"/>
      <c r="KBI64"/>
      <c r="KBJ64"/>
      <c r="KBK64"/>
      <c r="KBL64"/>
      <c r="KBM64"/>
      <c r="KBN64"/>
      <c r="KBO64"/>
      <c r="KBP64"/>
      <c r="KBQ64"/>
      <c r="KBR64"/>
      <c r="KBS64"/>
      <c r="KBT64"/>
      <c r="KBU64"/>
      <c r="KBV64"/>
      <c r="KBW64"/>
      <c r="KBX64"/>
      <c r="KBY64"/>
      <c r="KBZ64"/>
      <c r="KCA64"/>
      <c r="KCB64"/>
      <c r="KCC64"/>
      <c r="KCD64"/>
      <c r="KCE64"/>
      <c r="KCF64"/>
      <c r="KCG64"/>
      <c r="KCH64"/>
      <c r="KCI64"/>
      <c r="KCJ64"/>
      <c r="KCK64"/>
      <c r="KCL64"/>
      <c r="KCM64"/>
      <c r="KCN64"/>
      <c r="KCO64"/>
      <c r="KCP64"/>
      <c r="KCQ64"/>
      <c r="KCR64"/>
      <c r="KCS64"/>
      <c r="KCT64"/>
      <c r="KCU64"/>
      <c r="KCV64"/>
      <c r="KCW64"/>
      <c r="KCX64"/>
      <c r="KCY64"/>
      <c r="KCZ64"/>
      <c r="KDA64"/>
      <c r="KDB64"/>
      <c r="KDC64"/>
      <c r="KDD64"/>
      <c r="KDE64"/>
      <c r="KDF64"/>
      <c r="KDG64"/>
      <c r="KDH64"/>
      <c r="KDI64"/>
      <c r="KDJ64"/>
      <c r="KDK64"/>
      <c r="KDL64"/>
      <c r="KDM64"/>
      <c r="KDN64"/>
      <c r="KDO64"/>
      <c r="KDP64"/>
      <c r="KDQ64"/>
      <c r="KDR64"/>
      <c r="KDS64"/>
      <c r="KDT64"/>
      <c r="KDU64"/>
      <c r="KDV64"/>
      <c r="KDW64"/>
      <c r="KDX64"/>
      <c r="KDY64"/>
      <c r="KDZ64"/>
      <c r="KEA64"/>
      <c r="KEB64"/>
      <c r="KEC64"/>
      <c r="KED64"/>
      <c r="KEE64"/>
      <c r="KEF64"/>
      <c r="KEG64"/>
      <c r="KEH64"/>
      <c r="KEI64"/>
      <c r="KEJ64"/>
      <c r="KEK64"/>
      <c r="KEL64"/>
      <c r="KEM64"/>
      <c r="KEN64"/>
      <c r="KEO64"/>
      <c r="KEP64"/>
      <c r="KEQ64"/>
      <c r="KER64"/>
      <c r="KES64"/>
      <c r="KET64"/>
      <c r="KEU64"/>
      <c r="KEV64"/>
      <c r="KEW64"/>
      <c r="KEX64"/>
      <c r="KEY64"/>
      <c r="KEZ64"/>
      <c r="KFA64"/>
      <c r="KFB64"/>
      <c r="KFC64"/>
      <c r="KFD64"/>
      <c r="KFE64"/>
      <c r="KFF64"/>
      <c r="KFG64"/>
      <c r="KFH64"/>
      <c r="KFI64"/>
      <c r="KFJ64"/>
      <c r="KFK64"/>
      <c r="KFL64"/>
      <c r="KFM64"/>
      <c r="KFN64"/>
      <c r="KFO64"/>
      <c r="KFP64"/>
      <c r="KFQ64"/>
      <c r="KFR64"/>
      <c r="KFS64"/>
      <c r="KFT64"/>
      <c r="KFU64"/>
      <c r="KFV64"/>
      <c r="KFW64"/>
      <c r="KFX64"/>
      <c r="KFY64"/>
      <c r="KFZ64"/>
      <c r="KGA64"/>
      <c r="KGB64"/>
      <c r="KGC64"/>
      <c r="KGD64"/>
      <c r="KGE64"/>
      <c r="KGF64"/>
      <c r="KGG64"/>
      <c r="KGH64"/>
      <c r="KGI64"/>
      <c r="KGJ64"/>
      <c r="KGK64"/>
      <c r="KGL64"/>
      <c r="KGM64"/>
      <c r="KGN64"/>
      <c r="KGO64"/>
      <c r="KGP64"/>
      <c r="KGQ64"/>
      <c r="KGR64"/>
      <c r="KGS64"/>
      <c r="KGT64"/>
      <c r="KGU64"/>
      <c r="KGV64"/>
      <c r="KGW64"/>
      <c r="KGX64"/>
      <c r="KGY64"/>
      <c r="KGZ64"/>
      <c r="KHA64"/>
      <c r="KHB64"/>
      <c r="KHC64"/>
      <c r="KHD64"/>
      <c r="KHE64"/>
      <c r="KHF64"/>
      <c r="KHG64"/>
      <c r="KHH64"/>
      <c r="KHI64"/>
      <c r="KHJ64"/>
      <c r="KHK64"/>
      <c r="KHL64"/>
      <c r="KHM64"/>
      <c r="KHN64"/>
      <c r="KHO64"/>
      <c r="KHP64"/>
      <c r="KHQ64"/>
      <c r="KHR64"/>
      <c r="KHS64"/>
      <c r="KHT64"/>
      <c r="KHU64"/>
      <c r="KHV64"/>
      <c r="KHW64"/>
      <c r="KHX64"/>
      <c r="KHY64"/>
      <c r="KHZ64"/>
      <c r="KIA64"/>
      <c r="KIB64"/>
      <c r="KIC64"/>
      <c r="KID64"/>
      <c r="KIE64"/>
      <c r="KIF64"/>
      <c r="KIG64"/>
      <c r="KIH64"/>
      <c r="KII64"/>
      <c r="KIJ64"/>
      <c r="KIK64"/>
      <c r="KIL64"/>
      <c r="KIM64"/>
      <c r="KIN64"/>
      <c r="KIO64"/>
      <c r="KIP64"/>
      <c r="KIQ64"/>
      <c r="KIR64"/>
      <c r="KIS64"/>
      <c r="KIT64"/>
      <c r="KIU64"/>
      <c r="KIV64"/>
      <c r="KIW64"/>
      <c r="KIX64"/>
      <c r="KIY64"/>
      <c r="KIZ64"/>
      <c r="KJA64"/>
      <c r="KJB64"/>
      <c r="KJC64"/>
      <c r="KJD64"/>
      <c r="KJE64"/>
      <c r="KJF64"/>
      <c r="KJG64"/>
      <c r="KJH64"/>
      <c r="KJI64"/>
      <c r="KJJ64"/>
      <c r="KJK64"/>
      <c r="KJL64"/>
      <c r="KJM64"/>
      <c r="KJN64"/>
      <c r="KJO64"/>
      <c r="KJP64"/>
      <c r="KJQ64"/>
      <c r="KJR64"/>
      <c r="KJS64"/>
      <c r="KJT64"/>
      <c r="KJU64"/>
      <c r="KJV64"/>
      <c r="KJW64"/>
      <c r="KJX64"/>
      <c r="KJY64"/>
      <c r="KJZ64"/>
      <c r="KKA64"/>
      <c r="KKB64"/>
      <c r="KKC64"/>
      <c r="KKD64"/>
      <c r="KKE64"/>
      <c r="KKF64"/>
      <c r="KKG64"/>
      <c r="KKH64"/>
      <c r="KKI64"/>
      <c r="KKJ64"/>
      <c r="KKK64"/>
      <c r="KKL64"/>
      <c r="KKM64"/>
      <c r="KKN64"/>
      <c r="KKO64"/>
      <c r="KKP64"/>
      <c r="KKQ64"/>
      <c r="KKR64"/>
      <c r="KKS64"/>
      <c r="KKT64"/>
      <c r="KKU64"/>
      <c r="KKV64"/>
      <c r="KKW64"/>
      <c r="KKX64"/>
      <c r="KKY64"/>
      <c r="KKZ64"/>
      <c r="KLA64"/>
      <c r="KLB64"/>
      <c r="KLC64"/>
      <c r="KLD64"/>
      <c r="KLE64"/>
      <c r="KLF64"/>
      <c r="KLG64"/>
      <c r="KLH64"/>
      <c r="KLI64"/>
      <c r="KLJ64"/>
      <c r="KLK64"/>
      <c r="KLL64"/>
      <c r="KLM64"/>
      <c r="KLN64"/>
      <c r="KLO64"/>
      <c r="KLP64"/>
      <c r="KLQ64"/>
      <c r="KLR64"/>
      <c r="KLS64"/>
      <c r="KLT64"/>
      <c r="KLU64"/>
      <c r="KLV64"/>
      <c r="KLW64"/>
      <c r="KLX64"/>
      <c r="KLY64"/>
      <c r="KLZ64"/>
      <c r="KMA64"/>
      <c r="KMB64"/>
      <c r="KMC64"/>
      <c r="KMD64"/>
      <c r="KME64"/>
      <c r="KMF64"/>
      <c r="KMG64"/>
      <c r="KMH64"/>
      <c r="KMI64"/>
      <c r="KMJ64"/>
      <c r="KMK64"/>
      <c r="KML64"/>
      <c r="KMM64"/>
      <c r="KMN64"/>
      <c r="KMO64"/>
      <c r="KMP64"/>
      <c r="KMQ64"/>
      <c r="KMR64"/>
      <c r="KMS64"/>
      <c r="KMT64"/>
      <c r="KMU64"/>
      <c r="KMV64"/>
      <c r="KMW64"/>
      <c r="KMX64"/>
      <c r="KMY64"/>
      <c r="KMZ64"/>
      <c r="KNA64"/>
      <c r="KNB64"/>
      <c r="KNC64"/>
      <c r="KND64"/>
      <c r="KNE64"/>
      <c r="KNF64"/>
      <c r="KNG64"/>
      <c r="KNH64"/>
      <c r="KNI64"/>
      <c r="KNJ64"/>
      <c r="KNK64"/>
      <c r="KNL64"/>
      <c r="KNM64"/>
      <c r="KNN64"/>
      <c r="KNO64"/>
      <c r="KNP64"/>
      <c r="KNQ64"/>
      <c r="KNR64"/>
      <c r="KNS64"/>
      <c r="KNT64"/>
      <c r="KNU64"/>
      <c r="KNV64"/>
      <c r="KNW64"/>
      <c r="KNX64"/>
      <c r="KNY64"/>
      <c r="KNZ64"/>
      <c r="KOA64"/>
      <c r="KOB64"/>
      <c r="KOC64"/>
      <c r="KOD64"/>
      <c r="KOE64"/>
      <c r="KOF64"/>
      <c r="KOG64"/>
      <c r="KOH64"/>
      <c r="KOI64"/>
      <c r="KOJ64"/>
      <c r="KOK64"/>
      <c r="KOL64"/>
      <c r="KOM64"/>
      <c r="KON64"/>
      <c r="KOO64"/>
      <c r="KOP64"/>
      <c r="KOQ64"/>
      <c r="KOR64"/>
      <c r="KOS64"/>
      <c r="KOT64"/>
      <c r="KOU64"/>
      <c r="KOV64"/>
      <c r="KOW64"/>
      <c r="KOX64"/>
      <c r="KOY64"/>
      <c r="KOZ64"/>
      <c r="KPA64"/>
      <c r="KPB64"/>
      <c r="KPC64"/>
      <c r="KPD64"/>
      <c r="KPE64"/>
      <c r="KPF64"/>
      <c r="KPG64"/>
      <c r="KPH64"/>
      <c r="KPI64"/>
      <c r="KPJ64"/>
      <c r="KPK64"/>
      <c r="KPL64"/>
      <c r="KPM64"/>
      <c r="KPN64"/>
      <c r="KPO64"/>
      <c r="KPP64"/>
      <c r="KPQ64"/>
      <c r="KPR64"/>
      <c r="KPS64"/>
      <c r="KPT64"/>
      <c r="KPU64"/>
      <c r="KPV64"/>
      <c r="KPW64"/>
      <c r="KPX64"/>
      <c r="KPY64"/>
      <c r="KPZ64"/>
      <c r="KQA64"/>
      <c r="KQB64"/>
      <c r="KQC64"/>
      <c r="KQD64"/>
      <c r="KQE64"/>
      <c r="KQF64"/>
      <c r="KQG64"/>
      <c r="KQH64"/>
      <c r="KQI64"/>
      <c r="KQJ64"/>
      <c r="KQK64"/>
      <c r="KQL64"/>
      <c r="KQM64"/>
      <c r="KQN64"/>
      <c r="KQO64"/>
      <c r="KQP64"/>
      <c r="KQQ64"/>
      <c r="KQR64"/>
      <c r="KQS64"/>
      <c r="KQT64"/>
      <c r="KQU64"/>
      <c r="KQV64"/>
      <c r="KQW64"/>
      <c r="KQX64"/>
      <c r="KQY64"/>
      <c r="KQZ64"/>
      <c r="KRA64"/>
      <c r="KRB64"/>
      <c r="KRC64"/>
      <c r="KRD64"/>
      <c r="KRE64"/>
      <c r="KRF64"/>
      <c r="KRG64"/>
      <c r="KRH64"/>
      <c r="KRI64"/>
      <c r="KRJ64"/>
      <c r="KRK64"/>
      <c r="KRL64"/>
      <c r="KRM64"/>
      <c r="KRN64"/>
      <c r="KRO64"/>
      <c r="KRP64"/>
      <c r="KRQ64"/>
      <c r="KRR64"/>
      <c r="KRS64"/>
      <c r="KRT64"/>
      <c r="KRU64"/>
      <c r="KRV64"/>
      <c r="KRW64"/>
      <c r="KRX64"/>
      <c r="KRY64"/>
      <c r="KRZ64"/>
      <c r="KSA64"/>
      <c r="KSB64"/>
      <c r="KSC64"/>
      <c r="KSD64"/>
      <c r="KSE64"/>
      <c r="KSF64"/>
      <c r="KSG64"/>
      <c r="KSH64"/>
      <c r="KSI64"/>
      <c r="KSJ64"/>
      <c r="KSK64"/>
      <c r="KSL64"/>
      <c r="KSM64"/>
      <c r="KSN64"/>
      <c r="KSO64"/>
      <c r="KSP64"/>
      <c r="KSQ64"/>
      <c r="KSR64"/>
      <c r="KSS64"/>
      <c r="KST64"/>
      <c r="KSU64"/>
      <c r="KSV64"/>
      <c r="KSW64"/>
      <c r="KSX64"/>
      <c r="KSY64"/>
      <c r="KSZ64"/>
      <c r="KTA64"/>
      <c r="KTB64"/>
      <c r="KTC64"/>
      <c r="KTD64"/>
      <c r="KTE64"/>
      <c r="KTF64"/>
      <c r="KTG64"/>
      <c r="KTH64"/>
      <c r="KTI64"/>
      <c r="KTJ64"/>
      <c r="KTK64"/>
      <c r="KTL64"/>
      <c r="KTM64"/>
      <c r="KTN64"/>
      <c r="KTO64"/>
      <c r="KTP64"/>
      <c r="KTQ64"/>
      <c r="KTR64"/>
      <c r="KTS64"/>
      <c r="KTT64"/>
      <c r="KTU64"/>
      <c r="KTV64"/>
      <c r="KTW64"/>
      <c r="KTX64"/>
      <c r="KTY64"/>
      <c r="KTZ64"/>
      <c r="KUA64"/>
      <c r="KUB64"/>
      <c r="KUC64"/>
      <c r="KUD64"/>
      <c r="KUE64"/>
      <c r="KUF64"/>
      <c r="KUG64"/>
      <c r="KUH64"/>
      <c r="KUI64"/>
      <c r="KUJ64"/>
      <c r="KUK64"/>
      <c r="KUL64"/>
      <c r="KUM64"/>
      <c r="KUN64"/>
      <c r="KUO64"/>
      <c r="KUP64"/>
      <c r="KUQ64"/>
      <c r="KUR64"/>
      <c r="KUS64"/>
      <c r="KUT64"/>
      <c r="KUU64"/>
      <c r="KUV64"/>
      <c r="KUW64"/>
      <c r="KUX64"/>
      <c r="KUY64"/>
      <c r="KUZ64"/>
      <c r="KVA64"/>
      <c r="KVB64"/>
      <c r="KVC64"/>
      <c r="KVD64"/>
      <c r="KVE64"/>
      <c r="KVF64"/>
      <c r="KVG64"/>
      <c r="KVH64"/>
      <c r="KVI64"/>
      <c r="KVJ64"/>
      <c r="KVK64"/>
      <c r="KVL64"/>
      <c r="KVM64"/>
      <c r="KVN64"/>
      <c r="KVO64"/>
      <c r="KVP64"/>
      <c r="KVQ64"/>
      <c r="KVR64"/>
      <c r="KVS64"/>
      <c r="KVT64"/>
      <c r="KVU64"/>
      <c r="KVV64"/>
      <c r="KVW64"/>
      <c r="KVX64"/>
      <c r="KVY64"/>
      <c r="KVZ64"/>
      <c r="KWA64"/>
      <c r="KWB64"/>
      <c r="KWC64"/>
      <c r="KWD64"/>
      <c r="KWE64"/>
      <c r="KWF64"/>
      <c r="KWG64"/>
      <c r="KWH64"/>
      <c r="KWI64"/>
      <c r="KWJ64"/>
      <c r="KWK64"/>
      <c r="KWL64"/>
      <c r="KWM64"/>
      <c r="KWN64"/>
      <c r="KWO64"/>
      <c r="KWP64"/>
      <c r="KWQ64"/>
      <c r="KWR64"/>
      <c r="KWS64"/>
      <c r="KWT64"/>
      <c r="KWU64"/>
      <c r="KWV64"/>
      <c r="KWW64"/>
      <c r="KWX64"/>
      <c r="KWY64"/>
      <c r="KWZ64"/>
      <c r="KXA64"/>
      <c r="KXB64"/>
      <c r="KXC64"/>
      <c r="KXD64"/>
      <c r="KXE64"/>
      <c r="KXF64"/>
      <c r="KXG64"/>
      <c r="KXH64"/>
      <c r="KXI64"/>
      <c r="KXJ64"/>
      <c r="KXK64"/>
      <c r="KXL64"/>
      <c r="KXM64"/>
      <c r="KXN64"/>
      <c r="KXO64"/>
      <c r="KXP64"/>
      <c r="KXQ64"/>
      <c r="KXR64"/>
      <c r="KXS64"/>
      <c r="KXT64"/>
      <c r="KXU64"/>
      <c r="KXV64"/>
      <c r="KXW64"/>
      <c r="KXX64"/>
      <c r="KXY64"/>
      <c r="KXZ64"/>
      <c r="KYA64"/>
      <c r="KYB64"/>
      <c r="KYC64"/>
      <c r="KYD64"/>
      <c r="KYE64"/>
      <c r="KYF64"/>
      <c r="KYG64"/>
      <c r="KYH64"/>
      <c r="KYI64"/>
      <c r="KYJ64"/>
      <c r="KYK64"/>
      <c r="KYL64"/>
      <c r="KYM64"/>
      <c r="KYN64"/>
      <c r="KYO64"/>
      <c r="KYP64"/>
      <c r="KYQ64"/>
      <c r="KYR64"/>
      <c r="KYS64"/>
      <c r="KYT64"/>
      <c r="KYU64"/>
      <c r="KYV64"/>
      <c r="KYW64"/>
      <c r="KYX64"/>
      <c r="KYY64"/>
      <c r="KYZ64"/>
      <c r="KZA64"/>
      <c r="KZB64"/>
      <c r="KZC64"/>
      <c r="KZD64"/>
      <c r="KZE64"/>
      <c r="KZF64"/>
      <c r="KZG64"/>
      <c r="KZH64"/>
      <c r="KZI64"/>
      <c r="KZJ64"/>
      <c r="KZK64"/>
      <c r="KZL64"/>
      <c r="KZM64"/>
      <c r="KZN64"/>
      <c r="KZO64"/>
      <c r="KZP64"/>
      <c r="KZQ64"/>
      <c r="KZR64"/>
      <c r="KZS64"/>
      <c r="KZT64"/>
      <c r="KZU64"/>
      <c r="KZV64"/>
      <c r="KZW64"/>
      <c r="KZX64"/>
      <c r="KZY64"/>
      <c r="KZZ64"/>
      <c r="LAA64"/>
      <c r="LAB64"/>
      <c r="LAC64"/>
      <c r="LAD64"/>
      <c r="LAE64"/>
      <c r="LAF64"/>
      <c r="LAG64"/>
      <c r="LAH64"/>
      <c r="LAI64"/>
      <c r="LAJ64"/>
      <c r="LAK64"/>
      <c r="LAL64"/>
      <c r="LAM64"/>
      <c r="LAN64"/>
      <c r="LAO64"/>
      <c r="LAP64"/>
      <c r="LAQ64"/>
      <c r="LAR64"/>
      <c r="LAS64"/>
      <c r="LAT64"/>
      <c r="LAU64"/>
      <c r="LAV64"/>
      <c r="LAW64"/>
      <c r="LAX64"/>
      <c r="LAY64"/>
      <c r="LAZ64"/>
      <c r="LBA64"/>
      <c r="LBB64"/>
      <c r="LBC64"/>
      <c r="LBD64"/>
      <c r="LBE64"/>
      <c r="LBF64"/>
      <c r="LBG64"/>
      <c r="LBH64"/>
      <c r="LBI64"/>
      <c r="LBJ64"/>
      <c r="LBK64"/>
      <c r="LBL64"/>
      <c r="LBM64"/>
      <c r="LBN64"/>
      <c r="LBO64"/>
      <c r="LBP64"/>
      <c r="LBQ64"/>
      <c r="LBR64"/>
      <c r="LBS64"/>
      <c r="LBT64"/>
      <c r="LBU64"/>
      <c r="LBV64"/>
      <c r="LBW64"/>
      <c r="LBX64"/>
      <c r="LBY64"/>
      <c r="LBZ64"/>
      <c r="LCA64"/>
      <c r="LCB64"/>
      <c r="LCC64"/>
      <c r="LCD64"/>
      <c r="LCE64"/>
      <c r="LCF64"/>
      <c r="LCG64"/>
      <c r="LCH64"/>
      <c r="LCI64"/>
      <c r="LCJ64"/>
      <c r="LCK64"/>
      <c r="LCL64"/>
      <c r="LCM64"/>
      <c r="LCN64"/>
      <c r="LCO64"/>
      <c r="LCP64"/>
      <c r="LCQ64"/>
      <c r="LCR64"/>
      <c r="LCS64"/>
      <c r="LCT64"/>
      <c r="LCU64"/>
      <c r="LCV64"/>
      <c r="LCW64"/>
      <c r="LCX64"/>
      <c r="LCY64"/>
      <c r="LCZ64"/>
      <c r="LDA64"/>
      <c r="LDB64"/>
      <c r="LDC64"/>
      <c r="LDD64"/>
      <c r="LDE64"/>
      <c r="LDF64"/>
      <c r="LDG64"/>
      <c r="LDH64"/>
      <c r="LDI64"/>
      <c r="LDJ64"/>
      <c r="LDK64"/>
      <c r="LDL64"/>
      <c r="LDM64"/>
      <c r="LDN64"/>
      <c r="LDO64"/>
      <c r="LDP64"/>
      <c r="LDQ64"/>
      <c r="LDR64"/>
      <c r="LDS64"/>
      <c r="LDT64"/>
      <c r="LDU64"/>
      <c r="LDV64"/>
      <c r="LDW64"/>
      <c r="LDX64"/>
      <c r="LDY64"/>
      <c r="LDZ64"/>
      <c r="LEA64"/>
      <c r="LEB64"/>
      <c r="LEC64"/>
      <c r="LED64"/>
      <c r="LEE64"/>
      <c r="LEF64"/>
      <c r="LEG64"/>
      <c r="LEH64"/>
      <c r="LEI64"/>
      <c r="LEJ64"/>
      <c r="LEK64"/>
      <c r="LEL64"/>
      <c r="LEM64"/>
      <c r="LEN64"/>
      <c r="LEO64"/>
      <c r="LEP64"/>
      <c r="LEQ64"/>
      <c r="LER64"/>
      <c r="LES64"/>
      <c r="LET64"/>
      <c r="LEU64"/>
      <c r="LEV64"/>
      <c r="LEW64"/>
      <c r="LEX64"/>
      <c r="LEY64"/>
      <c r="LEZ64"/>
      <c r="LFA64"/>
      <c r="LFB64"/>
      <c r="LFC64"/>
      <c r="LFD64"/>
      <c r="LFE64"/>
      <c r="LFF64"/>
      <c r="LFG64"/>
      <c r="LFH64"/>
      <c r="LFI64"/>
      <c r="LFJ64"/>
      <c r="LFK64"/>
      <c r="LFL64"/>
      <c r="LFM64"/>
      <c r="LFN64"/>
      <c r="LFO64"/>
      <c r="LFP64"/>
      <c r="LFQ64"/>
      <c r="LFR64"/>
      <c r="LFS64"/>
      <c r="LFT64"/>
      <c r="LFU64"/>
      <c r="LFV64"/>
      <c r="LFW64"/>
      <c r="LFX64"/>
      <c r="LFY64"/>
      <c r="LFZ64"/>
      <c r="LGA64"/>
      <c r="LGB64"/>
      <c r="LGC64"/>
      <c r="LGD64"/>
      <c r="LGE64"/>
      <c r="LGF64"/>
      <c r="LGG64"/>
      <c r="LGH64"/>
      <c r="LGI64"/>
      <c r="LGJ64"/>
      <c r="LGK64"/>
      <c r="LGL64"/>
      <c r="LGM64"/>
      <c r="LGN64"/>
      <c r="LGO64"/>
      <c r="LGP64"/>
      <c r="LGQ64"/>
      <c r="LGR64"/>
      <c r="LGS64"/>
      <c r="LGT64"/>
      <c r="LGU64"/>
      <c r="LGV64"/>
      <c r="LGW64"/>
      <c r="LGX64"/>
      <c r="LGY64"/>
      <c r="LGZ64"/>
      <c r="LHA64"/>
      <c r="LHB64"/>
      <c r="LHC64"/>
      <c r="LHD64"/>
      <c r="LHE64"/>
      <c r="LHF64"/>
      <c r="LHG64"/>
      <c r="LHH64"/>
      <c r="LHI64"/>
      <c r="LHJ64"/>
      <c r="LHK64"/>
      <c r="LHL64"/>
      <c r="LHM64"/>
      <c r="LHN64"/>
      <c r="LHO64"/>
      <c r="LHP64"/>
      <c r="LHQ64"/>
      <c r="LHR64"/>
      <c r="LHS64"/>
      <c r="LHT64"/>
      <c r="LHU64"/>
      <c r="LHV64"/>
      <c r="LHW64"/>
      <c r="LHX64"/>
      <c r="LHY64"/>
      <c r="LHZ64"/>
      <c r="LIA64"/>
      <c r="LIB64"/>
      <c r="LIC64"/>
      <c r="LID64"/>
      <c r="LIE64"/>
      <c r="LIF64"/>
      <c r="LIG64"/>
      <c r="LIH64"/>
      <c r="LII64"/>
      <c r="LIJ64"/>
      <c r="LIK64"/>
      <c r="LIL64"/>
      <c r="LIM64"/>
      <c r="LIN64"/>
      <c r="LIO64"/>
      <c r="LIP64"/>
      <c r="LIQ64"/>
      <c r="LIR64"/>
      <c r="LIS64"/>
      <c r="LIT64"/>
      <c r="LIU64"/>
      <c r="LIV64"/>
      <c r="LIW64"/>
      <c r="LIX64"/>
      <c r="LIY64"/>
      <c r="LIZ64"/>
      <c r="LJA64"/>
      <c r="LJB64"/>
      <c r="LJC64"/>
      <c r="LJD64"/>
      <c r="LJE64"/>
      <c r="LJF64"/>
      <c r="LJG64"/>
      <c r="LJH64"/>
      <c r="LJI64"/>
      <c r="LJJ64"/>
      <c r="LJK64"/>
      <c r="LJL64"/>
      <c r="LJM64"/>
      <c r="LJN64"/>
      <c r="LJO64"/>
      <c r="LJP64"/>
      <c r="LJQ64"/>
      <c r="LJR64"/>
      <c r="LJS64"/>
      <c r="LJT64"/>
      <c r="LJU64"/>
      <c r="LJV64"/>
      <c r="LJW64"/>
      <c r="LJX64"/>
      <c r="LJY64"/>
      <c r="LJZ64"/>
      <c r="LKA64"/>
      <c r="LKB64"/>
      <c r="LKC64"/>
      <c r="LKD64"/>
      <c r="LKE64"/>
      <c r="LKF64"/>
      <c r="LKG64"/>
      <c r="LKH64"/>
      <c r="LKI64"/>
      <c r="LKJ64"/>
      <c r="LKK64"/>
      <c r="LKL64"/>
      <c r="LKM64"/>
      <c r="LKN64"/>
      <c r="LKO64"/>
      <c r="LKP64"/>
      <c r="LKQ64"/>
      <c r="LKR64"/>
      <c r="LKS64"/>
      <c r="LKT64"/>
      <c r="LKU64"/>
      <c r="LKV64"/>
      <c r="LKW64"/>
      <c r="LKX64"/>
      <c r="LKY64"/>
      <c r="LKZ64"/>
      <c r="LLA64"/>
      <c r="LLB64"/>
      <c r="LLC64"/>
      <c r="LLD64"/>
      <c r="LLE64"/>
      <c r="LLF64"/>
      <c r="LLG64"/>
      <c r="LLH64"/>
      <c r="LLI64"/>
      <c r="LLJ64"/>
      <c r="LLK64"/>
      <c r="LLL64"/>
      <c r="LLM64"/>
      <c r="LLN64"/>
      <c r="LLO64"/>
      <c r="LLP64"/>
      <c r="LLQ64"/>
      <c r="LLR64"/>
      <c r="LLS64"/>
      <c r="LLT64"/>
      <c r="LLU64"/>
      <c r="LLV64"/>
      <c r="LLW64"/>
      <c r="LLX64"/>
      <c r="LLY64"/>
      <c r="LLZ64"/>
      <c r="LMA64"/>
      <c r="LMB64"/>
      <c r="LMC64"/>
      <c r="LMD64"/>
      <c r="LME64"/>
      <c r="LMF64"/>
      <c r="LMG64"/>
      <c r="LMH64"/>
      <c r="LMI64"/>
      <c r="LMJ64"/>
      <c r="LMK64"/>
      <c r="LML64"/>
      <c r="LMM64"/>
      <c r="LMN64"/>
      <c r="LMO64"/>
      <c r="LMP64"/>
      <c r="LMQ64"/>
      <c r="LMR64"/>
      <c r="LMS64"/>
      <c r="LMT64"/>
      <c r="LMU64"/>
      <c r="LMV64"/>
      <c r="LMW64"/>
      <c r="LMX64"/>
      <c r="LMY64"/>
      <c r="LMZ64"/>
      <c r="LNA64"/>
      <c r="LNB64"/>
      <c r="LNC64"/>
      <c r="LND64"/>
      <c r="LNE64"/>
      <c r="LNF64"/>
      <c r="LNG64"/>
      <c r="LNH64"/>
      <c r="LNI64"/>
      <c r="LNJ64"/>
      <c r="LNK64"/>
      <c r="LNL64"/>
      <c r="LNM64"/>
      <c r="LNN64"/>
      <c r="LNO64"/>
      <c r="LNP64"/>
      <c r="LNQ64"/>
      <c r="LNR64"/>
      <c r="LNS64"/>
      <c r="LNT64"/>
      <c r="LNU64"/>
      <c r="LNV64"/>
      <c r="LNW64"/>
      <c r="LNX64"/>
      <c r="LNY64"/>
      <c r="LNZ64"/>
      <c r="LOA64"/>
      <c r="LOB64"/>
      <c r="LOC64"/>
      <c r="LOD64"/>
      <c r="LOE64"/>
      <c r="LOF64"/>
      <c r="LOG64"/>
      <c r="LOH64"/>
      <c r="LOI64"/>
      <c r="LOJ64"/>
      <c r="LOK64"/>
      <c r="LOL64"/>
      <c r="LOM64"/>
      <c r="LON64"/>
      <c r="LOO64"/>
      <c r="LOP64"/>
      <c r="LOQ64"/>
      <c r="LOR64"/>
      <c r="LOS64"/>
      <c r="LOT64"/>
      <c r="LOU64"/>
      <c r="LOV64"/>
      <c r="LOW64"/>
      <c r="LOX64"/>
      <c r="LOY64"/>
      <c r="LOZ64"/>
      <c r="LPA64"/>
      <c r="LPB64"/>
      <c r="LPC64"/>
      <c r="LPD64"/>
      <c r="LPE64"/>
      <c r="LPF64"/>
      <c r="LPG64"/>
      <c r="LPH64"/>
      <c r="LPI64"/>
      <c r="LPJ64"/>
      <c r="LPK64"/>
      <c r="LPL64"/>
      <c r="LPM64"/>
      <c r="LPN64"/>
      <c r="LPO64"/>
      <c r="LPP64"/>
      <c r="LPQ64"/>
      <c r="LPR64"/>
      <c r="LPS64"/>
      <c r="LPT64"/>
      <c r="LPU64"/>
      <c r="LPV64"/>
      <c r="LPW64"/>
      <c r="LPX64"/>
      <c r="LPY64"/>
      <c r="LPZ64"/>
      <c r="LQA64"/>
      <c r="LQB64"/>
      <c r="LQC64"/>
      <c r="LQD64"/>
      <c r="LQE64"/>
      <c r="LQF64"/>
      <c r="LQG64"/>
      <c r="LQH64"/>
      <c r="LQI64"/>
      <c r="LQJ64"/>
      <c r="LQK64"/>
      <c r="LQL64"/>
      <c r="LQM64"/>
      <c r="LQN64"/>
      <c r="LQO64"/>
      <c r="LQP64"/>
      <c r="LQQ64"/>
      <c r="LQR64"/>
      <c r="LQS64"/>
      <c r="LQT64"/>
      <c r="LQU64"/>
      <c r="LQV64"/>
      <c r="LQW64"/>
      <c r="LQX64"/>
      <c r="LQY64"/>
      <c r="LQZ64"/>
      <c r="LRA64"/>
      <c r="LRB64"/>
      <c r="LRC64"/>
      <c r="LRD64"/>
      <c r="LRE64"/>
      <c r="LRF64"/>
      <c r="LRG64"/>
      <c r="LRH64"/>
      <c r="LRI64"/>
      <c r="LRJ64"/>
      <c r="LRK64"/>
      <c r="LRL64"/>
      <c r="LRM64"/>
      <c r="LRN64"/>
      <c r="LRO64"/>
      <c r="LRP64"/>
      <c r="LRQ64"/>
      <c r="LRR64"/>
      <c r="LRS64"/>
      <c r="LRT64"/>
      <c r="LRU64"/>
      <c r="LRV64"/>
      <c r="LRW64"/>
      <c r="LRX64"/>
      <c r="LRY64"/>
      <c r="LRZ64"/>
      <c r="LSA64"/>
      <c r="LSB64"/>
      <c r="LSC64"/>
      <c r="LSD64"/>
      <c r="LSE64"/>
      <c r="LSF64"/>
      <c r="LSG64"/>
      <c r="LSH64"/>
      <c r="LSI64"/>
      <c r="LSJ64"/>
      <c r="LSK64"/>
      <c r="LSL64"/>
      <c r="LSM64"/>
      <c r="LSN64"/>
      <c r="LSO64"/>
      <c r="LSP64"/>
      <c r="LSQ64"/>
      <c r="LSR64"/>
      <c r="LSS64"/>
      <c r="LST64"/>
      <c r="LSU64"/>
      <c r="LSV64"/>
      <c r="LSW64"/>
      <c r="LSX64"/>
      <c r="LSY64"/>
      <c r="LSZ64"/>
      <c r="LTA64"/>
      <c r="LTB64"/>
      <c r="LTC64"/>
      <c r="LTD64"/>
      <c r="LTE64"/>
      <c r="LTF64"/>
      <c r="LTG64"/>
      <c r="LTH64"/>
      <c r="LTI64"/>
      <c r="LTJ64"/>
      <c r="LTK64"/>
      <c r="LTL64"/>
      <c r="LTM64"/>
      <c r="LTN64"/>
      <c r="LTO64"/>
      <c r="LTP64"/>
      <c r="LTQ64"/>
      <c r="LTR64"/>
      <c r="LTS64"/>
      <c r="LTT64"/>
      <c r="LTU64"/>
      <c r="LTV64"/>
      <c r="LTW64"/>
      <c r="LTX64"/>
      <c r="LTY64"/>
      <c r="LTZ64"/>
      <c r="LUA64"/>
      <c r="LUB64"/>
      <c r="LUC64"/>
      <c r="LUD64"/>
      <c r="LUE64"/>
      <c r="LUF64"/>
      <c r="LUG64"/>
      <c r="LUH64"/>
      <c r="LUI64"/>
      <c r="LUJ64"/>
      <c r="LUK64"/>
      <c r="LUL64"/>
      <c r="LUM64"/>
      <c r="LUN64"/>
      <c r="LUO64"/>
      <c r="LUP64"/>
      <c r="LUQ64"/>
      <c r="LUR64"/>
      <c r="LUS64"/>
      <c r="LUT64"/>
      <c r="LUU64"/>
      <c r="LUV64"/>
      <c r="LUW64"/>
      <c r="LUX64"/>
      <c r="LUY64"/>
      <c r="LUZ64"/>
      <c r="LVA64"/>
      <c r="LVB64"/>
      <c r="LVC64"/>
      <c r="LVD64"/>
      <c r="LVE64"/>
      <c r="LVF64"/>
      <c r="LVG64"/>
      <c r="LVH64"/>
      <c r="LVI64"/>
      <c r="LVJ64"/>
      <c r="LVK64"/>
      <c r="LVL64"/>
      <c r="LVM64"/>
      <c r="LVN64"/>
      <c r="LVO64"/>
      <c r="LVP64"/>
      <c r="LVQ64"/>
      <c r="LVR64"/>
      <c r="LVS64"/>
      <c r="LVT64"/>
      <c r="LVU64"/>
      <c r="LVV64"/>
      <c r="LVW64"/>
      <c r="LVX64"/>
      <c r="LVY64"/>
      <c r="LVZ64"/>
      <c r="LWA64"/>
      <c r="LWB64"/>
      <c r="LWC64"/>
      <c r="LWD64"/>
      <c r="LWE64"/>
      <c r="LWF64"/>
      <c r="LWG64"/>
      <c r="LWH64"/>
      <c r="LWI64"/>
      <c r="LWJ64"/>
      <c r="LWK64"/>
      <c r="LWL64"/>
      <c r="LWM64"/>
      <c r="LWN64"/>
      <c r="LWO64"/>
      <c r="LWP64"/>
      <c r="LWQ64"/>
      <c r="LWR64"/>
      <c r="LWS64"/>
      <c r="LWT64"/>
      <c r="LWU64"/>
      <c r="LWV64"/>
      <c r="LWW64"/>
      <c r="LWX64"/>
      <c r="LWY64"/>
      <c r="LWZ64"/>
      <c r="LXA64"/>
      <c r="LXB64"/>
      <c r="LXC64"/>
      <c r="LXD64"/>
      <c r="LXE64"/>
      <c r="LXF64"/>
      <c r="LXG64"/>
      <c r="LXH64"/>
      <c r="LXI64"/>
      <c r="LXJ64"/>
      <c r="LXK64"/>
      <c r="LXL64"/>
      <c r="LXM64"/>
      <c r="LXN64"/>
      <c r="LXO64"/>
      <c r="LXP64"/>
      <c r="LXQ64"/>
      <c r="LXR64"/>
      <c r="LXS64"/>
      <c r="LXT64"/>
      <c r="LXU64"/>
      <c r="LXV64"/>
      <c r="LXW64"/>
      <c r="LXX64"/>
      <c r="LXY64"/>
      <c r="LXZ64"/>
      <c r="LYA64"/>
      <c r="LYB64"/>
      <c r="LYC64"/>
      <c r="LYD64"/>
      <c r="LYE64"/>
      <c r="LYF64"/>
      <c r="LYG64"/>
      <c r="LYH64"/>
      <c r="LYI64"/>
      <c r="LYJ64"/>
      <c r="LYK64"/>
      <c r="LYL64"/>
      <c r="LYM64"/>
      <c r="LYN64"/>
      <c r="LYO64"/>
      <c r="LYP64"/>
      <c r="LYQ64"/>
      <c r="LYR64"/>
      <c r="LYS64"/>
      <c r="LYT64"/>
      <c r="LYU64"/>
      <c r="LYV64"/>
      <c r="LYW64"/>
      <c r="LYX64"/>
      <c r="LYY64"/>
      <c r="LYZ64"/>
      <c r="LZA64"/>
      <c r="LZB64"/>
      <c r="LZC64"/>
      <c r="LZD64"/>
      <c r="LZE64"/>
      <c r="LZF64"/>
      <c r="LZG64"/>
      <c r="LZH64"/>
      <c r="LZI64"/>
      <c r="LZJ64"/>
      <c r="LZK64"/>
      <c r="LZL64"/>
      <c r="LZM64"/>
      <c r="LZN64"/>
      <c r="LZO64"/>
      <c r="LZP64"/>
      <c r="LZQ64"/>
      <c r="LZR64"/>
      <c r="LZS64"/>
      <c r="LZT64"/>
      <c r="LZU64"/>
      <c r="LZV64"/>
      <c r="LZW64"/>
      <c r="LZX64"/>
      <c r="LZY64"/>
      <c r="LZZ64"/>
      <c r="MAA64"/>
      <c r="MAB64"/>
      <c r="MAC64"/>
      <c r="MAD64"/>
      <c r="MAE64"/>
      <c r="MAF64"/>
      <c r="MAG64"/>
      <c r="MAH64"/>
      <c r="MAI64"/>
      <c r="MAJ64"/>
      <c r="MAK64"/>
      <c r="MAL64"/>
      <c r="MAM64"/>
      <c r="MAN64"/>
      <c r="MAO64"/>
      <c r="MAP64"/>
      <c r="MAQ64"/>
      <c r="MAR64"/>
      <c r="MAS64"/>
      <c r="MAT64"/>
      <c r="MAU64"/>
      <c r="MAV64"/>
      <c r="MAW64"/>
      <c r="MAX64"/>
      <c r="MAY64"/>
      <c r="MAZ64"/>
      <c r="MBA64"/>
      <c r="MBB64"/>
      <c r="MBC64"/>
      <c r="MBD64"/>
      <c r="MBE64"/>
      <c r="MBF64"/>
      <c r="MBG64"/>
      <c r="MBH64"/>
      <c r="MBI64"/>
      <c r="MBJ64"/>
      <c r="MBK64"/>
      <c r="MBL64"/>
      <c r="MBM64"/>
      <c r="MBN64"/>
      <c r="MBO64"/>
      <c r="MBP64"/>
      <c r="MBQ64"/>
      <c r="MBR64"/>
      <c r="MBS64"/>
      <c r="MBT64"/>
      <c r="MBU64"/>
      <c r="MBV64"/>
      <c r="MBW64"/>
      <c r="MBX64"/>
      <c r="MBY64"/>
      <c r="MBZ64"/>
      <c r="MCA64"/>
      <c r="MCB64"/>
      <c r="MCC64"/>
      <c r="MCD64"/>
      <c r="MCE64"/>
      <c r="MCF64"/>
      <c r="MCG64"/>
      <c r="MCH64"/>
      <c r="MCI64"/>
      <c r="MCJ64"/>
      <c r="MCK64"/>
      <c r="MCL64"/>
      <c r="MCM64"/>
      <c r="MCN64"/>
      <c r="MCO64"/>
      <c r="MCP64"/>
      <c r="MCQ64"/>
      <c r="MCR64"/>
      <c r="MCS64"/>
      <c r="MCT64"/>
      <c r="MCU64"/>
      <c r="MCV64"/>
      <c r="MCW64"/>
      <c r="MCX64"/>
      <c r="MCY64"/>
      <c r="MCZ64"/>
      <c r="MDA64"/>
      <c r="MDB64"/>
      <c r="MDC64"/>
      <c r="MDD64"/>
      <c r="MDE64"/>
      <c r="MDF64"/>
      <c r="MDG64"/>
      <c r="MDH64"/>
      <c r="MDI64"/>
      <c r="MDJ64"/>
      <c r="MDK64"/>
      <c r="MDL64"/>
      <c r="MDM64"/>
      <c r="MDN64"/>
      <c r="MDO64"/>
      <c r="MDP64"/>
      <c r="MDQ64"/>
      <c r="MDR64"/>
      <c r="MDS64"/>
      <c r="MDT64"/>
      <c r="MDU64"/>
      <c r="MDV64"/>
      <c r="MDW64"/>
      <c r="MDX64"/>
      <c r="MDY64"/>
      <c r="MDZ64"/>
      <c r="MEA64"/>
      <c r="MEB64"/>
      <c r="MEC64"/>
      <c r="MED64"/>
      <c r="MEE64"/>
      <c r="MEF64"/>
      <c r="MEG64"/>
      <c r="MEH64"/>
      <c r="MEI64"/>
      <c r="MEJ64"/>
      <c r="MEK64"/>
      <c r="MEL64"/>
      <c r="MEM64"/>
      <c r="MEN64"/>
      <c r="MEO64"/>
      <c r="MEP64"/>
      <c r="MEQ64"/>
      <c r="MER64"/>
      <c r="MES64"/>
      <c r="MET64"/>
      <c r="MEU64"/>
      <c r="MEV64"/>
      <c r="MEW64"/>
      <c r="MEX64"/>
      <c r="MEY64"/>
      <c r="MEZ64"/>
      <c r="MFA64"/>
      <c r="MFB64"/>
      <c r="MFC64"/>
      <c r="MFD64"/>
      <c r="MFE64"/>
      <c r="MFF64"/>
      <c r="MFG64"/>
      <c r="MFH64"/>
      <c r="MFI64"/>
      <c r="MFJ64"/>
      <c r="MFK64"/>
      <c r="MFL64"/>
      <c r="MFM64"/>
      <c r="MFN64"/>
      <c r="MFO64"/>
      <c r="MFP64"/>
      <c r="MFQ64"/>
      <c r="MFR64"/>
      <c r="MFS64"/>
      <c r="MFT64"/>
      <c r="MFU64"/>
      <c r="MFV64"/>
      <c r="MFW64"/>
      <c r="MFX64"/>
      <c r="MFY64"/>
      <c r="MFZ64"/>
      <c r="MGA64"/>
      <c r="MGB64"/>
      <c r="MGC64"/>
      <c r="MGD64"/>
      <c r="MGE64"/>
      <c r="MGF64"/>
      <c r="MGG64"/>
      <c r="MGH64"/>
      <c r="MGI64"/>
      <c r="MGJ64"/>
      <c r="MGK64"/>
      <c r="MGL64"/>
      <c r="MGM64"/>
      <c r="MGN64"/>
      <c r="MGO64"/>
      <c r="MGP64"/>
      <c r="MGQ64"/>
      <c r="MGR64"/>
      <c r="MGS64"/>
      <c r="MGT64"/>
      <c r="MGU64"/>
      <c r="MGV64"/>
      <c r="MGW64"/>
      <c r="MGX64"/>
      <c r="MGY64"/>
      <c r="MGZ64"/>
      <c r="MHA64"/>
      <c r="MHB64"/>
      <c r="MHC64"/>
      <c r="MHD64"/>
      <c r="MHE64"/>
      <c r="MHF64"/>
      <c r="MHG64"/>
      <c r="MHH64"/>
      <c r="MHI64"/>
      <c r="MHJ64"/>
      <c r="MHK64"/>
      <c r="MHL64"/>
      <c r="MHM64"/>
      <c r="MHN64"/>
      <c r="MHO64"/>
      <c r="MHP64"/>
      <c r="MHQ64"/>
      <c r="MHR64"/>
      <c r="MHS64"/>
      <c r="MHT64"/>
      <c r="MHU64"/>
      <c r="MHV64"/>
      <c r="MHW64"/>
      <c r="MHX64"/>
      <c r="MHY64"/>
      <c r="MHZ64"/>
      <c r="MIA64"/>
      <c r="MIB64"/>
      <c r="MIC64"/>
      <c r="MID64"/>
      <c r="MIE64"/>
      <c r="MIF64"/>
      <c r="MIG64"/>
      <c r="MIH64"/>
      <c r="MII64"/>
      <c r="MIJ64"/>
      <c r="MIK64"/>
      <c r="MIL64"/>
      <c r="MIM64"/>
      <c r="MIN64"/>
      <c r="MIO64"/>
      <c r="MIP64"/>
      <c r="MIQ64"/>
      <c r="MIR64"/>
      <c r="MIS64"/>
      <c r="MIT64"/>
      <c r="MIU64"/>
      <c r="MIV64"/>
      <c r="MIW64"/>
      <c r="MIX64"/>
      <c r="MIY64"/>
      <c r="MIZ64"/>
      <c r="MJA64"/>
      <c r="MJB64"/>
      <c r="MJC64"/>
      <c r="MJD64"/>
      <c r="MJE64"/>
      <c r="MJF64"/>
      <c r="MJG64"/>
      <c r="MJH64"/>
      <c r="MJI64"/>
      <c r="MJJ64"/>
      <c r="MJK64"/>
      <c r="MJL64"/>
      <c r="MJM64"/>
      <c r="MJN64"/>
      <c r="MJO64"/>
      <c r="MJP64"/>
      <c r="MJQ64"/>
      <c r="MJR64"/>
      <c r="MJS64"/>
      <c r="MJT64"/>
      <c r="MJU64"/>
      <c r="MJV64"/>
      <c r="MJW64"/>
      <c r="MJX64"/>
      <c r="MJY64"/>
      <c r="MJZ64"/>
      <c r="MKA64"/>
      <c r="MKB64"/>
      <c r="MKC64"/>
      <c r="MKD64"/>
      <c r="MKE64"/>
      <c r="MKF64"/>
      <c r="MKG64"/>
      <c r="MKH64"/>
      <c r="MKI64"/>
      <c r="MKJ64"/>
      <c r="MKK64"/>
      <c r="MKL64"/>
      <c r="MKM64"/>
      <c r="MKN64"/>
      <c r="MKO64"/>
      <c r="MKP64"/>
      <c r="MKQ64"/>
      <c r="MKR64"/>
      <c r="MKS64"/>
      <c r="MKT64"/>
      <c r="MKU64"/>
      <c r="MKV64"/>
      <c r="MKW64"/>
      <c r="MKX64"/>
      <c r="MKY64"/>
      <c r="MKZ64"/>
      <c r="MLA64"/>
      <c r="MLB64"/>
      <c r="MLC64"/>
      <c r="MLD64"/>
      <c r="MLE64"/>
      <c r="MLF64"/>
      <c r="MLG64"/>
      <c r="MLH64"/>
      <c r="MLI64"/>
      <c r="MLJ64"/>
      <c r="MLK64"/>
      <c r="MLL64"/>
      <c r="MLM64"/>
      <c r="MLN64"/>
      <c r="MLO64"/>
      <c r="MLP64"/>
      <c r="MLQ64"/>
      <c r="MLR64"/>
      <c r="MLS64"/>
      <c r="MLT64"/>
      <c r="MLU64"/>
      <c r="MLV64"/>
      <c r="MLW64"/>
      <c r="MLX64"/>
      <c r="MLY64"/>
      <c r="MLZ64"/>
      <c r="MMA64"/>
      <c r="MMB64"/>
      <c r="MMC64"/>
      <c r="MMD64"/>
      <c r="MME64"/>
      <c r="MMF64"/>
      <c r="MMG64"/>
      <c r="MMH64"/>
      <c r="MMI64"/>
      <c r="MMJ64"/>
      <c r="MMK64"/>
      <c r="MML64"/>
      <c r="MMM64"/>
      <c r="MMN64"/>
      <c r="MMO64"/>
      <c r="MMP64"/>
      <c r="MMQ64"/>
      <c r="MMR64"/>
      <c r="MMS64"/>
      <c r="MMT64"/>
      <c r="MMU64"/>
      <c r="MMV64"/>
      <c r="MMW64"/>
      <c r="MMX64"/>
      <c r="MMY64"/>
      <c r="MMZ64"/>
      <c r="MNA64"/>
      <c r="MNB64"/>
      <c r="MNC64"/>
      <c r="MND64"/>
      <c r="MNE64"/>
      <c r="MNF64"/>
      <c r="MNG64"/>
      <c r="MNH64"/>
      <c r="MNI64"/>
      <c r="MNJ64"/>
      <c r="MNK64"/>
      <c r="MNL64"/>
      <c r="MNM64"/>
      <c r="MNN64"/>
      <c r="MNO64"/>
      <c r="MNP64"/>
      <c r="MNQ64"/>
      <c r="MNR64"/>
      <c r="MNS64"/>
      <c r="MNT64"/>
      <c r="MNU64"/>
      <c r="MNV64"/>
      <c r="MNW64"/>
      <c r="MNX64"/>
      <c r="MNY64"/>
      <c r="MNZ64"/>
      <c r="MOA64"/>
      <c r="MOB64"/>
      <c r="MOC64"/>
      <c r="MOD64"/>
      <c r="MOE64"/>
      <c r="MOF64"/>
      <c r="MOG64"/>
      <c r="MOH64"/>
      <c r="MOI64"/>
      <c r="MOJ64"/>
      <c r="MOK64"/>
      <c r="MOL64"/>
      <c r="MOM64"/>
      <c r="MON64"/>
      <c r="MOO64"/>
      <c r="MOP64"/>
      <c r="MOQ64"/>
      <c r="MOR64"/>
      <c r="MOS64"/>
      <c r="MOT64"/>
      <c r="MOU64"/>
      <c r="MOV64"/>
      <c r="MOW64"/>
      <c r="MOX64"/>
      <c r="MOY64"/>
      <c r="MOZ64"/>
      <c r="MPA64"/>
      <c r="MPB64"/>
      <c r="MPC64"/>
      <c r="MPD64"/>
      <c r="MPE64"/>
      <c r="MPF64"/>
      <c r="MPG64"/>
      <c r="MPH64"/>
      <c r="MPI64"/>
      <c r="MPJ64"/>
      <c r="MPK64"/>
      <c r="MPL64"/>
      <c r="MPM64"/>
      <c r="MPN64"/>
      <c r="MPO64"/>
      <c r="MPP64"/>
      <c r="MPQ64"/>
      <c r="MPR64"/>
      <c r="MPS64"/>
      <c r="MPT64"/>
      <c r="MPU64"/>
      <c r="MPV64"/>
      <c r="MPW64"/>
      <c r="MPX64"/>
      <c r="MPY64"/>
      <c r="MPZ64"/>
      <c r="MQA64"/>
      <c r="MQB64"/>
      <c r="MQC64"/>
      <c r="MQD64"/>
      <c r="MQE64"/>
      <c r="MQF64"/>
      <c r="MQG64"/>
      <c r="MQH64"/>
      <c r="MQI64"/>
      <c r="MQJ64"/>
      <c r="MQK64"/>
      <c r="MQL64"/>
      <c r="MQM64"/>
      <c r="MQN64"/>
      <c r="MQO64"/>
      <c r="MQP64"/>
      <c r="MQQ64"/>
      <c r="MQR64"/>
      <c r="MQS64"/>
      <c r="MQT64"/>
      <c r="MQU64"/>
      <c r="MQV64"/>
      <c r="MQW64"/>
      <c r="MQX64"/>
      <c r="MQY64"/>
      <c r="MQZ64"/>
      <c r="MRA64"/>
      <c r="MRB64"/>
      <c r="MRC64"/>
      <c r="MRD64"/>
      <c r="MRE64"/>
      <c r="MRF64"/>
      <c r="MRG64"/>
      <c r="MRH64"/>
      <c r="MRI64"/>
      <c r="MRJ64"/>
      <c r="MRK64"/>
      <c r="MRL64"/>
      <c r="MRM64"/>
      <c r="MRN64"/>
      <c r="MRO64"/>
      <c r="MRP64"/>
      <c r="MRQ64"/>
      <c r="MRR64"/>
      <c r="MRS64"/>
      <c r="MRT64"/>
      <c r="MRU64"/>
      <c r="MRV64"/>
      <c r="MRW64"/>
      <c r="MRX64"/>
      <c r="MRY64"/>
      <c r="MRZ64"/>
      <c r="MSA64"/>
      <c r="MSB64"/>
      <c r="MSC64"/>
      <c r="MSD64"/>
      <c r="MSE64"/>
      <c r="MSF64"/>
      <c r="MSG64"/>
      <c r="MSH64"/>
      <c r="MSI64"/>
      <c r="MSJ64"/>
      <c r="MSK64"/>
      <c r="MSL64"/>
      <c r="MSM64"/>
      <c r="MSN64"/>
      <c r="MSO64"/>
      <c r="MSP64"/>
      <c r="MSQ64"/>
      <c r="MSR64"/>
      <c r="MSS64"/>
      <c r="MST64"/>
      <c r="MSU64"/>
      <c r="MSV64"/>
      <c r="MSW64"/>
      <c r="MSX64"/>
      <c r="MSY64"/>
      <c r="MSZ64"/>
      <c r="MTA64"/>
      <c r="MTB64"/>
      <c r="MTC64"/>
      <c r="MTD64"/>
      <c r="MTE64"/>
      <c r="MTF64"/>
      <c r="MTG64"/>
      <c r="MTH64"/>
      <c r="MTI64"/>
      <c r="MTJ64"/>
      <c r="MTK64"/>
      <c r="MTL64"/>
      <c r="MTM64"/>
      <c r="MTN64"/>
      <c r="MTO64"/>
      <c r="MTP64"/>
      <c r="MTQ64"/>
      <c r="MTR64"/>
      <c r="MTS64"/>
      <c r="MTT64"/>
      <c r="MTU64"/>
      <c r="MTV64"/>
      <c r="MTW64"/>
      <c r="MTX64"/>
      <c r="MTY64"/>
      <c r="MTZ64"/>
      <c r="MUA64"/>
      <c r="MUB64"/>
      <c r="MUC64"/>
      <c r="MUD64"/>
      <c r="MUE64"/>
      <c r="MUF64"/>
      <c r="MUG64"/>
      <c r="MUH64"/>
      <c r="MUI64"/>
      <c r="MUJ64"/>
      <c r="MUK64"/>
      <c r="MUL64"/>
      <c r="MUM64"/>
      <c r="MUN64"/>
      <c r="MUO64"/>
      <c r="MUP64"/>
      <c r="MUQ64"/>
      <c r="MUR64"/>
      <c r="MUS64"/>
      <c r="MUT64"/>
      <c r="MUU64"/>
      <c r="MUV64"/>
      <c r="MUW64"/>
      <c r="MUX64"/>
      <c r="MUY64"/>
      <c r="MUZ64"/>
      <c r="MVA64"/>
      <c r="MVB64"/>
      <c r="MVC64"/>
      <c r="MVD64"/>
      <c r="MVE64"/>
      <c r="MVF64"/>
      <c r="MVG64"/>
      <c r="MVH64"/>
      <c r="MVI64"/>
      <c r="MVJ64"/>
      <c r="MVK64"/>
      <c r="MVL64"/>
      <c r="MVM64"/>
      <c r="MVN64"/>
      <c r="MVO64"/>
      <c r="MVP64"/>
      <c r="MVQ64"/>
      <c r="MVR64"/>
      <c r="MVS64"/>
      <c r="MVT64"/>
      <c r="MVU64"/>
      <c r="MVV64"/>
      <c r="MVW64"/>
      <c r="MVX64"/>
      <c r="MVY64"/>
      <c r="MVZ64"/>
      <c r="MWA64"/>
      <c r="MWB64"/>
      <c r="MWC64"/>
      <c r="MWD64"/>
      <c r="MWE64"/>
      <c r="MWF64"/>
      <c r="MWG64"/>
      <c r="MWH64"/>
      <c r="MWI64"/>
      <c r="MWJ64"/>
      <c r="MWK64"/>
      <c r="MWL64"/>
      <c r="MWM64"/>
      <c r="MWN64"/>
      <c r="MWO64"/>
      <c r="MWP64"/>
      <c r="MWQ64"/>
      <c r="MWR64"/>
      <c r="MWS64"/>
      <c r="MWT64"/>
      <c r="MWU64"/>
      <c r="MWV64"/>
      <c r="MWW64"/>
      <c r="MWX64"/>
      <c r="MWY64"/>
      <c r="MWZ64"/>
      <c r="MXA64"/>
      <c r="MXB64"/>
      <c r="MXC64"/>
      <c r="MXD64"/>
      <c r="MXE64"/>
      <c r="MXF64"/>
      <c r="MXG64"/>
      <c r="MXH64"/>
      <c r="MXI64"/>
      <c r="MXJ64"/>
      <c r="MXK64"/>
      <c r="MXL64"/>
      <c r="MXM64"/>
      <c r="MXN64"/>
      <c r="MXO64"/>
      <c r="MXP64"/>
      <c r="MXQ64"/>
      <c r="MXR64"/>
      <c r="MXS64"/>
      <c r="MXT64"/>
      <c r="MXU64"/>
      <c r="MXV64"/>
      <c r="MXW64"/>
      <c r="MXX64"/>
      <c r="MXY64"/>
      <c r="MXZ64"/>
      <c r="MYA64"/>
      <c r="MYB64"/>
      <c r="MYC64"/>
      <c r="MYD64"/>
      <c r="MYE64"/>
      <c r="MYF64"/>
      <c r="MYG64"/>
      <c r="MYH64"/>
      <c r="MYI64"/>
      <c r="MYJ64"/>
      <c r="MYK64"/>
      <c r="MYL64"/>
      <c r="MYM64"/>
      <c r="MYN64"/>
      <c r="MYO64"/>
      <c r="MYP64"/>
      <c r="MYQ64"/>
      <c r="MYR64"/>
      <c r="MYS64"/>
      <c r="MYT64"/>
      <c r="MYU64"/>
      <c r="MYV64"/>
      <c r="MYW64"/>
      <c r="MYX64"/>
      <c r="MYY64"/>
      <c r="MYZ64"/>
      <c r="MZA64"/>
      <c r="MZB64"/>
      <c r="MZC64"/>
      <c r="MZD64"/>
      <c r="MZE64"/>
      <c r="MZF64"/>
      <c r="MZG64"/>
      <c r="MZH64"/>
      <c r="MZI64"/>
      <c r="MZJ64"/>
      <c r="MZK64"/>
      <c r="MZL64"/>
      <c r="MZM64"/>
      <c r="MZN64"/>
      <c r="MZO64"/>
      <c r="MZP64"/>
      <c r="MZQ64"/>
      <c r="MZR64"/>
      <c r="MZS64"/>
      <c r="MZT64"/>
      <c r="MZU64"/>
      <c r="MZV64"/>
      <c r="MZW64"/>
      <c r="MZX64"/>
      <c r="MZY64"/>
      <c r="MZZ64"/>
      <c r="NAA64"/>
      <c r="NAB64"/>
      <c r="NAC64"/>
      <c r="NAD64"/>
      <c r="NAE64"/>
      <c r="NAF64"/>
      <c r="NAG64"/>
      <c r="NAH64"/>
      <c r="NAI64"/>
      <c r="NAJ64"/>
      <c r="NAK64"/>
      <c r="NAL64"/>
      <c r="NAM64"/>
      <c r="NAN64"/>
      <c r="NAO64"/>
      <c r="NAP64"/>
      <c r="NAQ64"/>
      <c r="NAR64"/>
      <c r="NAS64"/>
      <c r="NAT64"/>
      <c r="NAU64"/>
      <c r="NAV64"/>
      <c r="NAW64"/>
      <c r="NAX64"/>
      <c r="NAY64"/>
      <c r="NAZ64"/>
      <c r="NBA64"/>
      <c r="NBB64"/>
      <c r="NBC64"/>
      <c r="NBD64"/>
      <c r="NBE64"/>
      <c r="NBF64"/>
      <c r="NBG64"/>
      <c r="NBH64"/>
      <c r="NBI64"/>
      <c r="NBJ64"/>
      <c r="NBK64"/>
      <c r="NBL64"/>
      <c r="NBM64"/>
      <c r="NBN64"/>
      <c r="NBO64"/>
      <c r="NBP64"/>
      <c r="NBQ64"/>
      <c r="NBR64"/>
      <c r="NBS64"/>
      <c r="NBT64"/>
      <c r="NBU64"/>
      <c r="NBV64"/>
      <c r="NBW64"/>
      <c r="NBX64"/>
      <c r="NBY64"/>
      <c r="NBZ64"/>
      <c r="NCA64"/>
      <c r="NCB64"/>
      <c r="NCC64"/>
      <c r="NCD64"/>
      <c r="NCE64"/>
      <c r="NCF64"/>
      <c r="NCG64"/>
      <c r="NCH64"/>
      <c r="NCI64"/>
      <c r="NCJ64"/>
      <c r="NCK64"/>
      <c r="NCL64"/>
      <c r="NCM64"/>
      <c r="NCN64"/>
      <c r="NCO64"/>
      <c r="NCP64"/>
      <c r="NCQ64"/>
      <c r="NCR64"/>
      <c r="NCS64"/>
      <c r="NCT64"/>
      <c r="NCU64"/>
      <c r="NCV64"/>
      <c r="NCW64"/>
      <c r="NCX64"/>
      <c r="NCY64"/>
      <c r="NCZ64"/>
      <c r="NDA64"/>
      <c r="NDB64"/>
      <c r="NDC64"/>
      <c r="NDD64"/>
      <c r="NDE64"/>
      <c r="NDF64"/>
      <c r="NDG64"/>
      <c r="NDH64"/>
      <c r="NDI64"/>
      <c r="NDJ64"/>
      <c r="NDK64"/>
      <c r="NDL64"/>
      <c r="NDM64"/>
      <c r="NDN64"/>
      <c r="NDO64"/>
      <c r="NDP64"/>
      <c r="NDQ64"/>
      <c r="NDR64"/>
      <c r="NDS64"/>
      <c r="NDT64"/>
      <c r="NDU64"/>
      <c r="NDV64"/>
      <c r="NDW64"/>
      <c r="NDX64"/>
      <c r="NDY64"/>
      <c r="NDZ64"/>
      <c r="NEA64"/>
      <c r="NEB64"/>
      <c r="NEC64"/>
      <c r="NED64"/>
      <c r="NEE64"/>
      <c r="NEF64"/>
      <c r="NEG64"/>
      <c r="NEH64"/>
      <c r="NEI64"/>
      <c r="NEJ64"/>
      <c r="NEK64"/>
      <c r="NEL64"/>
      <c r="NEM64"/>
      <c r="NEN64"/>
      <c r="NEO64"/>
      <c r="NEP64"/>
      <c r="NEQ64"/>
      <c r="NER64"/>
      <c r="NES64"/>
      <c r="NET64"/>
      <c r="NEU64"/>
      <c r="NEV64"/>
      <c r="NEW64"/>
      <c r="NEX64"/>
      <c r="NEY64"/>
      <c r="NEZ64"/>
      <c r="NFA64"/>
      <c r="NFB64"/>
      <c r="NFC64"/>
      <c r="NFD64"/>
      <c r="NFE64"/>
      <c r="NFF64"/>
      <c r="NFG64"/>
      <c r="NFH64"/>
      <c r="NFI64"/>
      <c r="NFJ64"/>
      <c r="NFK64"/>
      <c r="NFL64"/>
      <c r="NFM64"/>
      <c r="NFN64"/>
      <c r="NFO64"/>
      <c r="NFP64"/>
      <c r="NFQ64"/>
      <c r="NFR64"/>
      <c r="NFS64"/>
      <c r="NFT64"/>
      <c r="NFU64"/>
      <c r="NFV64"/>
      <c r="NFW64"/>
      <c r="NFX64"/>
      <c r="NFY64"/>
      <c r="NFZ64"/>
      <c r="NGA64"/>
      <c r="NGB64"/>
      <c r="NGC64"/>
      <c r="NGD64"/>
      <c r="NGE64"/>
      <c r="NGF64"/>
      <c r="NGG64"/>
      <c r="NGH64"/>
      <c r="NGI64"/>
      <c r="NGJ64"/>
      <c r="NGK64"/>
      <c r="NGL64"/>
      <c r="NGM64"/>
      <c r="NGN64"/>
      <c r="NGO64"/>
      <c r="NGP64"/>
      <c r="NGQ64"/>
      <c r="NGR64"/>
      <c r="NGS64"/>
      <c r="NGT64"/>
      <c r="NGU64"/>
      <c r="NGV64"/>
      <c r="NGW64"/>
      <c r="NGX64"/>
      <c r="NGY64"/>
      <c r="NGZ64"/>
      <c r="NHA64"/>
      <c r="NHB64"/>
      <c r="NHC64"/>
      <c r="NHD64"/>
      <c r="NHE64"/>
      <c r="NHF64"/>
      <c r="NHG64"/>
      <c r="NHH64"/>
      <c r="NHI64"/>
      <c r="NHJ64"/>
      <c r="NHK64"/>
      <c r="NHL64"/>
      <c r="NHM64"/>
      <c r="NHN64"/>
      <c r="NHO64"/>
      <c r="NHP64"/>
      <c r="NHQ64"/>
      <c r="NHR64"/>
      <c r="NHS64"/>
      <c r="NHT64"/>
      <c r="NHU64"/>
      <c r="NHV64"/>
      <c r="NHW64"/>
      <c r="NHX64"/>
      <c r="NHY64"/>
      <c r="NHZ64"/>
      <c r="NIA64"/>
      <c r="NIB64"/>
      <c r="NIC64"/>
      <c r="NID64"/>
      <c r="NIE64"/>
      <c r="NIF64"/>
      <c r="NIG64"/>
      <c r="NIH64"/>
      <c r="NII64"/>
      <c r="NIJ64"/>
      <c r="NIK64"/>
      <c r="NIL64"/>
      <c r="NIM64"/>
      <c r="NIN64"/>
      <c r="NIO64"/>
      <c r="NIP64"/>
      <c r="NIQ64"/>
      <c r="NIR64"/>
      <c r="NIS64"/>
      <c r="NIT64"/>
      <c r="NIU64"/>
      <c r="NIV64"/>
      <c r="NIW64"/>
      <c r="NIX64"/>
      <c r="NIY64"/>
      <c r="NIZ64"/>
      <c r="NJA64"/>
      <c r="NJB64"/>
      <c r="NJC64"/>
      <c r="NJD64"/>
      <c r="NJE64"/>
      <c r="NJF64"/>
      <c r="NJG64"/>
      <c r="NJH64"/>
      <c r="NJI64"/>
      <c r="NJJ64"/>
      <c r="NJK64"/>
      <c r="NJL64"/>
      <c r="NJM64"/>
      <c r="NJN64"/>
      <c r="NJO64"/>
      <c r="NJP64"/>
      <c r="NJQ64"/>
      <c r="NJR64"/>
      <c r="NJS64"/>
      <c r="NJT64"/>
      <c r="NJU64"/>
      <c r="NJV64"/>
      <c r="NJW64"/>
      <c r="NJX64"/>
      <c r="NJY64"/>
      <c r="NJZ64"/>
      <c r="NKA64"/>
      <c r="NKB64"/>
      <c r="NKC64"/>
      <c r="NKD64"/>
      <c r="NKE64"/>
      <c r="NKF64"/>
      <c r="NKG64"/>
      <c r="NKH64"/>
      <c r="NKI64"/>
      <c r="NKJ64"/>
      <c r="NKK64"/>
      <c r="NKL64"/>
      <c r="NKM64"/>
      <c r="NKN64"/>
      <c r="NKO64"/>
      <c r="NKP64"/>
      <c r="NKQ64"/>
      <c r="NKR64"/>
      <c r="NKS64"/>
      <c r="NKT64"/>
      <c r="NKU64"/>
      <c r="NKV64"/>
      <c r="NKW64"/>
      <c r="NKX64"/>
      <c r="NKY64"/>
      <c r="NKZ64"/>
      <c r="NLA64"/>
      <c r="NLB64"/>
      <c r="NLC64"/>
      <c r="NLD64"/>
      <c r="NLE64"/>
      <c r="NLF64"/>
      <c r="NLG64"/>
      <c r="NLH64"/>
      <c r="NLI64"/>
      <c r="NLJ64"/>
      <c r="NLK64"/>
      <c r="NLL64"/>
      <c r="NLM64"/>
      <c r="NLN64"/>
      <c r="NLO64"/>
      <c r="NLP64"/>
      <c r="NLQ64"/>
      <c r="NLR64"/>
      <c r="NLS64"/>
      <c r="NLT64"/>
      <c r="NLU64"/>
      <c r="NLV64"/>
      <c r="NLW64"/>
      <c r="NLX64"/>
      <c r="NLY64"/>
      <c r="NLZ64"/>
      <c r="NMA64"/>
      <c r="NMB64"/>
      <c r="NMC64"/>
      <c r="NMD64"/>
      <c r="NME64"/>
      <c r="NMF64"/>
      <c r="NMG64"/>
      <c r="NMH64"/>
      <c r="NMI64"/>
      <c r="NMJ64"/>
      <c r="NMK64"/>
      <c r="NML64"/>
      <c r="NMM64"/>
      <c r="NMN64"/>
      <c r="NMO64"/>
      <c r="NMP64"/>
      <c r="NMQ64"/>
      <c r="NMR64"/>
      <c r="NMS64"/>
      <c r="NMT64"/>
      <c r="NMU64"/>
      <c r="NMV64"/>
      <c r="NMW64"/>
      <c r="NMX64"/>
      <c r="NMY64"/>
      <c r="NMZ64"/>
      <c r="NNA64"/>
      <c r="NNB64"/>
      <c r="NNC64"/>
      <c r="NND64"/>
      <c r="NNE64"/>
      <c r="NNF64"/>
      <c r="NNG64"/>
      <c r="NNH64"/>
      <c r="NNI64"/>
      <c r="NNJ64"/>
      <c r="NNK64"/>
      <c r="NNL64"/>
      <c r="NNM64"/>
      <c r="NNN64"/>
      <c r="NNO64"/>
      <c r="NNP64"/>
      <c r="NNQ64"/>
      <c r="NNR64"/>
      <c r="NNS64"/>
      <c r="NNT64"/>
      <c r="NNU64"/>
      <c r="NNV64"/>
      <c r="NNW64"/>
      <c r="NNX64"/>
      <c r="NNY64"/>
      <c r="NNZ64"/>
      <c r="NOA64"/>
      <c r="NOB64"/>
      <c r="NOC64"/>
      <c r="NOD64"/>
      <c r="NOE64"/>
      <c r="NOF64"/>
      <c r="NOG64"/>
      <c r="NOH64"/>
      <c r="NOI64"/>
      <c r="NOJ64"/>
      <c r="NOK64"/>
      <c r="NOL64"/>
      <c r="NOM64"/>
      <c r="NON64"/>
      <c r="NOO64"/>
      <c r="NOP64"/>
      <c r="NOQ64"/>
      <c r="NOR64"/>
      <c r="NOS64"/>
      <c r="NOT64"/>
      <c r="NOU64"/>
      <c r="NOV64"/>
      <c r="NOW64"/>
      <c r="NOX64"/>
      <c r="NOY64"/>
      <c r="NOZ64"/>
      <c r="NPA64"/>
      <c r="NPB64"/>
      <c r="NPC64"/>
      <c r="NPD64"/>
      <c r="NPE64"/>
      <c r="NPF64"/>
      <c r="NPG64"/>
      <c r="NPH64"/>
      <c r="NPI64"/>
      <c r="NPJ64"/>
      <c r="NPK64"/>
      <c r="NPL64"/>
      <c r="NPM64"/>
      <c r="NPN64"/>
      <c r="NPO64"/>
      <c r="NPP64"/>
      <c r="NPQ64"/>
      <c r="NPR64"/>
      <c r="NPS64"/>
      <c r="NPT64"/>
      <c r="NPU64"/>
      <c r="NPV64"/>
      <c r="NPW64"/>
      <c r="NPX64"/>
      <c r="NPY64"/>
      <c r="NPZ64"/>
      <c r="NQA64"/>
      <c r="NQB64"/>
      <c r="NQC64"/>
      <c r="NQD64"/>
      <c r="NQE64"/>
      <c r="NQF64"/>
      <c r="NQG64"/>
      <c r="NQH64"/>
      <c r="NQI64"/>
      <c r="NQJ64"/>
      <c r="NQK64"/>
      <c r="NQL64"/>
      <c r="NQM64"/>
      <c r="NQN64"/>
      <c r="NQO64"/>
      <c r="NQP64"/>
      <c r="NQQ64"/>
      <c r="NQR64"/>
      <c r="NQS64"/>
      <c r="NQT64"/>
      <c r="NQU64"/>
      <c r="NQV64"/>
      <c r="NQW64"/>
      <c r="NQX64"/>
      <c r="NQY64"/>
      <c r="NQZ64"/>
      <c r="NRA64"/>
      <c r="NRB64"/>
      <c r="NRC64"/>
      <c r="NRD64"/>
      <c r="NRE64"/>
      <c r="NRF64"/>
      <c r="NRG64"/>
      <c r="NRH64"/>
      <c r="NRI64"/>
      <c r="NRJ64"/>
      <c r="NRK64"/>
      <c r="NRL64"/>
      <c r="NRM64"/>
      <c r="NRN64"/>
      <c r="NRO64"/>
      <c r="NRP64"/>
      <c r="NRQ64"/>
      <c r="NRR64"/>
      <c r="NRS64"/>
      <c r="NRT64"/>
      <c r="NRU64"/>
      <c r="NRV64"/>
      <c r="NRW64"/>
      <c r="NRX64"/>
      <c r="NRY64"/>
      <c r="NRZ64"/>
      <c r="NSA64"/>
      <c r="NSB64"/>
      <c r="NSC64"/>
      <c r="NSD64"/>
      <c r="NSE64"/>
      <c r="NSF64"/>
      <c r="NSG64"/>
      <c r="NSH64"/>
      <c r="NSI64"/>
      <c r="NSJ64"/>
      <c r="NSK64"/>
      <c r="NSL64"/>
      <c r="NSM64"/>
      <c r="NSN64"/>
      <c r="NSO64"/>
      <c r="NSP64"/>
      <c r="NSQ64"/>
      <c r="NSR64"/>
      <c r="NSS64"/>
      <c r="NST64"/>
      <c r="NSU64"/>
      <c r="NSV64"/>
      <c r="NSW64"/>
      <c r="NSX64"/>
      <c r="NSY64"/>
      <c r="NSZ64"/>
      <c r="NTA64"/>
      <c r="NTB64"/>
      <c r="NTC64"/>
      <c r="NTD64"/>
      <c r="NTE64"/>
      <c r="NTF64"/>
      <c r="NTG64"/>
      <c r="NTH64"/>
      <c r="NTI64"/>
      <c r="NTJ64"/>
      <c r="NTK64"/>
      <c r="NTL64"/>
      <c r="NTM64"/>
      <c r="NTN64"/>
      <c r="NTO64"/>
      <c r="NTP64"/>
      <c r="NTQ64"/>
      <c r="NTR64"/>
      <c r="NTS64"/>
      <c r="NTT64"/>
      <c r="NTU64"/>
      <c r="NTV64"/>
      <c r="NTW64"/>
      <c r="NTX64"/>
      <c r="NTY64"/>
      <c r="NTZ64"/>
      <c r="NUA64"/>
      <c r="NUB64"/>
      <c r="NUC64"/>
      <c r="NUD64"/>
      <c r="NUE64"/>
      <c r="NUF64"/>
      <c r="NUG64"/>
      <c r="NUH64"/>
      <c r="NUI64"/>
      <c r="NUJ64"/>
      <c r="NUK64"/>
      <c r="NUL64"/>
      <c r="NUM64"/>
      <c r="NUN64"/>
      <c r="NUO64"/>
      <c r="NUP64"/>
      <c r="NUQ64"/>
      <c r="NUR64"/>
      <c r="NUS64"/>
      <c r="NUT64"/>
      <c r="NUU64"/>
      <c r="NUV64"/>
      <c r="NUW64"/>
      <c r="NUX64"/>
      <c r="NUY64"/>
      <c r="NUZ64"/>
      <c r="NVA64"/>
      <c r="NVB64"/>
      <c r="NVC64"/>
      <c r="NVD64"/>
      <c r="NVE64"/>
      <c r="NVF64"/>
      <c r="NVG64"/>
      <c r="NVH64"/>
      <c r="NVI64"/>
      <c r="NVJ64"/>
      <c r="NVK64"/>
      <c r="NVL64"/>
      <c r="NVM64"/>
      <c r="NVN64"/>
      <c r="NVO64"/>
      <c r="NVP64"/>
      <c r="NVQ64"/>
      <c r="NVR64"/>
      <c r="NVS64"/>
      <c r="NVT64"/>
      <c r="NVU64"/>
      <c r="NVV64"/>
      <c r="NVW64"/>
      <c r="NVX64"/>
      <c r="NVY64"/>
      <c r="NVZ64"/>
      <c r="NWA64"/>
      <c r="NWB64"/>
      <c r="NWC64"/>
      <c r="NWD64"/>
      <c r="NWE64"/>
      <c r="NWF64"/>
      <c r="NWG64"/>
      <c r="NWH64"/>
      <c r="NWI64"/>
      <c r="NWJ64"/>
      <c r="NWK64"/>
      <c r="NWL64"/>
      <c r="NWM64"/>
      <c r="NWN64"/>
      <c r="NWO64"/>
      <c r="NWP64"/>
      <c r="NWQ64"/>
      <c r="NWR64"/>
      <c r="NWS64"/>
      <c r="NWT64"/>
      <c r="NWU64"/>
      <c r="NWV64"/>
      <c r="NWW64"/>
      <c r="NWX64"/>
      <c r="NWY64"/>
      <c r="NWZ64"/>
      <c r="NXA64"/>
      <c r="NXB64"/>
      <c r="NXC64"/>
      <c r="NXD64"/>
      <c r="NXE64"/>
      <c r="NXF64"/>
      <c r="NXG64"/>
      <c r="NXH64"/>
      <c r="NXI64"/>
      <c r="NXJ64"/>
      <c r="NXK64"/>
      <c r="NXL64"/>
      <c r="NXM64"/>
      <c r="NXN64"/>
      <c r="NXO64"/>
      <c r="NXP64"/>
      <c r="NXQ64"/>
      <c r="NXR64"/>
      <c r="NXS64"/>
      <c r="NXT64"/>
      <c r="NXU64"/>
      <c r="NXV64"/>
      <c r="NXW64"/>
      <c r="NXX64"/>
      <c r="NXY64"/>
      <c r="NXZ64"/>
      <c r="NYA64"/>
      <c r="NYB64"/>
      <c r="NYC64"/>
      <c r="NYD64"/>
      <c r="NYE64"/>
      <c r="NYF64"/>
      <c r="NYG64"/>
      <c r="NYH64"/>
      <c r="NYI64"/>
      <c r="NYJ64"/>
      <c r="NYK64"/>
      <c r="NYL64"/>
      <c r="NYM64"/>
      <c r="NYN64"/>
      <c r="NYO64"/>
      <c r="NYP64"/>
      <c r="NYQ64"/>
      <c r="NYR64"/>
      <c r="NYS64"/>
      <c r="NYT64"/>
      <c r="NYU64"/>
      <c r="NYV64"/>
      <c r="NYW64"/>
      <c r="NYX64"/>
      <c r="NYY64"/>
      <c r="NYZ64"/>
      <c r="NZA64"/>
      <c r="NZB64"/>
      <c r="NZC64"/>
      <c r="NZD64"/>
      <c r="NZE64"/>
      <c r="NZF64"/>
      <c r="NZG64"/>
      <c r="NZH64"/>
      <c r="NZI64"/>
      <c r="NZJ64"/>
      <c r="NZK64"/>
      <c r="NZL64"/>
      <c r="NZM64"/>
      <c r="NZN64"/>
      <c r="NZO64"/>
      <c r="NZP64"/>
      <c r="NZQ64"/>
      <c r="NZR64"/>
      <c r="NZS64"/>
      <c r="NZT64"/>
      <c r="NZU64"/>
      <c r="NZV64"/>
      <c r="NZW64"/>
      <c r="NZX64"/>
      <c r="NZY64"/>
      <c r="NZZ64"/>
      <c r="OAA64"/>
      <c r="OAB64"/>
      <c r="OAC64"/>
      <c r="OAD64"/>
      <c r="OAE64"/>
      <c r="OAF64"/>
      <c r="OAG64"/>
      <c r="OAH64"/>
      <c r="OAI64"/>
      <c r="OAJ64"/>
      <c r="OAK64"/>
      <c r="OAL64"/>
      <c r="OAM64"/>
      <c r="OAN64"/>
      <c r="OAO64"/>
      <c r="OAP64"/>
      <c r="OAQ64"/>
      <c r="OAR64"/>
      <c r="OAS64"/>
      <c r="OAT64"/>
      <c r="OAU64"/>
      <c r="OAV64"/>
      <c r="OAW64"/>
      <c r="OAX64"/>
      <c r="OAY64"/>
      <c r="OAZ64"/>
      <c r="OBA64"/>
      <c r="OBB64"/>
      <c r="OBC64"/>
      <c r="OBD64"/>
      <c r="OBE64"/>
      <c r="OBF64"/>
      <c r="OBG64"/>
      <c r="OBH64"/>
      <c r="OBI64"/>
      <c r="OBJ64"/>
      <c r="OBK64"/>
      <c r="OBL64"/>
      <c r="OBM64"/>
      <c r="OBN64"/>
      <c r="OBO64"/>
      <c r="OBP64"/>
      <c r="OBQ64"/>
      <c r="OBR64"/>
      <c r="OBS64"/>
      <c r="OBT64"/>
      <c r="OBU64"/>
      <c r="OBV64"/>
      <c r="OBW64"/>
      <c r="OBX64"/>
      <c r="OBY64"/>
      <c r="OBZ64"/>
      <c r="OCA64"/>
      <c r="OCB64"/>
      <c r="OCC64"/>
      <c r="OCD64"/>
      <c r="OCE64"/>
      <c r="OCF64"/>
      <c r="OCG64"/>
      <c r="OCH64"/>
      <c r="OCI64"/>
      <c r="OCJ64"/>
      <c r="OCK64"/>
      <c r="OCL64"/>
      <c r="OCM64"/>
      <c r="OCN64"/>
      <c r="OCO64"/>
      <c r="OCP64"/>
      <c r="OCQ64"/>
      <c r="OCR64"/>
      <c r="OCS64"/>
      <c r="OCT64"/>
      <c r="OCU64"/>
      <c r="OCV64"/>
      <c r="OCW64"/>
      <c r="OCX64"/>
      <c r="OCY64"/>
      <c r="OCZ64"/>
      <c r="ODA64"/>
      <c r="ODB64"/>
      <c r="ODC64"/>
      <c r="ODD64"/>
      <c r="ODE64"/>
      <c r="ODF64"/>
      <c r="ODG64"/>
      <c r="ODH64"/>
      <c r="ODI64"/>
      <c r="ODJ64"/>
      <c r="ODK64"/>
      <c r="ODL64"/>
      <c r="ODM64"/>
      <c r="ODN64"/>
      <c r="ODO64"/>
      <c r="ODP64"/>
      <c r="ODQ64"/>
      <c r="ODR64"/>
      <c r="ODS64"/>
      <c r="ODT64"/>
      <c r="ODU64"/>
      <c r="ODV64"/>
      <c r="ODW64"/>
      <c r="ODX64"/>
      <c r="ODY64"/>
      <c r="ODZ64"/>
      <c r="OEA64"/>
      <c r="OEB64"/>
      <c r="OEC64"/>
      <c r="OED64"/>
      <c r="OEE64"/>
      <c r="OEF64"/>
      <c r="OEG64"/>
      <c r="OEH64"/>
      <c r="OEI64"/>
      <c r="OEJ64"/>
      <c r="OEK64"/>
      <c r="OEL64"/>
      <c r="OEM64"/>
      <c r="OEN64"/>
      <c r="OEO64"/>
      <c r="OEP64"/>
      <c r="OEQ64"/>
      <c r="OER64"/>
      <c r="OES64"/>
      <c r="OET64"/>
      <c r="OEU64"/>
      <c r="OEV64"/>
      <c r="OEW64"/>
      <c r="OEX64"/>
      <c r="OEY64"/>
      <c r="OEZ64"/>
      <c r="OFA64"/>
      <c r="OFB64"/>
      <c r="OFC64"/>
      <c r="OFD64"/>
      <c r="OFE64"/>
      <c r="OFF64"/>
      <c r="OFG64"/>
      <c r="OFH64"/>
      <c r="OFI64"/>
      <c r="OFJ64"/>
      <c r="OFK64"/>
      <c r="OFL64"/>
      <c r="OFM64"/>
      <c r="OFN64"/>
      <c r="OFO64"/>
      <c r="OFP64"/>
      <c r="OFQ64"/>
      <c r="OFR64"/>
      <c r="OFS64"/>
      <c r="OFT64"/>
      <c r="OFU64"/>
      <c r="OFV64"/>
      <c r="OFW64"/>
      <c r="OFX64"/>
      <c r="OFY64"/>
      <c r="OFZ64"/>
      <c r="OGA64"/>
      <c r="OGB64"/>
      <c r="OGC64"/>
      <c r="OGD64"/>
      <c r="OGE64"/>
      <c r="OGF64"/>
      <c r="OGG64"/>
      <c r="OGH64"/>
      <c r="OGI64"/>
      <c r="OGJ64"/>
      <c r="OGK64"/>
      <c r="OGL64"/>
      <c r="OGM64"/>
      <c r="OGN64"/>
      <c r="OGO64"/>
      <c r="OGP64"/>
      <c r="OGQ64"/>
      <c r="OGR64"/>
      <c r="OGS64"/>
      <c r="OGT64"/>
      <c r="OGU64"/>
      <c r="OGV64"/>
      <c r="OGW64"/>
      <c r="OGX64"/>
      <c r="OGY64"/>
      <c r="OGZ64"/>
      <c r="OHA64"/>
      <c r="OHB64"/>
      <c r="OHC64"/>
      <c r="OHD64"/>
      <c r="OHE64"/>
      <c r="OHF64"/>
      <c r="OHG64"/>
      <c r="OHH64"/>
      <c r="OHI64"/>
      <c r="OHJ64"/>
      <c r="OHK64"/>
      <c r="OHL64"/>
      <c r="OHM64"/>
      <c r="OHN64"/>
      <c r="OHO64"/>
      <c r="OHP64"/>
      <c r="OHQ64"/>
      <c r="OHR64"/>
      <c r="OHS64"/>
      <c r="OHT64"/>
      <c r="OHU64"/>
      <c r="OHV64"/>
      <c r="OHW64"/>
      <c r="OHX64"/>
      <c r="OHY64"/>
      <c r="OHZ64"/>
      <c r="OIA64"/>
      <c r="OIB64"/>
      <c r="OIC64"/>
      <c r="OID64"/>
      <c r="OIE64"/>
      <c r="OIF64"/>
      <c r="OIG64"/>
      <c r="OIH64"/>
      <c r="OII64"/>
      <c r="OIJ64"/>
      <c r="OIK64"/>
      <c r="OIL64"/>
      <c r="OIM64"/>
      <c r="OIN64"/>
      <c r="OIO64"/>
      <c r="OIP64"/>
      <c r="OIQ64"/>
      <c r="OIR64"/>
      <c r="OIS64"/>
      <c r="OIT64"/>
      <c r="OIU64"/>
      <c r="OIV64"/>
      <c r="OIW64"/>
      <c r="OIX64"/>
      <c r="OIY64"/>
      <c r="OIZ64"/>
      <c r="OJA64"/>
      <c r="OJB64"/>
      <c r="OJC64"/>
      <c r="OJD64"/>
      <c r="OJE64"/>
      <c r="OJF64"/>
      <c r="OJG64"/>
      <c r="OJH64"/>
      <c r="OJI64"/>
      <c r="OJJ64"/>
      <c r="OJK64"/>
      <c r="OJL64"/>
      <c r="OJM64"/>
      <c r="OJN64"/>
      <c r="OJO64"/>
      <c r="OJP64"/>
      <c r="OJQ64"/>
      <c r="OJR64"/>
      <c r="OJS64"/>
      <c r="OJT64"/>
      <c r="OJU64"/>
      <c r="OJV64"/>
      <c r="OJW64"/>
      <c r="OJX64"/>
      <c r="OJY64"/>
      <c r="OJZ64"/>
      <c r="OKA64"/>
      <c r="OKB64"/>
      <c r="OKC64"/>
      <c r="OKD64"/>
      <c r="OKE64"/>
      <c r="OKF64"/>
      <c r="OKG64"/>
      <c r="OKH64"/>
      <c r="OKI64"/>
      <c r="OKJ64"/>
      <c r="OKK64"/>
      <c r="OKL64"/>
      <c r="OKM64"/>
      <c r="OKN64"/>
      <c r="OKO64"/>
      <c r="OKP64"/>
      <c r="OKQ64"/>
      <c r="OKR64"/>
      <c r="OKS64"/>
      <c r="OKT64"/>
      <c r="OKU64"/>
      <c r="OKV64"/>
      <c r="OKW64"/>
      <c r="OKX64"/>
      <c r="OKY64"/>
      <c r="OKZ64"/>
      <c r="OLA64"/>
      <c r="OLB64"/>
      <c r="OLC64"/>
      <c r="OLD64"/>
      <c r="OLE64"/>
      <c r="OLF64"/>
      <c r="OLG64"/>
      <c r="OLH64"/>
      <c r="OLI64"/>
      <c r="OLJ64"/>
      <c r="OLK64"/>
      <c r="OLL64"/>
      <c r="OLM64"/>
      <c r="OLN64"/>
      <c r="OLO64"/>
      <c r="OLP64"/>
      <c r="OLQ64"/>
      <c r="OLR64"/>
      <c r="OLS64"/>
      <c r="OLT64"/>
      <c r="OLU64"/>
      <c r="OLV64"/>
      <c r="OLW64"/>
      <c r="OLX64"/>
      <c r="OLY64"/>
      <c r="OLZ64"/>
      <c r="OMA64"/>
      <c r="OMB64"/>
      <c r="OMC64"/>
      <c r="OMD64"/>
      <c r="OME64"/>
      <c r="OMF64"/>
      <c r="OMG64"/>
      <c r="OMH64"/>
      <c r="OMI64"/>
      <c r="OMJ64"/>
      <c r="OMK64"/>
      <c r="OML64"/>
      <c r="OMM64"/>
      <c r="OMN64"/>
      <c r="OMO64"/>
      <c r="OMP64"/>
      <c r="OMQ64"/>
      <c r="OMR64"/>
      <c r="OMS64"/>
      <c r="OMT64"/>
      <c r="OMU64"/>
      <c r="OMV64"/>
      <c r="OMW64"/>
      <c r="OMX64"/>
      <c r="OMY64"/>
      <c r="OMZ64"/>
      <c r="ONA64"/>
      <c r="ONB64"/>
      <c r="ONC64"/>
      <c r="OND64"/>
      <c r="ONE64"/>
      <c r="ONF64"/>
      <c r="ONG64"/>
      <c r="ONH64"/>
      <c r="ONI64"/>
      <c r="ONJ64"/>
      <c r="ONK64"/>
      <c r="ONL64"/>
      <c r="ONM64"/>
      <c r="ONN64"/>
      <c r="ONO64"/>
      <c r="ONP64"/>
      <c r="ONQ64"/>
      <c r="ONR64"/>
      <c r="ONS64"/>
      <c r="ONT64"/>
      <c r="ONU64"/>
      <c r="ONV64"/>
      <c r="ONW64"/>
      <c r="ONX64"/>
      <c r="ONY64"/>
      <c r="ONZ64"/>
      <c r="OOA64"/>
      <c r="OOB64"/>
      <c r="OOC64"/>
      <c r="OOD64"/>
      <c r="OOE64"/>
      <c r="OOF64"/>
      <c r="OOG64"/>
      <c r="OOH64"/>
      <c r="OOI64"/>
      <c r="OOJ64"/>
      <c r="OOK64"/>
      <c r="OOL64"/>
      <c r="OOM64"/>
      <c r="OON64"/>
      <c r="OOO64"/>
      <c r="OOP64"/>
      <c r="OOQ64"/>
      <c r="OOR64"/>
      <c r="OOS64"/>
      <c r="OOT64"/>
      <c r="OOU64"/>
      <c r="OOV64"/>
      <c r="OOW64"/>
      <c r="OOX64"/>
      <c r="OOY64"/>
      <c r="OOZ64"/>
      <c r="OPA64"/>
      <c r="OPB64"/>
      <c r="OPC64"/>
      <c r="OPD64"/>
      <c r="OPE64"/>
      <c r="OPF64"/>
      <c r="OPG64"/>
      <c r="OPH64"/>
      <c r="OPI64"/>
      <c r="OPJ64"/>
      <c r="OPK64"/>
      <c r="OPL64"/>
      <c r="OPM64"/>
      <c r="OPN64"/>
      <c r="OPO64"/>
      <c r="OPP64"/>
      <c r="OPQ64"/>
      <c r="OPR64"/>
      <c r="OPS64"/>
      <c r="OPT64"/>
      <c r="OPU64"/>
      <c r="OPV64"/>
      <c r="OPW64"/>
      <c r="OPX64"/>
      <c r="OPY64"/>
      <c r="OPZ64"/>
      <c r="OQA64"/>
      <c r="OQB64"/>
      <c r="OQC64"/>
      <c r="OQD64"/>
      <c r="OQE64"/>
      <c r="OQF64"/>
      <c r="OQG64"/>
      <c r="OQH64"/>
      <c r="OQI64"/>
      <c r="OQJ64"/>
      <c r="OQK64"/>
      <c r="OQL64"/>
      <c r="OQM64"/>
      <c r="OQN64"/>
      <c r="OQO64"/>
      <c r="OQP64"/>
      <c r="OQQ64"/>
      <c r="OQR64"/>
      <c r="OQS64"/>
      <c r="OQT64"/>
      <c r="OQU64"/>
      <c r="OQV64"/>
      <c r="OQW64"/>
      <c r="OQX64"/>
      <c r="OQY64"/>
      <c r="OQZ64"/>
      <c r="ORA64"/>
      <c r="ORB64"/>
      <c r="ORC64"/>
      <c r="ORD64"/>
      <c r="ORE64"/>
      <c r="ORF64"/>
      <c r="ORG64"/>
      <c r="ORH64"/>
      <c r="ORI64"/>
      <c r="ORJ64"/>
      <c r="ORK64"/>
      <c r="ORL64"/>
      <c r="ORM64"/>
      <c r="ORN64"/>
      <c r="ORO64"/>
      <c r="ORP64"/>
      <c r="ORQ64"/>
      <c r="ORR64"/>
      <c r="ORS64"/>
      <c r="ORT64"/>
      <c r="ORU64"/>
      <c r="ORV64"/>
      <c r="ORW64"/>
      <c r="ORX64"/>
      <c r="ORY64"/>
      <c r="ORZ64"/>
      <c r="OSA64"/>
      <c r="OSB64"/>
      <c r="OSC64"/>
      <c r="OSD64"/>
      <c r="OSE64"/>
      <c r="OSF64"/>
      <c r="OSG64"/>
      <c r="OSH64"/>
      <c r="OSI64"/>
      <c r="OSJ64"/>
      <c r="OSK64"/>
      <c r="OSL64"/>
      <c r="OSM64"/>
      <c r="OSN64"/>
      <c r="OSO64"/>
      <c r="OSP64"/>
      <c r="OSQ64"/>
      <c r="OSR64"/>
      <c r="OSS64"/>
      <c r="OST64"/>
      <c r="OSU64"/>
      <c r="OSV64"/>
      <c r="OSW64"/>
      <c r="OSX64"/>
      <c r="OSY64"/>
      <c r="OSZ64"/>
      <c r="OTA64"/>
      <c r="OTB64"/>
      <c r="OTC64"/>
      <c r="OTD64"/>
      <c r="OTE64"/>
      <c r="OTF64"/>
      <c r="OTG64"/>
      <c r="OTH64"/>
      <c r="OTI64"/>
      <c r="OTJ64"/>
      <c r="OTK64"/>
      <c r="OTL64"/>
      <c r="OTM64"/>
      <c r="OTN64"/>
      <c r="OTO64"/>
      <c r="OTP64"/>
      <c r="OTQ64"/>
      <c r="OTR64"/>
      <c r="OTS64"/>
      <c r="OTT64"/>
      <c r="OTU64"/>
      <c r="OTV64"/>
      <c r="OTW64"/>
      <c r="OTX64"/>
      <c r="OTY64"/>
      <c r="OTZ64"/>
      <c r="OUA64"/>
      <c r="OUB64"/>
      <c r="OUC64"/>
      <c r="OUD64"/>
      <c r="OUE64"/>
      <c r="OUF64"/>
      <c r="OUG64"/>
      <c r="OUH64"/>
      <c r="OUI64"/>
      <c r="OUJ64"/>
      <c r="OUK64"/>
      <c r="OUL64"/>
      <c r="OUM64"/>
      <c r="OUN64"/>
      <c r="OUO64"/>
      <c r="OUP64"/>
      <c r="OUQ64"/>
      <c r="OUR64"/>
      <c r="OUS64"/>
      <c r="OUT64"/>
      <c r="OUU64"/>
      <c r="OUV64"/>
      <c r="OUW64"/>
      <c r="OUX64"/>
      <c r="OUY64"/>
      <c r="OUZ64"/>
      <c r="OVA64"/>
      <c r="OVB64"/>
      <c r="OVC64"/>
      <c r="OVD64"/>
      <c r="OVE64"/>
      <c r="OVF64"/>
      <c r="OVG64"/>
      <c r="OVH64"/>
      <c r="OVI64"/>
      <c r="OVJ64"/>
      <c r="OVK64"/>
      <c r="OVL64"/>
      <c r="OVM64"/>
      <c r="OVN64"/>
      <c r="OVO64"/>
      <c r="OVP64"/>
      <c r="OVQ64"/>
      <c r="OVR64"/>
      <c r="OVS64"/>
      <c r="OVT64"/>
      <c r="OVU64"/>
      <c r="OVV64"/>
      <c r="OVW64"/>
      <c r="OVX64"/>
      <c r="OVY64"/>
      <c r="OVZ64"/>
      <c r="OWA64"/>
      <c r="OWB64"/>
      <c r="OWC64"/>
      <c r="OWD64"/>
      <c r="OWE64"/>
      <c r="OWF64"/>
      <c r="OWG64"/>
      <c r="OWH64"/>
      <c r="OWI64"/>
      <c r="OWJ64"/>
      <c r="OWK64"/>
      <c r="OWL64"/>
      <c r="OWM64"/>
      <c r="OWN64"/>
      <c r="OWO64"/>
      <c r="OWP64"/>
      <c r="OWQ64"/>
      <c r="OWR64"/>
      <c r="OWS64"/>
      <c r="OWT64"/>
      <c r="OWU64"/>
      <c r="OWV64"/>
      <c r="OWW64"/>
      <c r="OWX64"/>
      <c r="OWY64"/>
      <c r="OWZ64"/>
      <c r="OXA64"/>
      <c r="OXB64"/>
      <c r="OXC64"/>
      <c r="OXD64"/>
      <c r="OXE64"/>
      <c r="OXF64"/>
      <c r="OXG64"/>
      <c r="OXH64"/>
      <c r="OXI64"/>
      <c r="OXJ64"/>
      <c r="OXK64"/>
      <c r="OXL64"/>
      <c r="OXM64"/>
      <c r="OXN64"/>
      <c r="OXO64"/>
      <c r="OXP64"/>
      <c r="OXQ64"/>
      <c r="OXR64"/>
      <c r="OXS64"/>
      <c r="OXT64"/>
      <c r="OXU64"/>
      <c r="OXV64"/>
      <c r="OXW64"/>
      <c r="OXX64"/>
      <c r="OXY64"/>
      <c r="OXZ64"/>
      <c r="OYA64"/>
      <c r="OYB64"/>
      <c r="OYC64"/>
      <c r="OYD64"/>
      <c r="OYE64"/>
      <c r="OYF64"/>
      <c r="OYG64"/>
      <c r="OYH64"/>
      <c r="OYI64"/>
      <c r="OYJ64"/>
      <c r="OYK64"/>
      <c r="OYL64"/>
      <c r="OYM64"/>
      <c r="OYN64"/>
      <c r="OYO64"/>
      <c r="OYP64"/>
      <c r="OYQ64"/>
      <c r="OYR64"/>
      <c r="OYS64"/>
      <c r="OYT64"/>
      <c r="OYU64"/>
      <c r="OYV64"/>
      <c r="OYW64"/>
      <c r="OYX64"/>
      <c r="OYY64"/>
      <c r="OYZ64"/>
      <c r="OZA64"/>
      <c r="OZB64"/>
      <c r="OZC64"/>
      <c r="OZD64"/>
      <c r="OZE64"/>
      <c r="OZF64"/>
      <c r="OZG64"/>
      <c r="OZH64"/>
      <c r="OZI64"/>
      <c r="OZJ64"/>
      <c r="OZK64"/>
      <c r="OZL64"/>
      <c r="OZM64"/>
      <c r="OZN64"/>
      <c r="OZO64"/>
      <c r="OZP64"/>
      <c r="OZQ64"/>
      <c r="OZR64"/>
      <c r="OZS64"/>
      <c r="OZT64"/>
      <c r="OZU64"/>
      <c r="OZV64"/>
      <c r="OZW64"/>
      <c r="OZX64"/>
      <c r="OZY64"/>
      <c r="OZZ64"/>
      <c r="PAA64"/>
      <c r="PAB64"/>
      <c r="PAC64"/>
      <c r="PAD64"/>
      <c r="PAE64"/>
      <c r="PAF64"/>
      <c r="PAG64"/>
      <c r="PAH64"/>
      <c r="PAI64"/>
      <c r="PAJ64"/>
      <c r="PAK64"/>
      <c r="PAL64"/>
      <c r="PAM64"/>
      <c r="PAN64"/>
      <c r="PAO64"/>
      <c r="PAP64"/>
      <c r="PAQ64"/>
      <c r="PAR64"/>
      <c r="PAS64"/>
      <c r="PAT64"/>
      <c r="PAU64"/>
      <c r="PAV64"/>
      <c r="PAW64"/>
      <c r="PAX64"/>
      <c r="PAY64"/>
      <c r="PAZ64"/>
      <c r="PBA64"/>
      <c r="PBB64"/>
      <c r="PBC64"/>
      <c r="PBD64"/>
      <c r="PBE64"/>
      <c r="PBF64"/>
      <c r="PBG64"/>
      <c r="PBH64"/>
      <c r="PBI64"/>
      <c r="PBJ64"/>
      <c r="PBK64"/>
      <c r="PBL64"/>
      <c r="PBM64"/>
      <c r="PBN64"/>
      <c r="PBO64"/>
      <c r="PBP64"/>
      <c r="PBQ64"/>
      <c r="PBR64"/>
      <c r="PBS64"/>
      <c r="PBT64"/>
      <c r="PBU64"/>
      <c r="PBV64"/>
      <c r="PBW64"/>
      <c r="PBX64"/>
      <c r="PBY64"/>
      <c r="PBZ64"/>
      <c r="PCA64"/>
      <c r="PCB64"/>
      <c r="PCC64"/>
      <c r="PCD64"/>
      <c r="PCE64"/>
      <c r="PCF64"/>
      <c r="PCG64"/>
      <c r="PCH64"/>
      <c r="PCI64"/>
      <c r="PCJ64"/>
      <c r="PCK64"/>
      <c r="PCL64"/>
      <c r="PCM64"/>
      <c r="PCN64"/>
      <c r="PCO64"/>
      <c r="PCP64"/>
      <c r="PCQ64"/>
      <c r="PCR64"/>
      <c r="PCS64"/>
      <c r="PCT64"/>
      <c r="PCU64"/>
      <c r="PCV64"/>
      <c r="PCW64"/>
      <c r="PCX64"/>
      <c r="PCY64"/>
      <c r="PCZ64"/>
      <c r="PDA64"/>
      <c r="PDB64"/>
      <c r="PDC64"/>
      <c r="PDD64"/>
      <c r="PDE64"/>
      <c r="PDF64"/>
      <c r="PDG64"/>
      <c r="PDH64"/>
      <c r="PDI64"/>
      <c r="PDJ64"/>
      <c r="PDK64"/>
      <c r="PDL64"/>
      <c r="PDM64"/>
      <c r="PDN64"/>
      <c r="PDO64"/>
      <c r="PDP64"/>
      <c r="PDQ64"/>
      <c r="PDR64"/>
      <c r="PDS64"/>
      <c r="PDT64"/>
      <c r="PDU64"/>
      <c r="PDV64"/>
      <c r="PDW64"/>
      <c r="PDX64"/>
      <c r="PDY64"/>
      <c r="PDZ64"/>
      <c r="PEA64"/>
      <c r="PEB64"/>
      <c r="PEC64"/>
      <c r="PED64"/>
      <c r="PEE64"/>
      <c r="PEF64"/>
      <c r="PEG64"/>
      <c r="PEH64"/>
      <c r="PEI64"/>
      <c r="PEJ64"/>
      <c r="PEK64"/>
      <c r="PEL64"/>
      <c r="PEM64"/>
      <c r="PEN64"/>
      <c r="PEO64"/>
      <c r="PEP64"/>
      <c r="PEQ64"/>
      <c r="PER64"/>
      <c r="PES64"/>
      <c r="PET64"/>
      <c r="PEU64"/>
      <c r="PEV64"/>
      <c r="PEW64"/>
      <c r="PEX64"/>
      <c r="PEY64"/>
      <c r="PEZ64"/>
      <c r="PFA64"/>
      <c r="PFB64"/>
      <c r="PFC64"/>
      <c r="PFD64"/>
      <c r="PFE64"/>
      <c r="PFF64"/>
      <c r="PFG64"/>
      <c r="PFH64"/>
      <c r="PFI64"/>
      <c r="PFJ64"/>
      <c r="PFK64"/>
      <c r="PFL64"/>
      <c r="PFM64"/>
      <c r="PFN64"/>
      <c r="PFO64"/>
      <c r="PFP64"/>
      <c r="PFQ64"/>
      <c r="PFR64"/>
      <c r="PFS64"/>
      <c r="PFT64"/>
      <c r="PFU64"/>
      <c r="PFV64"/>
      <c r="PFW64"/>
      <c r="PFX64"/>
      <c r="PFY64"/>
      <c r="PFZ64"/>
      <c r="PGA64"/>
      <c r="PGB64"/>
      <c r="PGC64"/>
      <c r="PGD64"/>
      <c r="PGE64"/>
      <c r="PGF64"/>
      <c r="PGG64"/>
      <c r="PGH64"/>
      <c r="PGI64"/>
      <c r="PGJ64"/>
      <c r="PGK64"/>
      <c r="PGL64"/>
      <c r="PGM64"/>
      <c r="PGN64"/>
      <c r="PGO64"/>
      <c r="PGP64"/>
      <c r="PGQ64"/>
      <c r="PGR64"/>
      <c r="PGS64"/>
      <c r="PGT64"/>
      <c r="PGU64"/>
      <c r="PGV64"/>
      <c r="PGW64"/>
      <c r="PGX64"/>
      <c r="PGY64"/>
      <c r="PGZ64"/>
      <c r="PHA64"/>
      <c r="PHB64"/>
      <c r="PHC64"/>
      <c r="PHD64"/>
      <c r="PHE64"/>
      <c r="PHF64"/>
      <c r="PHG64"/>
      <c r="PHH64"/>
      <c r="PHI64"/>
      <c r="PHJ64"/>
      <c r="PHK64"/>
      <c r="PHL64"/>
      <c r="PHM64"/>
      <c r="PHN64"/>
      <c r="PHO64"/>
      <c r="PHP64"/>
      <c r="PHQ64"/>
      <c r="PHR64"/>
      <c r="PHS64"/>
      <c r="PHT64"/>
      <c r="PHU64"/>
      <c r="PHV64"/>
      <c r="PHW64"/>
      <c r="PHX64"/>
      <c r="PHY64"/>
      <c r="PHZ64"/>
      <c r="PIA64"/>
      <c r="PIB64"/>
      <c r="PIC64"/>
      <c r="PID64"/>
      <c r="PIE64"/>
      <c r="PIF64"/>
      <c r="PIG64"/>
      <c r="PIH64"/>
      <c r="PII64"/>
      <c r="PIJ64"/>
      <c r="PIK64"/>
      <c r="PIL64"/>
      <c r="PIM64"/>
      <c r="PIN64"/>
      <c r="PIO64"/>
      <c r="PIP64"/>
      <c r="PIQ64"/>
      <c r="PIR64"/>
      <c r="PIS64"/>
      <c r="PIT64"/>
      <c r="PIU64"/>
      <c r="PIV64"/>
      <c r="PIW64"/>
      <c r="PIX64"/>
      <c r="PIY64"/>
      <c r="PIZ64"/>
      <c r="PJA64"/>
      <c r="PJB64"/>
      <c r="PJC64"/>
      <c r="PJD64"/>
      <c r="PJE64"/>
      <c r="PJF64"/>
      <c r="PJG64"/>
      <c r="PJH64"/>
      <c r="PJI64"/>
      <c r="PJJ64"/>
      <c r="PJK64"/>
      <c r="PJL64"/>
      <c r="PJM64"/>
      <c r="PJN64"/>
      <c r="PJO64"/>
      <c r="PJP64"/>
      <c r="PJQ64"/>
      <c r="PJR64"/>
      <c r="PJS64"/>
      <c r="PJT64"/>
      <c r="PJU64"/>
      <c r="PJV64"/>
      <c r="PJW64"/>
      <c r="PJX64"/>
      <c r="PJY64"/>
      <c r="PJZ64"/>
      <c r="PKA64"/>
      <c r="PKB64"/>
      <c r="PKC64"/>
      <c r="PKD64"/>
      <c r="PKE64"/>
      <c r="PKF64"/>
      <c r="PKG64"/>
      <c r="PKH64"/>
      <c r="PKI64"/>
      <c r="PKJ64"/>
      <c r="PKK64"/>
      <c r="PKL64"/>
      <c r="PKM64"/>
      <c r="PKN64"/>
      <c r="PKO64"/>
      <c r="PKP64"/>
      <c r="PKQ64"/>
      <c r="PKR64"/>
      <c r="PKS64"/>
      <c r="PKT64"/>
      <c r="PKU64"/>
      <c r="PKV64"/>
      <c r="PKW64"/>
      <c r="PKX64"/>
      <c r="PKY64"/>
      <c r="PKZ64"/>
      <c r="PLA64"/>
      <c r="PLB64"/>
      <c r="PLC64"/>
      <c r="PLD64"/>
      <c r="PLE64"/>
      <c r="PLF64"/>
      <c r="PLG64"/>
      <c r="PLH64"/>
      <c r="PLI64"/>
      <c r="PLJ64"/>
      <c r="PLK64"/>
      <c r="PLL64"/>
      <c r="PLM64"/>
      <c r="PLN64"/>
      <c r="PLO64"/>
      <c r="PLP64"/>
      <c r="PLQ64"/>
      <c r="PLR64"/>
      <c r="PLS64"/>
      <c r="PLT64"/>
      <c r="PLU64"/>
      <c r="PLV64"/>
      <c r="PLW64"/>
      <c r="PLX64"/>
      <c r="PLY64"/>
      <c r="PLZ64"/>
      <c r="PMA64"/>
      <c r="PMB64"/>
      <c r="PMC64"/>
      <c r="PMD64"/>
      <c r="PME64"/>
      <c r="PMF64"/>
      <c r="PMG64"/>
      <c r="PMH64"/>
      <c r="PMI64"/>
      <c r="PMJ64"/>
      <c r="PMK64"/>
      <c r="PML64"/>
      <c r="PMM64"/>
      <c r="PMN64"/>
      <c r="PMO64"/>
      <c r="PMP64"/>
      <c r="PMQ64"/>
      <c r="PMR64"/>
      <c r="PMS64"/>
      <c r="PMT64"/>
      <c r="PMU64"/>
      <c r="PMV64"/>
      <c r="PMW64"/>
      <c r="PMX64"/>
      <c r="PMY64"/>
      <c r="PMZ64"/>
      <c r="PNA64"/>
      <c r="PNB64"/>
      <c r="PNC64"/>
      <c r="PND64"/>
      <c r="PNE64"/>
      <c r="PNF64"/>
      <c r="PNG64"/>
      <c r="PNH64"/>
      <c r="PNI64"/>
      <c r="PNJ64"/>
      <c r="PNK64"/>
      <c r="PNL64"/>
      <c r="PNM64"/>
      <c r="PNN64"/>
      <c r="PNO64"/>
      <c r="PNP64"/>
      <c r="PNQ64"/>
      <c r="PNR64"/>
      <c r="PNS64"/>
      <c r="PNT64"/>
      <c r="PNU64"/>
      <c r="PNV64"/>
      <c r="PNW64"/>
      <c r="PNX64"/>
      <c r="PNY64"/>
      <c r="PNZ64"/>
      <c r="POA64"/>
      <c r="POB64"/>
      <c r="POC64"/>
      <c r="POD64"/>
      <c r="POE64"/>
      <c r="POF64"/>
      <c r="POG64"/>
      <c r="POH64"/>
      <c r="POI64"/>
      <c r="POJ64"/>
      <c r="POK64"/>
      <c r="POL64"/>
      <c r="POM64"/>
      <c r="PON64"/>
      <c r="POO64"/>
      <c r="POP64"/>
      <c r="POQ64"/>
      <c r="POR64"/>
      <c r="POS64"/>
      <c r="POT64"/>
      <c r="POU64"/>
      <c r="POV64"/>
      <c r="POW64"/>
      <c r="POX64"/>
      <c r="POY64"/>
      <c r="POZ64"/>
      <c r="PPA64"/>
      <c r="PPB64"/>
      <c r="PPC64"/>
      <c r="PPD64"/>
      <c r="PPE64"/>
      <c r="PPF64"/>
      <c r="PPG64"/>
      <c r="PPH64"/>
      <c r="PPI64"/>
      <c r="PPJ64"/>
      <c r="PPK64"/>
      <c r="PPL64"/>
      <c r="PPM64"/>
      <c r="PPN64"/>
      <c r="PPO64"/>
      <c r="PPP64"/>
      <c r="PPQ64"/>
      <c r="PPR64"/>
      <c r="PPS64"/>
      <c r="PPT64"/>
      <c r="PPU64"/>
      <c r="PPV64"/>
      <c r="PPW64"/>
      <c r="PPX64"/>
      <c r="PPY64"/>
      <c r="PPZ64"/>
      <c r="PQA64"/>
      <c r="PQB64"/>
      <c r="PQC64"/>
      <c r="PQD64"/>
      <c r="PQE64"/>
      <c r="PQF64"/>
      <c r="PQG64"/>
      <c r="PQH64"/>
      <c r="PQI64"/>
      <c r="PQJ64"/>
      <c r="PQK64"/>
      <c r="PQL64"/>
      <c r="PQM64"/>
      <c r="PQN64"/>
      <c r="PQO64"/>
      <c r="PQP64"/>
      <c r="PQQ64"/>
      <c r="PQR64"/>
      <c r="PQS64"/>
      <c r="PQT64"/>
      <c r="PQU64"/>
      <c r="PQV64"/>
      <c r="PQW64"/>
      <c r="PQX64"/>
      <c r="PQY64"/>
      <c r="PQZ64"/>
      <c r="PRA64"/>
      <c r="PRB64"/>
      <c r="PRC64"/>
      <c r="PRD64"/>
      <c r="PRE64"/>
      <c r="PRF64"/>
      <c r="PRG64"/>
      <c r="PRH64"/>
      <c r="PRI64"/>
      <c r="PRJ64"/>
      <c r="PRK64"/>
      <c r="PRL64"/>
      <c r="PRM64"/>
      <c r="PRN64"/>
      <c r="PRO64"/>
      <c r="PRP64"/>
      <c r="PRQ64"/>
      <c r="PRR64"/>
      <c r="PRS64"/>
      <c r="PRT64"/>
      <c r="PRU64"/>
      <c r="PRV64"/>
      <c r="PRW64"/>
      <c r="PRX64"/>
      <c r="PRY64"/>
      <c r="PRZ64"/>
      <c r="PSA64"/>
      <c r="PSB64"/>
      <c r="PSC64"/>
      <c r="PSD64"/>
      <c r="PSE64"/>
      <c r="PSF64"/>
      <c r="PSG64"/>
      <c r="PSH64"/>
      <c r="PSI64"/>
      <c r="PSJ64"/>
      <c r="PSK64"/>
      <c r="PSL64"/>
      <c r="PSM64"/>
      <c r="PSN64"/>
      <c r="PSO64"/>
      <c r="PSP64"/>
      <c r="PSQ64"/>
      <c r="PSR64"/>
      <c r="PSS64"/>
      <c r="PST64"/>
      <c r="PSU64"/>
      <c r="PSV64"/>
      <c r="PSW64"/>
      <c r="PSX64"/>
      <c r="PSY64"/>
      <c r="PSZ64"/>
      <c r="PTA64"/>
      <c r="PTB64"/>
      <c r="PTC64"/>
      <c r="PTD64"/>
      <c r="PTE64"/>
      <c r="PTF64"/>
      <c r="PTG64"/>
      <c r="PTH64"/>
      <c r="PTI64"/>
      <c r="PTJ64"/>
      <c r="PTK64"/>
      <c r="PTL64"/>
      <c r="PTM64"/>
      <c r="PTN64"/>
      <c r="PTO64"/>
      <c r="PTP64"/>
      <c r="PTQ64"/>
      <c r="PTR64"/>
      <c r="PTS64"/>
      <c r="PTT64"/>
      <c r="PTU64"/>
      <c r="PTV64"/>
      <c r="PTW64"/>
      <c r="PTX64"/>
      <c r="PTY64"/>
      <c r="PTZ64"/>
      <c r="PUA64"/>
      <c r="PUB64"/>
      <c r="PUC64"/>
      <c r="PUD64"/>
      <c r="PUE64"/>
      <c r="PUF64"/>
      <c r="PUG64"/>
      <c r="PUH64"/>
      <c r="PUI64"/>
      <c r="PUJ64"/>
      <c r="PUK64"/>
      <c r="PUL64"/>
      <c r="PUM64"/>
      <c r="PUN64"/>
      <c r="PUO64"/>
      <c r="PUP64"/>
      <c r="PUQ64"/>
      <c r="PUR64"/>
      <c r="PUS64"/>
      <c r="PUT64"/>
      <c r="PUU64"/>
      <c r="PUV64"/>
      <c r="PUW64"/>
      <c r="PUX64"/>
      <c r="PUY64"/>
      <c r="PUZ64"/>
      <c r="PVA64"/>
      <c r="PVB64"/>
      <c r="PVC64"/>
      <c r="PVD64"/>
      <c r="PVE64"/>
      <c r="PVF64"/>
      <c r="PVG64"/>
      <c r="PVH64"/>
      <c r="PVI64"/>
      <c r="PVJ64"/>
      <c r="PVK64"/>
      <c r="PVL64"/>
      <c r="PVM64"/>
      <c r="PVN64"/>
      <c r="PVO64"/>
      <c r="PVP64"/>
      <c r="PVQ64"/>
      <c r="PVR64"/>
      <c r="PVS64"/>
      <c r="PVT64"/>
      <c r="PVU64"/>
      <c r="PVV64"/>
      <c r="PVW64"/>
      <c r="PVX64"/>
      <c r="PVY64"/>
      <c r="PVZ64"/>
      <c r="PWA64"/>
      <c r="PWB64"/>
      <c r="PWC64"/>
      <c r="PWD64"/>
      <c r="PWE64"/>
      <c r="PWF64"/>
      <c r="PWG64"/>
      <c r="PWH64"/>
      <c r="PWI64"/>
      <c r="PWJ64"/>
      <c r="PWK64"/>
      <c r="PWL64"/>
      <c r="PWM64"/>
      <c r="PWN64"/>
      <c r="PWO64"/>
      <c r="PWP64"/>
      <c r="PWQ64"/>
      <c r="PWR64"/>
      <c r="PWS64"/>
      <c r="PWT64"/>
      <c r="PWU64"/>
      <c r="PWV64"/>
      <c r="PWW64"/>
      <c r="PWX64"/>
      <c r="PWY64"/>
      <c r="PWZ64"/>
      <c r="PXA64"/>
      <c r="PXB64"/>
      <c r="PXC64"/>
      <c r="PXD64"/>
      <c r="PXE64"/>
      <c r="PXF64"/>
      <c r="PXG64"/>
      <c r="PXH64"/>
      <c r="PXI64"/>
      <c r="PXJ64"/>
      <c r="PXK64"/>
      <c r="PXL64"/>
      <c r="PXM64"/>
      <c r="PXN64"/>
      <c r="PXO64"/>
      <c r="PXP64"/>
      <c r="PXQ64"/>
      <c r="PXR64"/>
      <c r="PXS64"/>
      <c r="PXT64"/>
      <c r="PXU64"/>
      <c r="PXV64"/>
      <c r="PXW64"/>
      <c r="PXX64"/>
      <c r="PXY64"/>
      <c r="PXZ64"/>
      <c r="PYA64"/>
      <c r="PYB64"/>
      <c r="PYC64"/>
      <c r="PYD64"/>
      <c r="PYE64"/>
      <c r="PYF64"/>
      <c r="PYG64"/>
      <c r="PYH64"/>
      <c r="PYI64"/>
      <c r="PYJ64"/>
      <c r="PYK64"/>
      <c r="PYL64"/>
      <c r="PYM64"/>
      <c r="PYN64"/>
      <c r="PYO64"/>
      <c r="PYP64"/>
      <c r="PYQ64"/>
      <c r="PYR64"/>
      <c r="PYS64"/>
      <c r="PYT64"/>
      <c r="PYU64"/>
      <c r="PYV64"/>
      <c r="PYW64"/>
      <c r="PYX64"/>
      <c r="PYY64"/>
      <c r="PYZ64"/>
      <c r="PZA64"/>
      <c r="PZB64"/>
      <c r="PZC64"/>
      <c r="PZD64"/>
      <c r="PZE64"/>
      <c r="PZF64"/>
      <c r="PZG64"/>
      <c r="PZH64"/>
      <c r="PZI64"/>
      <c r="PZJ64"/>
      <c r="PZK64"/>
      <c r="PZL64"/>
      <c r="PZM64"/>
      <c r="PZN64"/>
      <c r="PZO64"/>
      <c r="PZP64"/>
      <c r="PZQ64"/>
      <c r="PZR64"/>
      <c r="PZS64"/>
      <c r="PZT64"/>
      <c r="PZU64"/>
      <c r="PZV64"/>
      <c r="PZW64"/>
      <c r="PZX64"/>
      <c r="PZY64"/>
      <c r="PZZ64"/>
      <c r="QAA64"/>
      <c r="QAB64"/>
      <c r="QAC64"/>
      <c r="QAD64"/>
      <c r="QAE64"/>
      <c r="QAF64"/>
      <c r="QAG64"/>
      <c r="QAH64"/>
      <c r="QAI64"/>
      <c r="QAJ64"/>
      <c r="QAK64"/>
      <c r="QAL64"/>
      <c r="QAM64"/>
      <c r="QAN64"/>
      <c r="QAO64"/>
      <c r="QAP64"/>
      <c r="QAQ64"/>
      <c r="QAR64"/>
      <c r="QAS64"/>
      <c r="QAT64"/>
      <c r="QAU64"/>
      <c r="QAV64"/>
      <c r="QAW64"/>
      <c r="QAX64"/>
      <c r="QAY64"/>
      <c r="QAZ64"/>
      <c r="QBA64"/>
      <c r="QBB64"/>
      <c r="QBC64"/>
      <c r="QBD64"/>
      <c r="QBE64"/>
      <c r="QBF64"/>
      <c r="QBG64"/>
      <c r="QBH64"/>
      <c r="QBI64"/>
      <c r="QBJ64"/>
      <c r="QBK64"/>
      <c r="QBL64"/>
      <c r="QBM64"/>
      <c r="QBN64"/>
      <c r="QBO64"/>
      <c r="QBP64"/>
      <c r="QBQ64"/>
      <c r="QBR64"/>
      <c r="QBS64"/>
      <c r="QBT64"/>
      <c r="QBU64"/>
      <c r="QBV64"/>
      <c r="QBW64"/>
      <c r="QBX64"/>
      <c r="QBY64"/>
      <c r="QBZ64"/>
      <c r="QCA64"/>
      <c r="QCB64"/>
      <c r="QCC64"/>
      <c r="QCD64"/>
      <c r="QCE64"/>
      <c r="QCF64"/>
      <c r="QCG64"/>
      <c r="QCH64"/>
      <c r="QCI64"/>
      <c r="QCJ64"/>
      <c r="QCK64"/>
      <c r="QCL64"/>
      <c r="QCM64"/>
      <c r="QCN64"/>
      <c r="QCO64"/>
      <c r="QCP64"/>
      <c r="QCQ64"/>
      <c r="QCR64"/>
      <c r="QCS64"/>
      <c r="QCT64"/>
      <c r="QCU64"/>
      <c r="QCV64"/>
      <c r="QCW64"/>
      <c r="QCX64"/>
      <c r="QCY64"/>
      <c r="QCZ64"/>
      <c r="QDA64"/>
      <c r="QDB64"/>
      <c r="QDC64"/>
      <c r="QDD64"/>
      <c r="QDE64"/>
      <c r="QDF64"/>
      <c r="QDG64"/>
      <c r="QDH64"/>
      <c r="QDI64"/>
      <c r="QDJ64"/>
      <c r="QDK64"/>
      <c r="QDL64"/>
      <c r="QDM64"/>
      <c r="QDN64"/>
      <c r="QDO64"/>
      <c r="QDP64"/>
      <c r="QDQ64"/>
      <c r="QDR64"/>
      <c r="QDS64"/>
      <c r="QDT64"/>
      <c r="QDU64"/>
      <c r="QDV64"/>
      <c r="QDW64"/>
      <c r="QDX64"/>
      <c r="QDY64"/>
      <c r="QDZ64"/>
      <c r="QEA64"/>
      <c r="QEB64"/>
      <c r="QEC64"/>
      <c r="QED64"/>
      <c r="QEE64"/>
      <c r="QEF64"/>
      <c r="QEG64"/>
      <c r="QEH64"/>
      <c r="QEI64"/>
      <c r="QEJ64"/>
      <c r="QEK64"/>
      <c r="QEL64"/>
      <c r="QEM64"/>
      <c r="QEN64"/>
      <c r="QEO64"/>
      <c r="QEP64"/>
      <c r="QEQ64"/>
      <c r="QER64"/>
      <c r="QES64"/>
      <c r="QET64"/>
      <c r="QEU64"/>
      <c r="QEV64"/>
      <c r="QEW64"/>
      <c r="QEX64"/>
      <c r="QEY64"/>
      <c r="QEZ64"/>
      <c r="QFA64"/>
      <c r="QFB64"/>
      <c r="QFC64"/>
      <c r="QFD64"/>
      <c r="QFE64"/>
      <c r="QFF64"/>
      <c r="QFG64"/>
      <c r="QFH64"/>
      <c r="QFI64"/>
      <c r="QFJ64"/>
      <c r="QFK64"/>
      <c r="QFL64"/>
      <c r="QFM64"/>
      <c r="QFN64"/>
      <c r="QFO64"/>
      <c r="QFP64"/>
      <c r="QFQ64"/>
      <c r="QFR64"/>
      <c r="QFS64"/>
      <c r="QFT64"/>
      <c r="QFU64"/>
      <c r="QFV64"/>
      <c r="QFW64"/>
      <c r="QFX64"/>
      <c r="QFY64"/>
      <c r="QFZ64"/>
      <c r="QGA64"/>
      <c r="QGB64"/>
      <c r="QGC64"/>
      <c r="QGD64"/>
      <c r="QGE64"/>
      <c r="QGF64"/>
      <c r="QGG64"/>
      <c r="QGH64"/>
      <c r="QGI64"/>
      <c r="QGJ64"/>
      <c r="QGK64"/>
      <c r="QGL64"/>
      <c r="QGM64"/>
      <c r="QGN64"/>
      <c r="QGO64"/>
      <c r="QGP64"/>
      <c r="QGQ64"/>
      <c r="QGR64"/>
      <c r="QGS64"/>
      <c r="QGT64"/>
      <c r="QGU64"/>
      <c r="QGV64"/>
      <c r="QGW64"/>
      <c r="QGX64"/>
      <c r="QGY64"/>
      <c r="QGZ64"/>
      <c r="QHA64"/>
      <c r="QHB64"/>
      <c r="QHC64"/>
      <c r="QHD64"/>
      <c r="QHE64"/>
      <c r="QHF64"/>
      <c r="QHG64"/>
      <c r="QHH64"/>
      <c r="QHI64"/>
      <c r="QHJ64"/>
      <c r="QHK64"/>
      <c r="QHL64"/>
      <c r="QHM64"/>
      <c r="QHN64"/>
      <c r="QHO64"/>
      <c r="QHP64"/>
      <c r="QHQ64"/>
      <c r="QHR64"/>
      <c r="QHS64"/>
      <c r="QHT64"/>
      <c r="QHU64"/>
      <c r="QHV64"/>
      <c r="QHW64"/>
      <c r="QHX64"/>
      <c r="QHY64"/>
      <c r="QHZ64"/>
      <c r="QIA64"/>
      <c r="QIB64"/>
      <c r="QIC64"/>
      <c r="QID64"/>
      <c r="QIE64"/>
      <c r="QIF64"/>
      <c r="QIG64"/>
      <c r="QIH64"/>
      <c r="QII64"/>
      <c r="QIJ64"/>
      <c r="QIK64"/>
      <c r="QIL64"/>
      <c r="QIM64"/>
      <c r="QIN64"/>
      <c r="QIO64"/>
      <c r="QIP64"/>
      <c r="QIQ64"/>
      <c r="QIR64"/>
      <c r="QIS64"/>
      <c r="QIT64"/>
      <c r="QIU64"/>
      <c r="QIV64"/>
      <c r="QIW64"/>
      <c r="QIX64"/>
      <c r="QIY64"/>
      <c r="QIZ64"/>
      <c r="QJA64"/>
      <c r="QJB64"/>
      <c r="QJC64"/>
      <c r="QJD64"/>
      <c r="QJE64"/>
      <c r="QJF64"/>
      <c r="QJG64"/>
      <c r="QJH64"/>
      <c r="QJI64"/>
      <c r="QJJ64"/>
      <c r="QJK64"/>
      <c r="QJL64"/>
      <c r="QJM64"/>
      <c r="QJN64"/>
      <c r="QJO64"/>
      <c r="QJP64"/>
      <c r="QJQ64"/>
      <c r="QJR64"/>
      <c r="QJS64"/>
      <c r="QJT64"/>
      <c r="QJU64"/>
      <c r="QJV64"/>
      <c r="QJW64"/>
      <c r="QJX64"/>
      <c r="QJY64"/>
      <c r="QJZ64"/>
      <c r="QKA64"/>
      <c r="QKB64"/>
      <c r="QKC64"/>
      <c r="QKD64"/>
      <c r="QKE64"/>
      <c r="QKF64"/>
      <c r="QKG64"/>
      <c r="QKH64"/>
      <c r="QKI64"/>
      <c r="QKJ64"/>
      <c r="QKK64"/>
      <c r="QKL64"/>
      <c r="QKM64"/>
      <c r="QKN64"/>
      <c r="QKO64"/>
      <c r="QKP64"/>
      <c r="QKQ64"/>
      <c r="QKR64"/>
      <c r="QKS64"/>
      <c r="QKT64"/>
      <c r="QKU64"/>
      <c r="QKV64"/>
      <c r="QKW64"/>
      <c r="QKX64"/>
      <c r="QKY64"/>
      <c r="QKZ64"/>
      <c r="QLA64"/>
      <c r="QLB64"/>
      <c r="QLC64"/>
      <c r="QLD64"/>
      <c r="QLE64"/>
      <c r="QLF64"/>
      <c r="QLG64"/>
      <c r="QLH64"/>
      <c r="QLI64"/>
      <c r="QLJ64"/>
      <c r="QLK64"/>
      <c r="QLL64"/>
      <c r="QLM64"/>
      <c r="QLN64"/>
      <c r="QLO64"/>
      <c r="QLP64"/>
      <c r="QLQ64"/>
      <c r="QLR64"/>
      <c r="QLS64"/>
      <c r="QLT64"/>
      <c r="QLU64"/>
      <c r="QLV64"/>
      <c r="QLW64"/>
      <c r="QLX64"/>
      <c r="QLY64"/>
      <c r="QLZ64"/>
      <c r="QMA64"/>
      <c r="QMB64"/>
      <c r="QMC64"/>
      <c r="QMD64"/>
      <c r="QME64"/>
      <c r="QMF64"/>
      <c r="QMG64"/>
      <c r="QMH64"/>
      <c r="QMI64"/>
      <c r="QMJ64"/>
      <c r="QMK64"/>
      <c r="QML64"/>
      <c r="QMM64"/>
      <c r="QMN64"/>
      <c r="QMO64"/>
      <c r="QMP64"/>
      <c r="QMQ64"/>
      <c r="QMR64"/>
      <c r="QMS64"/>
      <c r="QMT64"/>
      <c r="QMU64"/>
      <c r="QMV64"/>
      <c r="QMW64"/>
      <c r="QMX64"/>
      <c r="QMY64"/>
      <c r="QMZ64"/>
      <c r="QNA64"/>
      <c r="QNB64"/>
      <c r="QNC64"/>
      <c r="QND64"/>
      <c r="QNE64"/>
      <c r="QNF64"/>
      <c r="QNG64"/>
      <c r="QNH64"/>
      <c r="QNI64"/>
      <c r="QNJ64"/>
      <c r="QNK64"/>
      <c r="QNL64"/>
      <c r="QNM64"/>
      <c r="QNN64"/>
      <c r="QNO64"/>
      <c r="QNP64"/>
      <c r="QNQ64"/>
      <c r="QNR64"/>
      <c r="QNS64"/>
      <c r="QNT64"/>
      <c r="QNU64"/>
      <c r="QNV64"/>
      <c r="QNW64"/>
      <c r="QNX64"/>
      <c r="QNY64"/>
      <c r="QNZ64"/>
      <c r="QOA64"/>
      <c r="QOB64"/>
      <c r="QOC64"/>
      <c r="QOD64"/>
      <c r="QOE64"/>
      <c r="QOF64"/>
      <c r="QOG64"/>
      <c r="QOH64"/>
      <c r="QOI64"/>
      <c r="QOJ64"/>
      <c r="QOK64"/>
      <c r="QOL64"/>
      <c r="QOM64"/>
      <c r="QON64"/>
      <c r="QOO64"/>
      <c r="QOP64"/>
      <c r="QOQ64"/>
      <c r="QOR64"/>
      <c r="QOS64"/>
      <c r="QOT64"/>
      <c r="QOU64"/>
      <c r="QOV64"/>
      <c r="QOW64"/>
      <c r="QOX64"/>
      <c r="QOY64"/>
      <c r="QOZ64"/>
      <c r="QPA64"/>
      <c r="QPB64"/>
      <c r="QPC64"/>
      <c r="QPD64"/>
      <c r="QPE64"/>
      <c r="QPF64"/>
      <c r="QPG64"/>
      <c r="QPH64"/>
      <c r="QPI64"/>
      <c r="QPJ64"/>
      <c r="QPK64"/>
      <c r="QPL64"/>
      <c r="QPM64"/>
      <c r="QPN64"/>
      <c r="QPO64"/>
      <c r="QPP64"/>
      <c r="QPQ64"/>
      <c r="QPR64"/>
      <c r="QPS64"/>
      <c r="QPT64"/>
      <c r="QPU64"/>
      <c r="QPV64"/>
      <c r="QPW64"/>
      <c r="QPX64"/>
      <c r="QPY64"/>
      <c r="QPZ64"/>
      <c r="QQA64"/>
      <c r="QQB64"/>
      <c r="QQC64"/>
      <c r="QQD64"/>
      <c r="QQE64"/>
      <c r="QQF64"/>
      <c r="QQG64"/>
      <c r="QQH64"/>
      <c r="QQI64"/>
      <c r="QQJ64"/>
      <c r="QQK64"/>
      <c r="QQL64"/>
      <c r="QQM64"/>
      <c r="QQN64"/>
      <c r="QQO64"/>
      <c r="QQP64"/>
      <c r="QQQ64"/>
      <c r="QQR64"/>
      <c r="QQS64"/>
      <c r="QQT64"/>
      <c r="QQU64"/>
      <c r="QQV64"/>
      <c r="QQW64"/>
      <c r="QQX64"/>
      <c r="QQY64"/>
      <c r="QQZ64"/>
      <c r="QRA64"/>
      <c r="QRB64"/>
      <c r="QRC64"/>
      <c r="QRD64"/>
      <c r="QRE64"/>
      <c r="QRF64"/>
      <c r="QRG64"/>
      <c r="QRH64"/>
      <c r="QRI64"/>
      <c r="QRJ64"/>
      <c r="QRK64"/>
      <c r="QRL64"/>
      <c r="QRM64"/>
      <c r="QRN64"/>
      <c r="QRO64"/>
      <c r="QRP64"/>
      <c r="QRQ64"/>
      <c r="QRR64"/>
      <c r="QRS64"/>
      <c r="QRT64"/>
      <c r="QRU64"/>
      <c r="QRV64"/>
      <c r="QRW64"/>
      <c r="QRX64"/>
      <c r="QRY64"/>
      <c r="QRZ64"/>
      <c r="QSA64"/>
      <c r="QSB64"/>
      <c r="QSC64"/>
      <c r="QSD64"/>
      <c r="QSE64"/>
      <c r="QSF64"/>
      <c r="QSG64"/>
      <c r="QSH64"/>
      <c r="QSI64"/>
      <c r="QSJ64"/>
      <c r="QSK64"/>
      <c r="QSL64"/>
      <c r="QSM64"/>
      <c r="QSN64"/>
      <c r="QSO64"/>
      <c r="QSP64"/>
      <c r="QSQ64"/>
      <c r="QSR64"/>
      <c r="QSS64"/>
      <c r="QST64"/>
      <c r="QSU64"/>
      <c r="QSV64"/>
      <c r="QSW64"/>
      <c r="QSX64"/>
      <c r="QSY64"/>
      <c r="QSZ64"/>
      <c r="QTA64"/>
      <c r="QTB64"/>
      <c r="QTC64"/>
      <c r="QTD64"/>
      <c r="QTE64"/>
      <c r="QTF64"/>
      <c r="QTG64"/>
      <c r="QTH64"/>
      <c r="QTI64"/>
      <c r="QTJ64"/>
      <c r="QTK64"/>
      <c r="QTL64"/>
      <c r="QTM64"/>
      <c r="QTN64"/>
      <c r="QTO64"/>
      <c r="QTP64"/>
      <c r="QTQ64"/>
      <c r="QTR64"/>
      <c r="QTS64"/>
      <c r="QTT64"/>
      <c r="QTU64"/>
      <c r="QTV64"/>
      <c r="QTW64"/>
      <c r="QTX64"/>
      <c r="QTY64"/>
      <c r="QTZ64"/>
      <c r="QUA64"/>
      <c r="QUB64"/>
      <c r="QUC64"/>
      <c r="QUD64"/>
      <c r="QUE64"/>
      <c r="QUF64"/>
      <c r="QUG64"/>
      <c r="QUH64"/>
      <c r="QUI64"/>
      <c r="QUJ64"/>
      <c r="QUK64"/>
      <c r="QUL64"/>
      <c r="QUM64"/>
      <c r="QUN64"/>
      <c r="QUO64"/>
      <c r="QUP64"/>
      <c r="QUQ64"/>
      <c r="QUR64"/>
      <c r="QUS64"/>
      <c r="QUT64"/>
      <c r="QUU64"/>
      <c r="QUV64"/>
      <c r="QUW64"/>
      <c r="QUX64"/>
      <c r="QUY64"/>
      <c r="QUZ64"/>
      <c r="QVA64"/>
      <c r="QVB64"/>
      <c r="QVC64"/>
      <c r="QVD64"/>
      <c r="QVE64"/>
      <c r="QVF64"/>
      <c r="QVG64"/>
      <c r="QVH64"/>
      <c r="QVI64"/>
      <c r="QVJ64"/>
      <c r="QVK64"/>
      <c r="QVL64"/>
      <c r="QVM64"/>
      <c r="QVN64"/>
      <c r="QVO64"/>
      <c r="QVP64"/>
      <c r="QVQ64"/>
      <c r="QVR64"/>
      <c r="QVS64"/>
      <c r="QVT64"/>
      <c r="QVU64"/>
      <c r="QVV64"/>
      <c r="QVW64"/>
      <c r="QVX64"/>
      <c r="QVY64"/>
      <c r="QVZ64"/>
      <c r="QWA64"/>
      <c r="QWB64"/>
      <c r="QWC64"/>
      <c r="QWD64"/>
      <c r="QWE64"/>
      <c r="QWF64"/>
      <c r="QWG64"/>
      <c r="QWH64"/>
      <c r="QWI64"/>
      <c r="QWJ64"/>
      <c r="QWK64"/>
      <c r="QWL64"/>
      <c r="QWM64"/>
      <c r="QWN64"/>
      <c r="QWO64"/>
      <c r="QWP64"/>
      <c r="QWQ64"/>
      <c r="QWR64"/>
      <c r="QWS64"/>
      <c r="QWT64"/>
      <c r="QWU64"/>
      <c r="QWV64"/>
      <c r="QWW64"/>
      <c r="QWX64"/>
      <c r="QWY64"/>
      <c r="QWZ64"/>
      <c r="QXA64"/>
      <c r="QXB64"/>
      <c r="QXC64"/>
      <c r="QXD64"/>
      <c r="QXE64"/>
      <c r="QXF64"/>
      <c r="QXG64"/>
      <c r="QXH64"/>
      <c r="QXI64"/>
      <c r="QXJ64"/>
      <c r="QXK64"/>
      <c r="QXL64"/>
      <c r="QXM64"/>
      <c r="QXN64"/>
      <c r="QXO64"/>
      <c r="QXP64"/>
      <c r="QXQ64"/>
      <c r="QXR64"/>
      <c r="QXS64"/>
      <c r="QXT64"/>
      <c r="QXU64"/>
      <c r="QXV64"/>
      <c r="QXW64"/>
      <c r="QXX64"/>
      <c r="QXY64"/>
      <c r="QXZ64"/>
      <c r="QYA64"/>
      <c r="QYB64"/>
      <c r="QYC64"/>
      <c r="QYD64"/>
      <c r="QYE64"/>
      <c r="QYF64"/>
      <c r="QYG64"/>
      <c r="QYH64"/>
      <c r="QYI64"/>
      <c r="QYJ64"/>
      <c r="QYK64"/>
      <c r="QYL64"/>
      <c r="QYM64"/>
      <c r="QYN64"/>
      <c r="QYO64"/>
      <c r="QYP64"/>
      <c r="QYQ64"/>
      <c r="QYR64"/>
      <c r="QYS64"/>
      <c r="QYT64"/>
      <c r="QYU64"/>
      <c r="QYV64"/>
      <c r="QYW64"/>
      <c r="QYX64"/>
      <c r="QYY64"/>
      <c r="QYZ64"/>
      <c r="QZA64"/>
      <c r="QZB64"/>
      <c r="QZC64"/>
      <c r="QZD64"/>
      <c r="QZE64"/>
      <c r="QZF64"/>
      <c r="QZG64"/>
      <c r="QZH64"/>
      <c r="QZI64"/>
      <c r="QZJ64"/>
      <c r="QZK64"/>
      <c r="QZL64"/>
      <c r="QZM64"/>
      <c r="QZN64"/>
      <c r="QZO64"/>
      <c r="QZP64"/>
      <c r="QZQ64"/>
      <c r="QZR64"/>
      <c r="QZS64"/>
      <c r="QZT64"/>
      <c r="QZU64"/>
      <c r="QZV64"/>
      <c r="QZW64"/>
      <c r="QZX64"/>
      <c r="QZY64"/>
      <c r="QZZ64"/>
      <c r="RAA64"/>
      <c r="RAB64"/>
      <c r="RAC64"/>
      <c r="RAD64"/>
      <c r="RAE64"/>
      <c r="RAF64"/>
      <c r="RAG64"/>
      <c r="RAH64"/>
      <c r="RAI64"/>
      <c r="RAJ64"/>
      <c r="RAK64"/>
      <c r="RAL64"/>
      <c r="RAM64"/>
      <c r="RAN64"/>
      <c r="RAO64"/>
      <c r="RAP64"/>
      <c r="RAQ64"/>
      <c r="RAR64"/>
      <c r="RAS64"/>
      <c r="RAT64"/>
      <c r="RAU64"/>
      <c r="RAV64"/>
      <c r="RAW64"/>
      <c r="RAX64"/>
      <c r="RAY64"/>
      <c r="RAZ64"/>
      <c r="RBA64"/>
      <c r="RBB64"/>
      <c r="RBC64"/>
      <c r="RBD64"/>
      <c r="RBE64"/>
      <c r="RBF64"/>
      <c r="RBG64"/>
      <c r="RBH64"/>
      <c r="RBI64"/>
      <c r="RBJ64"/>
      <c r="RBK64"/>
      <c r="RBL64"/>
      <c r="RBM64"/>
      <c r="RBN64"/>
      <c r="RBO64"/>
      <c r="RBP64"/>
      <c r="RBQ64"/>
      <c r="RBR64"/>
      <c r="RBS64"/>
      <c r="RBT64"/>
      <c r="RBU64"/>
      <c r="RBV64"/>
      <c r="RBW64"/>
      <c r="RBX64"/>
      <c r="RBY64"/>
      <c r="RBZ64"/>
      <c r="RCA64"/>
      <c r="RCB64"/>
      <c r="RCC64"/>
      <c r="RCD64"/>
      <c r="RCE64"/>
      <c r="RCF64"/>
      <c r="RCG64"/>
      <c r="RCH64"/>
      <c r="RCI64"/>
      <c r="RCJ64"/>
      <c r="RCK64"/>
      <c r="RCL64"/>
      <c r="RCM64"/>
      <c r="RCN64"/>
      <c r="RCO64"/>
      <c r="RCP64"/>
      <c r="RCQ64"/>
      <c r="RCR64"/>
      <c r="RCS64"/>
      <c r="RCT64"/>
      <c r="RCU64"/>
      <c r="RCV64"/>
      <c r="RCW64"/>
      <c r="RCX64"/>
      <c r="RCY64"/>
      <c r="RCZ64"/>
      <c r="RDA64"/>
      <c r="RDB64"/>
      <c r="RDC64"/>
      <c r="RDD64"/>
      <c r="RDE64"/>
      <c r="RDF64"/>
      <c r="RDG64"/>
      <c r="RDH64"/>
      <c r="RDI64"/>
      <c r="RDJ64"/>
      <c r="RDK64"/>
      <c r="RDL64"/>
      <c r="RDM64"/>
      <c r="RDN64"/>
      <c r="RDO64"/>
      <c r="RDP64"/>
      <c r="RDQ64"/>
      <c r="RDR64"/>
      <c r="RDS64"/>
      <c r="RDT64"/>
      <c r="RDU64"/>
      <c r="RDV64"/>
      <c r="RDW64"/>
      <c r="RDX64"/>
      <c r="RDY64"/>
      <c r="RDZ64"/>
      <c r="REA64"/>
      <c r="REB64"/>
      <c r="REC64"/>
      <c r="RED64"/>
      <c r="REE64"/>
      <c r="REF64"/>
      <c r="REG64"/>
      <c r="REH64"/>
      <c r="REI64"/>
      <c r="REJ64"/>
      <c r="REK64"/>
      <c r="REL64"/>
      <c r="REM64"/>
      <c r="REN64"/>
      <c r="REO64"/>
      <c r="REP64"/>
      <c r="REQ64"/>
      <c r="RER64"/>
      <c r="RES64"/>
      <c r="RET64"/>
      <c r="REU64"/>
      <c r="REV64"/>
      <c r="REW64"/>
      <c r="REX64"/>
      <c r="REY64"/>
      <c r="REZ64"/>
      <c r="RFA64"/>
      <c r="RFB64"/>
      <c r="RFC64"/>
      <c r="RFD64"/>
      <c r="RFE64"/>
      <c r="RFF64"/>
      <c r="RFG64"/>
      <c r="RFH64"/>
      <c r="RFI64"/>
      <c r="RFJ64"/>
      <c r="RFK64"/>
      <c r="RFL64"/>
      <c r="RFM64"/>
      <c r="RFN64"/>
      <c r="RFO64"/>
      <c r="RFP64"/>
      <c r="RFQ64"/>
      <c r="RFR64"/>
      <c r="RFS64"/>
      <c r="RFT64"/>
      <c r="RFU64"/>
      <c r="RFV64"/>
      <c r="RFW64"/>
      <c r="RFX64"/>
      <c r="RFY64"/>
      <c r="RFZ64"/>
      <c r="RGA64"/>
      <c r="RGB64"/>
      <c r="RGC64"/>
      <c r="RGD64"/>
      <c r="RGE64"/>
      <c r="RGF64"/>
      <c r="RGG64"/>
      <c r="RGH64"/>
      <c r="RGI64"/>
      <c r="RGJ64"/>
      <c r="RGK64"/>
      <c r="RGL64"/>
      <c r="RGM64"/>
      <c r="RGN64"/>
      <c r="RGO64"/>
      <c r="RGP64"/>
      <c r="RGQ64"/>
      <c r="RGR64"/>
      <c r="RGS64"/>
      <c r="RGT64"/>
      <c r="RGU64"/>
      <c r="RGV64"/>
      <c r="RGW64"/>
      <c r="RGX64"/>
      <c r="RGY64"/>
      <c r="RGZ64"/>
      <c r="RHA64"/>
      <c r="RHB64"/>
      <c r="RHC64"/>
      <c r="RHD64"/>
      <c r="RHE64"/>
      <c r="RHF64"/>
      <c r="RHG64"/>
      <c r="RHH64"/>
      <c r="RHI64"/>
      <c r="RHJ64"/>
      <c r="RHK64"/>
      <c r="RHL64"/>
      <c r="RHM64"/>
      <c r="RHN64"/>
      <c r="RHO64"/>
      <c r="RHP64"/>
      <c r="RHQ64"/>
      <c r="RHR64"/>
      <c r="RHS64"/>
      <c r="RHT64"/>
      <c r="RHU64"/>
      <c r="RHV64"/>
      <c r="RHW64"/>
      <c r="RHX64"/>
      <c r="RHY64"/>
      <c r="RHZ64"/>
      <c r="RIA64"/>
      <c r="RIB64"/>
      <c r="RIC64"/>
      <c r="RID64"/>
      <c r="RIE64"/>
      <c r="RIF64"/>
      <c r="RIG64"/>
      <c r="RIH64"/>
      <c r="RII64"/>
      <c r="RIJ64"/>
      <c r="RIK64"/>
      <c r="RIL64"/>
      <c r="RIM64"/>
      <c r="RIN64"/>
      <c r="RIO64"/>
      <c r="RIP64"/>
      <c r="RIQ64"/>
      <c r="RIR64"/>
      <c r="RIS64"/>
      <c r="RIT64"/>
      <c r="RIU64"/>
      <c r="RIV64"/>
      <c r="RIW64"/>
      <c r="RIX64"/>
      <c r="RIY64"/>
      <c r="RIZ64"/>
      <c r="RJA64"/>
      <c r="RJB64"/>
      <c r="RJC64"/>
      <c r="RJD64"/>
      <c r="RJE64"/>
      <c r="RJF64"/>
      <c r="RJG64"/>
      <c r="RJH64"/>
      <c r="RJI64"/>
      <c r="RJJ64"/>
      <c r="RJK64"/>
      <c r="RJL64"/>
      <c r="RJM64"/>
      <c r="RJN64"/>
      <c r="RJO64"/>
      <c r="RJP64"/>
      <c r="RJQ64"/>
      <c r="RJR64"/>
      <c r="RJS64"/>
      <c r="RJT64"/>
      <c r="RJU64"/>
      <c r="RJV64"/>
      <c r="RJW64"/>
      <c r="RJX64"/>
      <c r="RJY64"/>
      <c r="RJZ64"/>
      <c r="RKA64"/>
      <c r="RKB64"/>
      <c r="RKC64"/>
      <c r="RKD64"/>
      <c r="RKE64"/>
      <c r="RKF64"/>
      <c r="RKG64"/>
      <c r="RKH64"/>
      <c r="RKI64"/>
      <c r="RKJ64"/>
      <c r="RKK64"/>
      <c r="RKL64"/>
      <c r="RKM64"/>
      <c r="RKN64"/>
      <c r="RKO64"/>
      <c r="RKP64"/>
      <c r="RKQ64"/>
      <c r="RKR64"/>
      <c r="RKS64"/>
      <c r="RKT64"/>
      <c r="RKU64"/>
      <c r="RKV64"/>
      <c r="RKW64"/>
      <c r="RKX64"/>
      <c r="RKY64"/>
      <c r="RKZ64"/>
      <c r="RLA64"/>
      <c r="RLB64"/>
      <c r="RLC64"/>
      <c r="RLD64"/>
      <c r="RLE64"/>
      <c r="RLF64"/>
      <c r="RLG64"/>
      <c r="RLH64"/>
      <c r="RLI64"/>
      <c r="RLJ64"/>
      <c r="RLK64"/>
      <c r="RLL64"/>
      <c r="RLM64"/>
      <c r="RLN64"/>
      <c r="RLO64"/>
      <c r="RLP64"/>
      <c r="RLQ64"/>
      <c r="RLR64"/>
      <c r="RLS64"/>
      <c r="RLT64"/>
      <c r="RLU64"/>
      <c r="RLV64"/>
      <c r="RLW64"/>
      <c r="RLX64"/>
      <c r="RLY64"/>
      <c r="RLZ64"/>
      <c r="RMA64"/>
      <c r="RMB64"/>
      <c r="RMC64"/>
      <c r="RMD64"/>
      <c r="RME64"/>
      <c r="RMF64"/>
      <c r="RMG64"/>
      <c r="RMH64"/>
      <c r="RMI64"/>
      <c r="RMJ64"/>
      <c r="RMK64"/>
      <c r="RML64"/>
      <c r="RMM64"/>
      <c r="RMN64"/>
      <c r="RMO64"/>
      <c r="RMP64"/>
      <c r="RMQ64"/>
      <c r="RMR64"/>
      <c r="RMS64"/>
      <c r="RMT64"/>
      <c r="RMU64"/>
      <c r="RMV64"/>
      <c r="RMW64"/>
      <c r="RMX64"/>
      <c r="RMY64"/>
      <c r="RMZ64"/>
      <c r="RNA64"/>
      <c r="RNB64"/>
      <c r="RNC64"/>
      <c r="RND64"/>
      <c r="RNE64"/>
      <c r="RNF64"/>
      <c r="RNG64"/>
      <c r="RNH64"/>
      <c r="RNI64"/>
      <c r="RNJ64"/>
      <c r="RNK64"/>
      <c r="RNL64"/>
      <c r="RNM64"/>
      <c r="RNN64"/>
      <c r="RNO64"/>
      <c r="RNP64"/>
      <c r="RNQ64"/>
      <c r="RNR64"/>
      <c r="RNS64"/>
      <c r="RNT64"/>
      <c r="RNU64"/>
      <c r="RNV64"/>
      <c r="RNW64"/>
      <c r="RNX64"/>
      <c r="RNY64"/>
      <c r="RNZ64"/>
      <c r="ROA64"/>
      <c r="ROB64"/>
      <c r="ROC64"/>
      <c r="ROD64"/>
      <c r="ROE64"/>
      <c r="ROF64"/>
      <c r="ROG64"/>
      <c r="ROH64"/>
      <c r="ROI64"/>
      <c r="ROJ64"/>
      <c r="ROK64"/>
      <c r="ROL64"/>
      <c r="ROM64"/>
      <c r="RON64"/>
      <c r="ROO64"/>
      <c r="ROP64"/>
      <c r="ROQ64"/>
      <c r="ROR64"/>
      <c r="ROS64"/>
      <c r="ROT64"/>
      <c r="ROU64"/>
      <c r="ROV64"/>
      <c r="ROW64"/>
      <c r="ROX64"/>
      <c r="ROY64"/>
      <c r="ROZ64"/>
      <c r="RPA64"/>
      <c r="RPB64"/>
      <c r="RPC64"/>
      <c r="RPD64"/>
      <c r="RPE64"/>
      <c r="RPF64"/>
      <c r="RPG64"/>
      <c r="RPH64"/>
      <c r="RPI64"/>
      <c r="RPJ64"/>
      <c r="RPK64"/>
      <c r="RPL64"/>
      <c r="RPM64"/>
      <c r="RPN64"/>
      <c r="RPO64"/>
      <c r="RPP64"/>
      <c r="RPQ64"/>
      <c r="RPR64"/>
      <c r="RPS64"/>
      <c r="RPT64"/>
      <c r="RPU64"/>
      <c r="RPV64"/>
      <c r="RPW64"/>
      <c r="RPX64"/>
      <c r="RPY64"/>
      <c r="RPZ64"/>
      <c r="RQA64"/>
      <c r="RQB64"/>
      <c r="RQC64"/>
      <c r="RQD64"/>
      <c r="RQE64"/>
      <c r="RQF64"/>
      <c r="RQG64"/>
      <c r="RQH64"/>
      <c r="RQI64"/>
      <c r="RQJ64"/>
      <c r="RQK64"/>
      <c r="RQL64"/>
      <c r="RQM64"/>
      <c r="RQN64"/>
      <c r="RQO64"/>
      <c r="RQP64"/>
      <c r="RQQ64"/>
      <c r="RQR64"/>
      <c r="RQS64"/>
      <c r="RQT64"/>
      <c r="RQU64"/>
      <c r="RQV64"/>
      <c r="RQW64"/>
      <c r="RQX64"/>
      <c r="RQY64"/>
      <c r="RQZ64"/>
      <c r="RRA64"/>
      <c r="RRB64"/>
      <c r="RRC64"/>
      <c r="RRD64"/>
      <c r="RRE64"/>
      <c r="RRF64"/>
      <c r="RRG64"/>
      <c r="RRH64"/>
      <c r="RRI64"/>
      <c r="RRJ64"/>
      <c r="RRK64"/>
      <c r="RRL64"/>
      <c r="RRM64"/>
      <c r="RRN64"/>
      <c r="RRO64"/>
      <c r="RRP64"/>
      <c r="RRQ64"/>
      <c r="RRR64"/>
      <c r="RRS64"/>
      <c r="RRT64"/>
      <c r="RRU64"/>
      <c r="RRV64"/>
      <c r="RRW64"/>
      <c r="RRX64"/>
      <c r="RRY64"/>
      <c r="RRZ64"/>
      <c r="RSA64"/>
      <c r="RSB64"/>
      <c r="RSC64"/>
      <c r="RSD64"/>
      <c r="RSE64"/>
      <c r="RSF64"/>
      <c r="RSG64"/>
      <c r="RSH64"/>
      <c r="RSI64"/>
      <c r="RSJ64"/>
      <c r="RSK64"/>
      <c r="RSL64"/>
      <c r="RSM64"/>
      <c r="RSN64"/>
      <c r="RSO64"/>
      <c r="RSP64"/>
      <c r="RSQ64"/>
      <c r="RSR64"/>
      <c r="RSS64"/>
      <c r="RST64"/>
      <c r="RSU64"/>
      <c r="RSV64"/>
      <c r="RSW64"/>
      <c r="RSX64"/>
      <c r="RSY64"/>
      <c r="RSZ64"/>
      <c r="RTA64"/>
      <c r="RTB64"/>
      <c r="RTC64"/>
      <c r="RTD64"/>
      <c r="RTE64"/>
      <c r="RTF64"/>
      <c r="RTG64"/>
      <c r="RTH64"/>
      <c r="RTI64"/>
      <c r="RTJ64"/>
      <c r="RTK64"/>
      <c r="RTL64"/>
      <c r="RTM64"/>
      <c r="RTN64"/>
      <c r="RTO64"/>
      <c r="RTP64"/>
      <c r="RTQ64"/>
      <c r="RTR64"/>
      <c r="RTS64"/>
      <c r="RTT64"/>
      <c r="RTU64"/>
      <c r="RTV64"/>
      <c r="RTW64"/>
      <c r="RTX64"/>
      <c r="RTY64"/>
      <c r="RTZ64"/>
      <c r="RUA64"/>
      <c r="RUB64"/>
      <c r="RUC64"/>
      <c r="RUD64"/>
      <c r="RUE64"/>
      <c r="RUF64"/>
      <c r="RUG64"/>
      <c r="RUH64"/>
      <c r="RUI64"/>
      <c r="RUJ64"/>
      <c r="RUK64"/>
      <c r="RUL64"/>
      <c r="RUM64"/>
      <c r="RUN64"/>
      <c r="RUO64"/>
      <c r="RUP64"/>
      <c r="RUQ64"/>
      <c r="RUR64"/>
      <c r="RUS64"/>
      <c r="RUT64"/>
      <c r="RUU64"/>
      <c r="RUV64"/>
      <c r="RUW64"/>
      <c r="RUX64"/>
      <c r="RUY64"/>
      <c r="RUZ64"/>
      <c r="RVA64"/>
      <c r="RVB64"/>
      <c r="RVC64"/>
      <c r="RVD64"/>
      <c r="RVE64"/>
      <c r="RVF64"/>
      <c r="RVG64"/>
      <c r="RVH64"/>
      <c r="RVI64"/>
      <c r="RVJ64"/>
      <c r="RVK64"/>
      <c r="RVL64"/>
      <c r="RVM64"/>
      <c r="RVN64"/>
      <c r="RVO64"/>
      <c r="RVP64"/>
      <c r="RVQ64"/>
      <c r="RVR64"/>
      <c r="RVS64"/>
      <c r="RVT64"/>
      <c r="RVU64"/>
      <c r="RVV64"/>
      <c r="RVW64"/>
      <c r="RVX64"/>
      <c r="RVY64"/>
      <c r="RVZ64"/>
      <c r="RWA64"/>
      <c r="RWB64"/>
      <c r="RWC64"/>
      <c r="RWD64"/>
      <c r="RWE64"/>
      <c r="RWF64"/>
      <c r="RWG64"/>
      <c r="RWH64"/>
      <c r="RWI64"/>
      <c r="RWJ64"/>
      <c r="RWK64"/>
      <c r="RWL64"/>
      <c r="RWM64"/>
      <c r="RWN64"/>
      <c r="RWO64"/>
      <c r="RWP64"/>
      <c r="RWQ64"/>
      <c r="RWR64"/>
      <c r="RWS64"/>
      <c r="RWT64"/>
      <c r="RWU64"/>
      <c r="RWV64"/>
      <c r="RWW64"/>
      <c r="RWX64"/>
      <c r="RWY64"/>
      <c r="RWZ64"/>
      <c r="RXA64"/>
      <c r="RXB64"/>
      <c r="RXC64"/>
      <c r="RXD64"/>
      <c r="RXE64"/>
      <c r="RXF64"/>
      <c r="RXG64"/>
      <c r="RXH64"/>
      <c r="RXI64"/>
      <c r="RXJ64"/>
      <c r="RXK64"/>
      <c r="RXL64"/>
      <c r="RXM64"/>
      <c r="RXN64"/>
      <c r="RXO64"/>
      <c r="RXP64"/>
      <c r="RXQ64"/>
      <c r="RXR64"/>
      <c r="RXS64"/>
      <c r="RXT64"/>
      <c r="RXU64"/>
      <c r="RXV64"/>
      <c r="RXW64"/>
      <c r="RXX64"/>
      <c r="RXY64"/>
      <c r="RXZ64"/>
      <c r="RYA64"/>
      <c r="RYB64"/>
      <c r="RYC64"/>
      <c r="RYD64"/>
      <c r="RYE64"/>
      <c r="RYF64"/>
      <c r="RYG64"/>
      <c r="RYH64"/>
      <c r="RYI64"/>
      <c r="RYJ64"/>
      <c r="RYK64"/>
      <c r="RYL64"/>
      <c r="RYM64"/>
      <c r="RYN64"/>
      <c r="RYO64"/>
      <c r="RYP64"/>
      <c r="RYQ64"/>
      <c r="RYR64"/>
      <c r="RYS64"/>
      <c r="RYT64"/>
      <c r="RYU64"/>
      <c r="RYV64"/>
      <c r="RYW64"/>
      <c r="RYX64"/>
      <c r="RYY64"/>
      <c r="RYZ64"/>
      <c r="RZA64"/>
      <c r="RZB64"/>
      <c r="RZC64"/>
      <c r="RZD64"/>
      <c r="RZE64"/>
      <c r="RZF64"/>
      <c r="RZG64"/>
      <c r="RZH64"/>
      <c r="RZI64"/>
      <c r="RZJ64"/>
      <c r="RZK64"/>
      <c r="RZL64"/>
      <c r="RZM64"/>
      <c r="RZN64"/>
      <c r="RZO64"/>
      <c r="RZP64"/>
      <c r="RZQ64"/>
      <c r="RZR64"/>
      <c r="RZS64"/>
      <c r="RZT64"/>
      <c r="RZU64"/>
      <c r="RZV64"/>
      <c r="RZW64"/>
      <c r="RZX64"/>
      <c r="RZY64"/>
      <c r="RZZ64"/>
      <c r="SAA64"/>
      <c r="SAB64"/>
      <c r="SAC64"/>
      <c r="SAD64"/>
      <c r="SAE64"/>
      <c r="SAF64"/>
      <c r="SAG64"/>
      <c r="SAH64"/>
      <c r="SAI64"/>
      <c r="SAJ64"/>
      <c r="SAK64"/>
      <c r="SAL64"/>
      <c r="SAM64"/>
      <c r="SAN64"/>
      <c r="SAO64"/>
      <c r="SAP64"/>
      <c r="SAQ64"/>
      <c r="SAR64"/>
      <c r="SAS64"/>
      <c r="SAT64"/>
      <c r="SAU64"/>
      <c r="SAV64"/>
      <c r="SAW64"/>
      <c r="SAX64"/>
      <c r="SAY64"/>
      <c r="SAZ64"/>
      <c r="SBA64"/>
      <c r="SBB64"/>
      <c r="SBC64"/>
      <c r="SBD64"/>
      <c r="SBE64"/>
      <c r="SBF64"/>
      <c r="SBG64"/>
      <c r="SBH64"/>
      <c r="SBI64"/>
      <c r="SBJ64"/>
      <c r="SBK64"/>
      <c r="SBL64"/>
      <c r="SBM64"/>
      <c r="SBN64"/>
      <c r="SBO64"/>
      <c r="SBP64"/>
      <c r="SBQ64"/>
      <c r="SBR64"/>
      <c r="SBS64"/>
      <c r="SBT64"/>
      <c r="SBU64"/>
      <c r="SBV64"/>
      <c r="SBW64"/>
      <c r="SBX64"/>
      <c r="SBY64"/>
      <c r="SBZ64"/>
      <c r="SCA64"/>
      <c r="SCB64"/>
      <c r="SCC64"/>
      <c r="SCD64"/>
      <c r="SCE64"/>
      <c r="SCF64"/>
      <c r="SCG64"/>
      <c r="SCH64"/>
      <c r="SCI64"/>
      <c r="SCJ64"/>
      <c r="SCK64"/>
      <c r="SCL64"/>
      <c r="SCM64"/>
      <c r="SCN64"/>
      <c r="SCO64"/>
      <c r="SCP64"/>
      <c r="SCQ64"/>
      <c r="SCR64"/>
      <c r="SCS64"/>
      <c r="SCT64"/>
      <c r="SCU64"/>
      <c r="SCV64"/>
      <c r="SCW64"/>
      <c r="SCX64"/>
      <c r="SCY64"/>
      <c r="SCZ64"/>
      <c r="SDA64"/>
      <c r="SDB64"/>
      <c r="SDC64"/>
      <c r="SDD64"/>
      <c r="SDE64"/>
      <c r="SDF64"/>
      <c r="SDG64"/>
      <c r="SDH64"/>
      <c r="SDI64"/>
      <c r="SDJ64"/>
      <c r="SDK64"/>
      <c r="SDL64"/>
      <c r="SDM64"/>
      <c r="SDN64"/>
      <c r="SDO64"/>
      <c r="SDP64"/>
      <c r="SDQ64"/>
      <c r="SDR64"/>
      <c r="SDS64"/>
      <c r="SDT64"/>
      <c r="SDU64"/>
      <c r="SDV64"/>
      <c r="SDW64"/>
      <c r="SDX64"/>
      <c r="SDY64"/>
      <c r="SDZ64"/>
      <c r="SEA64"/>
      <c r="SEB64"/>
      <c r="SEC64"/>
      <c r="SED64"/>
      <c r="SEE64"/>
      <c r="SEF64"/>
      <c r="SEG64"/>
      <c r="SEH64"/>
      <c r="SEI64"/>
      <c r="SEJ64"/>
      <c r="SEK64"/>
      <c r="SEL64"/>
      <c r="SEM64"/>
      <c r="SEN64"/>
      <c r="SEO64"/>
      <c r="SEP64"/>
      <c r="SEQ64"/>
      <c r="SER64"/>
      <c r="SES64"/>
      <c r="SET64"/>
      <c r="SEU64"/>
      <c r="SEV64"/>
      <c r="SEW64"/>
      <c r="SEX64"/>
      <c r="SEY64"/>
      <c r="SEZ64"/>
      <c r="SFA64"/>
      <c r="SFB64"/>
      <c r="SFC64"/>
      <c r="SFD64"/>
      <c r="SFE64"/>
      <c r="SFF64"/>
      <c r="SFG64"/>
      <c r="SFH64"/>
      <c r="SFI64"/>
      <c r="SFJ64"/>
      <c r="SFK64"/>
      <c r="SFL64"/>
      <c r="SFM64"/>
      <c r="SFN64"/>
      <c r="SFO64"/>
      <c r="SFP64"/>
      <c r="SFQ64"/>
      <c r="SFR64"/>
      <c r="SFS64"/>
      <c r="SFT64"/>
      <c r="SFU64"/>
      <c r="SFV64"/>
      <c r="SFW64"/>
      <c r="SFX64"/>
      <c r="SFY64"/>
      <c r="SFZ64"/>
      <c r="SGA64"/>
      <c r="SGB64"/>
      <c r="SGC64"/>
      <c r="SGD64"/>
      <c r="SGE64"/>
      <c r="SGF64"/>
      <c r="SGG64"/>
      <c r="SGH64"/>
      <c r="SGI64"/>
      <c r="SGJ64"/>
      <c r="SGK64"/>
      <c r="SGL64"/>
      <c r="SGM64"/>
      <c r="SGN64"/>
      <c r="SGO64"/>
      <c r="SGP64"/>
      <c r="SGQ64"/>
      <c r="SGR64"/>
      <c r="SGS64"/>
      <c r="SGT64"/>
      <c r="SGU64"/>
      <c r="SGV64"/>
      <c r="SGW64"/>
      <c r="SGX64"/>
      <c r="SGY64"/>
      <c r="SGZ64"/>
      <c r="SHA64"/>
      <c r="SHB64"/>
      <c r="SHC64"/>
      <c r="SHD64"/>
      <c r="SHE64"/>
      <c r="SHF64"/>
      <c r="SHG64"/>
      <c r="SHH64"/>
      <c r="SHI64"/>
      <c r="SHJ64"/>
      <c r="SHK64"/>
      <c r="SHL64"/>
      <c r="SHM64"/>
      <c r="SHN64"/>
      <c r="SHO64"/>
      <c r="SHP64"/>
      <c r="SHQ64"/>
      <c r="SHR64"/>
      <c r="SHS64"/>
      <c r="SHT64"/>
      <c r="SHU64"/>
      <c r="SHV64"/>
      <c r="SHW64"/>
      <c r="SHX64"/>
      <c r="SHY64"/>
      <c r="SHZ64"/>
      <c r="SIA64"/>
      <c r="SIB64"/>
      <c r="SIC64"/>
      <c r="SID64"/>
      <c r="SIE64"/>
      <c r="SIF64"/>
      <c r="SIG64"/>
      <c r="SIH64"/>
      <c r="SII64"/>
      <c r="SIJ64"/>
      <c r="SIK64"/>
      <c r="SIL64"/>
      <c r="SIM64"/>
      <c r="SIN64"/>
      <c r="SIO64"/>
      <c r="SIP64"/>
      <c r="SIQ64"/>
      <c r="SIR64"/>
      <c r="SIS64"/>
      <c r="SIT64"/>
      <c r="SIU64"/>
      <c r="SIV64"/>
      <c r="SIW64"/>
      <c r="SIX64"/>
      <c r="SIY64"/>
      <c r="SIZ64"/>
      <c r="SJA64"/>
      <c r="SJB64"/>
      <c r="SJC64"/>
      <c r="SJD64"/>
      <c r="SJE64"/>
      <c r="SJF64"/>
      <c r="SJG64"/>
      <c r="SJH64"/>
      <c r="SJI64"/>
      <c r="SJJ64"/>
      <c r="SJK64"/>
      <c r="SJL64"/>
      <c r="SJM64"/>
      <c r="SJN64"/>
      <c r="SJO64"/>
      <c r="SJP64"/>
      <c r="SJQ64"/>
      <c r="SJR64"/>
      <c r="SJS64"/>
      <c r="SJT64"/>
      <c r="SJU64"/>
      <c r="SJV64"/>
      <c r="SJW64"/>
      <c r="SJX64"/>
      <c r="SJY64"/>
      <c r="SJZ64"/>
      <c r="SKA64"/>
      <c r="SKB64"/>
      <c r="SKC64"/>
      <c r="SKD64"/>
      <c r="SKE64"/>
      <c r="SKF64"/>
      <c r="SKG64"/>
      <c r="SKH64"/>
      <c r="SKI64"/>
      <c r="SKJ64"/>
      <c r="SKK64"/>
      <c r="SKL64"/>
      <c r="SKM64"/>
      <c r="SKN64"/>
      <c r="SKO64"/>
      <c r="SKP64"/>
      <c r="SKQ64"/>
      <c r="SKR64"/>
      <c r="SKS64"/>
      <c r="SKT64"/>
      <c r="SKU64"/>
      <c r="SKV64"/>
      <c r="SKW64"/>
      <c r="SKX64"/>
      <c r="SKY64"/>
      <c r="SKZ64"/>
      <c r="SLA64"/>
      <c r="SLB64"/>
      <c r="SLC64"/>
      <c r="SLD64"/>
      <c r="SLE64"/>
      <c r="SLF64"/>
      <c r="SLG64"/>
      <c r="SLH64"/>
      <c r="SLI64"/>
      <c r="SLJ64"/>
      <c r="SLK64"/>
      <c r="SLL64"/>
      <c r="SLM64"/>
      <c r="SLN64"/>
      <c r="SLO64"/>
      <c r="SLP64"/>
      <c r="SLQ64"/>
      <c r="SLR64"/>
      <c r="SLS64"/>
      <c r="SLT64"/>
      <c r="SLU64"/>
      <c r="SLV64"/>
      <c r="SLW64"/>
      <c r="SLX64"/>
      <c r="SLY64"/>
      <c r="SLZ64"/>
      <c r="SMA64"/>
      <c r="SMB64"/>
      <c r="SMC64"/>
      <c r="SMD64"/>
      <c r="SME64"/>
      <c r="SMF64"/>
      <c r="SMG64"/>
      <c r="SMH64"/>
      <c r="SMI64"/>
      <c r="SMJ64"/>
      <c r="SMK64"/>
      <c r="SML64"/>
      <c r="SMM64"/>
      <c r="SMN64"/>
      <c r="SMO64"/>
      <c r="SMP64"/>
      <c r="SMQ64"/>
      <c r="SMR64"/>
      <c r="SMS64"/>
      <c r="SMT64"/>
      <c r="SMU64"/>
      <c r="SMV64"/>
      <c r="SMW64"/>
      <c r="SMX64"/>
      <c r="SMY64"/>
      <c r="SMZ64"/>
      <c r="SNA64"/>
      <c r="SNB64"/>
      <c r="SNC64"/>
      <c r="SND64"/>
      <c r="SNE64"/>
      <c r="SNF64"/>
      <c r="SNG64"/>
      <c r="SNH64"/>
      <c r="SNI64"/>
      <c r="SNJ64"/>
      <c r="SNK64"/>
      <c r="SNL64"/>
      <c r="SNM64"/>
      <c r="SNN64"/>
      <c r="SNO64"/>
      <c r="SNP64"/>
      <c r="SNQ64"/>
      <c r="SNR64"/>
      <c r="SNS64"/>
      <c r="SNT64"/>
      <c r="SNU64"/>
      <c r="SNV64"/>
      <c r="SNW64"/>
      <c r="SNX64"/>
      <c r="SNY64"/>
      <c r="SNZ64"/>
      <c r="SOA64"/>
      <c r="SOB64"/>
      <c r="SOC64"/>
      <c r="SOD64"/>
      <c r="SOE64"/>
      <c r="SOF64"/>
      <c r="SOG64"/>
      <c r="SOH64"/>
      <c r="SOI64"/>
      <c r="SOJ64"/>
      <c r="SOK64"/>
      <c r="SOL64"/>
      <c r="SOM64"/>
      <c r="SON64"/>
      <c r="SOO64"/>
      <c r="SOP64"/>
      <c r="SOQ64"/>
      <c r="SOR64"/>
      <c r="SOS64"/>
      <c r="SOT64"/>
      <c r="SOU64"/>
      <c r="SOV64"/>
      <c r="SOW64"/>
      <c r="SOX64"/>
      <c r="SOY64"/>
      <c r="SOZ64"/>
      <c r="SPA64"/>
      <c r="SPB64"/>
      <c r="SPC64"/>
      <c r="SPD64"/>
      <c r="SPE64"/>
      <c r="SPF64"/>
      <c r="SPG64"/>
      <c r="SPH64"/>
      <c r="SPI64"/>
      <c r="SPJ64"/>
      <c r="SPK64"/>
      <c r="SPL64"/>
      <c r="SPM64"/>
      <c r="SPN64"/>
      <c r="SPO64"/>
      <c r="SPP64"/>
      <c r="SPQ64"/>
      <c r="SPR64"/>
      <c r="SPS64"/>
      <c r="SPT64"/>
      <c r="SPU64"/>
      <c r="SPV64"/>
      <c r="SPW64"/>
      <c r="SPX64"/>
      <c r="SPY64"/>
      <c r="SPZ64"/>
      <c r="SQA64"/>
      <c r="SQB64"/>
      <c r="SQC64"/>
      <c r="SQD64"/>
      <c r="SQE64"/>
      <c r="SQF64"/>
      <c r="SQG64"/>
      <c r="SQH64"/>
      <c r="SQI64"/>
      <c r="SQJ64"/>
      <c r="SQK64"/>
      <c r="SQL64"/>
      <c r="SQM64"/>
      <c r="SQN64"/>
      <c r="SQO64"/>
      <c r="SQP64"/>
      <c r="SQQ64"/>
      <c r="SQR64"/>
      <c r="SQS64"/>
      <c r="SQT64"/>
      <c r="SQU64"/>
      <c r="SQV64"/>
      <c r="SQW64"/>
      <c r="SQX64"/>
      <c r="SQY64"/>
      <c r="SQZ64"/>
      <c r="SRA64"/>
      <c r="SRB64"/>
      <c r="SRC64"/>
      <c r="SRD64"/>
      <c r="SRE64"/>
      <c r="SRF64"/>
      <c r="SRG64"/>
      <c r="SRH64"/>
      <c r="SRI64"/>
      <c r="SRJ64"/>
      <c r="SRK64"/>
      <c r="SRL64"/>
      <c r="SRM64"/>
      <c r="SRN64"/>
      <c r="SRO64"/>
      <c r="SRP64"/>
      <c r="SRQ64"/>
      <c r="SRR64"/>
      <c r="SRS64"/>
      <c r="SRT64"/>
      <c r="SRU64"/>
      <c r="SRV64"/>
      <c r="SRW64"/>
      <c r="SRX64"/>
      <c r="SRY64"/>
      <c r="SRZ64"/>
      <c r="SSA64"/>
      <c r="SSB64"/>
      <c r="SSC64"/>
      <c r="SSD64"/>
      <c r="SSE64"/>
      <c r="SSF64"/>
      <c r="SSG64"/>
      <c r="SSH64"/>
      <c r="SSI64"/>
      <c r="SSJ64"/>
      <c r="SSK64"/>
      <c r="SSL64"/>
      <c r="SSM64"/>
      <c r="SSN64"/>
      <c r="SSO64"/>
      <c r="SSP64"/>
      <c r="SSQ64"/>
      <c r="SSR64"/>
      <c r="SSS64"/>
      <c r="SST64"/>
      <c r="SSU64"/>
      <c r="SSV64"/>
      <c r="SSW64"/>
      <c r="SSX64"/>
      <c r="SSY64"/>
      <c r="SSZ64"/>
      <c r="STA64"/>
      <c r="STB64"/>
      <c r="STC64"/>
      <c r="STD64"/>
      <c r="STE64"/>
      <c r="STF64"/>
      <c r="STG64"/>
      <c r="STH64"/>
      <c r="STI64"/>
      <c r="STJ64"/>
      <c r="STK64"/>
      <c r="STL64"/>
      <c r="STM64"/>
      <c r="STN64"/>
      <c r="STO64"/>
      <c r="STP64"/>
      <c r="STQ64"/>
      <c r="STR64"/>
      <c r="STS64"/>
      <c r="STT64"/>
      <c r="STU64"/>
      <c r="STV64"/>
      <c r="STW64"/>
      <c r="STX64"/>
      <c r="STY64"/>
      <c r="STZ64"/>
      <c r="SUA64"/>
      <c r="SUB64"/>
      <c r="SUC64"/>
      <c r="SUD64"/>
      <c r="SUE64"/>
      <c r="SUF64"/>
      <c r="SUG64"/>
      <c r="SUH64"/>
      <c r="SUI64"/>
      <c r="SUJ64"/>
      <c r="SUK64"/>
      <c r="SUL64"/>
      <c r="SUM64"/>
      <c r="SUN64"/>
      <c r="SUO64"/>
      <c r="SUP64"/>
      <c r="SUQ64"/>
      <c r="SUR64"/>
      <c r="SUS64"/>
      <c r="SUT64"/>
      <c r="SUU64"/>
      <c r="SUV64"/>
      <c r="SUW64"/>
      <c r="SUX64"/>
      <c r="SUY64"/>
      <c r="SUZ64"/>
      <c r="SVA64"/>
      <c r="SVB64"/>
      <c r="SVC64"/>
      <c r="SVD64"/>
      <c r="SVE64"/>
      <c r="SVF64"/>
      <c r="SVG64"/>
      <c r="SVH64"/>
      <c r="SVI64"/>
      <c r="SVJ64"/>
      <c r="SVK64"/>
      <c r="SVL64"/>
      <c r="SVM64"/>
      <c r="SVN64"/>
      <c r="SVO64"/>
      <c r="SVP64"/>
      <c r="SVQ64"/>
      <c r="SVR64"/>
      <c r="SVS64"/>
      <c r="SVT64"/>
      <c r="SVU64"/>
      <c r="SVV64"/>
      <c r="SVW64"/>
      <c r="SVX64"/>
      <c r="SVY64"/>
      <c r="SVZ64"/>
      <c r="SWA64"/>
      <c r="SWB64"/>
      <c r="SWC64"/>
      <c r="SWD64"/>
      <c r="SWE64"/>
      <c r="SWF64"/>
      <c r="SWG64"/>
      <c r="SWH64"/>
      <c r="SWI64"/>
      <c r="SWJ64"/>
      <c r="SWK64"/>
      <c r="SWL64"/>
      <c r="SWM64"/>
      <c r="SWN64"/>
      <c r="SWO64"/>
      <c r="SWP64"/>
      <c r="SWQ64"/>
      <c r="SWR64"/>
      <c r="SWS64"/>
      <c r="SWT64"/>
      <c r="SWU64"/>
      <c r="SWV64"/>
      <c r="SWW64"/>
      <c r="SWX64"/>
      <c r="SWY64"/>
      <c r="SWZ64"/>
      <c r="SXA64"/>
      <c r="SXB64"/>
      <c r="SXC64"/>
      <c r="SXD64"/>
      <c r="SXE64"/>
      <c r="SXF64"/>
      <c r="SXG64"/>
      <c r="SXH64"/>
      <c r="SXI64"/>
      <c r="SXJ64"/>
      <c r="SXK64"/>
      <c r="SXL64"/>
      <c r="SXM64"/>
      <c r="SXN64"/>
      <c r="SXO64"/>
      <c r="SXP64"/>
      <c r="SXQ64"/>
      <c r="SXR64"/>
      <c r="SXS64"/>
      <c r="SXT64"/>
      <c r="SXU64"/>
      <c r="SXV64"/>
      <c r="SXW64"/>
      <c r="SXX64"/>
      <c r="SXY64"/>
      <c r="SXZ64"/>
      <c r="SYA64"/>
      <c r="SYB64"/>
      <c r="SYC64"/>
      <c r="SYD64"/>
      <c r="SYE64"/>
      <c r="SYF64"/>
      <c r="SYG64"/>
      <c r="SYH64"/>
      <c r="SYI64"/>
      <c r="SYJ64"/>
      <c r="SYK64"/>
      <c r="SYL64"/>
      <c r="SYM64"/>
      <c r="SYN64"/>
      <c r="SYO64"/>
      <c r="SYP64"/>
      <c r="SYQ64"/>
      <c r="SYR64"/>
      <c r="SYS64"/>
      <c r="SYT64"/>
      <c r="SYU64"/>
      <c r="SYV64"/>
      <c r="SYW64"/>
      <c r="SYX64"/>
      <c r="SYY64"/>
      <c r="SYZ64"/>
      <c r="SZA64"/>
      <c r="SZB64"/>
      <c r="SZC64"/>
      <c r="SZD64"/>
      <c r="SZE64"/>
      <c r="SZF64"/>
      <c r="SZG64"/>
      <c r="SZH64"/>
      <c r="SZI64"/>
      <c r="SZJ64"/>
      <c r="SZK64"/>
      <c r="SZL64"/>
      <c r="SZM64"/>
      <c r="SZN64"/>
      <c r="SZO64"/>
      <c r="SZP64"/>
      <c r="SZQ64"/>
      <c r="SZR64"/>
      <c r="SZS64"/>
      <c r="SZT64"/>
      <c r="SZU64"/>
      <c r="SZV64"/>
      <c r="SZW64"/>
      <c r="SZX64"/>
      <c r="SZY64"/>
      <c r="SZZ64"/>
      <c r="TAA64"/>
      <c r="TAB64"/>
      <c r="TAC64"/>
      <c r="TAD64"/>
      <c r="TAE64"/>
      <c r="TAF64"/>
      <c r="TAG64"/>
      <c r="TAH64"/>
      <c r="TAI64"/>
      <c r="TAJ64"/>
      <c r="TAK64"/>
      <c r="TAL64"/>
      <c r="TAM64"/>
      <c r="TAN64"/>
      <c r="TAO64"/>
      <c r="TAP64"/>
      <c r="TAQ64"/>
      <c r="TAR64"/>
      <c r="TAS64"/>
      <c r="TAT64"/>
      <c r="TAU64"/>
      <c r="TAV64"/>
      <c r="TAW64"/>
      <c r="TAX64"/>
      <c r="TAY64"/>
      <c r="TAZ64"/>
      <c r="TBA64"/>
      <c r="TBB64"/>
      <c r="TBC64"/>
      <c r="TBD64"/>
      <c r="TBE64"/>
      <c r="TBF64"/>
      <c r="TBG64"/>
      <c r="TBH64"/>
      <c r="TBI64"/>
      <c r="TBJ64"/>
      <c r="TBK64"/>
      <c r="TBL64"/>
      <c r="TBM64"/>
      <c r="TBN64"/>
      <c r="TBO64"/>
      <c r="TBP64"/>
      <c r="TBQ64"/>
      <c r="TBR64"/>
      <c r="TBS64"/>
      <c r="TBT64"/>
      <c r="TBU64"/>
      <c r="TBV64"/>
      <c r="TBW64"/>
      <c r="TBX64"/>
      <c r="TBY64"/>
      <c r="TBZ64"/>
      <c r="TCA64"/>
      <c r="TCB64"/>
      <c r="TCC64"/>
      <c r="TCD64"/>
      <c r="TCE64"/>
      <c r="TCF64"/>
      <c r="TCG64"/>
      <c r="TCH64"/>
      <c r="TCI64"/>
      <c r="TCJ64"/>
      <c r="TCK64"/>
      <c r="TCL64"/>
      <c r="TCM64"/>
      <c r="TCN64"/>
      <c r="TCO64"/>
      <c r="TCP64"/>
      <c r="TCQ64"/>
      <c r="TCR64"/>
      <c r="TCS64"/>
      <c r="TCT64"/>
      <c r="TCU64"/>
      <c r="TCV64"/>
      <c r="TCW64"/>
      <c r="TCX64"/>
      <c r="TCY64"/>
      <c r="TCZ64"/>
      <c r="TDA64"/>
      <c r="TDB64"/>
      <c r="TDC64"/>
      <c r="TDD64"/>
      <c r="TDE64"/>
      <c r="TDF64"/>
      <c r="TDG64"/>
      <c r="TDH64"/>
      <c r="TDI64"/>
      <c r="TDJ64"/>
      <c r="TDK64"/>
      <c r="TDL64"/>
      <c r="TDM64"/>
      <c r="TDN64"/>
      <c r="TDO64"/>
      <c r="TDP64"/>
      <c r="TDQ64"/>
      <c r="TDR64"/>
      <c r="TDS64"/>
      <c r="TDT64"/>
      <c r="TDU64"/>
      <c r="TDV64"/>
      <c r="TDW64"/>
      <c r="TDX64"/>
      <c r="TDY64"/>
      <c r="TDZ64"/>
      <c r="TEA64"/>
      <c r="TEB64"/>
      <c r="TEC64"/>
      <c r="TED64"/>
      <c r="TEE64"/>
      <c r="TEF64"/>
      <c r="TEG64"/>
      <c r="TEH64"/>
      <c r="TEI64"/>
      <c r="TEJ64"/>
      <c r="TEK64"/>
      <c r="TEL64"/>
      <c r="TEM64"/>
      <c r="TEN64"/>
      <c r="TEO64"/>
      <c r="TEP64"/>
      <c r="TEQ64"/>
      <c r="TER64"/>
      <c r="TES64"/>
      <c r="TET64"/>
      <c r="TEU64"/>
      <c r="TEV64"/>
      <c r="TEW64"/>
      <c r="TEX64"/>
      <c r="TEY64"/>
      <c r="TEZ64"/>
      <c r="TFA64"/>
      <c r="TFB64"/>
      <c r="TFC64"/>
      <c r="TFD64"/>
      <c r="TFE64"/>
      <c r="TFF64"/>
      <c r="TFG64"/>
      <c r="TFH64"/>
      <c r="TFI64"/>
      <c r="TFJ64"/>
      <c r="TFK64"/>
      <c r="TFL64"/>
      <c r="TFM64"/>
      <c r="TFN64"/>
      <c r="TFO64"/>
      <c r="TFP64"/>
      <c r="TFQ64"/>
      <c r="TFR64"/>
      <c r="TFS64"/>
      <c r="TFT64"/>
      <c r="TFU64"/>
      <c r="TFV64"/>
      <c r="TFW64"/>
      <c r="TFX64"/>
      <c r="TFY64"/>
      <c r="TFZ64"/>
      <c r="TGA64"/>
      <c r="TGB64"/>
      <c r="TGC64"/>
      <c r="TGD64"/>
      <c r="TGE64"/>
      <c r="TGF64"/>
      <c r="TGG64"/>
      <c r="TGH64"/>
      <c r="TGI64"/>
      <c r="TGJ64"/>
      <c r="TGK64"/>
      <c r="TGL64"/>
      <c r="TGM64"/>
      <c r="TGN64"/>
      <c r="TGO64"/>
      <c r="TGP64"/>
      <c r="TGQ64"/>
      <c r="TGR64"/>
      <c r="TGS64"/>
      <c r="TGT64"/>
      <c r="TGU64"/>
      <c r="TGV64"/>
      <c r="TGW64"/>
      <c r="TGX64"/>
      <c r="TGY64"/>
      <c r="TGZ64"/>
      <c r="THA64"/>
      <c r="THB64"/>
      <c r="THC64"/>
      <c r="THD64"/>
      <c r="THE64"/>
      <c r="THF64"/>
      <c r="THG64"/>
      <c r="THH64"/>
      <c r="THI64"/>
      <c r="THJ64"/>
      <c r="THK64"/>
      <c r="THL64"/>
      <c r="THM64"/>
      <c r="THN64"/>
      <c r="THO64"/>
      <c r="THP64"/>
      <c r="THQ64"/>
      <c r="THR64"/>
      <c r="THS64"/>
      <c r="THT64"/>
      <c r="THU64"/>
      <c r="THV64"/>
      <c r="THW64"/>
      <c r="THX64"/>
      <c r="THY64"/>
      <c r="THZ64"/>
      <c r="TIA64"/>
      <c r="TIB64"/>
      <c r="TIC64"/>
      <c r="TID64"/>
      <c r="TIE64"/>
      <c r="TIF64"/>
      <c r="TIG64"/>
      <c r="TIH64"/>
      <c r="TII64"/>
      <c r="TIJ64"/>
      <c r="TIK64"/>
      <c r="TIL64"/>
      <c r="TIM64"/>
      <c r="TIN64"/>
      <c r="TIO64"/>
      <c r="TIP64"/>
      <c r="TIQ64"/>
      <c r="TIR64"/>
      <c r="TIS64"/>
      <c r="TIT64"/>
      <c r="TIU64"/>
      <c r="TIV64"/>
      <c r="TIW64"/>
      <c r="TIX64"/>
      <c r="TIY64"/>
      <c r="TIZ64"/>
      <c r="TJA64"/>
      <c r="TJB64"/>
      <c r="TJC64"/>
      <c r="TJD64"/>
      <c r="TJE64"/>
      <c r="TJF64"/>
      <c r="TJG64"/>
      <c r="TJH64"/>
      <c r="TJI64"/>
      <c r="TJJ64"/>
      <c r="TJK64"/>
      <c r="TJL64"/>
      <c r="TJM64"/>
      <c r="TJN64"/>
      <c r="TJO64"/>
      <c r="TJP64"/>
      <c r="TJQ64"/>
      <c r="TJR64"/>
      <c r="TJS64"/>
      <c r="TJT64"/>
      <c r="TJU64"/>
      <c r="TJV64"/>
      <c r="TJW64"/>
      <c r="TJX64"/>
      <c r="TJY64"/>
      <c r="TJZ64"/>
      <c r="TKA64"/>
      <c r="TKB64"/>
      <c r="TKC64"/>
      <c r="TKD64"/>
      <c r="TKE64"/>
      <c r="TKF64"/>
      <c r="TKG64"/>
      <c r="TKH64"/>
      <c r="TKI64"/>
      <c r="TKJ64"/>
      <c r="TKK64"/>
      <c r="TKL64"/>
      <c r="TKM64"/>
      <c r="TKN64"/>
      <c r="TKO64"/>
      <c r="TKP64"/>
      <c r="TKQ64"/>
      <c r="TKR64"/>
      <c r="TKS64"/>
      <c r="TKT64"/>
      <c r="TKU64"/>
      <c r="TKV64"/>
      <c r="TKW64"/>
      <c r="TKX64"/>
      <c r="TKY64"/>
      <c r="TKZ64"/>
      <c r="TLA64"/>
      <c r="TLB64"/>
      <c r="TLC64"/>
      <c r="TLD64"/>
      <c r="TLE64"/>
      <c r="TLF64"/>
      <c r="TLG64"/>
      <c r="TLH64"/>
      <c r="TLI64"/>
      <c r="TLJ64"/>
      <c r="TLK64"/>
      <c r="TLL64"/>
      <c r="TLM64"/>
      <c r="TLN64"/>
      <c r="TLO64"/>
      <c r="TLP64"/>
      <c r="TLQ64"/>
      <c r="TLR64"/>
      <c r="TLS64"/>
      <c r="TLT64"/>
      <c r="TLU64"/>
      <c r="TLV64"/>
      <c r="TLW64"/>
      <c r="TLX64"/>
      <c r="TLY64"/>
      <c r="TLZ64"/>
      <c r="TMA64"/>
      <c r="TMB64"/>
      <c r="TMC64"/>
      <c r="TMD64"/>
      <c r="TME64"/>
      <c r="TMF64"/>
      <c r="TMG64"/>
      <c r="TMH64"/>
      <c r="TMI64"/>
      <c r="TMJ64"/>
      <c r="TMK64"/>
      <c r="TML64"/>
      <c r="TMM64"/>
      <c r="TMN64"/>
      <c r="TMO64"/>
      <c r="TMP64"/>
      <c r="TMQ64"/>
      <c r="TMR64"/>
      <c r="TMS64"/>
      <c r="TMT64"/>
      <c r="TMU64"/>
      <c r="TMV64"/>
      <c r="TMW64"/>
      <c r="TMX64"/>
      <c r="TMY64"/>
      <c r="TMZ64"/>
      <c r="TNA64"/>
      <c r="TNB64"/>
      <c r="TNC64"/>
      <c r="TND64"/>
      <c r="TNE64"/>
      <c r="TNF64"/>
      <c r="TNG64"/>
      <c r="TNH64"/>
      <c r="TNI64"/>
      <c r="TNJ64"/>
      <c r="TNK64"/>
      <c r="TNL64"/>
      <c r="TNM64"/>
      <c r="TNN64"/>
      <c r="TNO64"/>
      <c r="TNP64"/>
      <c r="TNQ64"/>
      <c r="TNR64"/>
      <c r="TNS64"/>
      <c r="TNT64"/>
      <c r="TNU64"/>
      <c r="TNV64"/>
      <c r="TNW64"/>
      <c r="TNX64"/>
      <c r="TNY64"/>
      <c r="TNZ64"/>
      <c r="TOA64"/>
      <c r="TOB64"/>
      <c r="TOC64"/>
      <c r="TOD64"/>
      <c r="TOE64"/>
      <c r="TOF64"/>
      <c r="TOG64"/>
      <c r="TOH64"/>
      <c r="TOI64"/>
      <c r="TOJ64"/>
      <c r="TOK64"/>
      <c r="TOL64"/>
      <c r="TOM64"/>
      <c r="TON64"/>
      <c r="TOO64"/>
      <c r="TOP64"/>
      <c r="TOQ64"/>
      <c r="TOR64"/>
      <c r="TOS64"/>
      <c r="TOT64"/>
      <c r="TOU64"/>
      <c r="TOV64"/>
      <c r="TOW64"/>
      <c r="TOX64"/>
      <c r="TOY64"/>
      <c r="TOZ64"/>
      <c r="TPA64"/>
      <c r="TPB64"/>
      <c r="TPC64"/>
      <c r="TPD64"/>
      <c r="TPE64"/>
      <c r="TPF64"/>
      <c r="TPG64"/>
      <c r="TPH64"/>
      <c r="TPI64"/>
      <c r="TPJ64"/>
      <c r="TPK64"/>
      <c r="TPL64"/>
      <c r="TPM64"/>
      <c r="TPN64"/>
      <c r="TPO64"/>
      <c r="TPP64"/>
      <c r="TPQ64"/>
      <c r="TPR64"/>
      <c r="TPS64"/>
      <c r="TPT64"/>
      <c r="TPU64"/>
      <c r="TPV64"/>
      <c r="TPW64"/>
      <c r="TPX64"/>
      <c r="TPY64"/>
      <c r="TPZ64"/>
      <c r="TQA64"/>
      <c r="TQB64"/>
      <c r="TQC64"/>
      <c r="TQD64"/>
      <c r="TQE64"/>
      <c r="TQF64"/>
      <c r="TQG64"/>
      <c r="TQH64"/>
      <c r="TQI64"/>
      <c r="TQJ64"/>
      <c r="TQK64"/>
      <c r="TQL64"/>
      <c r="TQM64"/>
      <c r="TQN64"/>
      <c r="TQO64"/>
      <c r="TQP64"/>
      <c r="TQQ64"/>
      <c r="TQR64"/>
      <c r="TQS64"/>
      <c r="TQT64"/>
      <c r="TQU64"/>
      <c r="TQV64"/>
      <c r="TQW64"/>
      <c r="TQX64"/>
      <c r="TQY64"/>
      <c r="TQZ64"/>
      <c r="TRA64"/>
      <c r="TRB64"/>
      <c r="TRC64"/>
      <c r="TRD64"/>
      <c r="TRE64"/>
      <c r="TRF64"/>
      <c r="TRG64"/>
      <c r="TRH64"/>
      <c r="TRI64"/>
      <c r="TRJ64"/>
      <c r="TRK64"/>
      <c r="TRL64"/>
      <c r="TRM64"/>
      <c r="TRN64"/>
      <c r="TRO64"/>
      <c r="TRP64"/>
      <c r="TRQ64"/>
      <c r="TRR64"/>
      <c r="TRS64"/>
      <c r="TRT64"/>
      <c r="TRU64"/>
      <c r="TRV64"/>
      <c r="TRW64"/>
      <c r="TRX64"/>
      <c r="TRY64"/>
      <c r="TRZ64"/>
      <c r="TSA64"/>
      <c r="TSB64"/>
      <c r="TSC64"/>
      <c r="TSD64"/>
      <c r="TSE64"/>
      <c r="TSF64"/>
      <c r="TSG64"/>
      <c r="TSH64"/>
      <c r="TSI64"/>
      <c r="TSJ64"/>
      <c r="TSK64"/>
      <c r="TSL64"/>
      <c r="TSM64"/>
      <c r="TSN64"/>
      <c r="TSO64"/>
      <c r="TSP64"/>
      <c r="TSQ64"/>
      <c r="TSR64"/>
      <c r="TSS64"/>
      <c r="TST64"/>
      <c r="TSU64"/>
      <c r="TSV64"/>
      <c r="TSW64"/>
      <c r="TSX64"/>
      <c r="TSY64"/>
      <c r="TSZ64"/>
      <c r="TTA64"/>
      <c r="TTB64"/>
      <c r="TTC64"/>
      <c r="TTD64"/>
      <c r="TTE64"/>
      <c r="TTF64"/>
      <c r="TTG64"/>
      <c r="TTH64"/>
      <c r="TTI64"/>
      <c r="TTJ64"/>
      <c r="TTK64"/>
      <c r="TTL64"/>
      <c r="TTM64"/>
      <c r="TTN64"/>
      <c r="TTO64"/>
      <c r="TTP64"/>
      <c r="TTQ64"/>
      <c r="TTR64"/>
      <c r="TTS64"/>
      <c r="TTT64"/>
      <c r="TTU64"/>
      <c r="TTV64"/>
      <c r="TTW64"/>
      <c r="TTX64"/>
      <c r="TTY64"/>
      <c r="TTZ64"/>
      <c r="TUA64"/>
      <c r="TUB64"/>
      <c r="TUC64"/>
      <c r="TUD64"/>
      <c r="TUE64"/>
      <c r="TUF64"/>
      <c r="TUG64"/>
      <c r="TUH64"/>
      <c r="TUI64"/>
      <c r="TUJ64"/>
      <c r="TUK64"/>
      <c r="TUL64"/>
      <c r="TUM64"/>
      <c r="TUN64"/>
      <c r="TUO64"/>
      <c r="TUP64"/>
      <c r="TUQ64"/>
      <c r="TUR64"/>
      <c r="TUS64"/>
      <c r="TUT64"/>
      <c r="TUU64"/>
      <c r="TUV64"/>
      <c r="TUW64"/>
      <c r="TUX64"/>
      <c r="TUY64"/>
      <c r="TUZ64"/>
      <c r="TVA64"/>
      <c r="TVB64"/>
      <c r="TVC64"/>
      <c r="TVD64"/>
      <c r="TVE64"/>
      <c r="TVF64"/>
      <c r="TVG64"/>
      <c r="TVH64"/>
      <c r="TVI64"/>
      <c r="TVJ64"/>
      <c r="TVK64"/>
      <c r="TVL64"/>
      <c r="TVM64"/>
      <c r="TVN64"/>
      <c r="TVO64"/>
      <c r="TVP64"/>
      <c r="TVQ64"/>
      <c r="TVR64"/>
      <c r="TVS64"/>
      <c r="TVT64"/>
      <c r="TVU64"/>
      <c r="TVV64"/>
      <c r="TVW64"/>
      <c r="TVX64"/>
      <c r="TVY64"/>
      <c r="TVZ64"/>
      <c r="TWA64"/>
      <c r="TWB64"/>
      <c r="TWC64"/>
      <c r="TWD64"/>
      <c r="TWE64"/>
      <c r="TWF64"/>
      <c r="TWG64"/>
      <c r="TWH64"/>
      <c r="TWI64"/>
      <c r="TWJ64"/>
      <c r="TWK64"/>
      <c r="TWL64"/>
      <c r="TWM64"/>
      <c r="TWN64"/>
      <c r="TWO64"/>
      <c r="TWP64"/>
      <c r="TWQ64"/>
      <c r="TWR64"/>
      <c r="TWS64"/>
      <c r="TWT64"/>
      <c r="TWU64"/>
      <c r="TWV64"/>
      <c r="TWW64"/>
      <c r="TWX64"/>
      <c r="TWY64"/>
      <c r="TWZ64"/>
      <c r="TXA64"/>
      <c r="TXB64"/>
      <c r="TXC64"/>
      <c r="TXD64"/>
      <c r="TXE64"/>
      <c r="TXF64"/>
      <c r="TXG64"/>
      <c r="TXH64"/>
      <c r="TXI64"/>
      <c r="TXJ64"/>
      <c r="TXK64"/>
      <c r="TXL64"/>
      <c r="TXM64"/>
      <c r="TXN64"/>
      <c r="TXO64"/>
      <c r="TXP64"/>
      <c r="TXQ64"/>
      <c r="TXR64"/>
      <c r="TXS64"/>
      <c r="TXT64"/>
      <c r="TXU64"/>
      <c r="TXV64"/>
      <c r="TXW64"/>
      <c r="TXX64"/>
      <c r="TXY64"/>
      <c r="TXZ64"/>
      <c r="TYA64"/>
      <c r="TYB64"/>
      <c r="TYC64"/>
      <c r="TYD64"/>
      <c r="TYE64"/>
      <c r="TYF64"/>
      <c r="TYG64"/>
      <c r="TYH64"/>
      <c r="TYI64"/>
      <c r="TYJ64"/>
      <c r="TYK64"/>
      <c r="TYL64"/>
      <c r="TYM64"/>
      <c r="TYN64"/>
      <c r="TYO64"/>
      <c r="TYP64"/>
      <c r="TYQ64"/>
      <c r="TYR64"/>
      <c r="TYS64"/>
      <c r="TYT64"/>
      <c r="TYU64"/>
      <c r="TYV64"/>
      <c r="TYW64"/>
      <c r="TYX64"/>
      <c r="TYY64"/>
      <c r="TYZ64"/>
      <c r="TZA64"/>
      <c r="TZB64"/>
      <c r="TZC64"/>
      <c r="TZD64"/>
      <c r="TZE64"/>
      <c r="TZF64"/>
      <c r="TZG64"/>
      <c r="TZH64"/>
      <c r="TZI64"/>
      <c r="TZJ64"/>
      <c r="TZK64"/>
      <c r="TZL64"/>
      <c r="TZM64"/>
      <c r="TZN64"/>
      <c r="TZO64"/>
      <c r="TZP64"/>
      <c r="TZQ64"/>
      <c r="TZR64"/>
      <c r="TZS64"/>
      <c r="TZT64"/>
      <c r="TZU64"/>
      <c r="TZV64"/>
      <c r="TZW64"/>
      <c r="TZX64"/>
      <c r="TZY64"/>
      <c r="TZZ64"/>
      <c r="UAA64"/>
      <c r="UAB64"/>
      <c r="UAC64"/>
      <c r="UAD64"/>
      <c r="UAE64"/>
      <c r="UAF64"/>
      <c r="UAG64"/>
      <c r="UAH64"/>
      <c r="UAI64"/>
      <c r="UAJ64"/>
      <c r="UAK64"/>
      <c r="UAL64"/>
      <c r="UAM64"/>
      <c r="UAN64"/>
      <c r="UAO64"/>
      <c r="UAP64"/>
      <c r="UAQ64"/>
      <c r="UAR64"/>
      <c r="UAS64"/>
      <c r="UAT64"/>
      <c r="UAU64"/>
      <c r="UAV64"/>
      <c r="UAW64"/>
      <c r="UAX64"/>
      <c r="UAY64"/>
      <c r="UAZ64"/>
      <c r="UBA64"/>
      <c r="UBB64"/>
      <c r="UBC64"/>
      <c r="UBD64"/>
      <c r="UBE64"/>
      <c r="UBF64"/>
      <c r="UBG64"/>
      <c r="UBH64"/>
      <c r="UBI64"/>
      <c r="UBJ64"/>
      <c r="UBK64"/>
      <c r="UBL64"/>
      <c r="UBM64"/>
      <c r="UBN64"/>
      <c r="UBO64"/>
      <c r="UBP64"/>
      <c r="UBQ64"/>
      <c r="UBR64"/>
      <c r="UBS64"/>
      <c r="UBT64"/>
      <c r="UBU64"/>
      <c r="UBV64"/>
      <c r="UBW64"/>
      <c r="UBX64"/>
      <c r="UBY64"/>
      <c r="UBZ64"/>
      <c r="UCA64"/>
      <c r="UCB64"/>
      <c r="UCC64"/>
      <c r="UCD64"/>
      <c r="UCE64"/>
      <c r="UCF64"/>
      <c r="UCG64"/>
      <c r="UCH64"/>
      <c r="UCI64"/>
      <c r="UCJ64"/>
      <c r="UCK64"/>
      <c r="UCL64"/>
      <c r="UCM64"/>
      <c r="UCN64"/>
      <c r="UCO64"/>
      <c r="UCP64"/>
      <c r="UCQ64"/>
      <c r="UCR64"/>
      <c r="UCS64"/>
      <c r="UCT64"/>
      <c r="UCU64"/>
      <c r="UCV64"/>
      <c r="UCW64"/>
      <c r="UCX64"/>
      <c r="UCY64"/>
      <c r="UCZ64"/>
      <c r="UDA64"/>
      <c r="UDB64"/>
      <c r="UDC64"/>
      <c r="UDD64"/>
      <c r="UDE64"/>
      <c r="UDF64"/>
      <c r="UDG64"/>
      <c r="UDH64"/>
      <c r="UDI64"/>
      <c r="UDJ64"/>
      <c r="UDK64"/>
      <c r="UDL64"/>
      <c r="UDM64"/>
      <c r="UDN64"/>
      <c r="UDO64"/>
      <c r="UDP64"/>
      <c r="UDQ64"/>
      <c r="UDR64"/>
      <c r="UDS64"/>
      <c r="UDT64"/>
      <c r="UDU64"/>
      <c r="UDV64"/>
      <c r="UDW64"/>
      <c r="UDX64"/>
      <c r="UDY64"/>
      <c r="UDZ64"/>
      <c r="UEA64"/>
      <c r="UEB64"/>
      <c r="UEC64"/>
      <c r="UED64"/>
      <c r="UEE64"/>
      <c r="UEF64"/>
      <c r="UEG64"/>
      <c r="UEH64"/>
      <c r="UEI64"/>
      <c r="UEJ64"/>
      <c r="UEK64"/>
      <c r="UEL64"/>
      <c r="UEM64"/>
      <c r="UEN64"/>
      <c r="UEO64"/>
      <c r="UEP64"/>
      <c r="UEQ64"/>
      <c r="UER64"/>
      <c r="UES64"/>
      <c r="UET64"/>
      <c r="UEU64"/>
      <c r="UEV64"/>
      <c r="UEW64"/>
      <c r="UEX64"/>
      <c r="UEY64"/>
      <c r="UEZ64"/>
      <c r="UFA64"/>
      <c r="UFB64"/>
      <c r="UFC64"/>
      <c r="UFD64"/>
      <c r="UFE64"/>
      <c r="UFF64"/>
      <c r="UFG64"/>
      <c r="UFH64"/>
      <c r="UFI64"/>
      <c r="UFJ64"/>
      <c r="UFK64"/>
      <c r="UFL64"/>
      <c r="UFM64"/>
      <c r="UFN64"/>
      <c r="UFO64"/>
      <c r="UFP64"/>
      <c r="UFQ64"/>
      <c r="UFR64"/>
      <c r="UFS64"/>
      <c r="UFT64"/>
      <c r="UFU64"/>
      <c r="UFV64"/>
      <c r="UFW64"/>
      <c r="UFX64"/>
      <c r="UFY64"/>
      <c r="UFZ64"/>
      <c r="UGA64"/>
      <c r="UGB64"/>
      <c r="UGC64"/>
      <c r="UGD64"/>
      <c r="UGE64"/>
      <c r="UGF64"/>
      <c r="UGG64"/>
      <c r="UGH64"/>
      <c r="UGI64"/>
      <c r="UGJ64"/>
      <c r="UGK64"/>
      <c r="UGL64"/>
      <c r="UGM64"/>
      <c r="UGN64"/>
      <c r="UGO64"/>
      <c r="UGP64"/>
      <c r="UGQ64"/>
      <c r="UGR64"/>
      <c r="UGS64"/>
      <c r="UGT64"/>
      <c r="UGU64"/>
      <c r="UGV64"/>
      <c r="UGW64"/>
      <c r="UGX64"/>
      <c r="UGY64"/>
      <c r="UGZ64"/>
      <c r="UHA64"/>
      <c r="UHB64"/>
      <c r="UHC64"/>
      <c r="UHD64"/>
      <c r="UHE64"/>
      <c r="UHF64"/>
      <c r="UHG64"/>
      <c r="UHH64"/>
      <c r="UHI64"/>
      <c r="UHJ64"/>
      <c r="UHK64"/>
      <c r="UHL64"/>
      <c r="UHM64"/>
      <c r="UHN64"/>
      <c r="UHO64"/>
      <c r="UHP64"/>
      <c r="UHQ64"/>
      <c r="UHR64"/>
      <c r="UHS64"/>
      <c r="UHT64"/>
      <c r="UHU64"/>
      <c r="UHV64"/>
      <c r="UHW64"/>
      <c r="UHX64"/>
      <c r="UHY64"/>
      <c r="UHZ64"/>
      <c r="UIA64"/>
      <c r="UIB64"/>
      <c r="UIC64"/>
      <c r="UID64"/>
      <c r="UIE64"/>
      <c r="UIF64"/>
      <c r="UIG64"/>
      <c r="UIH64"/>
      <c r="UII64"/>
      <c r="UIJ64"/>
      <c r="UIK64"/>
      <c r="UIL64"/>
      <c r="UIM64"/>
      <c r="UIN64"/>
      <c r="UIO64"/>
      <c r="UIP64"/>
      <c r="UIQ64"/>
      <c r="UIR64"/>
      <c r="UIS64"/>
      <c r="UIT64"/>
      <c r="UIU64"/>
      <c r="UIV64"/>
      <c r="UIW64"/>
      <c r="UIX64"/>
      <c r="UIY64"/>
      <c r="UIZ64"/>
      <c r="UJA64"/>
      <c r="UJB64"/>
      <c r="UJC64"/>
      <c r="UJD64"/>
      <c r="UJE64"/>
      <c r="UJF64"/>
      <c r="UJG64"/>
      <c r="UJH64"/>
      <c r="UJI64"/>
      <c r="UJJ64"/>
      <c r="UJK64"/>
      <c r="UJL64"/>
      <c r="UJM64"/>
      <c r="UJN64"/>
      <c r="UJO64"/>
      <c r="UJP64"/>
      <c r="UJQ64"/>
      <c r="UJR64"/>
      <c r="UJS64"/>
      <c r="UJT64"/>
      <c r="UJU64"/>
      <c r="UJV64"/>
      <c r="UJW64"/>
      <c r="UJX64"/>
      <c r="UJY64"/>
      <c r="UJZ64"/>
      <c r="UKA64"/>
      <c r="UKB64"/>
      <c r="UKC64"/>
      <c r="UKD64"/>
      <c r="UKE64"/>
      <c r="UKF64"/>
      <c r="UKG64"/>
      <c r="UKH64"/>
      <c r="UKI64"/>
      <c r="UKJ64"/>
      <c r="UKK64"/>
      <c r="UKL64"/>
      <c r="UKM64"/>
      <c r="UKN64"/>
      <c r="UKO64"/>
      <c r="UKP64"/>
      <c r="UKQ64"/>
      <c r="UKR64"/>
      <c r="UKS64"/>
      <c r="UKT64"/>
      <c r="UKU64"/>
      <c r="UKV64"/>
      <c r="UKW64"/>
      <c r="UKX64"/>
      <c r="UKY64"/>
      <c r="UKZ64"/>
      <c r="ULA64"/>
      <c r="ULB64"/>
      <c r="ULC64"/>
      <c r="ULD64"/>
      <c r="ULE64"/>
      <c r="ULF64"/>
      <c r="ULG64"/>
      <c r="ULH64"/>
      <c r="ULI64"/>
      <c r="ULJ64"/>
      <c r="ULK64"/>
      <c r="ULL64"/>
      <c r="ULM64"/>
      <c r="ULN64"/>
      <c r="ULO64"/>
      <c r="ULP64"/>
      <c r="ULQ64"/>
      <c r="ULR64"/>
      <c r="ULS64"/>
      <c r="ULT64"/>
      <c r="ULU64"/>
      <c r="ULV64"/>
      <c r="ULW64"/>
      <c r="ULX64"/>
      <c r="ULY64"/>
      <c r="ULZ64"/>
      <c r="UMA64"/>
      <c r="UMB64"/>
      <c r="UMC64"/>
      <c r="UMD64"/>
      <c r="UME64"/>
      <c r="UMF64"/>
      <c r="UMG64"/>
      <c r="UMH64"/>
      <c r="UMI64"/>
      <c r="UMJ64"/>
      <c r="UMK64"/>
      <c r="UML64"/>
      <c r="UMM64"/>
      <c r="UMN64"/>
      <c r="UMO64"/>
      <c r="UMP64"/>
      <c r="UMQ64"/>
      <c r="UMR64"/>
      <c r="UMS64"/>
      <c r="UMT64"/>
      <c r="UMU64"/>
      <c r="UMV64"/>
      <c r="UMW64"/>
      <c r="UMX64"/>
      <c r="UMY64"/>
      <c r="UMZ64"/>
      <c r="UNA64"/>
      <c r="UNB64"/>
      <c r="UNC64"/>
      <c r="UND64"/>
      <c r="UNE64"/>
      <c r="UNF64"/>
      <c r="UNG64"/>
      <c r="UNH64"/>
      <c r="UNI64"/>
      <c r="UNJ64"/>
      <c r="UNK64"/>
      <c r="UNL64"/>
      <c r="UNM64"/>
      <c r="UNN64"/>
      <c r="UNO64"/>
      <c r="UNP64"/>
      <c r="UNQ64"/>
      <c r="UNR64"/>
      <c r="UNS64"/>
      <c r="UNT64"/>
      <c r="UNU64"/>
      <c r="UNV64"/>
      <c r="UNW64"/>
      <c r="UNX64"/>
      <c r="UNY64"/>
      <c r="UNZ64"/>
      <c r="UOA64"/>
      <c r="UOB64"/>
      <c r="UOC64"/>
      <c r="UOD64"/>
      <c r="UOE64"/>
      <c r="UOF64"/>
      <c r="UOG64"/>
      <c r="UOH64"/>
      <c r="UOI64"/>
      <c r="UOJ64"/>
      <c r="UOK64"/>
      <c r="UOL64"/>
      <c r="UOM64"/>
      <c r="UON64"/>
      <c r="UOO64"/>
      <c r="UOP64"/>
      <c r="UOQ64"/>
      <c r="UOR64"/>
      <c r="UOS64"/>
      <c r="UOT64"/>
      <c r="UOU64"/>
      <c r="UOV64"/>
      <c r="UOW64"/>
      <c r="UOX64"/>
      <c r="UOY64"/>
      <c r="UOZ64"/>
      <c r="UPA64"/>
      <c r="UPB64"/>
      <c r="UPC64"/>
      <c r="UPD64"/>
      <c r="UPE64"/>
      <c r="UPF64"/>
      <c r="UPG64"/>
      <c r="UPH64"/>
      <c r="UPI64"/>
      <c r="UPJ64"/>
      <c r="UPK64"/>
      <c r="UPL64"/>
      <c r="UPM64"/>
      <c r="UPN64"/>
      <c r="UPO64"/>
      <c r="UPP64"/>
      <c r="UPQ64"/>
      <c r="UPR64"/>
      <c r="UPS64"/>
      <c r="UPT64"/>
      <c r="UPU64"/>
      <c r="UPV64"/>
      <c r="UPW64"/>
      <c r="UPX64"/>
      <c r="UPY64"/>
      <c r="UPZ64"/>
      <c r="UQA64"/>
      <c r="UQB64"/>
      <c r="UQC64"/>
      <c r="UQD64"/>
      <c r="UQE64"/>
      <c r="UQF64"/>
      <c r="UQG64"/>
      <c r="UQH64"/>
      <c r="UQI64"/>
      <c r="UQJ64"/>
      <c r="UQK64"/>
      <c r="UQL64"/>
      <c r="UQM64"/>
      <c r="UQN64"/>
      <c r="UQO64"/>
      <c r="UQP64"/>
      <c r="UQQ64"/>
      <c r="UQR64"/>
      <c r="UQS64"/>
      <c r="UQT64"/>
      <c r="UQU64"/>
      <c r="UQV64"/>
      <c r="UQW64"/>
      <c r="UQX64"/>
      <c r="UQY64"/>
      <c r="UQZ64"/>
      <c r="URA64"/>
      <c r="URB64"/>
      <c r="URC64"/>
      <c r="URD64"/>
      <c r="URE64"/>
      <c r="URF64"/>
      <c r="URG64"/>
      <c r="URH64"/>
      <c r="URI64"/>
      <c r="URJ64"/>
      <c r="URK64"/>
      <c r="URL64"/>
      <c r="URM64"/>
      <c r="URN64"/>
      <c r="URO64"/>
      <c r="URP64"/>
      <c r="URQ64"/>
      <c r="URR64"/>
      <c r="URS64"/>
      <c r="URT64"/>
      <c r="URU64"/>
      <c r="URV64"/>
      <c r="URW64"/>
      <c r="URX64"/>
      <c r="URY64"/>
      <c r="URZ64"/>
      <c r="USA64"/>
      <c r="USB64"/>
      <c r="USC64"/>
      <c r="USD64"/>
      <c r="USE64"/>
      <c r="USF64"/>
      <c r="USG64"/>
      <c r="USH64"/>
      <c r="USI64"/>
      <c r="USJ64"/>
      <c r="USK64"/>
      <c r="USL64"/>
      <c r="USM64"/>
      <c r="USN64"/>
      <c r="USO64"/>
      <c r="USP64"/>
      <c r="USQ64"/>
      <c r="USR64"/>
      <c r="USS64"/>
      <c r="UST64"/>
      <c r="USU64"/>
      <c r="USV64"/>
      <c r="USW64"/>
      <c r="USX64"/>
      <c r="USY64"/>
      <c r="USZ64"/>
      <c r="UTA64"/>
      <c r="UTB64"/>
      <c r="UTC64"/>
      <c r="UTD64"/>
      <c r="UTE64"/>
      <c r="UTF64"/>
      <c r="UTG64"/>
      <c r="UTH64"/>
      <c r="UTI64"/>
      <c r="UTJ64"/>
      <c r="UTK64"/>
      <c r="UTL64"/>
      <c r="UTM64"/>
      <c r="UTN64"/>
      <c r="UTO64"/>
      <c r="UTP64"/>
      <c r="UTQ64"/>
      <c r="UTR64"/>
      <c r="UTS64"/>
      <c r="UTT64"/>
      <c r="UTU64"/>
      <c r="UTV64"/>
      <c r="UTW64"/>
      <c r="UTX64"/>
      <c r="UTY64"/>
      <c r="UTZ64"/>
      <c r="UUA64"/>
      <c r="UUB64"/>
      <c r="UUC64"/>
      <c r="UUD64"/>
      <c r="UUE64"/>
      <c r="UUF64"/>
      <c r="UUG64"/>
      <c r="UUH64"/>
      <c r="UUI64"/>
      <c r="UUJ64"/>
      <c r="UUK64"/>
      <c r="UUL64"/>
      <c r="UUM64"/>
      <c r="UUN64"/>
      <c r="UUO64"/>
      <c r="UUP64"/>
      <c r="UUQ64"/>
      <c r="UUR64"/>
      <c r="UUS64"/>
      <c r="UUT64"/>
      <c r="UUU64"/>
      <c r="UUV64"/>
      <c r="UUW64"/>
      <c r="UUX64"/>
      <c r="UUY64"/>
      <c r="UUZ64"/>
      <c r="UVA64"/>
      <c r="UVB64"/>
      <c r="UVC64"/>
      <c r="UVD64"/>
      <c r="UVE64"/>
      <c r="UVF64"/>
      <c r="UVG64"/>
      <c r="UVH64"/>
      <c r="UVI64"/>
      <c r="UVJ64"/>
      <c r="UVK64"/>
      <c r="UVL64"/>
      <c r="UVM64"/>
      <c r="UVN64"/>
      <c r="UVO64"/>
      <c r="UVP64"/>
      <c r="UVQ64"/>
      <c r="UVR64"/>
      <c r="UVS64"/>
      <c r="UVT64"/>
      <c r="UVU64"/>
      <c r="UVV64"/>
      <c r="UVW64"/>
      <c r="UVX64"/>
      <c r="UVY64"/>
      <c r="UVZ64"/>
      <c r="UWA64"/>
      <c r="UWB64"/>
      <c r="UWC64"/>
      <c r="UWD64"/>
      <c r="UWE64"/>
      <c r="UWF64"/>
      <c r="UWG64"/>
      <c r="UWH64"/>
      <c r="UWI64"/>
      <c r="UWJ64"/>
      <c r="UWK64"/>
      <c r="UWL64"/>
      <c r="UWM64"/>
      <c r="UWN64"/>
      <c r="UWO64"/>
      <c r="UWP64"/>
      <c r="UWQ64"/>
      <c r="UWR64"/>
      <c r="UWS64"/>
      <c r="UWT64"/>
      <c r="UWU64"/>
      <c r="UWV64"/>
      <c r="UWW64"/>
      <c r="UWX64"/>
      <c r="UWY64"/>
      <c r="UWZ64"/>
      <c r="UXA64"/>
      <c r="UXB64"/>
      <c r="UXC64"/>
      <c r="UXD64"/>
      <c r="UXE64"/>
      <c r="UXF64"/>
      <c r="UXG64"/>
      <c r="UXH64"/>
      <c r="UXI64"/>
      <c r="UXJ64"/>
      <c r="UXK64"/>
      <c r="UXL64"/>
      <c r="UXM64"/>
      <c r="UXN64"/>
      <c r="UXO64"/>
      <c r="UXP64"/>
      <c r="UXQ64"/>
      <c r="UXR64"/>
      <c r="UXS64"/>
      <c r="UXT64"/>
      <c r="UXU64"/>
      <c r="UXV64"/>
      <c r="UXW64"/>
      <c r="UXX64"/>
      <c r="UXY64"/>
      <c r="UXZ64"/>
      <c r="UYA64"/>
      <c r="UYB64"/>
      <c r="UYC64"/>
      <c r="UYD64"/>
      <c r="UYE64"/>
      <c r="UYF64"/>
      <c r="UYG64"/>
      <c r="UYH64"/>
      <c r="UYI64"/>
      <c r="UYJ64"/>
      <c r="UYK64"/>
      <c r="UYL64"/>
      <c r="UYM64"/>
      <c r="UYN64"/>
      <c r="UYO64"/>
      <c r="UYP64"/>
      <c r="UYQ64"/>
      <c r="UYR64"/>
      <c r="UYS64"/>
      <c r="UYT64"/>
      <c r="UYU64"/>
      <c r="UYV64"/>
      <c r="UYW64"/>
      <c r="UYX64"/>
      <c r="UYY64"/>
      <c r="UYZ64"/>
      <c r="UZA64"/>
      <c r="UZB64"/>
      <c r="UZC64"/>
      <c r="UZD64"/>
      <c r="UZE64"/>
      <c r="UZF64"/>
      <c r="UZG64"/>
      <c r="UZH64"/>
      <c r="UZI64"/>
      <c r="UZJ64"/>
      <c r="UZK64"/>
      <c r="UZL64"/>
      <c r="UZM64"/>
      <c r="UZN64"/>
      <c r="UZO64"/>
      <c r="UZP64"/>
      <c r="UZQ64"/>
      <c r="UZR64"/>
      <c r="UZS64"/>
      <c r="UZT64"/>
      <c r="UZU64"/>
      <c r="UZV64"/>
      <c r="UZW64"/>
      <c r="UZX64"/>
      <c r="UZY64"/>
      <c r="UZZ64"/>
      <c r="VAA64"/>
      <c r="VAB64"/>
      <c r="VAC64"/>
      <c r="VAD64"/>
      <c r="VAE64"/>
      <c r="VAF64"/>
      <c r="VAG64"/>
      <c r="VAH64"/>
      <c r="VAI64"/>
      <c r="VAJ64"/>
      <c r="VAK64"/>
      <c r="VAL64"/>
      <c r="VAM64"/>
      <c r="VAN64"/>
      <c r="VAO64"/>
      <c r="VAP64"/>
      <c r="VAQ64"/>
      <c r="VAR64"/>
      <c r="VAS64"/>
      <c r="VAT64"/>
      <c r="VAU64"/>
      <c r="VAV64"/>
      <c r="VAW64"/>
      <c r="VAX64"/>
      <c r="VAY64"/>
      <c r="VAZ64"/>
      <c r="VBA64"/>
      <c r="VBB64"/>
      <c r="VBC64"/>
      <c r="VBD64"/>
      <c r="VBE64"/>
      <c r="VBF64"/>
      <c r="VBG64"/>
      <c r="VBH64"/>
      <c r="VBI64"/>
      <c r="VBJ64"/>
      <c r="VBK64"/>
      <c r="VBL64"/>
      <c r="VBM64"/>
      <c r="VBN64"/>
      <c r="VBO64"/>
      <c r="VBP64"/>
      <c r="VBQ64"/>
      <c r="VBR64"/>
      <c r="VBS64"/>
      <c r="VBT64"/>
      <c r="VBU64"/>
      <c r="VBV64"/>
      <c r="VBW64"/>
      <c r="VBX64"/>
      <c r="VBY64"/>
      <c r="VBZ64"/>
      <c r="VCA64"/>
      <c r="VCB64"/>
      <c r="VCC64"/>
      <c r="VCD64"/>
      <c r="VCE64"/>
      <c r="VCF64"/>
      <c r="VCG64"/>
      <c r="VCH64"/>
      <c r="VCI64"/>
      <c r="VCJ64"/>
      <c r="VCK64"/>
      <c r="VCL64"/>
      <c r="VCM64"/>
      <c r="VCN64"/>
      <c r="VCO64"/>
      <c r="VCP64"/>
      <c r="VCQ64"/>
      <c r="VCR64"/>
      <c r="VCS64"/>
      <c r="VCT64"/>
      <c r="VCU64"/>
      <c r="VCV64"/>
      <c r="VCW64"/>
      <c r="VCX64"/>
      <c r="VCY64"/>
      <c r="VCZ64"/>
      <c r="VDA64"/>
      <c r="VDB64"/>
      <c r="VDC64"/>
      <c r="VDD64"/>
      <c r="VDE64"/>
      <c r="VDF64"/>
      <c r="VDG64"/>
      <c r="VDH64"/>
      <c r="VDI64"/>
      <c r="VDJ64"/>
      <c r="VDK64"/>
      <c r="VDL64"/>
      <c r="VDM64"/>
      <c r="VDN64"/>
      <c r="VDO64"/>
      <c r="VDP64"/>
      <c r="VDQ64"/>
      <c r="VDR64"/>
      <c r="VDS64"/>
      <c r="VDT64"/>
      <c r="VDU64"/>
      <c r="VDV64"/>
      <c r="VDW64"/>
      <c r="VDX64"/>
      <c r="VDY64"/>
      <c r="VDZ64"/>
      <c r="VEA64"/>
      <c r="VEB64"/>
      <c r="VEC64"/>
      <c r="VED64"/>
      <c r="VEE64"/>
      <c r="VEF64"/>
      <c r="VEG64"/>
      <c r="VEH64"/>
      <c r="VEI64"/>
      <c r="VEJ64"/>
      <c r="VEK64"/>
      <c r="VEL64"/>
      <c r="VEM64"/>
      <c r="VEN64"/>
      <c r="VEO64"/>
      <c r="VEP64"/>
      <c r="VEQ64"/>
      <c r="VER64"/>
      <c r="VES64"/>
      <c r="VET64"/>
      <c r="VEU64"/>
      <c r="VEV64"/>
      <c r="VEW64"/>
      <c r="VEX64"/>
      <c r="VEY64"/>
      <c r="VEZ64"/>
      <c r="VFA64"/>
      <c r="VFB64"/>
      <c r="VFC64"/>
      <c r="VFD64"/>
      <c r="VFE64"/>
      <c r="VFF64"/>
      <c r="VFG64"/>
      <c r="VFH64"/>
      <c r="VFI64"/>
      <c r="VFJ64"/>
      <c r="VFK64"/>
      <c r="VFL64"/>
      <c r="VFM64"/>
      <c r="VFN64"/>
      <c r="VFO64"/>
      <c r="VFP64"/>
      <c r="VFQ64"/>
      <c r="VFR64"/>
      <c r="VFS64"/>
      <c r="VFT64"/>
      <c r="VFU64"/>
      <c r="VFV64"/>
      <c r="VFW64"/>
      <c r="VFX64"/>
      <c r="VFY64"/>
      <c r="VFZ64"/>
      <c r="VGA64"/>
      <c r="VGB64"/>
      <c r="VGC64"/>
      <c r="VGD64"/>
      <c r="VGE64"/>
      <c r="VGF64"/>
      <c r="VGG64"/>
      <c r="VGH64"/>
      <c r="VGI64"/>
      <c r="VGJ64"/>
      <c r="VGK64"/>
      <c r="VGL64"/>
      <c r="VGM64"/>
      <c r="VGN64"/>
      <c r="VGO64"/>
      <c r="VGP64"/>
      <c r="VGQ64"/>
      <c r="VGR64"/>
      <c r="VGS64"/>
      <c r="VGT64"/>
      <c r="VGU64"/>
      <c r="VGV64"/>
      <c r="VGW64"/>
      <c r="VGX64"/>
      <c r="VGY64"/>
      <c r="VGZ64"/>
      <c r="VHA64"/>
      <c r="VHB64"/>
      <c r="VHC64"/>
      <c r="VHD64"/>
      <c r="VHE64"/>
      <c r="VHF64"/>
      <c r="VHG64"/>
      <c r="VHH64"/>
      <c r="VHI64"/>
      <c r="VHJ64"/>
      <c r="VHK64"/>
      <c r="VHL64"/>
      <c r="VHM64"/>
      <c r="VHN64"/>
      <c r="VHO64"/>
      <c r="VHP64"/>
      <c r="VHQ64"/>
      <c r="VHR64"/>
      <c r="VHS64"/>
      <c r="VHT64"/>
      <c r="VHU64"/>
      <c r="VHV64"/>
      <c r="VHW64"/>
      <c r="VHX64"/>
      <c r="VHY64"/>
      <c r="VHZ64"/>
      <c r="VIA64"/>
      <c r="VIB64"/>
      <c r="VIC64"/>
      <c r="VID64"/>
      <c r="VIE64"/>
      <c r="VIF64"/>
      <c r="VIG64"/>
      <c r="VIH64"/>
      <c r="VII64"/>
      <c r="VIJ64"/>
      <c r="VIK64"/>
      <c r="VIL64"/>
      <c r="VIM64"/>
      <c r="VIN64"/>
      <c r="VIO64"/>
      <c r="VIP64"/>
      <c r="VIQ64"/>
      <c r="VIR64"/>
      <c r="VIS64"/>
      <c r="VIT64"/>
      <c r="VIU64"/>
      <c r="VIV64"/>
      <c r="VIW64"/>
      <c r="VIX64"/>
      <c r="VIY64"/>
      <c r="VIZ64"/>
      <c r="VJA64"/>
      <c r="VJB64"/>
      <c r="VJC64"/>
      <c r="VJD64"/>
      <c r="VJE64"/>
      <c r="VJF64"/>
      <c r="VJG64"/>
      <c r="VJH64"/>
      <c r="VJI64"/>
      <c r="VJJ64"/>
      <c r="VJK64"/>
      <c r="VJL64"/>
      <c r="VJM64"/>
      <c r="VJN64"/>
      <c r="VJO64"/>
      <c r="VJP64"/>
      <c r="VJQ64"/>
      <c r="VJR64"/>
      <c r="VJS64"/>
      <c r="VJT64"/>
      <c r="VJU64"/>
      <c r="VJV64"/>
      <c r="VJW64"/>
      <c r="VJX64"/>
      <c r="VJY64"/>
      <c r="VJZ64"/>
      <c r="VKA64"/>
      <c r="VKB64"/>
      <c r="VKC64"/>
      <c r="VKD64"/>
      <c r="VKE64"/>
      <c r="VKF64"/>
      <c r="VKG64"/>
      <c r="VKH64"/>
      <c r="VKI64"/>
      <c r="VKJ64"/>
      <c r="VKK64"/>
      <c r="VKL64"/>
      <c r="VKM64"/>
      <c r="VKN64"/>
      <c r="VKO64"/>
      <c r="VKP64"/>
      <c r="VKQ64"/>
      <c r="VKR64"/>
      <c r="VKS64"/>
      <c r="VKT64"/>
      <c r="VKU64"/>
      <c r="VKV64"/>
      <c r="VKW64"/>
      <c r="VKX64"/>
      <c r="VKY64"/>
      <c r="VKZ64"/>
      <c r="VLA64"/>
      <c r="VLB64"/>
      <c r="VLC64"/>
      <c r="VLD64"/>
      <c r="VLE64"/>
      <c r="VLF64"/>
      <c r="VLG64"/>
      <c r="VLH64"/>
      <c r="VLI64"/>
      <c r="VLJ64"/>
      <c r="VLK64"/>
      <c r="VLL64"/>
      <c r="VLM64"/>
      <c r="VLN64"/>
      <c r="VLO64"/>
      <c r="VLP64"/>
      <c r="VLQ64"/>
      <c r="VLR64"/>
      <c r="VLS64"/>
      <c r="VLT64"/>
      <c r="VLU64"/>
      <c r="VLV64"/>
      <c r="VLW64"/>
      <c r="VLX64"/>
      <c r="VLY64"/>
      <c r="VLZ64"/>
      <c r="VMA64"/>
      <c r="VMB64"/>
      <c r="VMC64"/>
      <c r="VMD64"/>
      <c r="VME64"/>
      <c r="VMF64"/>
      <c r="VMG64"/>
      <c r="VMH64"/>
      <c r="VMI64"/>
      <c r="VMJ64"/>
      <c r="VMK64"/>
      <c r="VML64"/>
      <c r="VMM64"/>
      <c r="VMN64"/>
      <c r="VMO64"/>
      <c r="VMP64"/>
      <c r="VMQ64"/>
      <c r="VMR64"/>
      <c r="VMS64"/>
      <c r="VMT64"/>
      <c r="VMU64"/>
      <c r="VMV64"/>
      <c r="VMW64"/>
      <c r="VMX64"/>
      <c r="VMY64"/>
      <c r="VMZ64"/>
      <c r="VNA64"/>
      <c r="VNB64"/>
      <c r="VNC64"/>
      <c r="VND64"/>
      <c r="VNE64"/>
      <c r="VNF64"/>
      <c r="VNG64"/>
      <c r="VNH64"/>
      <c r="VNI64"/>
      <c r="VNJ64"/>
      <c r="VNK64"/>
      <c r="VNL64"/>
      <c r="VNM64"/>
      <c r="VNN64"/>
      <c r="VNO64"/>
      <c r="VNP64"/>
      <c r="VNQ64"/>
      <c r="VNR64"/>
      <c r="VNS64"/>
      <c r="VNT64"/>
      <c r="VNU64"/>
      <c r="VNV64"/>
      <c r="VNW64"/>
      <c r="VNX64"/>
      <c r="VNY64"/>
      <c r="VNZ64"/>
      <c r="VOA64"/>
      <c r="VOB64"/>
      <c r="VOC64"/>
      <c r="VOD64"/>
      <c r="VOE64"/>
      <c r="VOF64"/>
      <c r="VOG64"/>
      <c r="VOH64"/>
      <c r="VOI64"/>
      <c r="VOJ64"/>
      <c r="VOK64"/>
      <c r="VOL64"/>
      <c r="VOM64"/>
      <c r="VON64"/>
      <c r="VOO64"/>
      <c r="VOP64"/>
      <c r="VOQ64"/>
      <c r="VOR64"/>
      <c r="VOS64"/>
      <c r="VOT64"/>
      <c r="VOU64"/>
      <c r="VOV64"/>
      <c r="VOW64"/>
      <c r="VOX64"/>
      <c r="VOY64"/>
      <c r="VOZ64"/>
      <c r="VPA64"/>
      <c r="VPB64"/>
      <c r="VPC64"/>
      <c r="VPD64"/>
      <c r="VPE64"/>
      <c r="VPF64"/>
      <c r="VPG64"/>
      <c r="VPH64"/>
      <c r="VPI64"/>
      <c r="VPJ64"/>
      <c r="VPK64"/>
      <c r="VPL64"/>
      <c r="VPM64"/>
      <c r="VPN64"/>
      <c r="VPO64"/>
      <c r="VPP64"/>
      <c r="VPQ64"/>
      <c r="VPR64"/>
      <c r="VPS64"/>
      <c r="VPT64"/>
      <c r="VPU64"/>
      <c r="VPV64"/>
      <c r="VPW64"/>
      <c r="VPX64"/>
      <c r="VPY64"/>
      <c r="VPZ64"/>
      <c r="VQA64"/>
      <c r="VQB64"/>
      <c r="VQC64"/>
      <c r="VQD64"/>
      <c r="VQE64"/>
      <c r="VQF64"/>
      <c r="VQG64"/>
      <c r="VQH64"/>
      <c r="VQI64"/>
      <c r="VQJ64"/>
      <c r="VQK64"/>
      <c r="VQL64"/>
      <c r="VQM64"/>
      <c r="VQN64"/>
      <c r="VQO64"/>
      <c r="VQP64"/>
      <c r="VQQ64"/>
      <c r="VQR64"/>
      <c r="VQS64"/>
      <c r="VQT64"/>
      <c r="VQU64"/>
      <c r="VQV64"/>
      <c r="VQW64"/>
      <c r="VQX64"/>
      <c r="VQY64"/>
      <c r="VQZ64"/>
      <c r="VRA64"/>
      <c r="VRB64"/>
      <c r="VRC64"/>
      <c r="VRD64"/>
      <c r="VRE64"/>
      <c r="VRF64"/>
      <c r="VRG64"/>
      <c r="VRH64"/>
      <c r="VRI64"/>
      <c r="VRJ64"/>
      <c r="VRK64"/>
      <c r="VRL64"/>
      <c r="VRM64"/>
      <c r="VRN64"/>
      <c r="VRO64"/>
      <c r="VRP64"/>
      <c r="VRQ64"/>
      <c r="VRR64"/>
      <c r="VRS64"/>
      <c r="VRT64"/>
      <c r="VRU64"/>
      <c r="VRV64"/>
      <c r="VRW64"/>
      <c r="VRX64"/>
      <c r="VRY64"/>
      <c r="VRZ64"/>
      <c r="VSA64"/>
      <c r="VSB64"/>
      <c r="VSC64"/>
      <c r="VSD64"/>
      <c r="VSE64"/>
      <c r="VSF64"/>
      <c r="VSG64"/>
      <c r="VSH64"/>
      <c r="VSI64"/>
      <c r="VSJ64"/>
      <c r="VSK64"/>
      <c r="VSL64"/>
      <c r="VSM64"/>
      <c r="VSN64"/>
      <c r="VSO64"/>
      <c r="VSP64"/>
      <c r="VSQ64"/>
      <c r="VSR64"/>
      <c r="VSS64"/>
      <c r="VST64"/>
      <c r="VSU64"/>
      <c r="VSV64"/>
      <c r="VSW64"/>
      <c r="VSX64"/>
      <c r="VSY64"/>
      <c r="VSZ64"/>
      <c r="VTA64"/>
      <c r="VTB64"/>
      <c r="VTC64"/>
      <c r="VTD64"/>
      <c r="VTE64"/>
      <c r="VTF64"/>
      <c r="VTG64"/>
      <c r="VTH64"/>
      <c r="VTI64"/>
      <c r="VTJ64"/>
      <c r="VTK64"/>
      <c r="VTL64"/>
      <c r="VTM64"/>
      <c r="VTN64"/>
      <c r="VTO64"/>
      <c r="VTP64"/>
      <c r="VTQ64"/>
      <c r="VTR64"/>
      <c r="VTS64"/>
      <c r="VTT64"/>
      <c r="VTU64"/>
      <c r="VTV64"/>
      <c r="VTW64"/>
      <c r="VTX64"/>
      <c r="VTY64"/>
      <c r="VTZ64"/>
      <c r="VUA64"/>
      <c r="VUB64"/>
      <c r="VUC64"/>
      <c r="VUD64"/>
      <c r="VUE64"/>
      <c r="VUF64"/>
      <c r="VUG64"/>
      <c r="VUH64"/>
      <c r="VUI64"/>
      <c r="VUJ64"/>
      <c r="VUK64"/>
      <c r="VUL64"/>
      <c r="VUM64"/>
      <c r="VUN64"/>
      <c r="VUO64"/>
      <c r="VUP64"/>
      <c r="VUQ64"/>
      <c r="VUR64"/>
      <c r="VUS64"/>
      <c r="VUT64"/>
      <c r="VUU64"/>
      <c r="VUV64"/>
      <c r="VUW64"/>
      <c r="VUX64"/>
      <c r="VUY64"/>
      <c r="VUZ64"/>
      <c r="VVA64"/>
      <c r="VVB64"/>
      <c r="VVC64"/>
      <c r="VVD64"/>
      <c r="VVE64"/>
      <c r="VVF64"/>
      <c r="VVG64"/>
      <c r="VVH64"/>
      <c r="VVI64"/>
      <c r="VVJ64"/>
      <c r="VVK64"/>
      <c r="VVL64"/>
      <c r="VVM64"/>
      <c r="VVN64"/>
      <c r="VVO64"/>
      <c r="VVP64"/>
      <c r="VVQ64"/>
      <c r="VVR64"/>
      <c r="VVS64"/>
      <c r="VVT64"/>
      <c r="VVU64"/>
      <c r="VVV64"/>
      <c r="VVW64"/>
      <c r="VVX64"/>
      <c r="VVY64"/>
      <c r="VVZ64"/>
      <c r="VWA64"/>
      <c r="VWB64"/>
      <c r="VWC64"/>
      <c r="VWD64"/>
      <c r="VWE64"/>
      <c r="VWF64"/>
      <c r="VWG64"/>
      <c r="VWH64"/>
      <c r="VWI64"/>
      <c r="VWJ64"/>
      <c r="VWK64"/>
      <c r="VWL64"/>
      <c r="VWM64"/>
      <c r="VWN64"/>
      <c r="VWO64"/>
      <c r="VWP64"/>
      <c r="VWQ64"/>
      <c r="VWR64"/>
      <c r="VWS64"/>
      <c r="VWT64"/>
      <c r="VWU64"/>
      <c r="VWV64"/>
      <c r="VWW64"/>
      <c r="VWX64"/>
      <c r="VWY64"/>
      <c r="VWZ64"/>
      <c r="VXA64"/>
      <c r="VXB64"/>
      <c r="VXC64"/>
      <c r="VXD64"/>
      <c r="VXE64"/>
      <c r="VXF64"/>
      <c r="VXG64"/>
      <c r="VXH64"/>
      <c r="VXI64"/>
      <c r="VXJ64"/>
      <c r="VXK64"/>
      <c r="VXL64"/>
      <c r="VXM64"/>
      <c r="VXN64"/>
      <c r="VXO64"/>
      <c r="VXP64"/>
      <c r="VXQ64"/>
      <c r="VXR64"/>
      <c r="VXS64"/>
      <c r="VXT64"/>
      <c r="VXU64"/>
      <c r="VXV64"/>
      <c r="VXW64"/>
      <c r="VXX64"/>
      <c r="VXY64"/>
      <c r="VXZ64"/>
      <c r="VYA64"/>
      <c r="VYB64"/>
      <c r="VYC64"/>
      <c r="VYD64"/>
      <c r="VYE64"/>
      <c r="VYF64"/>
      <c r="VYG64"/>
      <c r="VYH64"/>
      <c r="VYI64"/>
      <c r="VYJ64"/>
      <c r="VYK64"/>
      <c r="VYL64"/>
      <c r="VYM64"/>
      <c r="VYN64"/>
      <c r="VYO64"/>
      <c r="VYP64"/>
      <c r="VYQ64"/>
      <c r="VYR64"/>
      <c r="VYS64"/>
      <c r="VYT64"/>
      <c r="VYU64"/>
      <c r="VYV64"/>
      <c r="VYW64"/>
      <c r="VYX64"/>
      <c r="VYY64"/>
      <c r="VYZ64"/>
      <c r="VZA64"/>
      <c r="VZB64"/>
      <c r="VZC64"/>
      <c r="VZD64"/>
      <c r="VZE64"/>
      <c r="VZF64"/>
      <c r="VZG64"/>
      <c r="VZH64"/>
      <c r="VZI64"/>
      <c r="VZJ64"/>
      <c r="VZK64"/>
      <c r="VZL64"/>
      <c r="VZM64"/>
      <c r="VZN64"/>
      <c r="VZO64"/>
      <c r="VZP64"/>
      <c r="VZQ64"/>
      <c r="VZR64"/>
      <c r="VZS64"/>
      <c r="VZT64"/>
      <c r="VZU64"/>
      <c r="VZV64"/>
      <c r="VZW64"/>
      <c r="VZX64"/>
      <c r="VZY64"/>
      <c r="VZZ64"/>
      <c r="WAA64"/>
      <c r="WAB64"/>
      <c r="WAC64"/>
      <c r="WAD64"/>
      <c r="WAE64"/>
      <c r="WAF64"/>
      <c r="WAG64"/>
      <c r="WAH64"/>
      <c r="WAI64"/>
      <c r="WAJ64"/>
      <c r="WAK64"/>
      <c r="WAL64"/>
      <c r="WAM64"/>
      <c r="WAN64"/>
      <c r="WAO64"/>
      <c r="WAP64"/>
      <c r="WAQ64"/>
      <c r="WAR64"/>
      <c r="WAS64"/>
      <c r="WAT64"/>
      <c r="WAU64"/>
      <c r="WAV64"/>
      <c r="WAW64"/>
      <c r="WAX64"/>
      <c r="WAY64"/>
      <c r="WAZ64"/>
      <c r="WBA64"/>
      <c r="WBB64"/>
      <c r="WBC64"/>
      <c r="WBD64"/>
      <c r="WBE64"/>
      <c r="WBF64"/>
      <c r="WBG64"/>
      <c r="WBH64"/>
      <c r="WBI64"/>
      <c r="WBJ64"/>
      <c r="WBK64"/>
      <c r="WBL64"/>
      <c r="WBM64"/>
      <c r="WBN64"/>
      <c r="WBO64"/>
      <c r="WBP64"/>
      <c r="WBQ64"/>
      <c r="WBR64"/>
      <c r="WBS64"/>
      <c r="WBT64"/>
      <c r="WBU64"/>
      <c r="WBV64"/>
      <c r="WBW64"/>
      <c r="WBX64"/>
      <c r="WBY64"/>
      <c r="WBZ64"/>
      <c r="WCA64"/>
      <c r="WCB64"/>
      <c r="WCC64"/>
      <c r="WCD64"/>
      <c r="WCE64"/>
      <c r="WCF64"/>
      <c r="WCG64"/>
      <c r="WCH64"/>
      <c r="WCI64"/>
      <c r="WCJ64"/>
      <c r="WCK64"/>
      <c r="WCL64"/>
      <c r="WCM64"/>
      <c r="WCN64"/>
      <c r="WCO64"/>
      <c r="WCP64"/>
      <c r="WCQ64"/>
      <c r="WCR64"/>
      <c r="WCS64"/>
      <c r="WCT64"/>
      <c r="WCU64"/>
      <c r="WCV64"/>
      <c r="WCW64"/>
      <c r="WCX64"/>
      <c r="WCY64"/>
      <c r="WCZ64"/>
      <c r="WDA64"/>
      <c r="WDB64"/>
      <c r="WDC64"/>
      <c r="WDD64"/>
      <c r="WDE64"/>
      <c r="WDF64"/>
      <c r="WDG64"/>
      <c r="WDH64"/>
      <c r="WDI64"/>
      <c r="WDJ64"/>
      <c r="WDK64"/>
      <c r="WDL64"/>
      <c r="WDM64"/>
      <c r="WDN64"/>
      <c r="WDO64"/>
      <c r="WDP64"/>
      <c r="WDQ64"/>
      <c r="WDR64"/>
      <c r="WDS64"/>
      <c r="WDT64"/>
      <c r="WDU64"/>
      <c r="WDV64"/>
      <c r="WDW64"/>
      <c r="WDX64"/>
      <c r="WDY64"/>
      <c r="WDZ64"/>
      <c r="WEA64"/>
      <c r="WEB64"/>
      <c r="WEC64"/>
      <c r="WED64"/>
      <c r="WEE64"/>
      <c r="WEF64"/>
      <c r="WEG64"/>
      <c r="WEH64"/>
      <c r="WEI64"/>
      <c r="WEJ64"/>
      <c r="WEK64"/>
      <c r="WEL64"/>
      <c r="WEM64"/>
      <c r="WEN64"/>
      <c r="WEO64"/>
      <c r="WEP64"/>
      <c r="WEQ64"/>
      <c r="WER64"/>
      <c r="WES64"/>
      <c r="WET64"/>
      <c r="WEU64"/>
      <c r="WEV64"/>
      <c r="WEW64"/>
      <c r="WEX64"/>
      <c r="WEY64"/>
      <c r="WEZ64"/>
      <c r="WFA64"/>
      <c r="WFB64"/>
      <c r="WFC64"/>
      <c r="WFD64"/>
      <c r="WFE64"/>
      <c r="WFF64"/>
      <c r="WFG64"/>
      <c r="WFH64"/>
      <c r="WFI64"/>
      <c r="WFJ64"/>
      <c r="WFK64"/>
      <c r="WFL64"/>
      <c r="WFM64"/>
      <c r="WFN64"/>
      <c r="WFO64"/>
      <c r="WFP64"/>
      <c r="WFQ64"/>
      <c r="WFR64"/>
      <c r="WFS64"/>
      <c r="WFT64"/>
      <c r="WFU64"/>
      <c r="WFV64"/>
      <c r="WFW64"/>
      <c r="WFX64"/>
      <c r="WFY64"/>
      <c r="WFZ64"/>
      <c r="WGA64"/>
      <c r="WGB64"/>
      <c r="WGC64"/>
      <c r="WGD64"/>
      <c r="WGE64"/>
      <c r="WGF64"/>
      <c r="WGG64"/>
      <c r="WGH64"/>
      <c r="WGI64"/>
      <c r="WGJ64"/>
      <c r="WGK64"/>
      <c r="WGL64"/>
      <c r="WGM64"/>
      <c r="WGN64"/>
      <c r="WGO64"/>
      <c r="WGP64"/>
      <c r="WGQ64"/>
      <c r="WGR64"/>
      <c r="WGS64"/>
      <c r="WGT64"/>
      <c r="WGU64"/>
      <c r="WGV64"/>
      <c r="WGW64"/>
      <c r="WGX64"/>
      <c r="WGY64"/>
      <c r="WGZ64"/>
      <c r="WHA64"/>
      <c r="WHB64"/>
      <c r="WHC64"/>
      <c r="WHD64"/>
      <c r="WHE64"/>
      <c r="WHF64"/>
      <c r="WHG64"/>
      <c r="WHH64"/>
      <c r="WHI64"/>
      <c r="WHJ64"/>
      <c r="WHK64"/>
      <c r="WHL64"/>
      <c r="WHM64"/>
      <c r="WHN64"/>
      <c r="WHO64"/>
      <c r="WHP64"/>
      <c r="WHQ64"/>
      <c r="WHR64"/>
      <c r="WHS64"/>
      <c r="WHT64"/>
      <c r="WHU64"/>
      <c r="WHV64"/>
      <c r="WHW64"/>
      <c r="WHX64"/>
      <c r="WHY64"/>
      <c r="WHZ64"/>
      <c r="WIA64"/>
      <c r="WIB64"/>
      <c r="WIC64"/>
      <c r="WID64"/>
      <c r="WIE64"/>
      <c r="WIF64"/>
      <c r="WIG64"/>
      <c r="WIH64"/>
      <c r="WII64"/>
      <c r="WIJ64"/>
      <c r="WIK64"/>
      <c r="WIL64"/>
      <c r="WIM64"/>
      <c r="WIN64"/>
      <c r="WIO64"/>
      <c r="WIP64"/>
      <c r="WIQ64"/>
      <c r="WIR64"/>
      <c r="WIS64"/>
      <c r="WIT64"/>
      <c r="WIU64"/>
      <c r="WIV64"/>
      <c r="WIW64"/>
      <c r="WIX64"/>
      <c r="WIY64"/>
      <c r="WIZ64"/>
      <c r="WJA64"/>
      <c r="WJB64"/>
      <c r="WJC64"/>
      <c r="WJD64"/>
      <c r="WJE64"/>
      <c r="WJF64"/>
      <c r="WJG64"/>
      <c r="WJH64"/>
      <c r="WJI64"/>
      <c r="WJJ64"/>
      <c r="WJK64"/>
      <c r="WJL64"/>
      <c r="WJM64"/>
      <c r="WJN64"/>
      <c r="WJO64"/>
      <c r="WJP64"/>
      <c r="WJQ64"/>
      <c r="WJR64"/>
      <c r="WJS64"/>
      <c r="WJT64"/>
      <c r="WJU64"/>
      <c r="WJV64"/>
      <c r="WJW64"/>
      <c r="WJX64"/>
      <c r="WJY64"/>
      <c r="WJZ64"/>
      <c r="WKA64"/>
      <c r="WKB64"/>
      <c r="WKC64"/>
      <c r="WKD64"/>
      <c r="WKE64"/>
      <c r="WKF64"/>
      <c r="WKG64"/>
      <c r="WKH64"/>
      <c r="WKI64"/>
      <c r="WKJ64"/>
      <c r="WKK64"/>
      <c r="WKL64"/>
      <c r="WKM64"/>
      <c r="WKN64"/>
      <c r="WKO64"/>
      <c r="WKP64"/>
      <c r="WKQ64"/>
      <c r="WKR64"/>
      <c r="WKS64"/>
      <c r="WKT64"/>
      <c r="WKU64"/>
      <c r="WKV64"/>
      <c r="WKW64"/>
      <c r="WKX64"/>
      <c r="WKY64"/>
      <c r="WKZ64"/>
      <c r="WLA64"/>
      <c r="WLB64"/>
      <c r="WLC64"/>
      <c r="WLD64"/>
      <c r="WLE64"/>
      <c r="WLF64"/>
      <c r="WLG64"/>
      <c r="WLH64"/>
      <c r="WLI64"/>
      <c r="WLJ64"/>
      <c r="WLK64"/>
      <c r="WLL64"/>
      <c r="WLM64"/>
      <c r="WLN64"/>
      <c r="WLO64"/>
      <c r="WLP64"/>
      <c r="WLQ64"/>
      <c r="WLR64"/>
      <c r="WLS64"/>
      <c r="WLT64"/>
      <c r="WLU64"/>
      <c r="WLV64"/>
      <c r="WLW64"/>
      <c r="WLX64"/>
      <c r="WLY64"/>
      <c r="WLZ64"/>
      <c r="WMA64"/>
      <c r="WMB64"/>
      <c r="WMC64"/>
      <c r="WMD64"/>
      <c r="WME64"/>
      <c r="WMF64"/>
      <c r="WMG64"/>
      <c r="WMH64"/>
      <c r="WMI64"/>
      <c r="WMJ64"/>
      <c r="WMK64"/>
      <c r="WML64"/>
      <c r="WMM64"/>
      <c r="WMN64"/>
      <c r="WMO64"/>
      <c r="WMP64"/>
      <c r="WMQ64"/>
      <c r="WMR64"/>
      <c r="WMS64"/>
      <c r="WMT64"/>
      <c r="WMU64"/>
      <c r="WMV64"/>
      <c r="WMW64"/>
      <c r="WMX64"/>
      <c r="WMY64"/>
      <c r="WMZ64"/>
      <c r="WNA64"/>
      <c r="WNB64"/>
      <c r="WNC64"/>
      <c r="WND64"/>
      <c r="WNE64"/>
      <c r="WNF64"/>
      <c r="WNG64"/>
      <c r="WNH64"/>
      <c r="WNI64"/>
      <c r="WNJ64"/>
      <c r="WNK64"/>
      <c r="WNL64"/>
      <c r="WNM64"/>
      <c r="WNN64"/>
      <c r="WNO64"/>
      <c r="WNP64"/>
      <c r="WNQ64"/>
      <c r="WNR64"/>
      <c r="WNS64"/>
      <c r="WNT64"/>
      <c r="WNU64"/>
      <c r="WNV64"/>
      <c r="WNW64"/>
      <c r="WNX64"/>
      <c r="WNY64"/>
      <c r="WNZ64"/>
      <c r="WOA64"/>
      <c r="WOB64"/>
      <c r="WOC64"/>
      <c r="WOD64"/>
      <c r="WOE64"/>
      <c r="WOF64"/>
      <c r="WOG64"/>
      <c r="WOH64"/>
      <c r="WOI64"/>
      <c r="WOJ64"/>
      <c r="WOK64"/>
      <c r="WOL64"/>
      <c r="WOM64"/>
      <c r="WON64"/>
      <c r="WOO64"/>
      <c r="WOP64"/>
      <c r="WOQ64"/>
      <c r="WOR64"/>
      <c r="WOS64"/>
      <c r="WOT64"/>
      <c r="WOU64"/>
      <c r="WOV64"/>
      <c r="WOW64"/>
      <c r="WOX64"/>
      <c r="WOY64"/>
      <c r="WOZ64"/>
      <c r="WPA64"/>
      <c r="WPB64"/>
      <c r="WPC64"/>
      <c r="WPD64"/>
      <c r="WPE64"/>
      <c r="WPF64"/>
      <c r="WPG64"/>
      <c r="WPH64"/>
      <c r="WPI64"/>
      <c r="WPJ64"/>
      <c r="WPK64"/>
      <c r="WPL64"/>
      <c r="WPM64"/>
      <c r="WPN64"/>
      <c r="WPO64"/>
      <c r="WPP64"/>
      <c r="WPQ64"/>
      <c r="WPR64"/>
      <c r="WPS64"/>
      <c r="WPT64"/>
      <c r="WPU64"/>
      <c r="WPV64"/>
      <c r="WPW64"/>
      <c r="WPX64"/>
      <c r="WPY64"/>
      <c r="WPZ64"/>
      <c r="WQA64"/>
      <c r="WQB64"/>
      <c r="WQC64"/>
      <c r="WQD64"/>
      <c r="WQE64"/>
      <c r="WQF64"/>
      <c r="WQG64"/>
      <c r="WQH64"/>
      <c r="WQI64"/>
      <c r="WQJ64"/>
      <c r="WQK64"/>
      <c r="WQL64"/>
      <c r="WQM64"/>
      <c r="WQN64"/>
      <c r="WQO64"/>
      <c r="WQP64"/>
      <c r="WQQ64"/>
      <c r="WQR64"/>
      <c r="WQS64"/>
      <c r="WQT64"/>
      <c r="WQU64"/>
      <c r="WQV64"/>
      <c r="WQW64"/>
      <c r="WQX64"/>
      <c r="WQY64"/>
      <c r="WQZ64"/>
      <c r="WRA64"/>
      <c r="WRB64"/>
      <c r="WRC64"/>
      <c r="WRD64"/>
      <c r="WRE64"/>
      <c r="WRF64"/>
      <c r="WRG64"/>
      <c r="WRH64"/>
      <c r="WRI64"/>
      <c r="WRJ64"/>
      <c r="WRK64"/>
      <c r="WRL64"/>
      <c r="WRM64"/>
      <c r="WRN64"/>
      <c r="WRO64"/>
      <c r="WRP64"/>
      <c r="WRQ64"/>
      <c r="WRR64"/>
      <c r="WRS64"/>
      <c r="WRT64"/>
      <c r="WRU64"/>
      <c r="WRV64"/>
      <c r="WRW64"/>
      <c r="WRX64"/>
      <c r="WRY64"/>
      <c r="WRZ64"/>
      <c r="WSA64"/>
      <c r="WSB64"/>
      <c r="WSC64"/>
      <c r="WSD64"/>
      <c r="WSE64"/>
      <c r="WSF64"/>
      <c r="WSG64"/>
      <c r="WSH64"/>
      <c r="WSI64"/>
      <c r="WSJ64"/>
      <c r="WSK64"/>
      <c r="WSL64"/>
      <c r="WSM64"/>
      <c r="WSN64"/>
      <c r="WSO64"/>
      <c r="WSP64"/>
      <c r="WSQ64"/>
      <c r="WSR64"/>
      <c r="WSS64"/>
      <c r="WST64"/>
      <c r="WSU64"/>
      <c r="WSV64"/>
      <c r="WSW64"/>
      <c r="WSX64"/>
      <c r="WSY64"/>
      <c r="WSZ64"/>
      <c r="WTA64"/>
      <c r="WTB64"/>
      <c r="WTC64"/>
      <c r="WTD64"/>
      <c r="WTE64"/>
      <c r="WTF64"/>
      <c r="WTG64"/>
      <c r="WTH64"/>
      <c r="WTI64"/>
      <c r="WTJ64"/>
      <c r="WTK64"/>
      <c r="WTL64"/>
      <c r="WTM64"/>
      <c r="WTN64"/>
      <c r="WTO64"/>
      <c r="WTP64"/>
      <c r="WTQ64"/>
      <c r="WTR64"/>
      <c r="WTS64"/>
      <c r="WTT64"/>
      <c r="WTU64"/>
      <c r="WTV64"/>
      <c r="WTW64"/>
      <c r="WTX64"/>
      <c r="WTY64"/>
      <c r="WTZ64"/>
      <c r="WUA64"/>
      <c r="WUB64"/>
      <c r="WUC64"/>
      <c r="WUD64"/>
      <c r="WUE64"/>
      <c r="WUF64"/>
      <c r="WUG64"/>
      <c r="WUH64"/>
      <c r="WUI64"/>
      <c r="WUJ64"/>
      <c r="WUK64"/>
      <c r="WUL64"/>
      <c r="WUM64"/>
      <c r="WUN64"/>
      <c r="WUO64"/>
      <c r="WUP64"/>
      <c r="WUQ64"/>
      <c r="WUR64"/>
      <c r="WUS64"/>
      <c r="WUT64"/>
      <c r="WUU64"/>
      <c r="WUV64"/>
      <c r="WUW64"/>
      <c r="WUX64"/>
      <c r="WUY64"/>
      <c r="WUZ64"/>
      <c r="WVA64"/>
      <c r="WVB64"/>
      <c r="WVC64"/>
      <c r="WVD64"/>
      <c r="WVE64"/>
      <c r="WVF64"/>
      <c r="WVG64"/>
      <c r="WVH64"/>
      <c r="WVI64"/>
      <c r="WVJ64"/>
      <c r="WVK64"/>
      <c r="WVL64"/>
      <c r="WVM64"/>
      <c r="WVN64"/>
      <c r="WVO64"/>
      <c r="WVP64"/>
      <c r="WVQ64"/>
      <c r="WVR64"/>
      <c r="WVS64"/>
      <c r="WVT64"/>
      <c r="WVU64"/>
      <c r="WVV64"/>
      <c r="WVW64"/>
      <c r="WVX64"/>
      <c r="WVY64"/>
      <c r="WVZ64"/>
      <c r="WWA64"/>
      <c r="WWB64"/>
      <c r="WWC64"/>
      <c r="WWD64"/>
      <c r="WWE64"/>
      <c r="WWF64"/>
      <c r="WWG64"/>
      <c r="WWH64"/>
      <c r="WWI64"/>
      <c r="WWJ64"/>
      <c r="WWK64"/>
      <c r="WWL64"/>
      <c r="WWM64"/>
      <c r="WWN64"/>
      <c r="WWO64"/>
      <c r="WWP64"/>
      <c r="WWQ64"/>
      <c r="WWR64"/>
      <c r="WWS64"/>
      <c r="WWT64"/>
      <c r="WWU64"/>
      <c r="WWV64"/>
      <c r="WWW64"/>
      <c r="WWX64"/>
      <c r="WWY64"/>
      <c r="WWZ64"/>
      <c r="WXA64"/>
      <c r="WXB64"/>
      <c r="WXC64"/>
      <c r="WXD64"/>
      <c r="WXE64"/>
      <c r="WXF64"/>
      <c r="WXG64"/>
      <c r="WXH64"/>
      <c r="WXI64"/>
      <c r="WXJ64"/>
      <c r="WXK64"/>
      <c r="WXL64"/>
      <c r="WXM64"/>
      <c r="WXN64"/>
      <c r="WXO64"/>
      <c r="WXP64"/>
      <c r="WXQ64"/>
      <c r="WXR64"/>
      <c r="WXS64"/>
      <c r="WXT64"/>
      <c r="WXU64"/>
      <c r="WXV64"/>
      <c r="WXW64"/>
      <c r="WXX64"/>
      <c r="WXY64"/>
      <c r="WXZ64"/>
      <c r="WYA64"/>
      <c r="WYB64"/>
      <c r="WYC64"/>
      <c r="WYD64"/>
      <c r="WYE64"/>
      <c r="WYF64"/>
      <c r="WYG64"/>
      <c r="WYH64"/>
      <c r="WYI64"/>
      <c r="WYJ64"/>
      <c r="WYK64"/>
      <c r="WYL64"/>
      <c r="WYM64"/>
      <c r="WYN64"/>
      <c r="WYO64"/>
      <c r="WYP64"/>
      <c r="WYQ64"/>
      <c r="WYR64"/>
      <c r="WYS64"/>
      <c r="WYT64"/>
      <c r="WYU64"/>
      <c r="WYV64"/>
      <c r="WYW64"/>
      <c r="WYX64"/>
      <c r="WYY64"/>
      <c r="WYZ64"/>
      <c r="WZA64"/>
      <c r="WZB64"/>
      <c r="WZC64"/>
      <c r="WZD64"/>
      <c r="WZE64"/>
      <c r="WZF64"/>
      <c r="WZG64"/>
      <c r="WZH64"/>
      <c r="WZI64"/>
      <c r="WZJ64"/>
      <c r="WZK64"/>
      <c r="WZL64"/>
      <c r="WZM64"/>
      <c r="WZN64"/>
      <c r="WZO64"/>
      <c r="WZP64"/>
      <c r="WZQ64"/>
      <c r="WZR64"/>
      <c r="WZS64"/>
      <c r="WZT64"/>
      <c r="WZU64"/>
      <c r="WZV64"/>
      <c r="WZW64"/>
      <c r="WZX64"/>
      <c r="WZY64"/>
      <c r="WZZ64"/>
      <c r="XAA64"/>
      <c r="XAB64"/>
      <c r="XAC64"/>
      <c r="XAD64"/>
      <c r="XAE64"/>
      <c r="XAF64"/>
      <c r="XAG64"/>
      <c r="XAH64"/>
      <c r="XAI64"/>
      <c r="XAJ64"/>
      <c r="XAK64"/>
      <c r="XAL64"/>
      <c r="XAM64"/>
      <c r="XAN64"/>
      <c r="XAO64"/>
      <c r="XAP64"/>
      <c r="XAQ64"/>
      <c r="XAR64"/>
      <c r="XAS64"/>
      <c r="XAT64"/>
      <c r="XAU64"/>
      <c r="XAV64"/>
      <c r="XAW64"/>
      <c r="XAX64"/>
      <c r="XAY64"/>
      <c r="XAZ64"/>
      <c r="XBA64"/>
      <c r="XBB64"/>
      <c r="XBC64"/>
      <c r="XBD64"/>
      <c r="XBE64"/>
      <c r="XBF64"/>
      <c r="XBG64"/>
      <c r="XBH64"/>
      <c r="XBI64"/>
      <c r="XBJ64"/>
      <c r="XBK64"/>
      <c r="XBL64"/>
      <c r="XBM64"/>
      <c r="XBN64"/>
      <c r="XBO64"/>
      <c r="XBP64"/>
      <c r="XBQ64"/>
      <c r="XBR64"/>
      <c r="XBS64"/>
      <c r="XBT64"/>
      <c r="XBU64"/>
      <c r="XBV64"/>
      <c r="XBW64"/>
      <c r="XBX64"/>
      <c r="XBY64"/>
      <c r="XBZ64"/>
      <c r="XCA64"/>
      <c r="XCB64"/>
      <c r="XCC64"/>
      <c r="XCD64"/>
      <c r="XCE64"/>
      <c r="XCF64"/>
      <c r="XCG64"/>
      <c r="XCH64"/>
      <c r="XCI64"/>
      <c r="XCJ64"/>
      <c r="XCK64"/>
      <c r="XCL64"/>
      <c r="XCM64"/>
      <c r="XCN64"/>
      <c r="XCO64"/>
      <c r="XCP64"/>
      <c r="XCQ64"/>
      <c r="XCR64"/>
      <c r="XCS64"/>
      <c r="XCT64"/>
      <c r="XCU64"/>
      <c r="XCV64"/>
      <c r="XCW64"/>
      <c r="XCX64"/>
      <c r="XCY64"/>
      <c r="XCZ64"/>
      <c r="XDA64"/>
      <c r="XDB64"/>
      <c r="XDC64"/>
      <c r="XDD64"/>
      <c r="XDE64"/>
      <c r="XDF64"/>
      <c r="XDG64"/>
      <c r="XDH64"/>
      <c r="XDI64"/>
      <c r="XDJ64"/>
      <c r="XDK64"/>
      <c r="XDL64"/>
      <c r="XDM64"/>
      <c r="XDN64"/>
      <c r="XDO64"/>
      <c r="XDP64"/>
      <c r="XDQ64"/>
      <c r="XDR64"/>
      <c r="XDS64"/>
      <c r="XDT64"/>
      <c r="XDU64"/>
      <c r="XDV64"/>
      <c r="XDW64"/>
      <c r="XDX64"/>
      <c r="XDY64"/>
      <c r="XDZ64"/>
      <c r="XEA64"/>
      <c r="XEB64"/>
      <c r="XEC64"/>
      <c r="XED64"/>
      <c r="XEE64"/>
      <c r="XEF64"/>
      <c r="XEG64"/>
      <c r="XEH64"/>
      <c r="XEI64"/>
      <c r="XEJ64"/>
      <c r="XEK64"/>
      <c r="XEL64"/>
      <c r="XEM64"/>
      <c r="XEN64"/>
      <c r="XEO64"/>
      <c r="XEP64"/>
      <c r="XEQ64"/>
      <c r="XER64"/>
      <c r="XES64"/>
      <c r="XET64"/>
      <c r="XEU64"/>
      <c r="XEV64"/>
      <c r="XEW64"/>
      <c r="XEX64"/>
      <c r="XEY64"/>
      <c r="XEZ64"/>
      <c r="XFA64"/>
      <c r="XFB64"/>
      <c r="XFC64"/>
      <c r="XFD64"/>
    </row>
    <row r="65" spans="3:16384" ht="31.5">
      <c r="C65" s="1226" t="s">
        <v>1832</v>
      </c>
      <c r="D65" s="1213"/>
      <c r="E65" s="1214"/>
      <c r="F65" s="1214"/>
      <c r="G65" s="1214"/>
      <c r="H65" s="1214"/>
      <c r="I65" s="1214"/>
      <c r="J65" s="1214"/>
      <c r="K65" s="1213"/>
      <c r="L65" s="1213"/>
      <c r="M65" s="1213"/>
      <c r="N65" s="1235"/>
      <c r="O65" s="1214"/>
      <c r="P65" s="1235"/>
      <c r="Q65" s="1214"/>
      <c r="R65" s="1246" t="s">
        <v>1663</v>
      </c>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c r="GS65"/>
      <c r="GT65"/>
      <c r="GU65"/>
      <c r="GV65"/>
      <c r="GW65"/>
      <c r="GX65"/>
      <c r="GY65"/>
      <c r="GZ65"/>
      <c r="HA65"/>
      <c r="HB65"/>
      <c r="HC65"/>
      <c r="HD65"/>
      <c r="HE65"/>
      <c r="HF65"/>
      <c r="HG65"/>
      <c r="HH65"/>
      <c r="HI65"/>
      <c r="HJ65"/>
      <c r="HK65"/>
      <c r="HL65"/>
      <c r="HM65"/>
      <c r="HN65"/>
      <c r="HO65"/>
      <c r="HP65"/>
      <c r="HQ65"/>
      <c r="HR65"/>
      <c r="HS65"/>
      <c r="HT65"/>
      <c r="HU65"/>
      <c r="HV65"/>
      <c r="HW65"/>
      <c r="HX65"/>
      <c r="HY65"/>
      <c r="HZ65"/>
      <c r="IA65"/>
      <c r="IB65"/>
      <c r="IC65"/>
      <c r="ID65"/>
      <c r="IE65"/>
      <c r="IF65"/>
      <c r="IG65"/>
      <c r="IH65"/>
      <c r="II65"/>
      <c r="IJ65"/>
      <c r="IK65"/>
      <c r="IL65"/>
      <c r="IM65"/>
      <c r="IN65"/>
      <c r="IO65"/>
      <c r="IP65"/>
      <c r="IQ65"/>
      <c r="IR65"/>
      <c r="IS65"/>
      <c r="IT65"/>
      <c r="IU65"/>
      <c r="IV65"/>
      <c r="IW65"/>
      <c r="IX65"/>
      <c r="IY65"/>
      <c r="IZ65"/>
      <c r="JA65"/>
      <c r="JB65"/>
      <c r="JC65"/>
      <c r="JD65"/>
      <c r="JE65"/>
      <c r="JF65"/>
      <c r="JG65"/>
      <c r="JH65"/>
      <c r="JI65"/>
      <c r="JJ65"/>
      <c r="JK65"/>
      <c r="JL65"/>
      <c r="JM65"/>
      <c r="JN65"/>
      <c r="JO65"/>
      <c r="JP65"/>
      <c r="JQ65"/>
      <c r="JR65"/>
      <c r="JS65"/>
      <c r="JT65"/>
      <c r="JU65"/>
      <c r="JV65"/>
      <c r="JW65"/>
      <c r="JX65"/>
      <c r="JY65"/>
      <c r="JZ65"/>
      <c r="KA65"/>
      <c r="KB65"/>
      <c r="KC65"/>
      <c r="KD65"/>
      <c r="KE65"/>
      <c r="KF65"/>
      <c r="KG65"/>
      <c r="KH65"/>
      <c r="KI65"/>
      <c r="KJ65"/>
      <c r="KK65"/>
      <c r="KL65"/>
      <c r="KM65"/>
      <c r="KN65"/>
      <c r="KO65"/>
      <c r="KP65"/>
      <c r="KQ65"/>
      <c r="KR65"/>
      <c r="KS65"/>
      <c r="KT65"/>
      <c r="KU65"/>
      <c r="KV65"/>
      <c r="KW65"/>
      <c r="KX65"/>
      <c r="KY65"/>
      <c r="KZ65"/>
      <c r="LA65"/>
      <c r="LB65"/>
      <c r="LC65"/>
      <c r="LD65"/>
      <c r="LE65"/>
      <c r="LF65"/>
      <c r="LG65"/>
      <c r="LH65"/>
      <c r="LI65"/>
      <c r="LJ65"/>
      <c r="LK65"/>
      <c r="LL65"/>
      <c r="LM65"/>
      <c r="LN65"/>
      <c r="LO65"/>
      <c r="LP65"/>
      <c r="LQ65"/>
      <c r="LR65"/>
      <c r="LS65"/>
      <c r="LT65"/>
      <c r="LU65"/>
      <c r="LV65"/>
      <c r="LW65"/>
      <c r="LX65"/>
      <c r="LY65"/>
      <c r="LZ65"/>
      <c r="MA65"/>
      <c r="MB65"/>
      <c r="MC65"/>
      <c r="MD65"/>
      <c r="ME65"/>
      <c r="MF65"/>
      <c r="MG65"/>
      <c r="MH65"/>
      <c r="MI65"/>
      <c r="MJ65"/>
      <c r="MK65"/>
      <c r="ML65"/>
      <c r="MM65"/>
      <c r="MN65"/>
      <c r="MO65"/>
      <c r="MP65"/>
      <c r="MQ65"/>
      <c r="MR65"/>
      <c r="MS65"/>
      <c r="MT65"/>
      <c r="MU65"/>
      <c r="MV65"/>
      <c r="MW65"/>
      <c r="MX65"/>
      <c r="MY65"/>
      <c r="MZ65"/>
      <c r="NA65"/>
      <c r="NB65"/>
      <c r="NC65"/>
      <c r="ND65"/>
      <c r="NE65"/>
      <c r="NF65"/>
      <c r="NG65"/>
      <c r="NH65"/>
      <c r="NI65"/>
      <c r="NJ65"/>
      <c r="NK65"/>
      <c r="NL65"/>
      <c r="NM65"/>
      <c r="NN65"/>
      <c r="NO65"/>
      <c r="NP65"/>
      <c r="NQ65"/>
      <c r="NR65"/>
      <c r="NS65"/>
      <c r="NT65"/>
      <c r="NU65"/>
      <c r="NV65"/>
      <c r="NW65"/>
      <c r="NX65"/>
      <c r="NY65"/>
      <c r="NZ65"/>
      <c r="OA65"/>
      <c r="OB65"/>
      <c r="OC65"/>
      <c r="OD65"/>
      <c r="OE65"/>
      <c r="OF65"/>
      <c r="OG65"/>
      <c r="OH65"/>
      <c r="OI65"/>
      <c r="OJ65"/>
      <c r="OK65"/>
      <c r="OL65"/>
      <c r="OM65"/>
      <c r="ON65"/>
      <c r="OO65"/>
      <c r="OP65"/>
      <c r="OQ65"/>
      <c r="OR65"/>
      <c r="OS65"/>
      <c r="OT65"/>
      <c r="OU65"/>
      <c r="OV65"/>
      <c r="OW65"/>
      <c r="OX65"/>
      <c r="OY65"/>
      <c r="OZ65"/>
      <c r="PA65"/>
      <c r="PB65"/>
      <c r="PC65"/>
      <c r="PD65"/>
      <c r="PE65"/>
      <c r="PF65"/>
      <c r="PG65"/>
      <c r="PH65"/>
      <c r="PI65"/>
      <c r="PJ65"/>
      <c r="PK65"/>
      <c r="PL65"/>
      <c r="PM65"/>
      <c r="PN65"/>
      <c r="PO65"/>
      <c r="PP65"/>
      <c r="PQ65"/>
      <c r="PR65"/>
      <c r="PS65"/>
      <c r="PT65"/>
      <c r="PU65"/>
      <c r="PV65"/>
      <c r="PW65"/>
      <c r="PX65"/>
      <c r="PY65"/>
      <c r="PZ65"/>
      <c r="QA65"/>
      <c r="QB65"/>
      <c r="QC65"/>
      <c r="QD65"/>
      <c r="QE65"/>
      <c r="QF65"/>
      <c r="QG65"/>
      <c r="QH65"/>
      <c r="QI65"/>
      <c r="QJ65"/>
      <c r="QK65"/>
      <c r="QL65"/>
      <c r="QM65"/>
      <c r="QN65"/>
      <c r="QO65"/>
      <c r="QP65"/>
      <c r="QQ65"/>
      <c r="QR65"/>
      <c r="QS65"/>
      <c r="QT65"/>
      <c r="QU65"/>
      <c r="QV65"/>
      <c r="QW65"/>
      <c r="QX65"/>
      <c r="QY65"/>
      <c r="QZ65"/>
      <c r="RA65"/>
      <c r="RB65"/>
      <c r="RC65"/>
      <c r="RD65"/>
      <c r="RE65"/>
      <c r="RF65"/>
      <c r="RG65"/>
      <c r="RH65"/>
      <c r="RI65"/>
      <c r="RJ65"/>
      <c r="RK65"/>
      <c r="RL65"/>
      <c r="RM65"/>
      <c r="RN65"/>
      <c r="RO65"/>
      <c r="RP65"/>
      <c r="RQ65"/>
      <c r="RR65"/>
      <c r="RS65"/>
      <c r="RT65"/>
      <c r="RU65"/>
      <c r="RV65"/>
      <c r="RW65"/>
      <c r="RX65"/>
      <c r="RY65"/>
      <c r="RZ65"/>
      <c r="SA65"/>
      <c r="SB65"/>
      <c r="SC65"/>
      <c r="SD65"/>
      <c r="SE65"/>
      <c r="SF65"/>
      <c r="SG65"/>
      <c r="SH65"/>
      <c r="SI65"/>
      <c r="SJ65"/>
      <c r="SK65"/>
      <c r="SL65"/>
      <c r="SM65"/>
      <c r="SN65"/>
      <c r="SO65"/>
      <c r="SP65"/>
      <c r="SQ65"/>
      <c r="SR65"/>
      <c r="SS65"/>
      <c r="ST65"/>
      <c r="SU65"/>
      <c r="SV65"/>
      <c r="SW65"/>
      <c r="SX65"/>
      <c r="SY65"/>
      <c r="SZ65"/>
      <c r="TA65"/>
      <c r="TB65"/>
      <c r="TC65"/>
      <c r="TD65"/>
      <c r="TE65"/>
      <c r="TF65"/>
      <c r="TG65"/>
      <c r="TH65"/>
      <c r="TI65"/>
      <c r="TJ65"/>
      <c r="TK65"/>
      <c r="TL65"/>
      <c r="TM65"/>
      <c r="TN65"/>
      <c r="TO65"/>
      <c r="TP65"/>
      <c r="TQ65"/>
      <c r="TR65"/>
      <c r="TS65"/>
      <c r="TT65"/>
      <c r="TU65"/>
      <c r="TV65"/>
      <c r="TW65"/>
      <c r="TX65"/>
      <c r="TY65"/>
      <c r="TZ65"/>
      <c r="UA65"/>
      <c r="UB65"/>
      <c r="UC65"/>
      <c r="UD65"/>
      <c r="UE65"/>
      <c r="UF65"/>
      <c r="UG65"/>
      <c r="UH65"/>
      <c r="UI65"/>
      <c r="UJ65"/>
      <c r="UK65"/>
      <c r="UL65"/>
      <c r="UM65"/>
      <c r="UN65"/>
      <c r="UO65"/>
      <c r="UP65"/>
      <c r="UQ65"/>
      <c r="UR65"/>
      <c r="US65"/>
      <c r="UT65"/>
      <c r="UU65"/>
      <c r="UV65"/>
      <c r="UW65"/>
      <c r="UX65"/>
      <c r="UY65"/>
      <c r="UZ65"/>
      <c r="VA65"/>
      <c r="VB65"/>
      <c r="VC65"/>
      <c r="VD65"/>
      <c r="VE65"/>
      <c r="VF65"/>
      <c r="VG65"/>
      <c r="VH65"/>
      <c r="VI65"/>
      <c r="VJ65"/>
      <c r="VK65"/>
      <c r="VL65"/>
      <c r="VM65"/>
      <c r="VN65"/>
      <c r="VO65"/>
      <c r="VP65"/>
      <c r="VQ65"/>
      <c r="VR65"/>
      <c r="VS65"/>
      <c r="VT65"/>
      <c r="VU65"/>
      <c r="VV65"/>
      <c r="VW65"/>
      <c r="VX65"/>
      <c r="VY65"/>
      <c r="VZ65"/>
      <c r="WA65"/>
      <c r="WB65"/>
      <c r="WC65"/>
      <c r="WD65"/>
      <c r="WE65"/>
      <c r="WF65"/>
      <c r="WG65"/>
      <c r="WH65"/>
      <c r="WI65"/>
      <c r="WJ65"/>
      <c r="WK65"/>
      <c r="WL65"/>
      <c r="WM65"/>
      <c r="WN65"/>
      <c r="WO65"/>
      <c r="WP65"/>
      <c r="WQ65"/>
      <c r="WR65"/>
      <c r="WS65"/>
      <c r="WT65"/>
      <c r="WU65"/>
      <c r="WV65"/>
      <c r="WW65"/>
      <c r="WX65"/>
      <c r="WY65"/>
      <c r="WZ65"/>
      <c r="XA65"/>
      <c r="XB65"/>
      <c r="XC65"/>
      <c r="XD65"/>
      <c r="XE65"/>
      <c r="XF65"/>
      <c r="XG65"/>
      <c r="XH65"/>
      <c r="XI65"/>
      <c r="XJ65"/>
      <c r="XK65"/>
      <c r="XL65"/>
      <c r="XM65"/>
      <c r="XN65"/>
      <c r="XO65"/>
      <c r="XP65"/>
      <c r="XQ65"/>
      <c r="XR65"/>
      <c r="XS65"/>
      <c r="XT65"/>
      <c r="XU65"/>
      <c r="XV65"/>
      <c r="XW65"/>
      <c r="XX65"/>
      <c r="XY65"/>
      <c r="XZ65"/>
      <c r="YA65"/>
      <c r="YB65"/>
      <c r="YC65"/>
      <c r="YD65"/>
      <c r="YE65"/>
      <c r="YF65"/>
      <c r="YG65"/>
      <c r="YH65"/>
      <c r="YI65"/>
      <c r="YJ65"/>
      <c r="YK65"/>
      <c r="YL65"/>
      <c r="YM65"/>
      <c r="YN65"/>
      <c r="YO65"/>
      <c r="YP65"/>
      <c r="YQ65"/>
      <c r="YR65"/>
      <c r="YS65"/>
      <c r="YT65"/>
      <c r="YU65"/>
      <c r="YV65"/>
      <c r="YW65"/>
      <c r="YX65"/>
      <c r="YY65"/>
      <c r="YZ65"/>
      <c r="ZA65"/>
      <c r="ZB65"/>
      <c r="ZC65"/>
      <c r="ZD65"/>
      <c r="ZE65"/>
      <c r="ZF65"/>
      <c r="ZG65"/>
      <c r="ZH65"/>
      <c r="ZI65"/>
      <c r="ZJ65"/>
      <c r="ZK65"/>
      <c r="ZL65"/>
      <c r="ZM65"/>
      <c r="ZN65"/>
      <c r="ZO65"/>
      <c r="ZP65"/>
      <c r="ZQ65"/>
      <c r="ZR65"/>
      <c r="ZS65"/>
      <c r="ZT65"/>
      <c r="ZU65"/>
      <c r="ZV65"/>
      <c r="ZW65"/>
      <c r="ZX65"/>
      <c r="ZY65"/>
      <c r="ZZ65"/>
      <c r="AAA65"/>
      <c r="AAB65"/>
      <c r="AAC65"/>
      <c r="AAD65"/>
      <c r="AAE65"/>
      <c r="AAF65"/>
      <c r="AAG65"/>
      <c r="AAH65"/>
      <c r="AAI65"/>
      <c r="AAJ65"/>
      <c r="AAK65"/>
      <c r="AAL65"/>
      <c r="AAM65"/>
      <c r="AAN65"/>
      <c r="AAO65"/>
      <c r="AAP65"/>
      <c r="AAQ65"/>
      <c r="AAR65"/>
      <c r="AAS65"/>
      <c r="AAT65"/>
      <c r="AAU65"/>
      <c r="AAV65"/>
      <c r="AAW65"/>
      <c r="AAX65"/>
      <c r="AAY65"/>
      <c r="AAZ65"/>
      <c r="ABA65"/>
      <c r="ABB65"/>
      <c r="ABC65"/>
      <c r="ABD65"/>
      <c r="ABE65"/>
      <c r="ABF65"/>
      <c r="ABG65"/>
      <c r="ABH65"/>
      <c r="ABI65"/>
      <c r="ABJ65"/>
      <c r="ABK65"/>
      <c r="ABL65"/>
      <c r="ABM65"/>
      <c r="ABN65"/>
      <c r="ABO65"/>
      <c r="ABP65"/>
      <c r="ABQ65"/>
      <c r="ABR65"/>
      <c r="ABS65"/>
      <c r="ABT65"/>
      <c r="ABU65"/>
      <c r="ABV65"/>
      <c r="ABW65"/>
      <c r="ABX65"/>
      <c r="ABY65"/>
      <c r="ABZ65"/>
      <c r="ACA65"/>
      <c r="ACB65"/>
      <c r="ACC65"/>
      <c r="ACD65"/>
      <c r="ACE65"/>
      <c r="ACF65"/>
      <c r="ACG65"/>
      <c r="ACH65"/>
      <c r="ACI65"/>
      <c r="ACJ65"/>
      <c r="ACK65"/>
      <c r="ACL65"/>
      <c r="ACM65"/>
      <c r="ACN65"/>
      <c r="ACO65"/>
      <c r="ACP65"/>
      <c r="ACQ65"/>
      <c r="ACR65"/>
      <c r="ACS65"/>
      <c r="ACT65"/>
      <c r="ACU65"/>
      <c r="ACV65"/>
      <c r="ACW65"/>
      <c r="ACX65"/>
      <c r="ACY65"/>
      <c r="ACZ65"/>
      <c r="ADA65"/>
      <c r="ADB65"/>
      <c r="ADC65"/>
      <c r="ADD65"/>
      <c r="ADE65"/>
      <c r="ADF65"/>
      <c r="ADG65"/>
      <c r="ADH65"/>
      <c r="ADI65"/>
      <c r="ADJ65"/>
      <c r="ADK65"/>
      <c r="ADL65"/>
      <c r="ADM65"/>
      <c r="ADN65"/>
      <c r="ADO65"/>
      <c r="ADP65"/>
      <c r="ADQ65"/>
      <c r="ADR65"/>
      <c r="ADS65"/>
      <c r="ADT65"/>
      <c r="ADU65"/>
      <c r="ADV65"/>
      <c r="ADW65"/>
      <c r="ADX65"/>
      <c r="ADY65"/>
      <c r="ADZ65"/>
      <c r="AEA65"/>
      <c r="AEB65"/>
      <c r="AEC65"/>
      <c r="AED65"/>
      <c r="AEE65"/>
      <c r="AEF65"/>
      <c r="AEG65"/>
      <c r="AEH65"/>
      <c r="AEI65"/>
      <c r="AEJ65"/>
      <c r="AEK65"/>
      <c r="AEL65"/>
      <c r="AEM65"/>
      <c r="AEN65"/>
      <c r="AEO65"/>
      <c r="AEP65"/>
      <c r="AEQ65"/>
      <c r="AER65"/>
      <c r="AES65"/>
      <c r="AET65"/>
      <c r="AEU65"/>
      <c r="AEV65"/>
      <c r="AEW65"/>
      <c r="AEX65"/>
      <c r="AEY65"/>
      <c r="AEZ65"/>
      <c r="AFA65"/>
      <c r="AFB65"/>
      <c r="AFC65"/>
      <c r="AFD65"/>
      <c r="AFE65"/>
      <c r="AFF65"/>
      <c r="AFG65"/>
      <c r="AFH65"/>
      <c r="AFI65"/>
      <c r="AFJ65"/>
      <c r="AFK65"/>
      <c r="AFL65"/>
      <c r="AFM65"/>
      <c r="AFN65"/>
      <c r="AFO65"/>
      <c r="AFP65"/>
      <c r="AFQ65"/>
      <c r="AFR65"/>
      <c r="AFS65"/>
      <c r="AFT65"/>
      <c r="AFU65"/>
      <c r="AFV65"/>
      <c r="AFW65"/>
      <c r="AFX65"/>
      <c r="AFY65"/>
      <c r="AFZ65"/>
      <c r="AGA65"/>
      <c r="AGB65"/>
      <c r="AGC65"/>
      <c r="AGD65"/>
      <c r="AGE65"/>
      <c r="AGF65"/>
      <c r="AGG65"/>
      <c r="AGH65"/>
      <c r="AGI65"/>
      <c r="AGJ65"/>
      <c r="AGK65"/>
      <c r="AGL65"/>
      <c r="AGM65"/>
      <c r="AGN65"/>
      <c r="AGO65"/>
      <c r="AGP65"/>
      <c r="AGQ65"/>
      <c r="AGR65"/>
      <c r="AGS65"/>
      <c r="AGT65"/>
      <c r="AGU65"/>
      <c r="AGV65"/>
      <c r="AGW65"/>
      <c r="AGX65"/>
      <c r="AGY65"/>
      <c r="AGZ65"/>
      <c r="AHA65"/>
      <c r="AHB65"/>
      <c r="AHC65"/>
      <c r="AHD65"/>
      <c r="AHE65"/>
      <c r="AHF65"/>
      <c r="AHG65"/>
      <c r="AHH65"/>
      <c r="AHI65"/>
      <c r="AHJ65"/>
      <c r="AHK65"/>
      <c r="AHL65"/>
      <c r="AHM65"/>
      <c r="AHN65"/>
      <c r="AHO65"/>
      <c r="AHP65"/>
      <c r="AHQ65"/>
      <c r="AHR65"/>
      <c r="AHS65"/>
      <c r="AHT65"/>
      <c r="AHU65"/>
      <c r="AHV65"/>
      <c r="AHW65"/>
      <c r="AHX65"/>
      <c r="AHY65"/>
      <c r="AHZ65"/>
      <c r="AIA65"/>
      <c r="AIB65"/>
      <c r="AIC65"/>
      <c r="AID65"/>
      <c r="AIE65"/>
      <c r="AIF65"/>
      <c r="AIG65"/>
      <c r="AIH65"/>
      <c r="AII65"/>
      <c r="AIJ65"/>
      <c r="AIK65"/>
      <c r="AIL65"/>
      <c r="AIM65"/>
      <c r="AIN65"/>
      <c r="AIO65"/>
      <c r="AIP65"/>
      <c r="AIQ65"/>
      <c r="AIR65"/>
      <c r="AIS65"/>
      <c r="AIT65"/>
      <c r="AIU65"/>
      <c r="AIV65"/>
      <c r="AIW65"/>
      <c r="AIX65"/>
      <c r="AIY65"/>
      <c r="AIZ65"/>
      <c r="AJA65"/>
      <c r="AJB65"/>
      <c r="AJC65"/>
      <c r="AJD65"/>
      <c r="AJE65"/>
      <c r="AJF65"/>
      <c r="AJG65"/>
      <c r="AJH65"/>
      <c r="AJI65"/>
      <c r="AJJ65"/>
      <c r="AJK65"/>
      <c r="AJL65"/>
      <c r="AJM65"/>
      <c r="AJN65"/>
      <c r="AJO65"/>
      <c r="AJP65"/>
      <c r="AJQ65"/>
      <c r="AJR65"/>
      <c r="AJS65"/>
      <c r="AJT65"/>
      <c r="AJU65"/>
      <c r="AJV65"/>
      <c r="AJW65"/>
      <c r="AJX65"/>
      <c r="AJY65"/>
      <c r="AJZ65"/>
      <c r="AKA65"/>
      <c r="AKB65"/>
      <c r="AKC65"/>
      <c r="AKD65"/>
      <c r="AKE65"/>
      <c r="AKF65"/>
      <c r="AKG65"/>
      <c r="AKH65"/>
      <c r="AKI65"/>
      <c r="AKJ65"/>
      <c r="AKK65"/>
      <c r="AKL65"/>
      <c r="AKM65"/>
      <c r="AKN65"/>
      <c r="AKO65"/>
      <c r="AKP65"/>
      <c r="AKQ65"/>
      <c r="AKR65"/>
      <c r="AKS65"/>
      <c r="AKT65"/>
      <c r="AKU65"/>
      <c r="AKV65"/>
      <c r="AKW65"/>
      <c r="AKX65"/>
      <c r="AKY65"/>
      <c r="AKZ65"/>
      <c r="ALA65"/>
      <c r="ALB65"/>
      <c r="ALC65"/>
      <c r="ALD65"/>
      <c r="ALE65"/>
      <c r="ALF65"/>
      <c r="ALG65"/>
      <c r="ALH65"/>
      <c r="ALI65"/>
      <c r="ALJ65"/>
      <c r="ALK65"/>
      <c r="ALL65"/>
      <c r="ALM65"/>
      <c r="ALN65"/>
      <c r="ALO65"/>
      <c r="ALP65"/>
      <c r="ALQ65"/>
      <c r="ALR65"/>
      <c r="ALS65"/>
      <c r="ALT65"/>
      <c r="ALU65"/>
      <c r="ALV65"/>
      <c r="ALW65"/>
      <c r="ALX65"/>
      <c r="ALY65"/>
      <c r="ALZ65"/>
      <c r="AMA65"/>
      <c r="AMB65"/>
      <c r="AMC65"/>
      <c r="AMD65"/>
      <c r="AME65"/>
      <c r="AMF65"/>
      <c r="AMG65"/>
      <c r="AMH65"/>
      <c r="AMI65"/>
      <c r="AMJ65"/>
      <c r="AMK65"/>
      <c r="AML65"/>
      <c r="AMM65"/>
      <c r="AMN65"/>
      <c r="AMO65"/>
      <c r="AMP65"/>
      <c r="AMQ65"/>
      <c r="AMR65"/>
      <c r="AMS65"/>
      <c r="AMT65"/>
      <c r="AMU65"/>
      <c r="AMV65"/>
      <c r="AMW65"/>
      <c r="AMX65"/>
      <c r="AMY65"/>
      <c r="AMZ65"/>
      <c r="ANA65"/>
      <c r="ANB65"/>
      <c r="ANC65"/>
      <c r="AND65"/>
      <c r="ANE65"/>
      <c r="ANF65"/>
      <c r="ANG65"/>
      <c r="ANH65"/>
      <c r="ANI65"/>
      <c r="ANJ65"/>
      <c r="ANK65"/>
      <c r="ANL65"/>
      <c r="ANM65"/>
      <c r="ANN65"/>
      <c r="ANO65"/>
      <c r="ANP65"/>
      <c r="ANQ65"/>
      <c r="ANR65"/>
      <c r="ANS65"/>
      <c r="ANT65"/>
      <c r="ANU65"/>
      <c r="ANV65"/>
      <c r="ANW65"/>
      <c r="ANX65"/>
      <c r="ANY65"/>
      <c r="ANZ65"/>
      <c r="AOA65"/>
      <c r="AOB65"/>
      <c r="AOC65"/>
      <c r="AOD65"/>
      <c r="AOE65"/>
      <c r="AOF65"/>
      <c r="AOG65"/>
      <c r="AOH65"/>
      <c r="AOI65"/>
      <c r="AOJ65"/>
      <c r="AOK65"/>
      <c r="AOL65"/>
      <c r="AOM65"/>
      <c r="AON65"/>
      <c r="AOO65"/>
      <c r="AOP65"/>
      <c r="AOQ65"/>
      <c r="AOR65"/>
      <c r="AOS65"/>
      <c r="AOT65"/>
      <c r="AOU65"/>
      <c r="AOV65"/>
      <c r="AOW65"/>
      <c r="AOX65"/>
      <c r="AOY65"/>
      <c r="AOZ65"/>
      <c r="APA65"/>
      <c r="APB65"/>
      <c r="APC65"/>
      <c r="APD65"/>
      <c r="APE65"/>
      <c r="APF65"/>
      <c r="APG65"/>
      <c r="APH65"/>
      <c r="API65"/>
      <c r="APJ65"/>
      <c r="APK65"/>
      <c r="APL65"/>
      <c r="APM65"/>
      <c r="APN65"/>
      <c r="APO65"/>
      <c r="APP65"/>
      <c r="APQ65"/>
      <c r="APR65"/>
      <c r="APS65"/>
      <c r="APT65"/>
      <c r="APU65"/>
      <c r="APV65"/>
      <c r="APW65"/>
      <c r="APX65"/>
      <c r="APY65"/>
      <c r="APZ65"/>
      <c r="AQA65"/>
      <c r="AQB65"/>
      <c r="AQC65"/>
      <c r="AQD65"/>
      <c r="AQE65"/>
      <c r="AQF65"/>
      <c r="AQG65"/>
      <c r="AQH65"/>
      <c r="AQI65"/>
      <c r="AQJ65"/>
      <c r="AQK65"/>
      <c r="AQL65"/>
      <c r="AQM65"/>
      <c r="AQN65"/>
      <c r="AQO65"/>
      <c r="AQP65"/>
      <c r="AQQ65"/>
      <c r="AQR65"/>
      <c r="AQS65"/>
      <c r="AQT65"/>
      <c r="AQU65"/>
      <c r="AQV65"/>
      <c r="AQW65"/>
      <c r="AQX65"/>
      <c r="AQY65"/>
      <c r="AQZ65"/>
      <c r="ARA65"/>
      <c r="ARB65"/>
      <c r="ARC65"/>
      <c r="ARD65"/>
      <c r="ARE65"/>
      <c r="ARF65"/>
      <c r="ARG65"/>
      <c r="ARH65"/>
      <c r="ARI65"/>
      <c r="ARJ65"/>
      <c r="ARK65"/>
      <c r="ARL65"/>
      <c r="ARM65"/>
      <c r="ARN65"/>
      <c r="ARO65"/>
      <c r="ARP65"/>
      <c r="ARQ65"/>
      <c r="ARR65"/>
      <c r="ARS65"/>
      <c r="ART65"/>
      <c r="ARU65"/>
      <c r="ARV65"/>
      <c r="ARW65"/>
      <c r="ARX65"/>
      <c r="ARY65"/>
      <c r="ARZ65"/>
      <c r="ASA65"/>
      <c r="ASB65"/>
      <c r="ASC65"/>
      <c r="ASD65"/>
      <c r="ASE65"/>
      <c r="ASF65"/>
      <c r="ASG65"/>
      <c r="ASH65"/>
      <c r="ASI65"/>
      <c r="ASJ65"/>
      <c r="ASK65"/>
      <c r="ASL65"/>
      <c r="ASM65"/>
      <c r="ASN65"/>
      <c r="ASO65"/>
      <c r="ASP65"/>
      <c r="ASQ65"/>
      <c r="ASR65"/>
      <c r="ASS65"/>
      <c r="AST65"/>
      <c r="ASU65"/>
      <c r="ASV65"/>
      <c r="ASW65"/>
      <c r="ASX65"/>
      <c r="ASY65"/>
      <c r="ASZ65"/>
      <c r="ATA65"/>
      <c r="ATB65"/>
      <c r="ATC65"/>
      <c r="ATD65"/>
      <c r="ATE65"/>
      <c r="ATF65"/>
      <c r="ATG65"/>
      <c r="ATH65"/>
      <c r="ATI65"/>
      <c r="ATJ65"/>
      <c r="ATK65"/>
      <c r="ATL65"/>
      <c r="ATM65"/>
      <c r="ATN65"/>
      <c r="ATO65"/>
      <c r="ATP65"/>
      <c r="ATQ65"/>
      <c r="ATR65"/>
      <c r="ATS65"/>
      <c r="ATT65"/>
      <c r="ATU65"/>
      <c r="ATV65"/>
      <c r="ATW65"/>
      <c r="ATX65"/>
      <c r="ATY65"/>
      <c r="ATZ65"/>
      <c r="AUA65"/>
      <c r="AUB65"/>
      <c r="AUC65"/>
      <c r="AUD65"/>
      <c r="AUE65"/>
      <c r="AUF65"/>
      <c r="AUG65"/>
      <c r="AUH65"/>
      <c r="AUI65"/>
      <c r="AUJ65"/>
      <c r="AUK65"/>
      <c r="AUL65"/>
      <c r="AUM65"/>
      <c r="AUN65"/>
      <c r="AUO65"/>
      <c r="AUP65"/>
      <c r="AUQ65"/>
      <c r="AUR65"/>
      <c r="AUS65"/>
      <c r="AUT65"/>
      <c r="AUU65"/>
      <c r="AUV65"/>
      <c r="AUW65"/>
      <c r="AUX65"/>
      <c r="AUY65"/>
      <c r="AUZ65"/>
      <c r="AVA65"/>
      <c r="AVB65"/>
      <c r="AVC65"/>
      <c r="AVD65"/>
      <c r="AVE65"/>
      <c r="AVF65"/>
      <c r="AVG65"/>
      <c r="AVH65"/>
      <c r="AVI65"/>
      <c r="AVJ65"/>
      <c r="AVK65"/>
      <c r="AVL65"/>
      <c r="AVM65"/>
      <c r="AVN65"/>
      <c r="AVO65"/>
      <c r="AVP65"/>
      <c r="AVQ65"/>
      <c r="AVR65"/>
      <c r="AVS65"/>
      <c r="AVT65"/>
      <c r="AVU65"/>
      <c r="AVV65"/>
      <c r="AVW65"/>
      <c r="AVX65"/>
      <c r="AVY65"/>
      <c r="AVZ65"/>
      <c r="AWA65"/>
      <c r="AWB65"/>
      <c r="AWC65"/>
      <c r="AWD65"/>
      <c r="AWE65"/>
      <c r="AWF65"/>
      <c r="AWG65"/>
      <c r="AWH65"/>
      <c r="AWI65"/>
      <c r="AWJ65"/>
      <c r="AWK65"/>
      <c r="AWL65"/>
      <c r="AWM65"/>
      <c r="AWN65"/>
      <c r="AWO65"/>
      <c r="AWP65"/>
      <c r="AWQ65"/>
      <c r="AWR65"/>
      <c r="AWS65"/>
      <c r="AWT65"/>
      <c r="AWU65"/>
      <c r="AWV65"/>
      <c r="AWW65"/>
      <c r="AWX65"/>
      <c r="AWY65"/>
      <c r="AWZ65"/>
      <c r="AXA65"/>
      <c r="AXB65"/>
      <c r="AXC65"/>
      <c r="AXD65"/>
      <c r="AXE65"/>
      <c r="AXF65"/>
      <c r="AXG65"/>
      <c r="AXH65"/>
      <c r="AXI65"/>
      <c r="AXJ65"/>
      <c r="AXK65"/>
      <c r="AXL65"/>
      <c r="AXM65"/>
      <c r="AXN65"/>
      <c r="AXO65"/>
      <c r="AXP65"/>
      <c r="AXQ65"/>
      <c r="AXR65"/>
      <c r="AXS65"/>
      <c r="AXT65"/>
      <c r="AXU65"/>
      <c r="AXV65"/>
      <c r="AXW65"/>
      <c r="AXX65"/>
      <c r="AXY65"/>
      <c r="AXZ65"/>
      <c r="AYA65"/>
      <c r="AYB65"/>
      <c r="AYC65"/>
      <c r="AYD65"/>
      <c r="AYE65"/>
      <c r="AYF65"/>
      <c r="AYG65"/>
      <c r="AYH65"/>
      <c r="AYI65"/>
      <c r="AYJ65"/>
      <c r="AYK65"/>
      <c r="AYL65"/>
      <c r="AYM65"/>
      <c r="AYN65"/>
      <c r="AYO65"/>
      <c r="AYP65"/>
      <c r="AYQ65"/>
      <c r="AYR65"/>
      <c r="AYS65"/>
      <c r="AYT65"/>
      <c r="AYU65"/>
      <c r="AYV65"/>
      <c r="AYW65"/>
      <c r="AYX65"/>
      <c r="AYY65"/>
      <c r="AYZ65"/>
      <c r="AZA65"/>
      <c r="AZB65"/>
      <c r="AZC65"/>
      <c r="AZD65"/>
      <c r="AZE65"/>
      <c r="AZF65"/>
      <c r="AZG65"/>
      <c r="AZH65"/>
      <c r="AZI65"/>
      <c r="AZJ65"/>
      <c r="AZK65"/>
      <c r="AZL65"/>
      <c r="AZM65"/>
      <c r="AZN65"/>
      <c r="AZO65"/>
      <c r="AZP65"/>
      <c r="AZQ65"/>
      <c r="AZR65"/>
      <c r="AZS65"/>
      <c r="AZT65"/>
      <c r="AZU65"/>
      <c r="AZV65"/>
      <c r="AZW65"/>
      <c r="AZX65"/>
      <c r="AZY65"/>
      <c r="AZZ65"/>
      <c r="BAA65"/>
      <c r="BAB65"/>
      <c r="BAC65"/>
      <c r="BAD65"/>
      <c r="BAE65"/>
      <c r="BAF65"/>
      <c r="BAG65"/>
      <c r="BAH65"/>
      <c r="BAI65"/>
      <c r="BAJ65"/>
      <c r="BAK65"/>
      <c r="BAL65"/>
      <c r="BAM65"/>
      <c r="BAN65"/>
      <c r="BAO65"/>
      <c r="BAP65"/>
      <c r="BAQ65"/>
      <c r="BAR65"/>
      <c r="BAS65"/>
      <c r="BAT65"/>
      <c r="BAU65"/>
      <c r="BAV65"/>
      <c r="BAW65"/>
      <c r="BAX65"/>
      <c r="BAY65"/>
      <c r="BAZ65"/>
      <c r="BBA65"/>
      <c r="BBB65"/>
      <c r="BBC65"/>
      <c r="BBD65"/>
      <c r="BBE65"/>
      <c r="BBF65"/>
      <c r="BBG65"/>
      <c r="BBH65"/>
      <c r="BBI65"/>
      <c r="BBJ65"/>
      <c r="BBK65"/>
      <c r="BBL65"/>
      <c r="BBM65"/>
      <c r="BBN65"/>
      <c r="BBO65"/>
      <c r="BBP65"/>
      <c r="BBQ65"/>
      <c r="BBR65"/>
      <c r="BBS65"/>
      <c r="BBT65"/>
      <c r="BBU65"/>
      <c r="BBV65"/>
      <c r="BBW65"/>
      <c r="BBX65"/>
      <c r="BBY65"/>
      <c r="BBZ65"/>
      <c r="BCA65"/>
      <c r="BCB65"/>
      <c r="BCC65"/>
      <c r="BCD65"/>
      <c r="BCE65"/>
      <c r="BCF65"/>
      <c r="BCG65"/>
      <c r="BCH65"/>
      <c r="BCI65"/>
      <c r="BCJ65"/>
      <c r="BCK65"/>
      <c r="BCL65"/>
      <c r="BCM65"/>
      <c r="BCN65"/>
      <c r="BCO65"/>
      <c r="BCP65"/>
      <c r="BCQ65"/>
      <c r="BCR65"/>
      <c r="BCS65"/>
      <c r="BCT65"/>
      <c r="BCU65"/>
      <c r="BCV65"/>
      <c r="BCW65"/>
      <c r="BCX65"/>
      <c r="BCY65"/>
      <c r="BCZ65"/>
      <c r="BDA65"/>
      <c r="BDB65"/>
      <c r="BDC65"/>
      <c r="BDD65"/>
      <c r="BDE65"/>
      <c r="BDF65"/>
      <c r="BDG65"/>
      <c r="BDH65"/>
      <c r="BDI65"/>
      <c r="BDJ65"/>
      <c r="BDK65"/>
      <c r="BDL65"/>
      <c r="BDM65"/>
      <c r="BDN65"/>
      <c r="BDO65"/>
      <c r="BDP65"/>
      <c r="BDQ65"/>
      <c r="BDR65"/>
      <c r="BDS65"/>
      <c r="BDT65"/>
      <c r="BDU65"/>
      <c r="BDV65"/>
      <c r="BDW65"/>
      <c r="BDX65"/>
      <c r="BDY65"/>
      <c r="BDZ65"/>
      <c r="BEA65"/>
      <c r="BEB65"/>
      <c r="BEC65"/>
      <c r="BED65"/>
      <c r="BEE65"/>
      <c r="BEF65"/>
      <c r="BEG65"/>
      <c r="BEH65"/>
      <c r="BEI65"/>
      <c r="BEJ65"/>
      <c r="BEK65"/>
      <c r="BEL65"/>
      <c r="BEM65"/>
      <c r="BEN65"/>
      <c r="BEO65"/>
      <c r="BEP65"/>
      <c r="BEQ65"/>
      <c r="BER65"/>
      <c r="BES65"/>
      <c r="BET65"/>
      <c r="BEU65"/>
      <c r="BEV65"/>
      <c r="BEW65"/>
      <c r="BEX65"/>
      <c r="BEY65"/>
      <c r="BEZ65"/>
      <c r="BFA65"/>
      <c r="BFB65"/>
      <c r="BFC65"/>
      <c r="BFD65"/>
      <c r="BFE65"/>
      <c r="BFF65"/>
      <c r="BFG65"/>
      <c r="BFH65"/>
      <c r="BFI65"/>
      <c r="BFJ65"/>
      <c r="BFK65"/>
      <c r="BFL65"/>
      <c r="BFM65"/>
      <c r="BFN65"/>
      <c r="BFO65"/>
      <c r="BFP65"/>
      <c r="BFQ65"/>
      <c r="BFR65"/>
      <c r="BFS65"/>
      <c r="BFT65"/>
      <c r="BFU65"/>
      <c r="BFV65"/>
      <c r="BFW65"/>
      <c r="BFX65"/>
      <c r="BFY65"/>
      <c r="BFZ65"/>
      <c r="BGA65"/>
      <c r="BGB65"/>
      <c r="BGC65"/>
      <c r="BGD65"/>
      <c r="BGE65"/>
      <c r="BGF65"/>
      <c r="BGG65"/>
      <c r="BGH65"/>
      <c r="BGI65"/>
      <c r="BGJ65"/>
      <c r="BGK65"/>
      <c r="BGL65"/>
      <c r="BGM65"/>
      <c r="BGN65"/>
      <c r="BGO65"/>
      <c r="BGP65"/>
      <c r="BGQ65"/>
      <c r="BGR65"/>
      <c r="BGS65"/>
      <c r="BGT65"/>
      <c r="BGU65"/>
      <c r="BGV65"/>
      <c r="BGW65"/>
      <c r="BGX65"/>
      <c r="BGY65"/>
      <c r="BGZ65"/>
      <c r="BHA65"/>
      <c r="BHB65"/>
      <c r="BHC65"/>
      <c r="BHD65"/>
      <c r="BHE65"/>
      <c r="BHF65"/>
      <c r="BHG65"/>
      <c r="BHH65"/>
      <c r="BHI65"/>
      <c r="BHJ65"/>
      <c r="BHK65"/>
      <c r="BHL65"/>
      <c r="BHM65"/>
      <c r="BHN65"/>
      <c r="BHO65"/>
      <c r="BHP65"/>
      <c r="BHQ65"/>
      <c r="BHR65"/>
      <c r="BHS65"/>
      <c r="BHT65"/>
      <c r="BHU65"/>
      <c r="BHV65"/>
      <c r="BHW65"/>
      <c r="BHX65"/>
      <c r="BHY65"/>
      <c r="BHZ65"/>
      <c r="BIA65"/>
      <c r="BIB65"/>
      <c r="BIC65"/>
      <c r="BID65"/>
      <c r="BIE65"/>
      <c r="BIF65"/>
      <c r="BIG65"/>
      <c r="BIH65"/>
      <c r="BII65"/>
      <c r="BIJ65"/>
      <c r="BIK65"/>
      <c r="BIL65"/>
      <c r="BIM65"/>
      <c r="BIN65"/>
      <c r="BIO65"/>
      <c r="BIP65"/>
      <c r="BIQ65"/>
      <c r="BIR65"/>
      <c r="BIS65"/>
      <c r="BIT65"/>
      <c r="BIU65"/>
      <c r="BIV65"/>
      <c r="BIW65"/>
      <c r="BIX65"/>
      <c r="BIY65"/>
      <c r="BIZ65"/>
      <c r="BJA65"/>
      <c r="BJB65"/>
      <c r="BJC65"/>
      <c r="BJD65"/>
      <c r="BJE65"/>
      <c r="BJF65"/>
      <c r="BJG65"/>
      <c r="BJH65"/>
      <c r="BJI65"/>
      <c r="BJJ65"/>
      <c r="BJK65"/>
      <c r="BJL65"/>
      <c r="BJM65"/>
      <c r="BJN65"/>
      <c r="BJO65"/>
      <c r="BJP65"/>
      <c r="BJQ65"/>
      <c r="BJR65"/>
      <c r="BJS65"/>
      <c r="BJT65"/>
      <c r="BJU65"/>
      <c r="BJV65"/>
      <c r="BJW65"/>
      <c r="BJX65"/>
      <c r="BJY65"/>
      <c r="BJZ65"/>
      <c r="BKA65"/>
      <c r="BKB65"/>
      <c r="BKC65"/>
      <c r="BKD65"/>
      <c r="BKE65"/>
      <c r="BKF65"/>
      <c r="BKG65"/>
      <c r="BKH65"/>
      <c r="BKI65"/>
      <c r="BKJ65"/>
      <c r="BKK65"/>
      <c r="BKL65"/>
      <c r="BKM65"/>
      <c r="BKN65"/>
      <c r="BKO65"/>
      <c r="BKP65"/>
      <c r="BKQ65"/>
      <c r="BKR65"/>
      <c r="BKS65"/>
      <c r="BKT65"/>
      <c r="BKU65"/>
      <c r="BKV65"/>
      <c r="BKW65"/>
      <c r="BKX65"/>
      <c r="BKY65"/>
      <c r="BKZ65"/>
      <c r="BLA65"/>
      <c r="BLB65"/>
      <c r="BLC65"/>
      <c r="BLD65"/>
      <c r="BLE65"/>
      <c r="BLF65"/>
      <c r="BLG65"/>
      <c r="BLH65"/>
      <c r="BLI65"/>
      <c r="BLJ65"/>
      <c r="BLK65"/>
      <c r="BLL65"/>
      <c r="BLM65"/>
      <c r="BLN65"/>
      <c r="BLO65"/>
      <c r="BLP65"/>
      <c r="BLQ65"/>
      <c r="BLR65"/>
      <c r="BLS65"/>
      <c r="BLT65"/>
      <c r="BLU65"/>
      <c r="BLV65"/>
      <c r="BLW65"/>
      <c r="BLX65"/>
      <c r="BLY65"/>
      <c r="BLZ65"/>
      <c r="BMA65"/>
      <c r="BMB65"/>
      <c r="BMC65"/>
      <c r="BMD65"/>
      <c r="BME65"/>
      <c r="BMF65"/>
      <c r="BMG65"/>
      <c r="BMH65"/>
      <c r="BMI65"/>
      <c r="BMJ65"/>
      <c r="BMK65"/>
      <c r="BML65"/>
      <c r="BMM65"/>
      <c r="BMN65"/>
      <c r="BMO65"/>
      <c r="BMP65"/>
      <c r="BMQ65"/>
      <c r="BMR65"/>
      <c r="BMS65"/>
      <c r="BMT65"/>
      <c r="BMU65"/>
      <c r="BMV65"/>
      <c r="BMW65"/>
      <c r="BMX65"/>
      <c r="BMY65"/>
      <c r="BMZ65"/>
      <c r="BNA65"/>
      <c r="BNB65"/>
      <c r="BNC65"/>
      <c r="BND65"/>
      <c r="BNE65"/>
      <c r="BNF65"/>
      <c r="BNG65"/>
      <c r="BNH65"/>
      <c r="BNI65"/>
      <c r="BNJ65"/>
      <c r="BNK65"/>
      <c r="BNL65"/>
      <c r="BNM65"/>
      <c r="BNN65"/>
      <c r="BNO65"/>
      <c r="BNP65"/>
      <c r="BNQ65"/>
      <c r="BNR65"/>
      <c r="BNS65"/>
      <c r="BNT65"/>
      <c r="BNU65"/>
      <c r="BNV65"/>
      <c r="BNW65"/>
      <c r="BNX65"/>
      <c r="BNY65"/>
      <c r="BNZ65"/>
      <c r="BOA65"/>
      <c r="BOB65"/>
      <c r="BOC65"/>
      <c r="BOD65"/>
      <c r="BOE65"/>
      <c r="BOF65"/>
      <c r="BOG65"/>
      <c r="BOH65"/>
      <c r="BOI65"/>
      <c r="BOJ65"/>
      <c r="BOK65"/>
      <c r="BOL65"/>
      <c r="BOM65"/>
      <c r="BON65"/>
      <c r="BOO65"/>
      <c r="BOP65"/>
      <c r="BOQ65"/>
      <c r="BOR65"/>
      <c r="BOS65"/>
      <c r="BOT65"/>
      <c r="BOU65"/>
      <c r="BOV65"/>
      <c r="BOW65"/>
      <c r="BOX65"/>
      <c r="BOY65"/>
      <c r="BOZ65"/>
      <c r="BPA65"/>
      <c r="BPB65"/>
      <c r="BPC65"/>
      <c r="BPD65"/>
      <c r="BPE65"/>
      <c r="BPF65"/>
      <c r="BPG65"/>
      <c r="BPH65"/>
      <c r="BPI65"/>
      <c r="BPJ65"/>
      <c r="BPK65"/>
      <c r="BPL65"/>
      <c r="BPM65"/>
      <c r="BPN65"/>
      <c r="BPO65"/>
      <c r="BPP65"/>
      <c r="BPQ65"/>
      <c r="BPR65"/>
      <c r="BPS65"/>
      <c r="BPT65"/>
      <c r="BPU65"/>
      <c r="BPV65"/>
      <c r="BPW65"/>
      <c r="BPX65"/>
      <c r="BPY65"/>
      <c r="BPZ65"/>
      <c r="BQA65"/>
      <c r="BQB65"/>
      <c r="BQC65"/>
      <c r="BQD65"/>
      <c r="BQE65"/>
      <c r="BQF65"/>
      <c r="BQG65"/>
      <c r="BQH65"/>
      <c r="BQI65"/>
      <c r="BQJ65"/>
      <c r="BQK65"/>
      <c r="BQL65"/>
      <c r="BQM65"/>
      <c r="BQN65"/>
      <c r="BQO65"/>
      <c r="BQP65"/>
      <c r="BQQ65"/>
      <c r="BQR65"/>
      <c r="BQS65"/>
      <c r="BQT65"/>
      <c r="BQU65"/>
      <c r="BQV65"/>
      <c r="BQW65"/>
      <c r="BQX65"/>
      <c r="BQY65"/>
      <c r="BQZ65"/>
      <c r="BRA65"/>
      <c r="BRB65"/>
      <c r="BRC65"/>
      <c r="BRD65"/>
      <c r="BRE65"/>
      <c r="BRF65"/>
      <c r="BRG65"/>
      <c r="BRH65"/>
      <c r="BRI65"/>
      <c r="BRJ65"/>
      <c r="BRK65"/>
      <c r="BRL65"/>
      <c r="BRM65"/>
      <c r="BRN65"/>
      <c r="BRO65"/>
      <c r="BRP65"/>
      <c r="BRQ65"/>
      <c r="BRR65"/>
      <c r="BRS65"/>
      <c r="BRT65"/>
      <c r="BRU65"/>
      <c r="BRV65"/>
      <c r="BRW65"/>
      <c r="BRX65"/>
      <c r="BRY65"/>
      <c r="BRZ65"/>
      <c r="BSA65"/>
      <c r="BSB65"/>
      <c r="BSC65"/>
      <c r="BSD65"/>
      <c r="BSE65"/>
      <c r="BSF65"/>
      <c r="BSG65"/>
      <c r="BSH65"/>
      <c r="BSI65"/>
      <c r="BSJ65"/>
      <c r="BSK65"/>
      <c r="BSL65"/>
      <c r="BSM65"/>
      <c r="BSN65"/>
      <c r="BSO65"/>
      <c r="BSP65"/>
      <c r="BSQ65"/>
      <c r="BSR65"/>
      <c r="BSS65"/>
      <c r="BST65"/>
      <c r="BSU65"/>
      <c r="BSV65"/>
      <c r="BSW65"/>
      <c r="BSX65"/>
      <c r="BSY65"/>
      <c r="BSZ65"/>
      <c r="BTA65"/>
      <c r="BTB65"/>
      <c r="BTC65"/>
      <c r="BTD65"/>
      <c r="BTE65"/>
      <c r="BTF65"/>
      <c r="BTG65"/>
      <c r="BTH65"/>
      <c r="BTI65"/>
      <c r="BTJ65"/>
      <c r="BTK65"/>
      <c r="BTL65"/>
      <c r="BTM65"/>
      <c r="BTN65"/>
      <c r="BTO65"/>
      <c r="BTP65"/>
      <c r="BTQ65"/>
      <c r="BTR65"/>
      <c r="BTS65"/>
      <c r="BTT65"/>
      <c r="BTU65"/>
      <c r="BTV65"/>
      <c r="BTW65"/>
      <c r="BTX65"/>
      <c r="BTY65"/>
      <c r="BTZ65"/>
      <c r="BUA65"/>
      <c r="BUB65"/>
      <c r="BUC65"/>
      <c r="BUD65"/>
      <c r="BUE65"/>
      <c r="BUF65"/>
      <c r="BUG65"/>
      <c r="BUH65"/>
      <c r="BUI65"/>
      <c r="BUJ65"/>
      <c r="BUK65"/>
      <c r="BUL65"/>
      <c r="BUM65"/>
      <c r="BUN65"/>
      <c r="BUO65"/>
      <c r="BUP65"/>
      <c r="BUQ65"/>
      <c r="BUR65"/>
      <c r="BUS65"/>
      <c r="BUT65"/>
      <c r="BUU65"/>
      <c r="BUV65"/>
      <c r="BUW65"/>
      <c r="BUX65"/>
      <c r="BUY65"/>
      <c r="BUZ65"/>
      <c r="BVA65"/>
      <c r="BVB65"/>
      <c r="BVC65"/>
      <c r="BVD65"/>
      <c r="BVE65"/>
      <c r="BVF65"/>
      <c r="BVG65"/>
      <c r="BVH65"/>
      <c r="BVI65"/>
      <c r="BVJ65"/>
      <c r="BVK65"/>
      <c r="BVL65"/>
      <c r="BVM65"/>
      <c r="BVN65"/>
      <c r="BVO65"/>
      <c r="BVP65"/>
      <c r="BVQ65"/>
      <c r="BVR65"/>
      <c r="BVS65"/>
      <c r="BVT65"/>
      <c r="BVU65"/>
      <c r="BVV65"/>
      <c r="BVW65"/>
      <c r="BVX65"/>
      <c r="BVY65"/>
      <c r="BVZ65"/>
      <c r="BWA65"/>
      <c r="BWB65"/>
      <c r="BWC65"/>
      <c r="BWD65"/>
      <c r="BWE65"/>
      <c r="BWF65"/>
      <c r="BWG65"/>
      <c r="BWH65"/>
      <c r="BWI65"/>
      <c r="BWJ65"/>
      <c r="BWK65"/>
      <c r="BWL65"/>
      <c r="BWM65"/>
      <c r="BWN65"/>
      <c r="BWO65"/>
      <c r="BWP65"/>
      <c r="BWQ65"/>
      <c r="BWR65"/>
      <c r="BWS65"/>
      <c r="BWT65"/>
      <c r="BWU65"/>
      <c r="BWV65"/>
      <c r="BWW65"/>
      <c r="BWX65"/>
      <c r="BWY65"/>
      <c r="BWZ65"/>
      <c r="BXA65"/>
      <c r="BXB65"/>
      <c r="BXC65"/>
      <c r="BXD65"/>
      <c r="BXE65"/>
      <c r="BXF65"/>
      <c r="BXG65"/>
      <c r="BXH65"/>
      <c r="BXI65"/>
      <c r="BXJ65"/>
      <c r="BXK65"/>
      <c r="BXL65"/>
      <c r="BXM65"/>
      <c r="BXN65"/>
      <c r="BXO65"/>
      <c r="BXP65"/>
      <c r="BXQ65"/>
      <c r="BXR65"/>
      <c r="BXS65"/>
      <c r="BXT65"/>
      <c r="BXU65"/>
      <c r="BXV65"/>
      <c r="BXW65"/>
      <c r="BXX65"/>
      <c r="BXY65"/>
      <c r="BXZ65"/>
      <c r="BYA65"/>
      <c r="BYB65"/>
      <c r="BYC65"/>
      <c r="BYD65"/>
      <c r="BYE65"/>
      <c r="BYF65"/>
      <c r="BYG65"/>
      <c r="BYH65"/>
      <c r="BYI65"/>
      <c r="BYJ65"/>
      <c r="BYK65"/>
      <c r="BYL65"/>
      <c r="BYM65"/>
      <c r="BYN65"/>
      <c r="BYO65"/>
      <c r="BYP65"/>
      <c r="BYQ65"/>
      <c r="BYR65"/>
      <c r="BYS65"/>
      <c r="BYT65"/>
      <c r="BYU65"/>
      <c r="BYV65"/>
      <c r="BYW65"/>
      <c r="BYX65"/>
      <c r="BYY65"/>
      <c r="BYZ65"/>
      <c r="BZA65"/>
      <c r="BZB65"/>
      <c r="BZC65"/>
      <c r="BZD65"/>
      <c r="BZE65"/>
      <c r="BZF65"/>
      <c r="BZG65"/>
      <c r="BZH65"/>
      <c r="BZI65"/>
      <c r="BZJ65"/>
      <c r="BZK65"/>
      <c r="BZL65"/>
      <c r="BZM65"/>
      <c r="BZN65"/>
      <c r="BZO65"/>
      <c r="BZP65"/>
      <c r="BZQ65"/>
      <c r="BZR65"/>
      <c r="BZS65"/>
      <c r="BZT65"/>
      <c r="BZU65"/>
      <c r="BZV65"/>
      <c r="BZW65"/>
      <c r="BZX65"/>
      <c r="BZY65"/>
      <c r="BZZ65"/>
      <c r="CAA65"/>
      <c r="CAB65"/>
      <c r="CAC65"/>
      <c r="CAD65"/>
      <c r="CAE65"/>
      <c r="CAF65"/>
      <c r="CAG65"/>
      <c r="CAH65"/>
      <c r="CAI65"/>
      <c r="CAJ65"/>
      <c r="CAK65"/>
      <c r="CAL65"/>
      <c r="CAM65"/>
      <c r="CAN65"/>
      <c r="CAO65"/>
      <c r="CAP65"/>
      <c r="CAQ65"/>
      <c r="CAR65"/>
      <c r="CAS65"/>
      <c r="CAT65"/>
      <c r="CAU65"/>
      <c r="CAV65"/>
      <c r="CAW65"/>
      <c r="CAX65"/>
      <c r="CAY65"/>
      <c r="CAZ65"/>
      <c r="CBA65"/>
      <c r="CBB65"/>
      <c r="CBC65"/>
      <c r="CBD65"/>
      <c r="CBE65"/>
      <c r="CBF65"/>
      <c r="CBG65"/>
      <c r="CBH65"/>
      <c r="CBI65"/>
      <c r="CBJ65"/>
      <c r="CBK65"/>
      <c r="CBL65"/>
      <c r="CBM65"/>
      <c r="CBN65"/>
      <c r="CBO65"/>
      <c r="CBP65"/>
      <c r="CBQ65"/>
      <c r="CBR65"/>
      <c r="CBS65"/>
      <c r="CBT65"/>
      <c r="CBU65"/>
      <c r="CBV65"/>
      <c r="CBW65"/>
      <c r="CBX65"/>
      <c r="CBY65"/>
      <c r="CBZ65"/>
      <c r="CCA65"/>
      <c r="CCB65"/>
      <c r="CCC65"/>
      <c r="CCD65"/>
      <c r="CCE65"/>
      <c r="CCF65"/>
      <c r="CCG65"/>
      <c r="CCH65"/>
      <c r="CCI65"/>
      <c r="CCJ65"/>
      <c r="CCK65"/>
      <c r="CCL65"/>
      <c r="CCM65"/>
      <c r="CCN65"/>
      <c r="CCO65"/>
      <c r="CCP65"/>
      <c r="CCQ65"/>
      <c r="CCR65"/>
      <c r="CCS65"/>
      <c r="CCT65"/>
      <c r="CCU65"/>
      <c r="CCV65"/>
      <c r="CCW65"/>
      <c r="CCX65"/>
      <c r="CCY65"/>
      <c r="CCZ65"/>
      <c r="CDA65"/>
      <c r="CDB65"/>
      <c r="CDC65"/>
      <c r="CDD65"/>
      <c r="CDE65"/>
      <c r="CDF65"/>
      <c r="CDG65"/>
      <c r="CDH65"/>
      <c r="CDI65"/>
      <c r="CDJ65"/>
      <c r="CDK65"/>
      <c r="CDL65"/>
      <c r="CDM65"/>
      <c r="CDN65"/>
      <c r="CDO65"/>
      <c r="CDP65"/>
      <c r="CDQ65"/>
      <c r="CDR65"/>
      <c r="CDS65"/>
      <c r="CDT65"/>
      <c r="CDU65"/>
      <c r="CDV65"/>
      <c r="CDW65"/>
      <c r="CDX65"/>
      <c r="CDY65"/>
      <c r="CDZ65"/>
      <c r="CEA65"/>
      <c r="CEB65"/>
      <c r="CEC65"/>
      <c r="CED65"/>
      <c r="CEE65"/>
      <c r="CEF65"/>
      <c r="CEG65"/>
      <c r="CEH65"/>
      <c r="CEI65"/>
      <c r="CEJ65"/>
      <c r="CEK65"/>
      <c r="CEL65"/>
      <c r="CEM65"/>
      <c r="CEN65"/>
      <c r="CEO65"/>
      <c r="CEP65"/>
      <c r="CEQ65"/>
      <c r="CER65"/>
      <c r="CES65"/>
      <c r="CET65"/>
      <c r="CEU65"/>
      <c r="CEV65"/>
      <c r="CEW65"/>
      <c r="CEX65"/>
      <c r="CEY65"/>
      <c r="CEZ65"/>
      <c r="CFA65"/>
      <c r="CFB65"/>
      <c r="CFC65"/>
      <c r="CFD65"/>
      <c r="CFE65"/>
      <c r="CFF65"/>
      <c r="CFG65"/>
      <c r="CFH65"/>
      <c r="CFI65"/>
      <c r="CFJ65"/>
      <c r="CFK65"/>
      <c r="CFL65"/>
      <c r="CFM65"/>
      <c r="CFN65"/>
      <c r="CFO65"/>
      <c r="CFP65"/>
      <c r="CFQ65"/>
      <c r="CFR65"/>
      <c r="CFS65"/>
      <c r="CFT65"/>
      <c r="CFU65"/>
      <c r="CFV65"/>
      <c r="CFW65"/>
      <c r="CFX65"/>
      <c r="CFY65"/>
      <c r="CFZ65"/>
      <c r="CGA65"/>
      <c r="CGB65"/>
      <c r="CGC65"/>
      <c r="CGD65"/>
      <c r="CGE65"/>
      <c r="CGF65"/>
      <c r="CGG65"/>
      <c r="CGH65"/>
      <c r="CGI65"/>
      <c r="CGJ65"/>
      <c r="CGK65"/>
      <c r="CGL65"/>
      <c r="CGM65"/>
      <c r="CGN65"/>
      <c r="CGO65"/>
      <c r="CGP65"/>
      <c r="CGQ65"/>
      <c r="CGR65"/>
      <c r="CGS65"/>
      <c r="CGT65"/>
      <c r="CGU65"/>
      <c r="CGV65"/>
      <c r="CGW65"/>
      <c r="CGX65"/>
      <c r="CGY65"/>
      <c r="CGZ65"/>
      <c r="CHA65"/>
      <c r="CHB65"/>
      <c r="CHC65"/>
      <c r="CHD65"/>
      <c r="CHE65"/>
      <c r="CHF65"/>
      <c r="CHG65"/>
      <c r="CHH65"/>
      <c r="CHI65"/>
      <c r="CHJ65"/>
      <c r="CHK65"/>
      <c r="CHL65"/>
      <c r="CHM65"/>
      <c r="CHN65"/>
      <c r="CHO65"/>
      <c r="CHP65"/>
      <c r="CHQ65"/>
      <c r="CHR65"/>
      <c r="CHS65"/>
      <c r="CHT65"/>
      <c r="CHU65"/>
      <c r="CHV65"/>
      <c r="CHW65"/>
      <c r="CHX65"/>
      <c r="CHY65"/>
      <c r="CHZ65"/>
      <c r="CIA65"/>
      <c r="CIB65"/>
      <c r="CIC65"/>
      <c r="CID65"/>
      <c r="CIE65"/>
      <c r="CIF65"/>
      <c r="CIG65"/>
      <c r="CIH65"/>
      <c r="CII65"/>
      <c r="CIJ65"/>
      <c r="CIK65"/>
      <c r="CIL65"/>
      <c r="CIM65"/>
      <c r="CIN65"/>
      <c r="CIO65"/>
      <c r="CIP65"/>
      <c r="CIQ65"/>
      <c r="CIR65"/>
      <c r="CIS65"/>
      <c r="CIT65"/>
      <c r="CIU65"/>
      <c r="CIV65"/>
      <c r="CIW65"/>
      <c r="CIX65"/>
      <c r="CIY65"/>
      <c r="CIZ65"/>
      <c r="CJA65"/>
      <c r="CJB65"/>
      <c r="CJC65"/>
      <c r="CJD65"/>
      <c r="CJE65"/>
      <c r="CJF65"/>
      <c r="CJG65"/>
      <c r="CJH65"/>
      <c r="CJI65"/>
      <c r="CJJ65"/>
      <c r="CJK65"/>
      <c r="CJL65"/>
      <c r="CJM65"/>
      <c r="CJN65"/>
      <c r="CJO65"/>
      <c r="CJP65"/>
      <c r="CJQ65"/>
      <c r="CJR65"/>
      <c r="CJS65"/>
      <c r="CJT65"/>
      <c r="CJU65"/>
      <c r="CJV65"/>
      <c r="CJW65"/>
      <c r="CJX65"/>
      <c r="CJY65"/>
      <c r="CJZ65"/>
      <c r="CKA65"/>
      <c r="CKB65"/>
      <c r="CKC65"/>
      <c r="CKD65"/>
      <c r="CKE65"/>
      <c r="CKF65"/>
      <c r="CKG65"/>
      <c r="CKH65"/>
      <c r="CKI65"/>
      <c r="CKJ65"/>
      <c r="CKK65"/>
      <c r="CKL65"/>
      <c r="CKM65"/>
      <c r="CKN65"/>
      <c r="CKO65"/>
      <c r="CKP65"/>
      <c r="CKQ65"/>
      <c r="CKR65"/>
      <c r="CKS65"/>
      <c r="CKT65"/>
      <c r="CKU65"/>
      <c r="CKV65"/>
      <c r="CKW65"/>
      <c r="CKX65"/>
      <c r="CKY65"/>
      <c r="CKZ65"/>
      <c r="CLA65"/>
      <c r="CLB65"/>
      <c r="CLC65"/>
      <c r="CLD65"/>
      <c r="CLE65"/>
      <c r="CLF65"/>
      <c r="CLG65"/>
      <c r="CLH65"/>
      <c r="CLI65"/>
      <c r="CLJ65"/>
      <c r="CLK65"/>
      <c r="CLL65"/>
      <c r="CLM65"/>
      <c r="CLN65"/>
      <c r="CLO65"/>
      <c r="CLP65"/>
      <c r="CLQ65"/>
      <c r="CLR65"/>
      <c r="CLS65"/>
      <c r="CLT65"/>
      <c r="CLU65"/>
      <c r="CLV65"/>
      <c r="CLW65"/>
      <c r="CLX65"/>
      <c r="CLY65"/>
      <c r="CLZ65"/>
      <c r="CMA65"/>
      <c r="CMB65"/>
      <c r="CMC65"/>
      <c r="CMD65"/>
      <c r="CME65"/>
      <c r="CMF65"/>
      <c r="CMG65"/>
      <c r="CMH65"/>
      <c r="CMI65"/>
      <c r="CMJ65"/>
      <c r="CMK65"/>
      <c r="CML65"/>
      <c r="CMM65"/>
      <c r="CMN65"/>
      <c r="CMO65"/>
      <c r="CMP65"/>
      <c r="CMQ65"/>
      <c r="CMR65"/>
      <c r="CMS65"/>
      <c r="CMT65"/>
      <c r="CMU65"/>
      <c r="CMV65"/>
      <c r="CMW65"/>
      <c r="CMX65"/>
      <c r="CMY65"/>
      <c r="CMZ65"/>
      <c r="CNA65"/>
      <c r="CNB65"/>
      <c r="CNC65"/>
      <c r="CND65"/>
      <c r="CNE65"/>
      <c r="CNF65"/>
      <c r="CNG65"/>
      <c r="CNH65"/>
      <c r="CNI65"/>
      <c r="CNJ65"/>
      <c r="CNK65"/>
      <c r="CNL65"/>
      <c r="CNM65"/>
      <c r="CNN65"/>
      <c r="CNO65"/>
      <c r="CNP65"/>
      <c r="CNQ65"/>
      <c r="CNR65"/>
      <c r="CNS65"/>
      <c r="CNT65"/>
      <c r="CNU65"/>
      <c r="CNV65"/>
      <c r="CNW65"/>
      <c r="CNX65"/>
      <c r="CNY65"/>
      <c r="CNZ65"/>
      <c r="COA65"/>
      <c r="COB65"/>
      <c r="COC65"/>
      <c r="COD65"/>
      <c r="COE65"/>
      <c r="COF65"/>
      <c r="COG65"/>
      <c r="COH65"/>
      <c r="COI65"/>
      <c r="COJ65"/>
      <c r="COK65"/>
      <c r="COL65"/>
      <c r="COM65"/>
      <c r="CON65"/>
      <c r="COO65"/>
      <c r="COP65"/>
      <c r="COQ65"/>
      <c r="COR65"/>
      <c r="COS65"/>
      <c r="COT65"/>
      <c r="COU65"/>
      <c r="COV65"/>
      <c r="COW65"/>
      <c r="COX65"/>
      <c r="COY65"/>
      <c r="COZ65"/>
      <c r="CPA65"/>
      <c r="CPB65"/>
      <c r="CPC65"/>
      <c r="CPD65"/>
      <c r="CPE65"/>
      <c r="CPF65"/>
      <c r="CPG65"/>
      <c r="CPH65"/>
      <c r="CPI65"/>
      <c r="CPJ65"/>
      <c r="CPK65"/>
      <c r="CPL65"/>
      <c r="CPM65"/>
      <c r="CPN65"/>
      <c r="CPO65"/>
      <c r="CPP65"/>
      <c r="CPQ65"/>
      <c r="CPR65"/>
      <c r="CPS65"/>
      <c r="CPT65"/>
      <c r="CPU65"/>
      <c r="CPV65"/>
      <c r="CPW65"/>
      <c r="CPX65"/>
      <c r="CPY65"/>
      <c r="CPZ65"/>
      <c r="CQA65"/>
      <c r="CQB65"/>
      <c r="CQC65"/>
      <c r="CQD65"/>
      <c r="CQE65"/>
      <c r="CQF65"/>
      <c r="CQG65"/>
      <c r="CQH65"/>
      <c r="CQI65"/>
      <c r="CQJ65"/>
      <c r="CQK65"/>
      <c r="CQL65"/>
      <c r="CQM65"/>
      <c r="CQN65"/>
      <c r="CQO65"/>
      <c r="CQP65"/>
      <c r="CQQ65"/>
      <c r="CQR65"/>
      <c r="CQS65"/>
      <c r="CQT65"/>
      <c r="CQU65"/>
      <c r="CQV65"/>
      <c r="CQW65"/>
      <c r="CQX65"/>
      <c r="CQY65"/>
      <c r="CQZ65"/>
      <c r="CRA65"/>
      <c r="CRB65"/>
      <c r="CRC65"/>
      <c r="CRD65"/>
      <c r="CRE65"/>
      <c r="CRF65"/>
      <c r="CRG65"/>
      <c r="CRH65"/>
      <c r="CRI65"/>
      <c r="CRJ65"/>
      <c r="CRK65"/>
      <c r="CRL65"/>
      <c r="CRM65"/>
      <c r="CRN65"/>
      <c r="CRO65"/>
      <c r="CRP65"/>
      <c r="CRQ65"/>
      <c r="CRR65"/>
      <c r="CRS65"/>
      <c r="CRT65"/>
      <c r="CRU65"/>
      <c r="CRV65"/>
      <c r="CRW65"/>
      <c r="CRX65"/>
      <c r="CRY65"/>
      <c r="CRZ65"/>
      <c r="CSA65"/>
      <c r="CSB65"/>
      <c r="CSC65"/>
      <c r="CSD65"/>
      <c r="CSE65"/>
      <c r="CSF65"/>
      <c r="CSG65"/>
      <c r="CSH65"/>
      <c r="CSI65"/>
      <c r="CSJ65"/>
      <c r="CSK65"/>
      <c r="CSL65"/>
      <c r="CSM65"/>
      <c r="CSN65"/>
      <c r="CSO65"/>
      <c r="CSP65"/>
      <c r="CSQ65"/>
      <c r="CSR65"/>
      <c r="CSS65"/>
      <c r="CST65"/>
      <c r="CSU65"/>
      <c r="CSV65"/>
      <c r="CSW65"/>
      <c r="CSX65"/>
      <c r="CSY65"/>
      <c r="CSZ65"/>
      <c r="CTA65"/>
      <c r="CTB65"/>
      <c r="CTC65"/>
      <c r="CTD65"/>
      <c r="CTE65"/>
      <c r="CTF65"/>
      <c r="CTG65"/>
      <c r="CTH65"/>
      <c r="CTI65"/>
      <c r="CTJ65"/>
      <c r="CTK65"/>
      <c r="CTL65"/>
      <c r="CTM65"/>
      <c r="CTN65"/>
      <c r="CTO65"/>
      <c r="CTP65"/>
      <c r="CTQ65"/>
      <c r="CTR65"/>
      <c r="CTS65"/>
      <c r="CTT65"/>
      <c r="CTU65"/>
      <c r="CTV65"/>
      <c r="CTW65"/>
      <c r="CTX65"/>
      <c r="CTY65"/>
      <c r="CTZ65"/>
      <c r="CUA65"/>
      <c r="CUB65"/>
      <c r="CUC65"/>
      <c r="CUD65"/>
      <c r="CUE65"/>
      <c r="CUF65"/>
      <c r="CUG65"/>
      <c r="CUH65"/>
      <c r="CUI65"/>
      <c r="CUJ65"/>
      <c r="CUK65"/>
      <c r="CUL65"/>
      <c r="CUM65"/>
      <c r="CUN65"/>
      <c r="CUO65"/>
      <c r="CUP65"/>
      <c r="CUQ65"/>
      <c r="CUR65"/>
      <c r="CUS65"/>
      <c r="CUT65"/>
      <c r="CUU65"/>
      <c r="CUV65"/>
      <c r="CUW65"/>
      <c r="CUX65"/>
      <c r="CUY65"/>
      <c r="CUZ65"/>
      <c r="CVA65"/>
      <c r="CVB65"/>
      <c r="CVC65"/>
      <c r="CVD65"/>
      <c r="CVE65"/>
      <c r="CVF65"/>
      <c r="CVG65"/>
      <c r="CVH65"/>
      <c r="CVI65"/>
      <c r="CVJ65"/>
      <c r="CVK65"/>
      <c r="CVL65"/>
      <c r="CVM65"/>
      <c r="CVN65"/>
      <c r="CVO65"/>
      <c r="CVP65"/>
      <c r="CVQ65"/>
      <c r="CVR65"/>
      <c r="CVS65"/>
      <c r="CVT65"/>
      <c r="CVU65"/>
      <c r="CVV65"/>
      <c r="CVW65"/>
      <c r="CVX65"/>
      <c r="CVY65"/>
      <c r="CVZ65"/>
      <c r="CWA65"/>
      <c r="CWB65"/>
      <c r="CWC65"/>
      <c r="CWD65"/>
      <c r="CWE65"/>
      <c r="CWF65"/>
      <c r="CWG65"/>
      <c r="CWH65"/>
      <c r="CWI65"/>
      <c r="CWJ65"/>
      <c r="CWK65"/>
      <c r="CWL65"/>
      <c r="CWM65"/>
      <c r="CWN65"/>
      <c r="CWO65"/>
      <c r="CWP65"/>
      <c r="CWQ65"/>
      <c r="CWR65"/>
      <c r="CWS65"/>
      <c r="CWT65"/>
      <c r="CWU65"/>
      <c r="CWV65"/>
      <c r="CWW65"/>
      <c r="CWX65"/>
      <c r="CWY65"/>
      <c r="CWZ65"/>
      <c r="CXA65"/>
      <c r="CXB65"/>
      <c r="CXC65"/>
      <c r="CXD65"/>
      <c r="CXE65"/>
      <c r="CXF65"/>
      <c r="CXG65"/>
      <c r="CXH65"/>
      <c r="CXI65"/>
      <c r="CXJ65"/>
      <c r="CXK65"/>
      <c r="CXL65"/>
      <c r="CXM65"/>
      <c r="CXN65"/>
      <c r="CXO65"/>
      <c r="CXP65"/>
      <c r="CXQ65"/>
      <c r="CXR65"/>
      <c r="CXS65"/>
      <c r="CXT65"/>
      <c r="CXU65"/>
      <c r="CXV65"/>
      <c r="CXW65"/>
      <c r="CXX65"/>
      <c r="CXY65"/>
      <c r="CXZ65"/>
      <c r="CYA65"/>
      <c r="CYB65"/>
      <c r="CYC65"/>
      <c r="CYD65"/>
      <c r="CYE65"/>
      <c r="CYF65"/>
      <c r="CYG65"/>
      <c r="CYH65"/>
      <c r="CYI65"/>
      <c r="CYJ65"/>
      <c r="CYK65"/>
      <c r="CYL65"/>
      <c r="CYM65"/>
      <c r="CYN65"/>
      <c r="CYO65"/>
      <c r="CYP65"/>
      <c r="CYQ65"/>
      <c r="CYR65"/>
      <c r="CYS65"/>
      <c r="CYT65"/>
      <c r="CYU65"/>
      <c r="CYV65"/>
      <c r="CYW65"/>
      <c r="CYX65"/>
      <c r="CYY65"/>
      <c r="CYZ65"/>
      <c r="CZA65"/>
      <c r="CZB65"/>
      <c r="CZC65"/>
      <c r="CZD65"/>
      <c r="CZE65"/>
      <c r="CZF65"/>
      <c r="CZG65"/>
      <c r="CZH65"/>
      <c r="CZI65"/>
      <c r="CZJ65"/>
      <c r="CZK65"/>
      <c r="CZL65"/>
      <c r="CZM65"/>
      <c r="CZN65"/>
      <c r="CZO65"/>
      <c r="CZP65"/>
      <c r="CZQ65"/>
      <c r="CZR65"/>
      <c r="CZS65"/>
      <c r="CZT65"/>
      <c r="CZU65"/>
      <c r="CZV65"/>
      <c r="CZW65"/>
      <c r="CZX65"/>
      <c r="CZY65"/>
      <c r="CZZ65"/>
      <c r="DAA65"/>
      <c r="DAB65"/>
      <c r="DAC65"/>
      <c r="DAD65"/>
      <c r="DAE65"/>
      <c r="DAF65"/>
      <c r="DAG65"/>
      <c r="DAH65"/>
      <c r="DAI65"/>
      <c r="DAJ65"/>
      <c r="DAK65"/>
      <c r="DAL65"/>
      <c r="DAM65"/>
      <c r="DAN65"/>
      <c r="DAO65"/>
      <c r="DAP65"/>
      <c r="DAQ65"/>
      <c r="DAR65"/>
      <c r="DAS65"/>
      <c r="DAT65"/>
      <c r="DAU65"/>
      <c r="DAV65"/>
      <c r="DAW65"/>
      <c r="DAX65"/>
      <c r="DAY65"/>
      <c r="DAZ65"/>
      <c r="DBA65"/>
      <c r="DBB65"/>
      <c r="DBC65"/>
      <c r="DBD65"/>
      <c r="DBE65"/>
      <c r="DBF65"/>
      <c r="DBG65"/>
      <c r="DBH65"/>
      <c r="DBI65"/>
      <c r="DBJ65"/>
      <c r="DBK65"/>
      <c r="DBL65"/>
      <c r="DBM65"/>
      <c r="DBN65"/>
      <c r="DBO65"/>
      <c r="DBP65"/>
      <c r="DBQ65"/>
      <c r="DBR65"/>
      <c r="DBS65"/>
      <c r="DBT65"/>
      <c r="DBU65"/>
      <c r="DBV65"/>
      <c r="DBW65"/>
      <c r="DBX65"/>
      <c r="DBY65"/>
      <c r="DBZ65"/>
      <c r="DCA65"/>
      <c r="DCB65"/>
      <c r="DCC65"/>
      <c r="DCD65"/>
      <c r="DCE65"/>
      <c r="DCF65"/>
      <c r="DCG65"/>
      <c r="DCH65"/>
      <c r="DCI65"/>
      <c r="DCJ65"/>
      <c r="DCK65"/>
      <c r="DCL65"/>
      <c r="DCM65"/>
      <c r="DCN65"/>
      <c r="DCO65"/>
      <c r="DCP65"/>
      <c r="DCQ65"/>
      <c r="DCR65"/>
      <c r="DCS65"/>
      <c r="DCT65"/>
      <c r="DCU65"/>
      <c r="DCV65"/>
      <c r="DCW65"/>
      <c r="DCX65"/>
      <c r="DCY65"/>
      <c r="DCZ65"/>
      <c r="DDA65"/>
      <c r="DDB65"/>
      <c r="DDC65"/>
      <c r="DDD65"/>
      <c r="DDE65"/>
      <c r="DDF65"/>
      <c r="DDG65"/>
      <c r="DDH65"/>
      <c r="DDI65"/>
      <c r="DDJ65"/>
      <c r="DDK65"/>
      <c r="DDL65"/>
      <c r="DDM65"/>
      <c r="DDN65"/>
      <c r="DDO65"/>
      <c r="DDP65"/>
      <c r="DDQ65"/>
      <c r="DDR65"/>
      <c r="DDS65"/>
      <c r="DDT65"/>
      <c r="DDU65"/>
      <c r="DDV65"/>
      <c r="DDW65"/>
      <c r="DDX65"/>
      <c r="DDY65"/>
      <c r="DDZ65"/>
      <c r="DEA65"/>
      <c r="DEB65"/>
      <c r="DEC65"/>
      <c r="DED65"/>
      <c r="DEE65"/>
      <c r="DEF65"/>
      <c r="DEG65"/>
      <c r="DEH65"/>
      <c r="DEI65"/>
      <c r="DEJ65"/>
      <c r="DEK65"/>
      <c r="DEL65"/>
      <c r="DEM65"/>
      <c r="DEN65"/>
      <c r="DEO65"/>
      <c r="DEP65"/>
      <c r="DEQ65"/>
      <c r="DER65"/>
      <c r="DES65"/>
      <c r="DET65"/>
      <c r="DEU65"/>
      <c r="DEV65"/>
      <c r="DEW65"/>
      <c r="DEX65"/>
      <c r="DEY65"/>
      <c r="DEZ65"/>
      <c r="DFA65"/>
      <c r="DFB65"/>
      <c r="DFC65"/>
      <c r="DFD65"/>
      <c r="DFE65"/>
      <c r="DFF65"/>
      <c r="DFG65"/>
      <c r="DFH65"/>
      <c r="DFI65"/>
      <c r="DFJ65"/>
      <c r="DFK65"/>
      <c r="DFL65"/>
      <c r="DFM65"/>
      <c r="DFN65"/>
      <c r="DFO65"/>
      <c r="DFP65"/>
      <c r="DFQ65"/>
      <c r="DFR65"/>
      <c r="DFS65"/>
      <c r="DFT65"/>
      <c r="DFU65"/>
      <c r="DFV65"/>
      <c r="DFW65"/>
      <c r="DFX65"/>
      <c r="DFY65"/>
      <c r="DFZ65"/>
      <c r="DGA65"/>
      <c r="DGB65"/>
      <c r="DGC65"/>
      <c r="DGD65"/>
      <c r="DGE65"/>
      <c r="DGF65"/>
      <c r="DGG65"/>
      <c r="DGH65"/>
      <c r="DGI65"/>
      <c r="DGJ65"/>
      <c r="DGK65"/>
      <c r="DGL65"/>
      <c r="DGM65"/>
      <c r="DGN65"/>
      <c r="DGO65"/>
      <c r="DGP65"/>
      <c r="DGQ65"/>
      <c r="DGR65"/>
      <c r="DGS65"/>
      <c r="DGT65"/>
      <c r="DGU65"/>
      <c r="DGV65"/>
      <c r="DGW65"/>
      <c r="DGX65"/>
      <c r="DGY65"/>
      <c r="DGZ65"/>
      <c r="DHA65"/>
      <c r="DHB65"/>
      <c r="DHC65"/>
      <c r="DHD65"/>
      <c r="DHE65"/>
      <c r="DHF65"/>
      <c r="DHG65"/>
      <c r="DHH65"/>
      <c r="DHI65"/>
      <c r="DHJ65"/>
      <c r="DHK65"/>
      <c r="DHL65"/>
      <c r="DHM65"/>
      <c r="DHN65"/>
      <c r="DHO65"/>
      <c r="DHP65"/>
      <c r="DHQ65"/>
      <c r="DHR65"/>
      <c r="DHS65"/>
      <c r="DHT65"/>
      <c r="DHU65"/>
      <c r="DHV65"/>
      <c r="DHW65"/>
      <c r="DHX65"/>
      <c r="DHY65"/>
      <c r="DHZ65"/>
      <c r="DIA65"/>
      <c r="DIB65"/>
      <c r="DIC65"/>
      <c r="DID65"/>
      <c r="DIE65"/>
      <c r="DIF65"/>
      <c r="DIG65"/>
      <c r="DIH65"/>
      <c r="DII65"/>
      <c r="DIJ65"/>
      <c r="DIK65"/>
      <c r="DIL65"/>
      <c r="DIM65"/>
      <c r="DIN65"/>
      <c r="DIO65"/>
      <c r="DIP65"/>
      <c r="DIQ65"/>
      <c r="DIR65"/>
      <c r="DIS65"/>
      <c r="DIT65"/>
      <c r="DIU65"/>
      <c r="DIV65"/>
      <c r="DIW65"/>
      <c r="DIX65"/>
      <c r="DIY65"/>
      <c r="DIZ65"/>
      <c r="DJA65"/>
      <c r="DJB65"/>
      <c r="DJC65"/>
      <c r="DJD65"/>
      <c r="DJE65"/>
      <c r="DJF65"/>
      <c r="DJG65"/>
      <c r="DJH65"/>
      <c r="DJI65"/>
      <c r="DJJ65"/>
      <c r="DJK65"/>
      <c r="DJL65"/>
      <c r="DJM65"/>
      <c r="DJN65"/>
      <c r="DJO65"/>
      <c r="DJP65"/>
      <c r="DJQ65"/>
      <c r="DJR65"/>
      <c r="DJS65"/>
      <c r="DJT65"/>
      <c r="DJU65"/>
      <c r="DJV65"/>
      <c r="DJW65"/>
      <c r="DJX65"/>
      <c r="DJY65"/>
      <c r="DJZ65"/>
      <c r="DKA65"/>
      <c r="DKB65"/>
      <c r="DKC65"/>
      <c r="DKD65"/>
      <c r="DKE65"/>
      <c r="DKF65"/>
      <c r="DKG65"/>
      <c r="DKH65"/>
      <c r="DKI65"/>
      <c r="DKJ65"/>
      <c r="DKK65"/>
      <c r="DKL65"/>
      <c r="DKM65"/>
      <c r="DKN65"/>
      <c r="DKO65"/>
      <c r="DKP65"/>
      <c r="DKQ65"/>
      <c r="DKR65"/>
      <c r="DKS65"/>
      <c r="DKT65"/>
      <c r="DKU65"/>
      <c r="DKV65"/>
      <c r="DKW65"/>
      <c r="DKX65"/>
      <c r="DKY65"/>
      <c r="DKZ65"/>
      <c r="DLA65"/>
      <c r="DLB65"/>
      <c r="DLC65"/>
      <c r="DLD65"/>
      <c r="DLE65"/>
      <c r="DLF65"/>
      <c r="DLG65"/>
      <c r="DLH65"/>
      <c r="DLI65"/>
      <c r="DLJ65"/>
      <c r="DLK65"/>
      <c r="DLL65"/>
      <c r="DLM65"/>
      <c r="DLN65"/>
      <c r="DLO65"/>
      <c r="DLP65"/>
      <c r="DLQ65"/>
      <c r="DLR65"/>
      <c r="DLS65"/>
      <c r="DLT65"/>
      <c r="DLU65"/>
      <c r="DLV65"/>
      <c r="DLW65"/>
      <c r="DLX65"/>
      <c r="DLY65"/>
      <c r="DLZ65"/>
      <c r="DMA65"/>
      <c r="DMB65"/>
      <c r="DMC65"/>
      <c r="DMD65"/>
      <c r="DME65"/>
      <c r="DMF65"/>
      <c r="DMG65"/>
      <c r="DMH65"/>
      <c r="DMI65"/>
      <c r="DMJ65"/>
      <c r="DMK65"/>
      <c r="DML65"/>
      <c r="DMM65"/>
      <c r="DMN65"/>
      <c r="DMO65"/>
      <c r="DMP65"/>
      <c r="DMQ65"/>
      <c r="DMR65"/>
      <c r="DMS65"/>
      <c r="DMT65"/>
      <c r="DMU65"/>
      <c r="DMV65"/>
      <c r="DMW65"/>
      <c r="DMX65"/>
      <c r="DMY65"/>
      <c r="DMZ65"/>
      <c r="DNA65"/>
      <c r="DNB65"/>
      <c r="DNC65"/>
      <c r="DND65"/>
      <c r="DNE65"/>
      <c r="DNF65"/>
      <c r="DNG65"/>
      <c r="DNH65"/>
      <c r="DNI65"/>
      <c r="DNJ65"/>
      <c r="DNK65"/>
      <c r="DNL65"/>
      <c r="DNM65"/>
      <c r="DNN65"/>
      <c r="DNO65"/>
      <c r="DNP65"/>
      <c r="DNQ65"/>
      <c r="DNR65"/>
      <c r="DNS65"/>
      <c r="DNT65"/>
      <c r="DNU65"/>
      <c r="DNV65"/>
      <c r="DNW65"/>
      <c r="DNX65"/>
      <c r="DNY65"/>
      <c r="DNZ65"/>
      <c r="DOA65"/>
      <c r="DOB65"/>
      <c r="DOC65"/>
      <c r="DOD65"/>
      <c r="DOE65"/>
      <c r="DOF65"/>
      <c r="DOG65"/>
      <c r="DOH65"/>
      <c r="DOI65"/>
      <c r="DOJ65"/>
      <c r="DOK65"/>
      <c r="DOL65"/>
      <c r="DOM65"/>
      <c r="DON65"/>
      <c r="DOO65"/>
      <c r="DOP65"/>
      <c r="DOQ65"/>
      <c r="DOR65"/>
      <c r="DOS65"/>
      <c r="DOT65"/>
      <c r="DOU65"/>
      <c r="DOV65"/>
      <c r="DOW65"/>
      <c r="DOX65"/>
      <c r="DOY65"/>
      <c r="DOZ65"/>
      <c r="DPA65"/>
      <c r="DPB65"/>
      <c r="DPC65"/>
      <c r="DPD65"/>
      <c r="DPE65"/>
      <c r="DPF65"/>
      <c r="DPG65"/>
      <c r="DPH65"/>
      <c r="DPI65"/>
      <c r="DPJ65"/>
      <c r="DPK65"/>
      <c r="DPL65"/>
      <c r="DPM65"/>
      <c r="DPN65"/>
      <c r="DPO65"/>
      <c r="DPP65"/>
      <c r="DPQ65"/>
      <c r="DPR65"/>
      <c r="DPS65"/>
      <c r="DPT65"/>
      <c r="DPU65"/>
      <c r="DPV65"/>
      <c r="DPW65"/>
      <c r="DPX65"/>
      <c r="DPY65"/>
      <c r="DPZ65"/>
      <c r="DQA65"/>
      <c r="DQB65"/>
      <c r="DQC65"/>
      <c r="DQD65"/>
      <c r="DQE65"/>
      <c r="DQF65"/>
      <c r="DQG65"/>
      <c r="DQH65"/>
      <c r="DQI65"/>
      <c r="DQJ65"/>
      <c r="DQK65"/>
      <c r="DQL65"/>
      <c r="DQM65"/>
      <c r="DQN65"/>
      <c r="DQO65"/>
      <c r="DQP65"/>
      <c r="DQQ65"/>
      <c r="DQR65"/>
      <c r="DQS65"/>
      <c r="DQT65"/>
      <c r="DQU65"/>
      <c r="DQV65"/>
      <c r="DQW65"/>
      <c r="DQX65"/>
      <c r="DQY65"/>
      <c r="DQZ65"/>
      <c r="DRA65"/>
      <c r="DRB65"/>
      <c r="DRC65"/>
      <c r="DRD65"/>
      <c r="DRE65"/>
      <c r="DRF65"/>
      <c r="DRG65"/>
      <c r="DRH65"/>
      <c r="DRI65"/>
      <c r="DRJ65"/>
      <c r="DRK65"/>
      <c r="DRL65"/>
      <c r="DRM65"/>
      <c r="DRN65"/>
      <c r="DRO65"/>
      <c r="DRP65"/>
      <c r="DRQ65"/>
      <c r="DRR65"/>
      <c r="DRS65"/>
      <c r="DRT65"/>
      <c r="DRU65"/>
      <c r="DRV65"/>
      <c r="DRW65"/>
      <c r="DRX65"/>
      <c r="DRY65"/>
      <c r="DRZ65"/>
      <c r="DSA65"/>
      <c r="DSB65"/>
      <c r="DSC65"/>
      <c r="DSD65"/>
      <c r="DSE65"/>
      <c r="DSF65"/>
      <c r="DSG65"/>
      <c r="DSH65"/>
      <c r="DSI65"/>
      <c r="DSJ65"/>
      <c r="DSK65"/>
      <c r="DSL65"/>
      <c r="DSM65"/>
      <c r="DSN65"/>
      <c r="DSO65"/>
      <c r="DSP65"/>
      <c r="DSQ65"/>
      <c r="DSR65"/>
      <c r="DSS65"/>
      <c r="DST65"/>
      <c r="DSU65"/>
      <c r="DSV65"/>
      <c r="DSW65"/>
      <c r="DSX65"/>
      <c r="DSY65"/>
      <c r="DSZ65"/>
      <c r="DTA65"/>
      <c r="DTB65"/>
      <c r="DTC65"/>
      <c r="DTD65"/>
      <c r="DTE65"/>
      <c r="DTF65"/>
      <c r="DTG65"/>
      <c r="DTH65"/>
      <c r="DTI65"/>
      <c r="DTJ65"/>
      <c r="DTK65"/>
      <c r="DTL65"/>
      <c r="DTM65"/>
      <c r="DTN65"/>
      <c r="DTO65"/>
      <c r="DTP65"/>
      <c r="DTQ65"/>
      <c r="DTR65"/>
      <c r="DTS65"/>
      <c r="DTT65"/>
      <c r="DTU65"/>
      <c r="DTV65"/>
      <c r="DTW65"/>
      <c r="DTX65"/>
      <c r="DTY65"/>
      <c r="DTZ65"/>
      <c r="DUA65"/>
      <c r="DUB65"/>
      <c r="DUC65"/>
      <c r="DUD65"/>
      <c r="DUE65"/>
      <c r="DUF65"/>
      <c r="DUG65"/>
      <c r="DUH65"/>
      <c r="DUI65"/>
      <c r="DUJ65"/>
      <c r="DUK65"/>
      <c r="DUL65"/>
      <c r="DUM65"/>
      <c r="DUN65"/>
      <c r="DUO65"/>
      <c r="DUP65"/>
      <c r="DUQ65"/>
      <c r="DUR65"/>
      <c r="DUS65"/>
      <c r="DUT65"/>
      <c r="DUU65"/>
      <c r="DUV65"/>
      <c r="DUW65"/>
      <c r="DUX65"/>
      <c r="DUY65"/>
      <c r="DUZ65"/>
      <c r="DVA65"/>
      <c r="DVB65"/>
      <c r="DVC65"/>
      <c r="DVD65"/>
      <c r="DVE65"/>
      <c r="DVF65"/>
      <c r="DVG65"/>
      <c r="DVH65"/>
      <c r="DVI65"/>
      <c r="DVJ65"/>
      <c r="DVK65"/>
      <c r="DVL65"/>
      <c r="DVM65"/>
      <c r="DVN65"/>
      <c r="DVO65"/>
      <c r="DVP65"/>
      <c r="DVQ65"/>
      <c r="DVR65"/>
      <c r="DVS65"/>
      <c r="DVT65"/>
      <c r="DVU65"/>
      <c r="DVV65"/>
      <c r="DVW65"/>
      <c r="DVX65"/>
      <c r="DVY65"/>
      <c r="DVZ65"/>
      <c r="DWA65"/>
      <c r="DWB65"/>
      <c r="DWC65"/>
      <c r="DWD65"/>
      <c r="DWE65"/>
      <c r="DWF65"/>
      <c r="DWG65"/>
      <c r="DWH65"/>
      <c r="DWI65"/>
      <c r="DWJ65"/>
      <c r="DWK65"/>
      <c r="DWL65"/>
      <c r="DWM65"/>
      <c r="DWN65"/>
      <c r="DWO65"/>
      <c r="DWP65"/>
      <c r="DWQ65"/>
      <c r="DWR65"/>
      <c r="DWS65"/>
      <c r="DWT65"/>
      <c r="DWU65"/>
      <c r="DWV65"/>
      <c r="DWW65"/>
      <c r="DWX65"/>
      <c r="DWY65"/>
      <c r="DWZ65"/>
      <c r="DXA65"/>
      <c r="DXB65"/>
      <c r="DXC65"/>
      <c r="DXD65"/>
      <c r="DXE65"/>
      <c r="DXF65"/>
      <c r="DXG65"/>
      <c r="DXH65"/>
      <c r="DXI65"/>
      <c r="DXJ65"/>
      <c r="DXK65"/>
      <c r="DXL65"/>
      <c r="DXM65"/>
      <c r="DXN65"/>
      <c r="DXO65"/>
      <c r="DXP65"/>
      <c r="DXQ65"/>
      <c r="DXR65"/>
      <c r="DXS65"/>
      <c r="DXT65"/>
      <c r="DXU65"/>
      <c r="DXV65"/>
      <c r="DXW65"/>
      <c r="DXX65"/>
      <c r="DXY65"/>
      <c r="DXZ65"/>
      <c r="DYA65"/>
      <c r="DYB65"/>
      <c r="DYC65"/>
      <c r="DYD65"/>
      <c r="DYE65"/>
      <c r="DYF65"/>
      <c r="DYG65"/>
      <c r="DYH65"/>
      <c r="DYI65"/>
      <c r="DYJ65"/>
      <c r="DYK65"/>
      <c r="DYL65"/>
      <c r="DYM65"/>
      <c r="DYN65"/>
      <c r="DYO65"/>
      <c r="DYP65"/>
      <c r="DYQ65"/>
      <c r="DYR65"/>
      <c r="DYS65"/>
      <c r="DYT65"/>
      <c r="DYU65"/>
      <c r="DYV65"/>
      <c r="DYW65"/>
      <c r="DYX65"/>
      <c r="DYY65"/>
      <c r="DYZ65"/>
      <c r="DZA65"/>
      <c r="DZB65"/>
      <c r="DZC65"/>
      <c r="DZD65"/>
      <c r="DZE65"/>
      <c r="DZF65"/>
      <c r="DZG65"/>
      <c r="DZH65"/>
      <c r="DZI65"/>
      <c r="DZJ65"/>
      <c r="DZK65"/>
      <c r="DZL65"/>
      <c r="DZM65"/>
      <c r="DZN65"/>
      <c r="DZO65"/>
      <c r="DZP65"/>
      <c r="DZQ65"/>
      <c r="DZR65"/>
      <c r="DZS65"/>
      <c r="DZT65"/>
      <c r="DZU65"/>
      <c r="DZV65"/>
      <c r="DZW65"/>
      <c r="DZX65"/>
      <c r="DZY65"/>
      <c r="DZZ65"/>
      <c r="EAA65"/>
      <c r="EAB65"/>
      <c r="EAC65"/>
      <c r="EAD65"/>
      <c r="EAE65"/>
      <c r="EAF65"/>
      <c r="EAG65"/>
      <c r="EAH65"/>
      <c r="EAI65"/>
      <c r="EAJ65"/>
      <c r="EAK65"/>
      <c r="EAL65"/>
      <c r="EAM65"/>
      <c r="EAN65"/>
      <c r="EAO65"/>
      <c r="EAP65"/>
      <c r="EAQ65"/>
      <c r="EAR65"/>
      <c r="EAS65"/>
      <c r="EAT65"/>
      <c r="EAU65"/>
      <c r="EAV65"/>
      <c r="EAW65"/>
      <c r="EAX65"/>
      <c r="EAY65"/>
      <c r="EAZ65"/>
      <c r="EBA65"/>
      <c r="EBB65"/>
      <c r="EBC65"/>
      <c r="EBD65"/>
      <c r="EBE65"/>
      <c r="EBF65"/>
      <c r="EBG65"/>
      <c r="EBH65"/>
      <c r="EBI65"/>
      <c r="EBJ65"/>
      <c r="EBK65"/>
      <c r="EBL65"/>
      <c r="EBM65"/>
      <c r="EBN65"/>
      <c r="EBO65"/>
      <c r="EBP65"/>
      <c r="EBQ65"/>
      <c r="EBR65"/>
      <c r="EBS65"/>
      <c r="EBT65"/>
      <c r="EBU65"/>
      <c r="EBV65"/>
      <c r="EBW65"/>
      <c r="EBX65"/>
      <c r="EBY65"/>
      <c r="EBZ65"/>
      <c r="ECA65"/>
      <c r="ECB65"/>
      <c r="ECC65"/>
      <c r="ECD65"/>
      <c r="ECE65"/>
      <c r="ECF65"/>
      <c r="ECG65"/>
      <c r="ECH65"/>
      <c r="ECI65"/>
      <c r="ECJ65"/>
      <c r="ECK65"/>
      <c r="ECL65"/>
      <c r="ECM65"/>
      <c r="ECN65"/>
      <c r="ECO65"/>
      <c r="ECP65"/>
      <c r="ECQ65"/>
      <c r="ECR65"/>
      <c r="ECS65"/>
      <c r="ECT65"/>
      <c r="ECU65"/>
      <c r="ECV65"/>
      <c r="ECW65"/>
      <c r="ECX65"/>
      <c r="ECY65"/>
      <c r="ECZ65"/>
      <c r="EDA65"/>
      <c r="EDB65"/>
      <c r="EDC65"/>
      <c r="EDD65"/>
      <c r="EDE65"/>
      <c r="EDF65"/>
      <c r="EDG65"/>
      <c r="EDH65"/>
      <c r="EDI65"/>
      <c r="EDJ65"/>
      <c r="EDK65"/>
      <c r="EDL65"/>
      <c r="EDM65"/>
      <c r="EDN65"/>
      <c r="EDO65"/>
      <c r="EDP65"/>
      <c r="EDQ65"/>
      <c r="EDR65"/>
      <c r="EDS65"/>
      <c r="EDT65"/>
      <c r="EDU65"/>
      <c r="EDV65"/>
      <c r="EDW65"/>
      <c r="EDX65"/>
      <c r="EDY65"/>
      <c r="EDZ65"/>
      <c r="EEA65"/>
      <c r="EEB65"/>
      <c r="EEC65"/>
      <c r="EED65"/>
      <c r="EEE65"/>
      <c r="EEF65"/>
      <c r="EEG65"/>
      <c r="EEH65"/>
      <c r="EEI65"/>
      <c r="EEJ65"/>
      <c r="EEK65"/>
      <c r="EEL65"/>
      <c r="EEM65"/>
      <c r="EEN65"/>
      <c r="EEO65"/>
      <c r="EEP65"/>
      <c r="EEQ65"/>
      <c r="EER65"/>
      <c r="EES65"/>
      <c r="EET65"/>
      <c r="EEU65"/>
      <c r="EEV65"/>
      <c r="EEW65"/>
      <c r="EEX65"/>
      <c r="EEY65"/>
      <c r="EEZ65"/>
      <c r="EFA65"/>
      <c r="EFB65"/>
      <c r="EFC65"/>
      <c r="EFD65"/>
      <c r="EFE65"/>
      <c r="EFF65"/>
      <c r="EFG65"/>
      <c r="EFH65"/>
      <c r="EFI65"/>
      <c r="EFJ65"/>
      <c r="EFK65"/>
      <c r="EFL65"/>
      <c r="EFM65"/>
      <c r="EFN65"/>
      <c r="EFO65"/>
      <c r="EFP65"/>
      <c r="EFQ65"/>
      <c r="EFR65"/>
      <c r="EFS65"/>
      <c r="EFT65"/>
      <c r="EFU65"/>
      <c r="EFV65"/>
      <c r="EFW65"/>
      <c r="EFX65"/>
      <c r="EFY65"/>
      <c r="EFZ65"/>
      <c r="EGA65"/>
      <c r="EGB65"/>
      <c r="EGC65"/>
      <c r="EGD65"/>
      <c r="EGE65"/>
      <c r="EGF65"/>
      <c r="EGG65"/>
      <c r="EGH65"/>
      <c r="EGI65"/>
      <c r="EGJ65"/>
      <c r="EGK65"/>
      <c r="EGL65"/>
      <c r="EGM65"/>
      <c r="EGN65"/>
      <c r="EGO65"/>
      <c r="EGP65"/>
      <c r="EGQ65"/>
      <c r="EGR65"/>
      <c r="EGS65"/>
      <c r="EGT65"/>
      <c r="EGU65"/>
      <c r="EGV65"/>
      <c r="EGW65"/>
      <c r="EGX65"/>
      <c r="EGY65"/>
      <c r="EGZ65"/>
      <c r="EHA65"/>
      <c r="EHB65"/>
      <c r="EHC65"/>
      <c r="EHD65"/>
      <c r="EHE65"/>
      <c r="EHF65"/>
      <c r="EHG65"/>
      <c r="EHH65"/>
      <c r="EHI65"/>
      <c r="EHJ65"/>
      <c r="EHK65"/>
      <c r="EHL65"/>
      <c r="EHM65"/>
      <c r="EHN65"/>
      <c r="EHO65"/>
      <c r="EHP65"/>
      <c r="EHQ65"/>
      <c r="EHR65"/>
      <c r="EHS65"/>
      <c r="EHT65"/>
      <c r="EHU65"/>
      <c r="EHV65"/>
      <c r="EHW65"/>
      <c r="EHX65"/>
      <c r="EHY65"/>
      <c r="EHZ65"/>
      <c r="EIA65"/>
      <c r="EIB65"/>
      <c r="EIC65"/>
      <c r="EID65"/>
      <c r="EIE65"/>
      <c r="EIF65"/>
      <c r="EIG65"/>
      <c r="EIH65"/>
      <c r="EII65"/>
      <c r="EIJ65"/>
      <c r="EIK65"/>
      <c r="EIL65"/>
      <c r="EIM65"/>
      <c r="EIN65"/>
      <c r="EIO65"/>
      <c r="EIP65"/>
      <c r="EIQ65"/>
      <c r="EIR65"/>
      <c r="EIS65"/>
      <c r="EIT65"/>
      <c r="EIU65"/>
      <c r="EIV65"/>
      <c r="EIW65"/>
      <c r="EIX65"/>
      <c r="EIY65"/>
      <c r="EIZ65"/>
      <c r="EJA65"/>
      <c r="EJB65"/>
      <c r="EJC65"/>
      <c r="EJD65"/>
      <c r="EJE65"/>
      <c r="EJF65"/>
      <c r="EJG65"/>
      <c r="EJH65"/>
      <c r="EJI65"/>
      <c r="EJJ65"/>
      <c r="EJK65"/>
      <c r="EJL65"/>
      <c r="EJM65"/>
      <c r="EJN65"/>
      <c r="EJO65"/>
      <c r="EJP65"/>
      <c r="EJQ65"/>
      <c r="EJR65"/>
      <c r="EJS65"/>
      <c r="EJT65"/>
      <c r="EJU65"/>
      <c r="EJV65"/>
      <c r="EJW65"/>
      <c r="EJX65"/>
      <c r="EJY65"/>
      <c r="EJZ65"/>
      <c r="EKA65"/>
      <c r="EKB65"/>
      <c r="EKC65"/>
      <c r="EKD65"/>
      <c r="EKE65"/>
      <c r="EKF65"/>
      <c r="EKG65"/>
      <c r="EKH65"/>
      <c r="EKI65"/>
      <c r="EKJ65"/>
      <c r="EKK65"/>
      <c r="EKL65"/>
      <c r="EKM65"/>
      <c r="EKN65"/>
      <c r="EKO65"/>
      <c r="EKP65"/>
      <c r="EKQ65"/>
      <c r="EKR65"/>
      <c r="EKS65"/>
      <c r="EKT65"/>
      <c r="EKU65"/>
      <c r="EKV65"/>
      <c r="EKW65"/>
      <c r="EKX65"/>
      <c r="EKY65"/>
      <c r="EKZ65"/>
      <c r="ELA65"/>
      <c r="ELB65"/>
      <c r="ELC65"/>
      <c r="ELD65"/>
      <c r="ELE65"/>
      <c r="ELF65"/>
      <c r="ELG65"/>
      <c r="ELH65"/>
      <c r="ELI65"/>
      <c r="ELJ65"/>
      <c r="ELK65"/>
      <c r="ELL65"/>
      <c r="ELM65"/>
      <c r="ELN65"/>
      <c r="ELO65"/>
      <c r="ELP65"/>
      <c r="ELQ65"/>
      <c r="ELR65"/>
      <c r="ELS65"/>
      <c r="ELT65"/>
      <c r="ELU65"/>
      <c r="ELV65"/>
      <c r="ELW65"/>
      <c r="ELX65"/>
      <c r="ELY65"/>
      <c r="ELZ65"/>
      <c r="EMA65"/>
      <c r="EMB65"/>
      <c r="EMC65"/>
      <c r="EMD65"/>
      <c r="EME65"/>
      <c r="EMF65"/>
      <c r="EMG65"/>
      <c r="EMH65"/>
      <c r="EMI65"/>
      <c r="EMJ65"/>
      <c r="EMK65"/>
      <c r="EML65"/>
      <c r="EMM65"/>
      <c r="EMN65"/>
      <c r="EMO65"/>
      <c r="EMP65"/>
      <c r="EMQ65"/>
      <c r="EMR65"/>
      <c r="EMS65"/>
      <c r="EMT65"/>
      <c r="EMU65"/>
      <c r="EMV65"/>
      <c r="EMW65"/>
      <c r="EMX65"/>
      <c r="EMY65"/>
      <c r="EMZ65"/>
      <c r="ENA65"/>
      <c r="ENB65"/>
      <c r="ENC65"/>
      <c r="END65"/>
      <c r="ENE65"/>
      <c r="ENF65"/>
      <c r="ENG65"/>
      <c r="ENH65"/>
      <c r="ENI65"/>
      <c r="ENJ65"/>
      <c r="ENK65"/>
      <c r="ENL65"/>
      <c r="ENM65"/>
      <c r="ENN65"/>
      <c r="ENO65"/>
      <c r="ENP65"/>
      <c r="ENQ65"/>
      <c r="ENR65"/>
      <c r="ENS65"/>
      <c r="ENT65"/>
      <c r="ENU65"/>
      <c r="ENV65"/>
      <c r="ENW65"/>
      <c r="ENX65"/>
      <c r="ENY65"/>
      <c r="ENZ65"/>
      <c r="EOA65"/>
      <c r="EOB65"/>
      <c r="EOC65"/>
      <c r="EOD65"/>
      <c r="EOE65"/>
      <c r="EOF65"/>
      <c r="EOG65"/>
      <c r="EOH65"/>
      <c r="EOI65"/>
      <c r="EOJ65"/>
      <c r="EOK65"/>
      <c r="EOL65"/>
      <c r="EOM65"/>
      <c r="EON65"/>
      <c r="EOO65"/>
      <c r="EOP65"/>
      <c r="EOQ65"/>
      <c r="EOR65"/>
      <c r="EOS65"/>
      <c r="EOT65"/>
      <c r="EOU65"/>
      <c r="EOV65"/>
      <c r="EOW65"/>
      <c r="EOX65"/>
      <c r="EOY65"/>
      <c r="EOZ65"/>
      <c r="EPA65"/>
      <c r="EPB65"/>
      <c r="EPC65"/>
      <c r="EPD65"/>
      <c r="EPE65"/>
      <c r="EPF65"/>
      <c r="EPG65"/>
      <c r="EPH65"/>
      <c r="EPI65"/>
      <c r="EPJ65"/>
      <c r="EPK65"/>
      <c r="EPL65"/>
      <c r="EPM65"/>
      <c r="EPN65"/>
      <c r="EPO65"/>
      <c r="EPP65"/>
      <c r="EPQ65"/>
      <c r="EPR65"/>
      <c r="EPS65"/>
      <c r="EPT65"/>
      <c r="EPU65"/>
      <c r="EPV65"/>
      <c r="EPW65"/>
      <c r="EPX65"/>
      <c r="EPY65"/>
      <c r="EPZ65"/>
      <c r="EQA65"/>
      <c r="EQB65"/>
      <c r="EQC65"/>
      <c r="EQD65"/>
      <c r="EQE65"/>
      <c r="EQF65"/>
      <c r="EQG65"/>
      <c r="EQH65"/>
      <c r="EQI65"/>
      <c r="EQJ65"/>
      <c r="EQK65"/>
      <c r="EQL65"/>
      <c r="EQM65"/>
      <c r="EQN65"/>
      <c r="EQO65"/>
      <c r="EQP65"/>
      <c r="EQQ65"/>
      <c r="EQR65"/>
      <c r="EQS65"/>
      <c r="EQT65"/>
      <c r="EQU65"/>
      <c r="EQV65"/>
      <c r="EQW65"/>
      <c r="EQX65"/>
      <c r="EQY65"/>
      <c r="EQZ65"/>
      <c r="ERA65"/>
      <c r="ERB65"/>
      <c r="ERC65"/>
      <c r="ERD65"/>
      <c r="ERE65"/>
      <c r="ERF65"/>
      <c r="ERG65"/>
      <c r="ERH65"/>
      <c r="ERI65"/>
      <c r="ERJ65"/>
      <c r="ERK65"/>
      <c r="ERL65"/>
      <c r="ERM65"/>
      <c r="ERN65"/>
      <c r="ERO65"/>
      <c r="ERP65"/>
      <c r="ERQ65"/>
      <c r="ERR65"/>
      <c r="ERS65"/>
      <c r="ERT65"/>
      <c r="ERU65"/>
      <c r="ERV65"/>
      <c r="ERW65"/>
      <c r="ERX65"/>
      <c r="ERY65"/>
      <c r="ERZ65"/>
      <c r="ESA65"/>
      <c r="ESB65"/>
      <c r="ESC65"/>
      <c r="ESD65"/>
      <c r="ESE65"/>
      <c r="ESF65"/>
      <c r="ESG65"/>
      <c r="ESH65"/>
      <c r="ESI65"/>
      <c r="ESJ65"/>
      <c r="ESK65"/>
      <c r="ESL65"/>
      <c r="ESM65"/>
      <c r="ESN65"/>
      <c r="ESO65"/>
      <c r="ESP65"/>
      <c r="ESQ65"/>
      <c r="ESR65"/>
      <c r="ESS65"/>
      <c r="EST65"/>
      <c r="ESU65"/>
      <c r="ESV65"/>
      <c r="ESW65"/>
      <c r="ESX65"/>
      <c r="ESY65"/>
      <c r="ESZ65"/>
      <c r="ETA65"/>
      <c r="ETB65"/>
      <c r="ETC65"/>
      <c r="ETD65"/>
      <c r="ETE65"/>
      <c r="ETF65"/>
      <c r="ETG65"/>
      <c r="ETH65"/>
      <c r="ETI65"/>
      <c r="ETJ65"/>
      <c r="ETK65"/>
      <c r="ETL65"/>
      <c r="ETM65"/>
      <c r="ETN65"/>
      <c r="ETO65"/>
      <c r="ETP65"/>
      <c r="ETQ65"/>
      <c r="ETR65"/>
      <c r="ETS65"/>
      <c r="ETT65"/>
      <c r="ETU65"/>
      <c r="ETV65"/>
      <c r="ETW65"/>
      <c r="ETX65"/>
      <c r="ETY65"/>
      <c r="ETZ65"/>
      <c r="EUA65"/>
      <c r="EUB65"/>
      <c r="EUC65"/>
      <c r="EUD65"/>
      <c r="EUE65"/>
      <c r="EUF65"/>
      <c r="EUG65"/>
      <c r="EUH65"/>
      <c r="EUI65"/>
      <c r="EUJ65"/>
      <c r="EUK65"/>
      <c r="EUL65"/>
      <c r="EUM65"/>
      <c r="EUN65"/>
      <c r="EUO65"/>
      <c r="EUP65"/>
      <c r="EUQ65"/>
      <c r="EUR65"/>
      <c r="EUS65"/>
      <c r="EUT65"/>
      <c r="EUU65"/>
      <c r="EUV65"/>
      <c r="EUW65"/>
      <c r="EUX65"/>
      <c r="EUY65"/>
      <c r="EUZ65"/>
      <c r="EVA65"/>
      <c r="EVB65"/>
      <c r="EVC65"/>
      <c r="EVD65"/>
      <c r="EVE65"/>
      <c r="EVF65"/>
      <c r="EVG65"/>
      <c r="EVH65"/>
      <c r="EVI65"/>
      <c r="EVJ65"/>
      <c r="EVK65"/>
      <c r="EVL65"/>
      <c r="EVM65"/>
      <c r="EVN65"/>
      <c r="EVO65"/>
      <c r="EVP65"/>
      <c r="EVQ65"/>
      <c r="EVR65"/>
      <c r="EVS65"/>
      <c r="EVT65"/>
      <c r="EVU65"/>
      <c r="EVV65"/>
      <c r="EVW65"/>
      <c r="EVX65"/>
      <c r="EVY65"/>
      <c r="EVZ65"/>
      <c r="EWA65"/>
      <c r="EWB65"/>
      <c r="EWC65"/>
      <c r="EWD65"/>
      <c r="EWE65"/>
      <c r="EWF65"/>
      <c r="EWG65"/>
      <c r="EWH65"/>
      <c r="EWI65"/>
      <c r="EWJ65"/>
      <c r="EWK65"/>
      <c r="EWL65"/>
      <c r="EWM65"/>
      <c r="EWN65"/>
      <c r="EWO65"/>
      <c r="EWP65"/>
      <c r="EWQ65"/>
      <c r="EWR65"/>
      <c r="EWS65"/>
      <c r="EWT65"/>
      <c r="EWU65"/>
      <c r="EWV65"/>
      <c r="EWW65"/>
      <c r="EWX65"/>
      <c r="EWY65"/>
      <c r="EWZ65"/>
      <c r="EXA65"/>
      <c r="EXB65"/>
      <c r="EXC65"/>
      <c r="EXD65"/>
      <c r="EXE65"/>
      <c r="EXF65"/>
      <c r="EXG65"/>
      <c r="EXH65"/>
      <c r="EXI65"/>
      <c r="EXJ65"/>
      <c r="EXK65"/>
      <c r="EXL65"/>
      <c r="EXM65"/>
      <c r="EXN65"/>
      <c r="EXO65"/>
      <c r="EXP65"/>
      <c r="EXQ65"/>
      <c r="EXR65"/>
      <c r="EXS65"/>
      <c r="EXT65"/>
      <c r="EXU65"/>
      <c r="EXV65"/>
      <c r="EXW65"/>
      <c r="EXX65"/>
      <c r="EXY65"/>
      <c r="EXZ65"/>
      <c r="EYA65"/>
      <c r="EYB65"/>
      <c r="EYC65"/>
      <c r="EYD65"/>
      <c r="EYE65"/>
      <c r="EYF65"/>
      <c r="EYG65"/>
      <c r="EYH65"/>
      <c r="EYI65"/>
      <c r="EYJ65"/>
      <c r="EYK65"/>
      <c r="EYL65"/>
      <c r="EYM65"/>
      <c r="EYN65"/>
      <c r="EYO65"/>
      <c r="EYP65"/>
      <c r="EYQ65"/>
      <c r="EYR65"/>
      <c r="EYS65"/>
      <c r="EYT65"/>
      <c r="EYU65"/>
      <c r="EYV65"/>
      <c r="EYW65"/>
      <c r="EYX65"/>
      <c r="EYY65"/>
      <c r="EYZ65"/>
      <c r="EZA65"/>
      <c r="EZB65"/>
      <c r="EZC65"/>
      <c r="EZD65"/>
      <c r="EZE65"/>
      <c r="EZF65"/>
      <c r="EZG65"/>
      <c r="EZH65"/>
      <c r="EZI65"/>
      <c r="EZJ65"/>
      <c r="EZK65"/>
      <c r="EZL65"/>
      <c r="EZM65"/>
      <c r="EZN65"/>
      <c r="EZO65"/>
      <c r="EZP65"/>
      <c r="EZQ65"/>
      <c r="EZR65"/>
      <c r="EZS65"/>
      <c r="EZT65"/>
      <c r="EZU65"/>
      <c r="EZV65"/>
      <c r="EZW65"/>
      <c r="EZX65"/>
      <c r="EZY65"/>
      <c r="EZZ65"/>
      <c r="FAA65"/>
      <c r="FAB65"/>
      <c r="FAC65"/>
      <c r="FAD65"/>
      <c r="FAE65"/>
      <c r="FAF65"/>
      <c r="FAG65"/>
      <c r="FAH65"/>
      <c r="FAI65"/>
      <c r="FAJ65"/>
      <c r="FAK65"/>
      <c r="FAL65"/>
      <c r="FAM65"/>
      <c r="FAN65"/>
      <c r="FAO65"/>
      <c r="FAP65"/>
      <c r="FAQ65"/>
      <c r="FAR65"/>
      <c r="FAS65"/>
      <c r="FAT65"/>
      <c r="FAU65"/>
      <c r="FAV65"/>
      <c r="FAW65"/>
      <c r="FAX65"/>
      <c r="FAY65"/>
      <c r="FAZ65"/>
      <c r="FBA65"/>
      <c r="FBB65"/>
      <c r="FBC65"/>
      <c r="FBD65"/>
      <c r="FBE65"/>
      <c r="FBF65"/>
      <c r="FBG65"/>
      <c r="FBH65"/>
      <c r="FBI65"/>
      <c r="FBJ65"/>
      <c r="FBK65"/>
      <c r="FBL65"/>
      <c r="FBM65"/>
      <c r="FBN65"/>
      <c r="FBO65"/>
      <c r="FBP65"/>
      <c r="FBQ65"/>
      <c r="FBR65"/>
      <c r="FBS65"/>
      <c r="FBT65"/>
      <c r="FBU65"/>
      <c r="FBV65"/>
      <c r="FBW65"/>
      <c r="FBX65"/>
      <c r="FBY65"/>
      <c r="FBZ65"/>
      <c r="FCA65"/>
      <c r="FCB65"/>
      <c r="FCC65"/>
      <c r="FCD65"/>
      <c r="FCE65"/>
      <c r="FCF65"/>
      <c r="FCG65"/>
      <c r="FCH65"/>
      <c r="FCI65"/>
      <c r="FCJ65"/>
      <c r="FCK65"/>
      <c r="FCL65"/>
      <c r="FCM65"/>
      <c r="FCN65"/>
      <c r="FCO65"/>
      <c r="FCP65"/>
      <c r="FCQ65"/>
      <c r="FCR65"/>
      <c r="FCS65"/>
      <c r="FCT65"/>
      <c r="FCU65"/>
      <c r="FCV65"/>
      <c r="FCW65"/>
      <c r="FCX65"/>
      <c r="FCY65"/>
      <c r="FCZ65"/>
      <c r="FDA65"/>
      <c r="FDB65"/>
      <c r="FDC65"/>
      <c r="FDD65"/>
      <c r="FDE65"/>
      <c r="FDF65"/>
      <c r="FDG65"/>
      <c r="FDH65"/>
      <c r="FDI65"/>
      <c r="FDJ65"/>
      <c r="FDK65"/>
      <c r="FDL65"/>
      <c r="FDM65"/>
      <c r="FDN65"/>
      <c r="FDO65"/>
      <c r="FDP65"/>
      <c r="FDQ65"/>
      <c r="FDR65"/>
      <c r="FDS65"/>
      <c r="FDT65"/>
      <c r="FDU65"/>
      <c r="FDV65"/>
      <c r="FDW65"/>
      <c r="FDX65"/>
      <c r="FDY65"/>
      <c r="FDZ65"/>
      <c r="FEA65"/>
      <c r="FEB65"/>
      <c r="FEC65"/>
      <c r="FED65"/>
      <c r="FEE65"/>
      <c r="FEF65"/>
      <c r="FEG65"/>
      <c r="FEH65"/>
      <c r="FEI65"/>
      <c r="FEJ65"/>
      <c r="FEK65"/>
      <c r="FEL65"/>
      <c r="FEM65"/>
      <c r="FEN65"/>
      <c r="FEO65"/>
      <c r="FEP65"/>
      <c r="FEQ65"/>
      <c r="FER65"/>
      <c r="FES65"/>
      <c r="FET65"/>
      <c r="FEU65"/>
      <c r="FEV65"/>
      <c r="FEW65"/>
      <c r="FEX65"/>
      <c r="FEY65"/>
      <c r="FEZ65"/>
      <c r="FFA65"/>
      <c r="FFB65"/>
      <c r="FFC65"/>
      <c r="FFD65"/>
      <c r="FFE65"/>
      <c r="FFF65"/>
      <c r="FFG65"/>
      <c r="FFH65"/>
      <c r="FFI65"/>
      <c r="FFJ65"/>
      <c r="FFK65"/>
      <c r="FFL65"/>
      <c r="FFM65"/>
      <c r="FFN65"/>
      <c r="FFO65"/>
      <c r="FFP65"/>
      <c r="FFQ65"/>
      <c r="FFR65"/>
      <c r="FFS65"/>
      <c r="FFT65"/>
      <c r="FFU65"/>
      <c r="FFV65"/>
      <c r="FFW65"/>
      <c r="FFX65"/>
      <c r="FFY65"/>
      <c r="FFZ65"/>
      <c r="FGA65"/>
      <c r="FGB65"/>
      <c r="FGC65"/>
      <c r="FGD65"/>
      <c r="FGE65"/>
      <c r="FGF65"/>
      <c r="FGG65"/>
      <c r="FGH65"/>
      <c r="FGI65"/>
      <c r="FGJ65"/>
      <c r="FGK65"/>
      <c r="FGL65"/>
      <c r="FGM65"/>
      <c r="FGN65"/>
      <c r="FGO65"/>
      <c r="FGP65"/>
      <c r="FGQ65"/>
      <c r="FGR65"/>
      <c r="FGS65"/>
      <c r="FGT65"/>
      <c r="FGU65"/>
      <c r="FGV65"/>
      <c r="FGW65"/>
      <c r="FGX65"/>
      <c r="FGY65"/>
      <c r="FGZ65"/>
      <c r="FHA65"/>
      <c r="FHB65"/>
      <c r="FHC65"/>
      <c r="FHD65"/>
      <c r="FHE65"/>
      <c r="FHF65"/>
      <c r="FHG65"/>
      <c r="FHH65"/>
      <c r="FHI65"/>
      <c r="FHJ65"/>
      <c r="FHK65"/>
      <c r="FHL65"/>
      <c r="FHM65"/>
      <c r="FHN65"/>
      <c r="FHO65"/>
      <c r="FHP65"/>
      <c r="FHQ65"/>
      <c r="FHR65"/>
      <c r="FHS65"/>
      <c r="FHT65"/>
      <c r="FHU65"/>
      <c r="FHV65"/>
      <c r="FHW65"/>
      <c r="FHX65"/>
      <c r="FHY65"/>
      <c r="FHZ65"/>
      <c r="FIA65"/>
      <c r="FIB65"/>
      <c r="FIC65"/>
      <c r="FID65"/>
      <c r="FIE65"/>
      <c r="FIF65"/>
      <c r="FIG65"/>
      <c r="FIH65"/>
      <c r="FII65"/>
      <c r="FIJ65"/>
      <c r="FIK65"/>
      <c r="FIL65"/>
      <c r="FIM65"/>
      <c r="FIN65"/>
      <c r="FIO65"/>
      <c r="FIP65"/>
      <c r="FIQ65"/>
      <c r="FIR65"/>
      <c r="FIS65"/>
      <c r="FIT65"/>
      <c r="FIU65"/>
      <c r="FIV65"/>
      <c r="FIW65"/>
      <c r="FIX65"/>
      <c r="FIY65"/>
      <c r="FIZ65"/>
      <c r="FJA65"/>
      <c r="FJB65"/>
      <c r="FJC65"/>
      <c r="FJD65"/>
      <c r="FJE65"/>
      <c r="FJF65"/>
      <c r="FJG65"/>
      <c r="FJH65"/>
      <c r="FJI65"/>
      <c r="FJJ65"/>
      <c r="FJK65"/>
      <c r="FJL65"/>
      <c r="FJM65"/>
      <c r="FJN65"/>
      <c r="FJO65"/>
      <c r="FJP65"/>
      <c r="FJQ65"/>
      <c r="FJR65"/>
      <c r="FJS65"/>
      <c r="FJT65"/>
      <c r="FJU65"/>
      <c r="FJV65"/>
      <c r="FJW65"/>
      <c r="FJX65"/>
      <c r="FJY65"/>
      <c r="FJZ65"/>
      <c r="FKA65"/>
      <c r="FKB65"/>
      <c r="FKC65"/>
      <c r="FKD65"/>
      <c r="FKE65"/>
      <c r="FKF65"/>
      <c r="FKG65"/>
      <c r="FKH65"/>
      <c r="FKI65"/>
      <c r="FKJ65"/>
      <c r="FKK65"/>
      <c r="FKL65"/>
      <c r="FKM65"/>
      <c r="FKN65"/>
      <c r="FKO65"/>
      <c r="FKP65"/>
      <c r="FKQ65"/>
      <c r="FKR65"/>
      <c r="FKS65"/>
      <c r="FKT65"/>
      <c r="FKU65"/>
      <c r="FKV65"/>
      <c r="FKW65"/>
      <c r="FKX65"/>
      <c r="FKY65"/>
      <c r="FKZ65"/>
      <c r="FLA65"/>
      <c r="FLB65"/>
      <c r="FLC65"/>
      <c r="FLD65"/>
      <c r="FLE65"/>
      <c r="FLF65"/>
      <c r="FLG65"/>
      <c r="FLH65"/>
      <c r="FLI65"/>
      <c r="FLJ65"/>
      <c r="FLK65"/>
      <c r="FLL65"/>
      <c r="FLM65"/>
      <c r="FLN65"/>
      <c r="FLO65"/>
      <c r="FLP65"/>
      <c r="FLQ65"/>
      <c r="FLR65"/>
      <c r="FLS65"/>
      <c r="FLT65"/>
      <c r="FLU65"/>
      <c r="FLV65"/>
      <c r="FLW65"/>
      <c r="FLX65"/>
      <c r="FLY65"/>
      <c r="FLZ65"/>
      <c r="FMA65"/>
      <c r="FMB65"/>
      <c r="FMC65"/>
      <c r="FMD65"/>
      <c r="FME65"/>
      <c r="FMF65"/>
      <c r="FMG65"/>
      <c r="FMH65"/>
      <c r="FMI65"/>
      <c r="FMJ65"/>
      <c r="FMK65"/>
      <c r="FML65"/>
      <c r="FMM65"/>
      <c r="FMN65"/>
      <c r="FMO65"/>
      <c r="FMP65"/>
      <c r="FMQ65"/>
      <c r="FMR65"/>
      <c r="FMS65"/>
      <c r="FMT65"/>
      <c r="FMU65"/>
      <c r="FMV65"/>
      <c r="FMW65"/>
      <c r="FMX65"/>
      <c r="FMY65"/>
      <c r="FMZ65"/>
      <c r="FNA65"/>
      <c r="FNB65"/>
      <c r="FNC65"/>
      <c r="FND65"/>
      <c r="FNE65"/>
      <c r="FNF65"/>
      <c r="FNG65"/>
      <c r="FNH65"/>
      <c r="FNI65"/>
      <c r="FNJ65"/>
      <c r="FNK65"/>
      <c r="FNL65"/>
      <c r="FNM65"/>
      <c r="FNN65"/>
      <c r="FNO65"/>
      <c r="FNP65"/>
      <c r="FNQ65"/>
      <c r="FNR65"/>
      <c r="FNS65"/>
      <c r="FNT65"/>
      <c r="FNU65"/>
      <c r="FNV65"/>
      <c r="FNW65"/>
      <c r="FNX65"/>
      <c r="FNY65"/>
      <c r="FNZ65"/>
      <c r="FOA65"/>
      <c r="FOB65"/>
      <c r="FOC65"/>
      <c r="FOD65"/>
      <c r="FOE65"/>
      <c r="FOF65"/>
      <c r="FOG65"/>
      <c r="FOH65"/>
      <c r="FOI65"/>
      <c r="FOJ65"/>
      <c r="FOK65"/>
      <c r="FOL65"/>
      <c r="FOM65"/>
      <c r="FON65"/>
      <c r="FOO65"/>
      <c r="FOP65"/>
      <c r="FOQ65"/>
      <c r="FOR65"/>
      <c r="FOS65"/>
      <c r="FOT65"/>
      <c r="FOU65"/>
      <c r="FOV65"/>
      <c r="FOW65"/>
      <c r="FOX65"/>
      <c r="FOY65"/>
      <c r="FOZ65"/>
      <c r="FPA65"/>
      <c r="FPB65"/>
      <c r="FPC65"/>
      <c r="FPD65"/>
      <c r="FPE65"/>
      <c r="FPF65"/>
      <c r="FPG65"/>
      <c r="FPH65"/>
      <c r="FPI65"/>
      <c r="FPJ65"/>
      <c r="FPK65"/>
      <c r="FPL65"/>
      <c r="FPM65"/>
      <c r="FPN65"/>
      <c r="FPO65"/>
      <c r="FPP65"/>
      <c r="FPQ65"/>
      <c r="FPR65"/>
      <c r="FPS65"/>
      <c r="FPT65"/>
      <c r="FPU65"/>
      <c r="FPV65"/>
      <c r="FPW65"/>
      <c r="FPX65"/>
      <c r="FPY65"/>
      <c r="FPZ65"/>
      <c r="FQA65"/>
      <c r="FQB65"/>
      <c r="FQC65"/>
      <c r="FQD65"/>
      <c r="FQE65"/>
      <c r="FQF65"/>
      <c r="FQG65"/>
      <c r="FQH65"/>
      <c r="FQI65"/>
      <c r="FQJ65"/>
      <c r="FQK65"/>
      <c r="FQL65"/>
      <c r="FQM65"/>
      <c r="FQN65"/>
      <c r="FQO65"/>
      <c r="FQP65"/>
      <c r="FQQ65"/>
      <c r="FQR65"/>
      <c r="FQS65"/>
      <c r="FQT65"/>
      <c r="FQU65"/>
      <c r="FQV65"/>
      <c r="FQW65"/>
      <c r="FQX65"/>
      <c r="FQY65"/>
      <c r="FQZ65"/>
      <c r="FRA65"/>
      <c r="FRB65"/>
      <c r="FRC65"/>
      <c r="FRD65"/>
      <c r="FRE65"/>
      <c r="FRF65"/>
      <c r="FRG65"/>
      <c r="FRH65"/>
      <c r="FRI65"/>
      <c r="FRJ65"/>
      <c r="FRK65"/>
      <c r="FRL65"/>
      <c r="FRM65"/>
      <c r="FRN65"/>
      <c r="FRO65"/>
      <c r="FRP65"/>
      <c r="FRQ65"/>
      <c r="FRR65"/>
      <c r="FRS65"/>
      <c r="FRT65"/>
      <c r="FRU65"/>
      <c r="FRV65"/>
      <c r="FRW65"/>
      <c r="FRX65"/>
      <c r="FRY65"/>
      <c r="FRZ65"/>
      <c r="FSA65"/>
      <c r="FSB65"/>
      <c r="FSC65"/>
      <c r="FSD65"/>
      <c r="FSE65"/>
      <c r="FSF65"/>
      <c r="FSG65"/>
      <c r="FSH65"/>
      <c r="FSI65"/>
      <c r="FSJ65"/>
      <c r="FSK65"/>
      <c r="FSL65"/>
      <c r="FSM65"/>
      <c r="FSN65"/>
      <c r="FSO65"/>
      <c r="FSP65"/>
      <c r="FSQ65"/>
      <c r="FSR65"/>
      <c r="FSS65"/>
      <c r="FST65"/>
      <c r="FSU65"/>
      <c r="FSV65"/>
      <c r="FSW65"/>
      <c r="FSX65"/>
      <c r="FSY65"/>
      <c r="FSZ65"/>
      <c r="FTA65"/>
      <c r="FTB65"/>
      <c r="FTC65"/>
      <c r="FTD65"/>
      <c r="FTE65"/>
      <c r="FTF65"/>
      <c r="FTG65"/>
      <c r="FTH65"/>
      <c r="FTI65"/>
      <c r="FTJ65"/>
      <c r="FTK65"/>
      <c r="FTL65"/>
      <c r="FTM65"/>
      <c r="FTN65"/>
      <c r="FTO65"/>
      <c r="FTP65"/>
      <c r="FTQ65"/>
      <c r="FTR65"/>
      <c r="FTS65"/>
      <c r="FTT65"/>
      <c r="FTU65"/>
      <c r="FTV65"/>
      <c r="FTW65"/>
      <c r="FTX65"/>
      <c r="FTY65"/>
      <c r="FTZ65"/>
      <c r="FUA65"/>
      <c r="FUB65"/>
      <c r="FUC65"/>
      <c r="FUD65"/>
      <c r="FUE65"/>
      <c r="FUF65"/>
      <c r="FUG65"/>
      <c r="FUH65"/>
      <c r="FUI65"/>
      <c r="FUJ65"/>
      <c r="FUK65"/>
      <c r="FUL65"/>
      <c r="FUM65"/>
      <c r="FUN65"/>
      <c r="FUO65"/>
      <c r="FUP65"/>
      <c r="FUQ65"/>
      <c r="FUR65"/>
      <c r="FUS65"/>
      <c r="FUT65"/>
      <c r="FUU65"/>
      <c r="FUV65"/>
      <c r="FUW65"/>
      <c r="FUX65"/>
      <c r="FUY65"/>
      <c r="FUZ65"/>
      <c r="FVA65"/>
      <c r="FVB65"/>
      <c r="FVC65"/>
      <c r="FVD65"/>
      <c r="FVE65"/>
      <c r="FVF65"/>
      <c r="FVG65"/>
      <c r="FVH65"/>
      <c r="FVI65"/>
      <c r="FVJ65"/>
      <c r="FVK65"/>
      <c r="FVL65"/>
      <c r="FVM65"/>
      <c r="FVN65"/>
      <c r="FVO65"/>
      <c r="FVP65"/>
      <c r="FVQ65"/>
      <c r="FVR65"/>
      <c r="FVS65"/>
      <c r="FVT65"/>
      <c r="FVU65"/>
      <c r="FVV65"/>
      <c r="FVW65"/>
      <c r="FVX65"/>
      <c r="FVY65"/>
      <c r="FVZ65"/>
      <c r="FWA65"/>
      <c r="FWB65"/>
      <c r="FWC65"/>
      <c r="FWD65"/>
      <c r="FWE65"/>
      <c r="FWF65"/>
      <c r="FWG65"/>
      <c r="FWH65"/>
      <c r="FWI65"/>
      <c r="FWJ65"/>
      <c r="FWK65"/>
      <c r="FWL65"/>
      <c r="FWM65"/>
      <c r="FWN65"/>
      <c r="FWO65"/>
      <c r="FWP65"/>
      <c r="FWQ65"/>
      <c r="FWR65"/>
      <c r="FWS65"/>
      <c r="FWT65"/>
      <c r="FWU65"/>
      <c r="FWV65"/>
      <c r="FWW65"/>
      <c r="FWX65"/>
      <c r="FWY65"/>
      <c r="FWZ65"/>
      <c r="FXA65"/>
      <c r="FXB65"/>
      <c r="FXC65"/>
      <c r="FXD65"/>
      <c r="FXE65"/>
      <c r="FXF65"/>
      <c r="FXG65"/>
      <c r="FXH65"/>
      <c r="FXI65"/>
      <c r="FXJ65"/>
      <c r="FXK65"/>
      <c r="FXL65"/>
      <c r="FXM65"/>
      <c r="FXN65"/>
      <c r="FXO65"/>
      <c r="FXP65"/>
      <c r="FXQ65"/>
      <c r="FXR65"/>
      <c r="FXS65"/>
      <c r="FXT65"/>
      <c r="FXU65"/>
      <c r="FXV65"/>
      <c r="FXW65"/>
      <c r="FXX65"/>
      <c r="FXY65"/>
      <c r="FXZ65"/>
      <c r="FYA65"/>
      <c r="FYB65"/>
      <c r="FYC65"/>
      <c r="FYD65"/>
      <c r="FYE65"/>
      <c r="FYF65"/>
      <c r="FYG65"/>
      <c r="FYH65"/>
      <c r="FYI65"/>
      <c r="FYJ65"/>
      <c r="FYK65"/>
      <c r="FYL65"/>
      <c r="FYM65"/>
      <c r="FYN65"/>
      <c r="FYO65"/>
      <c r="FYP65"/>
      <c r="FYQ65"/>
      <c r="FYR65"/>
      <c r="FYS65"/>
      <c r="FYT65"/>
      <c r="FYU65"/>
      <c r="FYV65"/>
      <c r="FYW65"/>
      <c r="FYX65"/>
      <c r="FYY65"/>
      <c r="FYZ65"/>
      <c r="FZA65"/>
      <c r="FZB65"/>
      <c r="FZC65"/>
      <c r="FZD65"/>
      <c r="FZE65"/>
      <c r="FZF65"/>
      <c r="FZG65"/>
      <c r="FZH65"/>
      <c r="FZI65"/>
      <c r="FZJ65"/>
      <c r="FZK65"/>
      <c r="FZL65"/>
      <c r="FZM65"/>
      <c r="FZN65"/>
      <c r="FZO65"/>
      <c r="FZP65"/>
      <c r="FZQ65"/>
      <c r="FZR65"/>
      <c r="FZS65"/>
      <c r="FZT65"/>
      <c r="FZU65"/>
      <c r="FZV65"/>
      <c r="FZW65"/>
      <c r="FZX65"/>
      <c r="FZY65"/>
      <c r="FZZ65"/>
      <c r="GAA65"/>
      <c r="GAB65"/>
      <c r="GAC65"/>
      <c r="GAD65"/>
      <c r="GAE65"/>
      <c r="GAF65"/>
      <c r="GAG65"/>
      <c r="GAH65"/>
      <c r="GAI65"/>
      <c r="GAJ65"/>
      <c r="GAK65"/>
      <c r="GAL65"/>
      <c r="GAM65"/>
      <c r="GAN65"/>
      <c r="GAO65"/>
      <c r="GAP65"/>
      <c r="GAQ65"/>
      <c r="GAR65"/>
      <c r="GAS65"/>
      <c r="GAT65"/>
      <c r="GAU65"/>
      <c r="GAV65"/>
      <c r="GAW65"/>
      <c r="GAX65"/>
      <c r="GAY65"/>
      <c r="GAZ65"/>
      <c r="GBA65"/>
      <c r="GBB65"/>
      <c r="GBC65"/>
      <c r="GBD65"/>
      <c r="GBE65"/>
      <c r="GBF65"/>
      <c r="GBG65"/>
      <c r="GBH65"/>
      <c r="GBI65"/>
      <c r="GBJ65"/>
      <c r="GBK65"/>
      <c r="GBL65"/>
      <c r="GBM65"/>
      <c r="GBN65"/>
      <c r="GBO65"/>
      <c r="GBP65"/>
      <c r="GBQ65"/>
      <c r="GBR65"/>
      <c r="GBS65"/>
      <c r="GBT65"/>
      <c r="GBU65"/>
      <c r="GBV65"/>
      <c r="GBW65"/>
      <c r="GBX65"/>
      <c r="GBY65"/>
      <c r="GBZ65"/>
      <c r="GCA65"/>
      <c r="GCB65"/>
      <c r="GCC65"/>
      <c r="GCD65"/>
      <c r="GCE65"/>
      <c r="GCF65"/>
      <c r="GCG65"/>
      <c r="GCH65"/>
      <c r="GCI65"/>
      <c r="GCJ65"/>
      <c r="GCK65"/>
      <c r="GCL65"/>
      <c r="GCM65"/>
      <c r="GCN65"/>
      <c r="GCO65"/>
      <c r="GCP65"/>
      <c r="GCQ65"/>
      <c r="GCR65"/>
      <c r="GCS65"/>
      <c r="GCT65"/>
      <c r="GCU65"/>
      <c r="GCV65"/>
      <c r="GCW65"/>
      <c r="GCX65"/>
      <c r="GCY65"/>
      <c r="GCZ65"/>
      <c r="GDA65"/>
      <c r="GDB65"/>
      <c r="GDC65"/>
      <c r="GDD65"/>
      <c r="GDE65"/>
      <c r="GDF65"/>
      <c r="GDG65"/>
      <c r="GDH65"/>
      <c r="GDI65"/>
      <c r="GDJ65"/>
      <c r="GDK65"/>
      <c r="GDL65"/>
      <c r="GDM65"/>
      <c r="GDN65"/>
      <c r="GDO65"/>
      <c r="GDP65"/>
      <c r="GDQ65"/>
      <c r="GDR65"/>
      <c r="GDS65"/>
      <c r="GDT65"/>
      <c r="GDU65"/>
      <c r="GDV65"/>
      <c r="GDW65"/>
      <c r="GDX65"/>
      <c r="GDY65"/>
      <c r="GDZ65"/>
      <c r="GEA65"/>
      <c r="GEB65"/>
      <c r="GEC65"/>
      <c r="GED65"/>
      <c r="GEE65"/>
      <c r="GEF65"/>
      <c r="GEG65"/>
      <c r="GEH65"/>
      <c r="GEI65"/>
      <c r="GEJ65"/>
      <c r="GEK65"/>
      <c r="GEL65"/>
      <c r="GEM65"/>
      <c r="GEN65"/>
      <c r="GEO65"/>
      <c r="GEP65"/>
      <c r="GEQ65"/>
      <c r="GER65"/>
      <c r="GES65"/>
      <c r="GET65"/>
      <c r="GEU65"/>
      <c r="GEV65"/>
      <c r="GEW65"/>
      <c r="GEX65"/>
      <c r="GEY65"/>
      <c r="GEZ65"/>
      <c r="GFA65"/>
      <c r="GFB65"/>
      <c r="GFC65"/>
      <c r="GFD65"/>
      <c r="GFE65"/>
      <c r="GFF65"/>
      <c r="GFG65"/>
      <c r="GFH65"/>
      <c r="GFI65"/>
      <c r="GFJ65"/>
      <c r="GFK65"/>
      <c r="GFL65"/>
      <c r="GFM65"/>
      <c r="GFN65"/>
      <c r="GFO65"/>
      <c r="GFP65"/>
      <c r="GFQ65"/>
      <c r="GFR65"/>
      <c r="GFS65"/>
      <c r="GFT65"/>
      <c r="GFU65"/>
      <c r="GFV65"/>
      <c r="GFW65"/>
      <c r="GFX65"/>
      <c r="GFY65"/>
      <c r="GFZ65"/>
      <c r="GGA65"/>
      <c r="GGB65"/>
      <c r="GGC65"/>
      <c r="GGD65"/>
      <c r="GGE65"/>
      <c r="GGF65"/>
      <c r="GGG65"/>
      <c r="GGH65"/>
      <c r="GGI65"/>
      <c r="GGJ65"/>
      <c r="GGK65"/>
      <c r="GGL65"/>
      <c r="GGM65"/>
      <c r="GGN65"/>
      <c r="GGO65"/>
      <c r="GGP65"/>
      <c r="GGQ65"/>
      <c r="GGR65"/>
      <c r="GGS65"/>
      <c r="GGT65"/>
      <c r="GGU65"/>
      <c r="GGV65"/>
      <c r="GGW65"/>
      <c r="GGX65"/>
      <c r="GGY65"/>
      <c r="GGZ65"/>
      <c r="GHA65"/>
      <c r="GHB65"/>
      <c r="GHC65"/>
      <c r="GHD65"/>
      <c r="GHE65"/>
      <c r="GHF65"/>
      <c r="GHG65"/>
      <c r="GHH65"/>
      <c r="GHI65"/>
      <c r="GHJ65"/>
      <c r="GHK65"/>
      <c r="GHL65"/>
      <c r="GHM65"/>
      <c r="GHN65"/>
      <c r="GHO65"/>
      <c r="GHP65"/>
      <c r="GHQ65"/>
      <c r="GHR65"/>
      <c r="GHS65"/>
      <c r="GHT65"/>
      <c r="GHU65"/>
      <c r="GHV65"/>
      <c r="GHW65"/>
      <c r="GHX65"/>
      <c r="GHY65"/>
      <c r="GHZ65"/>
      <c r="GIA65"/>
      <c r="GIB65"/>
      <c r="GIC65"/>
      <c r="GID65"/>
      <c r="GIE65"/>
      <c r="GIF65"/>
      <c r="GIG65"/>
      <c r="GIH65"/>
      <c r="GII65"/>
      <c r="GIJ65"/>
      <c r="GIK65"/>
      <c r="GIL65"/>
      <c r="GIM65"/>
      <c r="GIN65"/>
      <c r="GIO65"/>
      <c r="GIP65"/>
      <c r="GIQ65"/>
      <c r="GIR65"/>
      <c r="GIS65"/>
      <c r="GIT65"/>
      <c r="GIU65"/>
      <c r="GIV65"/>
      <c r="GIW65"/>
      <c r="GIX65"/>
      <c r="GIY65"/>
      <c r="GIZ65"/>
      <c r="GJA65"/>
      <c r="GJB65"/>
      <c r="GJC65"/>
      <c r="GJD65"/>
      <c r="GJE65"/>
      <c r="GJF65"/>
      <c r="GJG65"/>
      <c r="GJH65"/>
      <c r="GJI65"/>
      <c r="GJJ65"/>
      <c r="GJK65"/>
      <c r="GJL65"/>
      <c r="GJM65"/>
      <c r="GJN65"/>
      <c r="GJO65"/>
      <c r="GJP65"/>
      <c r="GJQ65"/>
      <c r="GJR65"/>
      <c r="GJS65"/>
      <c r="GJT65"/>
      <c r="GJU65"/>
      <c r="GJV65"/>
      <c r="GJW65"/>
      <c r="GJX65"/>
      <c r="GJY65"/>
      <c r="GJZ65"/>
      <c r="GKA65"/>
      <c r="GKB65"/>
      <c r="GKC65"/>
      <c r="GKD65"/>
      <c r="GKE65"/>
      <c r="GKF65"/>
      <c r="GKG65"/>
      <c r="GKH65"/>
      <c r="GKI65"/>
      <c r="GKJ65"/>
      <c r="GKK65"/>
      <c r="GKL65"/>
      <c r="GKM65"/>
      <c r="GKN65"/>
      <c r="GKO65"/>
      <c r="GKP65"/>
      <c r="GKQ65"/>
      <c r="GKR65"/>
      <c r="GKS65"/>
      <c r="GKT65"/>
      <c r="GKU65"/>
      <c r="GKV65"/>
      <c r="GKW65"/>
      <c r="GKX65"/>
      <c r="GKY65"/>
      <c r="GKZ65"/>
      <c r="GLA65"/>
      <c r="GLB65"/>
      <c r="GLC65"/>
      <c r="GLD65"/>
      <c r="GLE65"/>
      <c r="GLF65"/>
      <c r="GLG65"/>
      <c r="GLH65"/>
      <c r="GLI65"/>
      <c r="GLJ65"/>
      <c r="GLK65"/>
      <c r="GLL65"/>
      <c r="GLM65"/>
      <c r="GLN65"/>
      <c r="GLO65"/>
      <c r="GLP65"/>
      <c r="GLQ65"/>
      <c r="GLR65"/>
      <c r="GLS65"/>
      <c r="GLT65"/>
      <c r="GLU65"/>
      <c r="GLV65"/>
      <c r="GLW65"/>
      <c r="GLX65"/>
      <c r="GLY65"/>
      <c r="GLZ65"/>
      <c r="GMA65"/>
      <c r="GMB65"/>
      <c r="GMC65"/>
      <c r="GMD65"/>
      <c r="GME65"/>
      <c r="GMF65"/>
      <c r="GMG65"/>
      <c r="GMH65"/>
      <c r="GMI65"/>
      <c r="GMJ65"/>
      <c r="GMK65"/>
      <c r="GML65"/>
      <c r="GMM65"/>
      <c r="GMN65"/>
      <c r="GMO65"/>
      <c r="GMP65"/>
      <c r="GMQ65"/>
      <c r="GMR65"/>
      <c r="GMS65"/>
      <c r="GMT65"/>
      <c r="GMU65"/>
      <c r="GMV65"/>
      <c r="GMW65"/>
      <c r="GMX65"/>
      <c r="GMY65"/>
      <c r="GMZ65"/>
      <c r="GNA65"/>
      <c r="GNB65"/>
      <c r="GNC65"/>
      <c r="GND65"/>
      <c r="GNE65"/>
      <c r="GNF65"/>
      <c r="GNG65"/>
      <c r="GNH65"/>
      <c r="GNI65"/>
      <c r="GNJ65"/>
      <c r="GNK65"/>
      <c r="GNL65"/>
      <c r="GNM65"/>
      <c r="GNN65"/>
      <c r="GNO65"/>
      <c r="GNP65"/>
      <c r="GNQ65"/>
      <c r="GNR65"/>
      <c r="GNS65"/>
      <c r="GNT65"/>
      <c r="GNU65"/>
      <c r="GNV65"/>
      <c r="GNW65"/>
      <c r="GNX65"/>
      <c r="GNY65"/>
      <c r="GNZ65"/>
      <c r="GOA65"/>
      <c r="GOB65"/>
      <c r="GOC65"/>
      <c r="GOD65"/>
      <c r="GOE65"/>
      <c r="GOF65"/>
      <c r="GOG65"/>
      <c r="GOH65"/>
      <c r="GOI65"/>
      <c r="GOJ65"/>
      <c r="GOK65"/>
      <c r="GOL65"/>
      <c r="GOM65"/>
      <c r="GON65"/>
      <c r="GOO65"/>
      <c r="GOP65"/>
      <c r="GOQ65"/>
      <c r="GOR65"/>
      <c r="GOS65"/>
      <c r="GOT65"/>
      <c r="GOU65"/>
      <c r="GOV65"/>
      <c r="GOW65"/>
      <c r="GOX65"/>
      <c r="GOY65"/>
      <c r="GOZ65"/>
      <c r="GPA65"/>
      <c r="GPB65"/>
      <c r="GPC65"/>
      <c r="GPD65"/>
      <c r="GPE65"/>
      <c r="GPF65"/>
      <c r="GPG65"/>
      <c r="GPH65"/>
      <c r="GPI65"/>
      <c r="GPJ65"/>
      <c r="GPK65"/>
      <c r="GPL65"/>
      <c r="GPM65"/>
      <c r="GPN65"/>
      <c r="GPO65"/>
      <c r="GPP65"/>
      <c r="GPQ65"/>
      <c r="GPR65"/>
      <c r="GPS65"/>
      <c r="GPT65"/>
      <c r="GPU65"/>
      <c r="GPV65"/>
      <c r="GPW65"/>
      <c r="GPX65"/>
      <c r="GPY65"/>
      <c r="GPZ65"/>
      <c r="GQA65"/>
      <c r="GQB65"/>
      <c r="GQC65"/>
      <c r="GQD65"/>
      <c r="GQE65"/>
      <c r="GQF65"/>
      <c r="GQG65"/>
      <c r="GQH65"/>
      <c r="GQI65"/>
      <c r="GQJ65"/>
      <c r="GQK65"/>
      <c r="GQL65"/>
      <c r="GQM65"/>
      <c r="GQN65"/>
      <c r="GQO65"/>
      <c r="GQP65"/>
      <c r="GQQ65"/>
      <c r="GQR65"/>
      <c r="GQS65"/>
      <c r="GQT65"/>
      <c r="GQU65"/>
      <c r="GQV65"/>
      <c r="GQW65"/>
      <c r="GQX65"/>
      <c r="GQY65"/>
      <c r="GQZ65"/>
      <c r="GRA65"/>
      <c r="GRB65"/>
      <c r="GRC65"/>
      <c r="GRD65"/>
      <c r="GRE65"/>
      <c r="GRF65"/>
      <c r="GRG65"/>
      <c r="GRH65"/>
      <c r="GRI65"/>
      <c r="GRJ65"/>
      <c r="GRK65"/>
      <c r="GRL65"/>
      <c r="GRM65"/>
      <c r="GRN65"/>
      <c r="GRO65"/>
      <c r="GRP65"/>
      <c r="GRQ65"/>
      <c r="GRR65"/>
      <c r="GRS65"/>
      <c r="GRT65"/>
      <c r="GRU65"/>
      <c r="GRV65"/>
      <c r="GRW65"/>
      <c r="GRX65"/>
      <c r="GRY65"/>
      <c r="GRZ65"/>
      <c r="GSA65"/>
      <c r="GSB65"/>
      <c r="GSC65"/>
      <c r="GSD65"/>
      <c r="GSE65"/>
      <c r="GSF65"/>
      <c r="GSG65"/>
      <c r="GSH65"/>
      <c r="GSI65"/>
      <c r="GSJ65"/>
      <c r="GSK65"/>
      <c r="GSL65"/>
      <c r="GSM65"/>
      <c r="GSN65"/>
      <c r="GSO65"/>
      <c r="GSP65"/>
      <c r="GSQ65"/>
      <c r="GSR65"/>
      <c r="GSS65"/>
      <c r="GST65"/>
      <c r="GSU65"/>
      <c r="GSV65"/>
      <c r="GSW65"/>
      <c r="GSX65"/>
      <c r="GSY65"/>
      <c r="GSZ65"/>
      <c r="GTA65"/>
      <c r="GTB65"/>
      <c r="GTC65"/>
      <c r="GTD65"/>
      <c r="GTE65"/>
      <c r="GTF65"/>
      <c r="GTG65"/>
      <c r="GTH65"/>
      <c r="GTI65"/>
      <c r="GTJ65"/>
      <c r="GTK65"/>
      <c r="GTL65"/>
      <c r="GTM65"/>
      <c r="GTN65"/>
      <c r="GTO65"/>
      <c r="GTP65"/>
      <c r="GTQ65"/>
      <c r="GTR65"/>
      <c r="GTS65"/>
      <c r="GTT65"/>
      <c r="GTU65"/>
      <c r="GTV65"/>
      <c r="GTW65"/>
      <c r="GTX65"/>
      <c r="GTY65"/>
      <c r="GTZ65"/>
      <c r="GUA65"/>
      <c r="GUB65"/>
      <c r="GUC65"/>
      <c r="GUD65"/>
      <c r="GUE65"/>
      <c r="GUF65"/>
      <c r="GUG65"/>
      <c r="GUH65"/>
      <c r="GUI65"/>
      <c r="GUJ65"/>
      <c r="GUK65"/>
      <c r="GUL65"/>
      <c r="GUM65"/>
      <c r="GUN65"/>
      <c r="GUO65"/>
      <c r="GUP65"/>
      <c r="GUQ65"/>
      <c r="GUR65"/>
      <c r="GUS65"/>
      <c r="GUT65"/>
      <c r="GUU65"/>
      <c r="GUV65"/>
      <c r="GUW65"/>
      <c r="GUX65"/>
      <c r="GUY65"/>
      <c r="GUZ65"/>
      <c r="GVA65"/>
      <c r="GVB65"/>
      <c r="GVC65"/>
      <c r="GVD65"/>
      <c r="GVE65"/>
      <c r="GVF65"/>
      <c r="GVG65"/>
      <c r="GVH65"/>
      <c r="GVI65"/>
      <c r="GVJ65"/>
      <c r="GVK65"/>
      <c r="GVL65"/>
      <c r="GVM65"/>
      <c r="GVN65"/>
      <c r="GVO65"/>
      <c r="GVP65"/>
      <c r="GVQ65"/>
      <c r="GVR65"/>
      <c r="GVS65"/>
      <c r="GVT65"/>
      <c r="GVU65"/>
      <c r="GVV65"/>
      <c r="GVW65"/>
      <c r="GVX65"/>
      <c r="GVY65"/>
      <c r="GVZ65"/>
      <c r="GWA65"/>
      <c r="GWB65"/>
      <c r="GWC65"/>
      <c r="GWD65"/>
      <c r="GWE65"/>
      <c r="GWF65"/>
      <c r="GWG65"/>
      <c r="GWH65"/>
      <c r="GWI65"/>
      <c r="GWJ65"/>
      <c r="GWK65"/>
      <c r="GWL65"/>
      <c r="GWM65"/>
      <c r="GWN65"/>
      <c r="GWO65"/>
      <c r="GWP65"/>
      <c r="GWQ65"/>
      <c r="GWR65"/>
      <c r="GWS65"/>
      <c r="GWT65"/>
      <c r="GWU65"/>
      <c r="GWV65"/>
      <c r="GWW65"/>
      <c r="GWX65"/>
      <c r="GWY65"/>
      <c r="GWZ65"/>
      <c r="GXA65"/>
      <c r="GXB65"/>
      <c r="GXC65"/>
      <c r="GXD65"/>
      <c r="GXE65"/>
      <c r="GXF65"/>
      <c r="GXG65"/>
      <c r="GXH65"/>
      <c r="GXI65"/>
      <c r="GXJ65"/>
      <c r="GXK65"/>
      <c r="GXL65"/>
      <c r="GXM65"/>
      <c r="GXN65"/>
      <c r="GXO65"/>
      <c r="GXP65"/>
      <c r="GXQ65"/>
      <c r="GXR65"/>
      <c r="GXS65"/>
      <c r="GXT65"/>
      <c r="GXU65"/>
      <c r="GXV65"/>
      <c r="GXW65"/>
      <c r="GXX65"/>
      <c r="GXY65"/>
      <c r="GXZ65"/>
      <c r="GYA65"/>
      <c r="GYB65"/>
      <c r="GYC65"/>
      <c r="GYD65"/>
      <c r="GYE65"/>
      <c r="GYF65"/>
      <c r="GYG65"/>
      <c r="GYH65"/>
      <c r="GYI65"/>
      <c r="GYJ65"/>
      <c r="GYK65"/>
      <c r="GYL65"/>
      <c r="GYM65"/>
      <c r="GYN65"/>
      <c r="GYO65"/>
      <c r="GYP65"/>
      <c r="GYQ65"/>
      <c r="GYR65"/>
      <c r="GYS65"/>
      <c r="GYT65"/>
      <c r="GYU65"/>
      <c r="GYV65"/>
      <c r="GYW65"/>
      <c r="GYX65"/>
      <c r="GYY65"/>
      <c r="GYZ65"/>
      <c r="GZA65"/>
      <c r="GZB65"/>
      <c r="GZC65"/>
      <c r="GZD65"/>
      <c r="GZE65"/>
      <c r="GZF65"/>
      <c r="GZG65"/>
      <c r="GZH65"/>
      <c r="GZI65"/>
      <c r="GZJ65"/>
      <c r="GZK65"/>
      <c r="GZL65"/>
      <c r="GZM65"/>
      <c r="GZN65"/>
      <c r="GZO65"/>
      <c r="GZP65"/>
      <c r="GZQ65"/>
      <c r="GZR65"/>
      <c r="GZS65"/>
      <c r="GZT65"/>
      <c r="GZU65"/>
      <c r="GZV65"/>
      <c r="GZW65"/>
      <c r="GZX65"/>
      <c r="GZY65"/>
      <c r="GZZ65"/>
      <c r="HAA65"/>
      <c r="HAB65"/>
      <c r="HAC65"/>
      <c r="HAD65"/>
      <c r="HAE65"/>
      <c r="HAF65"/>
      <c r="HAG65"/>
      <c r="HAH65"/>
      <c r="HAI65"/>
      <c r="HAJ65"/>
      <c r="HAK65"/>
      <c r="HAL65"/>
      <c r="HAM65"/>
      <c r="HAN65"/>
      <c r="HAO65"/>
      <c r="HAP65"/>
      <c r="HAQ65"/>
      <c r="HAR65"/>
      <c r="HAS65"/>
      <c r="HAT65"/>
      <c r="HAU65"/>
      <c r="HAV65"/>
      <c r="HAW65"/>
      <c r="HAX65"/>
      <c r="HAY65"/>
      <c r="HAZ65"/>
      <c r="HBA65"/>
      <c r="HBB65"/>
      <c r="HBC65"/>
      <c r="HBD65"/>
      <c r="HBE65"/>
      <c r="HBF65"/>
      <c r="HBG65"/>
      <c r="HBH65"/>
      <c r="HBI65"/>
      <c r="HBJ65"/>
      <c r="HBK65"/>
      <c r="HBL65"/>
      <c r="HBM65"/>
      <c r="HBN65"/>
      <c r="HBO65"/>
      <c r="HBP65"/>
      <c r="HBQ65"/>
      <c r="HBR65"/>
      <c r="HBS65"/>
      <c r="HBT65"/>
      <c r="HBU65"/>
      <c r="HBV65"/>
      <c r="HBW65"/>
      <c r="HBX65"/>
      <c r="HBY65"/>
      <c r="HBZ65"/>
      <c r="HCA65"/>
      <c r="HCB65"/>
      <c r="HCC65"/>
      <c r="HCD65"/>
      <c r="HCE65"/>
      <c r="HCF65"/>
      <c r="HCG65"/>
      <c r="HCH65"/>
      <c r="HCI65"/>
      <c r="HCJ65"/>
      <c r="HCK65"/>
      <c r="HCL65"/>
      <c r="HCM65"/>
      <c r="HCN65"/>
      <c r="HCO65"/>
      <c r="HCP65"/>
      <c r="HCQ65"/>
      <c r="HCR65"/>
      <c r="HCS65"/>
      <c r="HCT65"/>
      <c r="HCU65"/>
      <c r="HCV65"/>
      <c r="HCW65"/>
      <c r="HCX65"/>
      <c r="HCY65"/>
      <c r="HCZ65"/>
      <c r="HDA65"/>
      <c r="HDB65"/>
      <c r="HDC65"/>
      <c r="HDD65"/>
      <c r="HDE65"/>
      <c r="HDF65"/>
      <c r="HDG65"/>
      <c r="HDH65"/>
      <c r="HDI65"/>
      <c r="HDJ65"/>
      <c r="HDK65"/>
      <c r="HDL65"/>
      <c r="HDM65"/>
      <c r="HDN65"/>
      <c r="HDO65"/>
      <c r="HDP65"/>
      <c r="HDQ65"/>
      <c r="HDR65"/>
      <c r="HDS65"/>
      <c r="HDT65"/>
      <c r="HDU65"/>
      <c r="HDV65"/>
      <c r="HDW65"/>
      <c r="HDX65"/>
      <c r="HDY65"/>
      <c r="HDZ65"/>
      <c r="HEA65"/>
      <c r="HEB65"/>
      <c r="HEC65"/>
      <c r="HED65"/>
      <c r="HEE65"/>
      <c r="HEF65"/>
      <c r="HEG65"/>
      <c r="HEH65"/>
      <c r="HEI65"/>
      <c r="HEJ65"/>
      <c r="HEK65"/>
      <c r="HEL65"/>
      <c r="HEM65"/>
      <c r="HEN65"/>
      <c r="HEO65"/>
      <c r="HEP65"/>
      <c r="HEQ65"/>
      <c r="HER65"/>
      <c r="HES65"/>
      <c r="HET65"/>
      <c r="HEU65"/>
      <c r="HEV65"/>
      <c r="HEW65"/>
      <c r="HEX65"/>
      <c r="HEY65"/>
      <c r="HEZ65"/>
      <c r="HFA65"/>
      <c r="HFB65"/>
      <c r="HFC65"/>
      <c r="HFD65"/>
      <c r="HFE65"/>
      <c r="HFF65"/>
      <c r="HFG65"/>
      <c r="HFH65"/>
      <c r="HFI65"/>
      <c r="HFJ65"/>
      <c r="HFK65"/>
      <c r="HFL65"/>
      <c r="HFM65"/>
      <c r="HFN65"/>
      <c r="HFO65"/>
      <c r="HFP65"/>
      <c r="HFQ65"/>
      <c r="HFR65"/>
      <c r="HFS65"/>
      <c r="HFT65"/>
      <c r="HFU65"/>
      <c r="HFV65"/>
      <c r="HFW65"/>
      <c r="HFX65"/>
      <c r="HFY65"/>
      <c r="HFZ65"/>
      <c r="HGA65"/>
      <c r="HGB65"/>
      <c r="HGC65"/>
      <c r="HGD65"/>
      <c r="HGE65"/>
      <c r="HGF65"/>
      <c r="HGG65"/>
      <c r="HGH65"/>
      <c r="HGI65"/>
      <c r="HGJ65"/>
      <c r="HGK65"/>
      <c r="HGL65"/>
      <c r="HGM65"/>
      <c r="HGN65"/>
      <c r="HGO65"/>
      <c r="HGP65"/>
      <c r="HGQ65"/>
      <c r="HGR65"/>
      <c r="HGS65"/>
      <c r="HGT65"/>
      <c r="HGU65"/>
      <c r="HGV65"/>
      <c r="HGW65"/>
      <c r="HGX65"/>
      <c r="HGY65"/>
      <c r="HGZ65"/>
      <c r="HHA65"/>
      <c r="HHB65"/>
      <c r="HHC65"/>
      <c r="HHD65"/>
      <c r="HHE65"/>
      <c r="HHF65"/>
      <c r="HHG65"/>
      <c r="HHH65"/>
      <c r="HHI65"/>
      <c r="HHJ65"/>
      <c r="HHK65"/>
      <c r="HHL65"/>
      <c r="HHM65"/>
      <c r="HHN65"/>
      <c r="HHO65"/>
      <c r="HHP65"/>
      <c r="HHQ65"/>
      <c r="HHR65"/>
      <c r="HHS65"/>
      <c r="HHT65"/>
      <c r="HHU65"/>
      <c r="HHV65"/>
      <c r="HHW65"/>
      <c r="HHX65"/>
      <c r="HHY65"/>
      <c r="HHZ65"/>
      <c r="HIA65"/>
      <c r="HIB65"/>
      <c r="HIC65"/>
      <c r="HID65"/>
      <c r="HIE65"/>
      <c r="HIF65"/>
      <c r="HIG65"/>
      <c r="HIH65"/>
      <c r="HII65"/>
      <c r="HIJ65"/>
      <c r="HIK65"/>
      <c r="HIL65"/>
      <c r="HIM65"/>
      <c r="HIN65"/>
      <c r="HIO65"/>
      <c r="HIP65"/>
      <c r="HIQ65"/>
      <c r="HIR65"/>
      <c r="HIS65"/>
      <c r="HIT65"/>
      <c r="HIU65"/>
      <c r="HIV65"/>
      <c r="HIW65"/>
      <c r="HIX65"/>
      <c r="HIY65"/>
      <c r="HIZ65"/>
      <c r="HJA65"/>
      <c r="HJB65"/>
      <c r="HJC65"/>
      <c r="HJD65"/>
      <c r="HJE65"/>
      <c r="HJF65"/>
      <c r="HJG65"/>
      <c r="HJH65"/>
      <c r="HJI65"/>
      <c r="HJJ65"/>
      <c r="HJK65"/>
      <c r="HJL65"/>
      <c r="HJM65"/>
      <c r="HJN65"/>
      <c r="HJO65"/>
      <c r="HJP65"/>
      <c r="HJQ65"/>
      <c r="HJR65"/>
      <c r="HJS65"/>
      <c r="HJT65"/>
      <c r="HJU65"/>
      <c r="HJV65"/>
      <c r="HJW65"/>
      <c r="HJX65"/>
      <c r="HJY65"/>
      <c r="HJZ65"/>
      <c r="HKA65"/>
      <c r="HKB65"/>
      <c r="HKC65"/>
      <c r="HKD65"/>
      <c r="HKE65"/>
      <c r="HKF65"/>
      <c r="HKG65"/>
      <c r="HKH65"/>
      <c r="HKI65"/>
      <c r="HKJ65"/>
      <c r="HKK65"/>
      <c r="HKL65"/>
      <c r="HKM65"/>
      <c r="HKN65"/>
      <c r="HKO65"/>
      <c r="HKP65"/>
      <c r="HKQ65"/>
      <c r="HKR65"/>
      <c r="HKS65"/>
      <c r="HKT65"/>
      <c r="HKU65"/>
      <c r="HKV65"/>
      <c r="HKW65"/>
      <c r="HKX65"/>
      <c r="HKY65"/>
      <c r="HKZ65"/>
      <c r="HLA65"/>
      <c r="HLB65"/>
      <c r="HLC65"/>
      <c r="HLD65"/>
      <c r="HLE65"/>
      <c r="HLF65"/>
      <c r="HLG65"/>
      <c r="HLH65"/>
      <c r="HLI65"/>
      <c r="HLJ65"/>
      <c r="HLK65"/>
      <c r="HLL65"/>
      <c r="HLM65"/>
      <c r="HLN65"/>
      <c r="HLO65"/>
      <c r="HLP65"/>
      <c r="HLQ65"/>
      <c r="HLR65"/>
      <c r="HLS65"/>
      <c r="HLT65"/>
      <c r="HLU65"/>
      <c r="HLV65"/>
      <c r="HLW65"/>
      <c r="HLX65"/>
      <c r="HLY65"/>
      <c r="HLZ65"/>
      <c r="HMA65"/>
      <c r="HMB65"/>
      <c r="HMC65"/>
      <c r="HMD65"/>
      <c r="HME65"/>
      <c r="HMF65"/>
      <c r="HMG65"/>
      <c r="HMH65"/>
      <c r="HMI65"/>
      <c r="HMJ65"/>
      <c r="HMK65"/>
      <c r="HML65"/>
      <c r="HMM65"/>
      <c r="HMN65"/>
      <c r="HMO65"/>
      <c r="HMP65"/>
      <c r="HMQ65"/>
      <c r="HMR65"/>
      <c r="HMS65"/>
      <c r="HMT65"/>
      <c r="HMU65"/>
      <c r="HMV65"/>
      <c r="HMW65"/>
      <c r="HMX65"/>
      <c r="HMY65"/>
      <c r="HMZ65"/>
      <c r="HNA65"/>
      <c r="HNB65"/>
      <c r="HNC65"/>
      <c r="HND65"/>
      <c r="HNE65"/>
      <c r="HNF65"/>
      <c r="HNG65"/>
      <c r="HNH65"/>
      <c r="HNI65"/>
      <c r="HNJ65"/>
      <c r="HNK65"/>
      <c r="HNL65"/>
      <c r="HNM65"/>
      <c r="HNN65"/>
      <c r="HNO65"/>
      <c r="HNP65"/>
      <c r="HNQ65"/>
      <c r="HNR65"/>
      <c r="HNS65"/>
      <c r="HNT65"/>
      <c r="HNU65"/>
      <c r="HNV65"/>
      <c r="HNW65"/>
      <c r="HNX65"/>
      <c r="HNY65"/>
      <c r="HNZ65"/>
      <c r="HOA65"/>
      <c r="HOB65"/>
      <c r="HOC65"/>
      <c r="HOD65"/>
      <c r="HOE65"/>
      <c r="HOF65"/>
      <c r="HOG65"/>
      <c r="HOH65"/>
      <c r="HOI65"/>
      <c r="HOJ65"/>
      <c r="HOK65"/>
      <c r="HOL65"/>
      <c r="HOM65"/>
      <c r="HON65"/>
      <c r="HOO65"/>
      <c r="HOP65"/>
      <c r="HOQ65"/>
      <c r="HOR65"/>
      <c r="HOS65"/>
      <c r="HOT65"/>
      <c r="HOU65"/>
      <c r="HOV65"/>
      <c r="HOW65"/>
      <c r="HOX65"/>
      <c r="HOY65"/>
      <c r="HOZ65"/>
      <c r="HPA65"/>
      <c r="HPB65"/>
      <c r="HPC65"/>
      <c r="HPD65"/>
      <c r="HPE65"/>
      <c r="HPF65"/>
      <c r="HPG65"/>
      <c r="HPH65"/>
      <c r="HPI65"/>
      <c r="HPJ65"/>
      <c r="HPK65"/>
      <c r="HPL65"/>
      <c r="HPM65"/>
      <c r="HPN65"/>
      <c r="HPO65"/>
      <c r="HPP65"/>
      <c r="HPQ65"/>
      <c r="HPR65"/>
      <c r="HPS65"/>
      <c r="HPT65"/>
      <c r="HPU65"/>
      <c r="HPV65"/>
      <c r="HPW65"/>
      <c r="HPX65"/>
      <c r="HPY65"/>
      <c r="HPZ65"/>
      <c r="HQA65"/>
      <c r="HQB65"/>
      <c r="HQC65"/>
      <c r="HQD65"/>
      <c r="HQE65"/>
      <c r="HQF65"/>
      <c r="HQG65"/>
      <c r="HQH65"/>
      <c r="HQI65"/>
      <c r="HQJ65"/>
      <c r="HQK65"/>
      <c r="HQL65"/>
      <c r="HQM65"/>
      <c r="HQN65"/>
      <c r="HQO65"/>
      <c r="HQP65"/>
      <c r="HQQ65"/>
      <c r="HQR65"/>
      <c r="HQS65"/>
      <c r="HQT65"/>
      <c r="HQU65"/>
      <c r="HQV65"/>
      <c r="HQW65"/>
      <c r="HQX65"/>
      <c r="HQY65"/>
      <c r="HQZ65"/>
      <c r="HRA65"/>
      <c r="HRB65"/>
      <c r="HRC65"/>
      <c r="HRD65"/>
      <c r="HRE65"/>
      <c r="HRF65"/>
      <c r="HRG65"/>
      <c r="HRH65"/>
      <c r="HRI65"/>
      <c r="HRJ65"/>
      <c r="HRK65"/>
      <c r="HRL65"/>
      <c r="HRM65"/>
      <c r="HRN65"/>
      <c r="HRO65"/>
      <c r="HRP65"/>
      <c r="HRQ65"/>
      <c r="HRR65"/>
      <c r="HRS65"/>
      <c r="HRT65"/>
      <c r="HRU65"/>
      <c r="HRV65"/>
      <c r="HRW65"/>
      <c r="HRX65"/>
      <c r="HRY65"/>
      <c r="HRZ65"/>
      <c r="HSA65"/>
      <c r="HSB65"/>
      <c r="HSC65"/>
      <c r="HSD65"/>
      <c r="HSE65"/>
      <c r="HSF65"/>
      <c r="HSG65"/>
      <c r="HSH65"/>
      <c r="HSI65"/>
      <c r="HSJ65"/>
      <c r="HSK65"/>
      <c r="HSL65"/>
      <c r="HSM65"/>
      <c r="HSN65"/>
      <c r="HSO65"/>
      <c r="HSP65"/>
      <c r="HSQ65"/>
      <c r="HSR65"/>
      <c r="HSS65"/>
      <c r="HST65"/>
      <c r="HSU65"/>
      <c r="HSV65"/>
      <c r="HSW65"/>
      <c r="HSX65"/>
      <c r="HSY65"/>
      <c r="HSZ65"/>
      <c r="HTA65"/>
      <c r="HTB65"/>
      <c r="HTC65"/>
      <c r="HTD65"/>
      <c r="HTE65"/>
      <c r="HTF65"/>
      <c r="HTG65"/>
      <c r="HTH65"/>
      <c r="HTI65"/>
      <c r="HTJ65"/>
      <c r="HTK65"/>
      <c r="HTL65"/>
      <c r="HTM65"/>
      <c r="HTN65"/>
      <c r="HTO65"/>
      <c r="HTP65"/>
      <c r="HTQ65"/>
      <c r="HTR65"/>
      <c r="HTS65"/>
      <c r="HTT65"/>
      <c r="HTU65"/>
      <c r="HTV65"/>
      <c r="HTW65"/>
      <c r="HTX65"/>
      <c r="HTY65"/>
      <c r="HTZ65"/>
      <c r="HUA65"/>
      <c r="HUB65"/>
      <c r="HUC65"/>
      <c r="HUD65"/>
      <c r="HUE65"/>
      <c r="HUF65"/>
      <c r="HUG65"/>
      <c r="HUH65"/>
      <c r="HUI65"/>
      <c r="HUJ65"/>
      <c r="HUK65"/>
      <c r="HUL65"/>
      <c r="HUM65"/>
      <c r="HUN65"/>
      <c r="HUO65"/>
      <c r="HUP65"/>
      <c r="HUQ65"/>
      <c r="HUR65"/>
      <c r="HUS65"/>
      <c r="HUT65"/>
      <c r="HUU65"/>
      <c r="HUV65"/>
      <c r="HUW65"/>
      <c r="HUX65"/>
      <c r="HUY65"/>
      <c r="HUZ65"/>
      <c r="HVA65"/>
      <c r="HVB65"/>
      <c r="HVC65"/>
      <c r="HVD65"/>
      <c r="HVE65"/>
      <c r="HVF65"/>
      <c r="HVG65"/>
      <c r="HVH65"/>
      <c r="HVI65"/>
      <c r="HVJ65"/>
      <c r="HVK65"/>
      <c r="HVL65"/>
      <c r="HVM65"/>
      <c r="HVN65"/>
      <c r="HVO65"/>
      <c r="HVP65"/>
      <c r="HVQ65"/>
      <c r="HVR65"/>
      <c r="HVS65"/>
      <c r="HVT65"/>
      <c r="HVU65"/>
      <c r="HVV65"/>
      <c r="HVW65"/>
      <c r="HVX65"/>
      <c r="HVY65"/>
      <c r="HVZ65"/>
      <c r="HWA65"/>
      <c r="HWB65"/>
      <c r="HWC65"/>
      <c r="HWD65"/>
      <c r="HWE65"/>
      <c r="HWF65"/>
      <c r="HWG65"/>
      <c r="HWH65"/>
      <c r="HWI65"/>
      <c r="HWJ65"/>
      <c r="HWK65"/>
      <c r="HWL65"/>
      <c r="HWM65"/>
      <c r="HWN65"/>
      <c r="HWO65"/>
      <c r="HWP65"/>
      <c r="HWQ65"/>
      <c r="HWR65"/>
      <c r="HWS65"/>
      <c r="HWT65"/>
      <c r="HWU65"/>
      <c r="HWV65"/>
      <c r="HWW65"/>
      <c r="HWX65"/>
      <c r="HWY65"/>
      <c r="HWZ65"/>
      <c r="HXA65"/>
      <c r="HXB65"/>
      <c r="HXC65"/>
      <c r="HXD65"/>
      <c r="HXE65"/>
      <c r="HXF65"/>
      <c r="HXG65"/>
      <c r="HXH65"/>
      <c r="HXI65"/>
      <c r="HXJ65"/>
      <c r="HXK65"/>
      <c r="HXL65"/>
      <c r="HXM65"/>
      <c r="HXN65"/>
      <c r="HXO65"/>
      <c r="HXP65"/>
      <c r="HXQ65"/>
      <c r="HXR65"/>
      <c r="HXS65"/>
      <c r="HXT65"/>
      <c r="HXU65"/>
      <c r="HXV65"/>
      <c r="HXW65"/>
      <c r="HXX65"/>
      <c r="HXY65"/>
      <c r="HXZ65"/>
      <c r="HYA65"/>
      <c r="HYB65"/>
      <c r="HYC65"/>
      <c r="HYD65"/>
      <c r="HYE65"/>
      <c r="HYF65"/>
      <c r="HYG65"/>
      <c r="HYH65"/>
      <c r="HYI65"/>
      <c r="HYJ65"/>
      <c r="HYK65"/>
      <c r="HYL65"/>
      <c r="HYM65"/>
      <c r="HYN65"/>
      <c r="HYO65"/>
      <c r="HYP65"/>
      <c r="HYQ65"/>
      <c r="HYR65"/>
      <c r="HYS65"/>
      <c r="HYT65"/>
      <c r="HYU65"/>
      <c r="HYV65"/>
      <c r="HYW65"/>
      <c r="HYX65"/>
      <c r="HYY65"/>
      <c r="HYZ65"/>
      <c r="HZA65"/>
      <c r="HZB65"/>
      <c r="HZC65"/>
      <c r="HZD65"/>
      <c r="HZE65"/>
      <c r="HZF65"/>
      <c r="HZG65"/>
      <c r="HZH65"/>
      <c r="HZI65"/>
      <c r="HZJ65"/>
      <c r="HZK65"/>
      <c r="HZL65"/>
      <c r="HZM65"/>
      <c r="HZN65"/>
      <c r="HZO65"/>
      <c r="HZP65"/>
      <c r="HZQ65"/>
      <c r="HZR65"/>
      <c r="HZS65"/>
      <c r="HZT65"/>
      <c r="HZU65"/>
      <c r="HZV65"/>
      <c r="HZW65"/>
      <c r="HZX65"/>
      <c r="HZY65"/>
      <c r="HZZ65"/>
      <c r="IAA65"/>
      <c r="IAB65"/>
      <c r="IAC65"/>
      <c r="IAD65"/>
      <c r="IAE65"/>
      <c r="IAF65"/>
      <c r="IAG65"/>
      <c r="IAH65"/>
      <c r="IAI65"/>
      <c r="IAJ65"/>
      <c r="IAK65"/>
      <c r="IAL65"/>
      <c r="IAM65"/>
      <c r="IAN65"/>
      <c r="IAO65"/>
      <c r="IAP65"/>
      <c r="IAQ65"/>
      <c r="IAR65"/>
      <c r="IAS65"/>
      <c r="IAT65"/>
      <c r="IAU65"/>
      <c r="IAV65"/>
      <c r="IAW65"/>
      <c r="IAX65"/>
      <c r="IAY65"/>
      <c r="IAZ65"/>
      <c r="IBA65"/>
      <c r="IBB65"/>
      <c r="IBC65"/>
      <c r="IBD65"/>
      <c r="IBE65"/>
      <c r="IBF65"/>
      <c r="IBG65"/>
      <c r="IBH65"/>
      <c r="IBI65"/>
      <c r="IBJ65"/>
      <c r="IBK65"/>
      <c r="IBL65"/>
      <c r="IBM65"/>
      <c r="IBN65"/>
      <c r="IBO65"/>
      <c r="IBP65"/>
      <c r="IBQ65"/>
      <c r="IBR65"/>
      <c r="IBS65"/>
      <c r="IBT65"/>
      <c r="IBU65"/>
      <c r="IBV65"/>
      <c r="IBW65"/>
      <c r="IBX65"/>
      <c r="IBY65"/>
      <c r="IBZ65"/>
      <c r="ICA65"/>
      <c r="ICB65"/>
      <c r="ICC65"/>
      <c r="ICD65"/>
      <c r="ICE65"/>
      <c r="ICF65"/>
      <c r="ICG65"/>
      <c r="ICH65"/>
      <c r="ICI65"/>
      <c r="ICJ65"/>
      <c r="ICK65"/>
      <c r="ICL65"/>
      <c r="ICM65"/>
      <c r="ICN65"/>
      <c r="ICO65"/>
      <c r="ICP65"/>
      <c r="ICQ65"/>
      <c r="ICR65"/>
      <c r="ICS65"/>
      <c r="ICT65"/>
      <c r="ICU65"/>
      <c r="ICV65"/>
      <c r="ICW65"/>
      <c r="ICX65"/>
      <c r="ICY65"/>
      <c r="ICZ65"/>
      <c r="IDA65"/>
      <c r="IDB65"/>
      <c r="IDC65"/>
      <c r="IDD65"/>
      <c r="IDE65"/>
      <c r="IDF65"/>
      <c r="IDG65"/>
      <c r="IDH65"/>
      <c r="IDI65"/>
      <c r="IDJ65"/>
      <c r="IDK65"/>
      <c r="IDL65"/>
      <c r="IDM65"/>
      <c r="IDN65"/>
      <c r="IDO65"/>
      <c r="IDP65"/>
      <c r="IDQ65"/>
      <c r="IDR65"/>
      <c r="IDS65"/>
      <c r="IDT65"/>
      <c r="IDU65"/>
      <c r="IDV65"/>
      <c r="IDW65"/>
      <c r="IDX65"/>
      <c r="IDY65"/>
      <c r="IDZ65"/>
      <c r="IEA65"/>
      <c r="IEB65"/>
      <c r="IEC65"/>
      <c r="IED65"/>
      <c r="IEE65"/>
      <c r="IEF65"/>
      <c r="IEG65"/>
      <c r="IEH65"/>
      <c r="IEI65"/>
      <c r="IEJ65"/>
      <c r="IEK65"/>
      <c r="IEL65"/>
      <c r="IEM65"/>
      <c r="IEN65"/>
      <c r="IEO65"/>
      <c r="IEP65"/>
      <c r="IEQ65"/>
      <c r="IER65"/>
      <c r="IES65"/>
      <c r="IET65"/>
      <c r="IEU65"/>
      <c r="IEV65"/>
      <c r="IEW65"/>
      <c r="IEX65"/>
      <c r="IEY65"/>
      <c r="IEZ65"/>
      <c r="IFA65"/>
      <c r="IFB65"/>
      <c r="IFC65"/>
      <c r="IFD65"/>
      <c r="IFE65"/>
      <c r="IFF65"/>
      <c r="IFG65"/>
      <c r="IFH65"/>
      <c r="IFI65"/>
      <c r="IFJ65"/>
      <c r="IFK65"/>
      <c r="IFL65"/>
      <c r="IFM65"/>
      <c r="IFN65"/>
      <c r="IFO65"/>
      <c r="IFP65"/>
      <c r="IFQ65"/>
      <c r="IFR65"/>
      <c r="IFS65"/>
      <c r="IFT65"/>
      <c r="IFU65"/>
      <c r="IFV65"/>
      <c r="IFW65"/>
      <c r="IFX65"/>
      <c r="IFY65"/>
      <c r="IFZ65"/>
      <c r="IGA65"/>
      <c r="IGB65"/>
      <c r="IGC65"/>
      <c r="IGD65"/>
      <c r="IGE65"/>
      <c r="IGF65"/>
      <c r="IGG65"/>
      <c r="IGH65"/>
      <c r="IGI65"/>
      <c r="IGJ65"/>
      <c r="IGK65"/>
      <c r="IGL65"/>
      <c r="IGM65"/>
      <c r="IGN65"/>
      <c r="IGO65"/>
      <c r="IGP65"/>
      <c r="IGQ65"/>
      <c r="IGR65"/>
      <c r="IGS65"/>
      <c r="IGT65"/>
      <c r="IGU65"/>
      <c r="IGV65"/>
      <c r="IGW65"/>
      <c r="IGX65"/>
      <c r="IGY65"/>
      <c r="IGZ65"/>
      <c r="IHA65"/>
      <c r="IHB65"/>
      <c r="IHC65"/>
      <c r="IHD65"/>
      <c r="IHE65"/>
      <c r="IHF65"/>
      <c r="IHG65"/>
      <c r="IHH65"/>
      <c r="IHI65"/>
      <c r="IHJ65"/>
      <c r="IHK65"/>
      <c r="IHL65"/>
      <c r="IHM65"/>
      <c r="IHN65"/>
      <c r="IHO65"/>
      <c r="IHP65"/>
      <c r="IHQ65"/>
      <c r="IHR65"/>
      <c r="IHS65"/>
      <c r="IHT65"/>
      <c r="IHU65"/>
      <c r="IHV65"/>
      <c r="IHW65"/>
      <c r="IHX65"/>
      <c r="IHY65"/>
      <c r="IHZ65"/>
      <c r="IIA65"/>
      <c r="IIB65"/>
      <c r="IIC65"/>
      <c r="IID65"/>
      <c r="IIE65"/>
      <c r="IIF65"/>
      <c r="IIG65"/>
      <c r="IIH65"/>
      <c r="III65"/>
      <c r="IIJ65"/>
      <c r="IIK65"/>
      <c r="IIL65"/>
      <c r="IIM65"/>
      <c r="IIN65"/>
      <c r="IIO65"/>
      <c r="IIP65"/>
      <c r="IIQ65"/>
      <c r="IIR65"/>
      <c r="IIS65"/>
      <c r="IIT65"/>
      <c r="IIU65"/>
      <c r="IIV65"/>
      <c r="IIW65"/>
      <c r="IIX65"/>
      <c r="IIY65"/>
      <c r="IIZ65"/>
      <c r="IJA65"/>
      <c r="IJB65"/>
      <c r="IJC65"/>
      <c r="IJD65"/>
      <c r="IJE65"/>
      <c r="IJF65"/>
      <c r="IJG65"/>
      <c r="IJH65"/>
      <c r="IJI65"/>
      <c r="IJJ65"/>
      <c r="IJK65"/>
      <c r="IJL65"/>
      <c r="IJM65"/>
      <c r="IJN65"/>
      <c r="IJO65"/>
      <c r="IJP65"/>
      <c r="IJQ65"/>
      <c r="IJR65"/>
      <c r="IJS65"/>
      <c r="IJT65"/>
      <c r="IJU65"/>
      <c r="IJV65"/>
      <c r="IJW65"/>
      <c r="IJX65"/>
      <c r="IJY65"/>
      <c r="IJZ65"/>
      <c r="IKA65"/>
      <c r="IKB65"/>
      <c r="IKC65"/>
      <c r="IKD65"/>
      <c r="IKE65"/>
      <c r="IKF65"/>
      <c r="IKG65"/>
      <c r="IKH65"/>
      <c r="IKI65"/>
      <c r="IKJ65"/>
      <c r="IKK65"/>
      <c r="IKL65"/>
      <c r="IKM65"/>
      <c r="IKN65"/>
      <c r="IKO65"/>
      <c r="IKP65"/>
      <c r="IKQ65"/>
      <c r="IKR65"/>
      <c r="IKS65"/>
      <c r="IKT65"/>
      <c r="IKU65"/>
      <c r="IKV65"/>
      <c r="IKW65"/>
      <c r="IKX65"/>
      <c r="IKY65"/>
      <c r="IKZ65"/>
      <c r="ILA65"/>
      <c r="ILB65"/>
      <c r="ILC65"/>
      <c r="ILD65"/>
      <c r="ILE65"/>
      <c r="ILF65"/>
      <c r="ILG65"/>
      <c r="ILH65"/>
      <c r="ILI65"/>
      <c r="ILJ65"/>
      <c r="ILK65"/>
      <c r="ILL65"/>
      <c r="ILM65"/>
      <c r="ILN65"/>
      <c r="ILO65"/>
      <c r="ILP65"/>
      <c r="ILQ65"/>
      <c r="ILR65"/>
      <c r="ILS65"/>
      <c r="ILT65"/>
      <c r="ILU65"/>
      <c r="ILV65"/>
      <c r="ILW65"/>
      <c r="ILX65"/>
      <c r="ILY65"/>
      <c r="ILZ65"/>
      <c r="IMA65"/>
      <c r="IMB65"/>
      <c r="IMC65"/>
      <c r="IMD65"/>
      <c r="IME65"/>
      <c r="IMF65"/>
      <c r="IMG65"/>
      <c r="IMH65"/>
      <c r="IMI65"/>
      <c r="IMJ65"/>
      <c r="IMK65"/>
      <c r="IML65"/>
      <c r="IMM65"/>
      <c r="IMN65"/>
      <c r="IMO65"/>
      <c r="IMP65"/>
      <c r="IMQ65"/>
      <c r="IMR65"/>
      <c r="IMS65"/>
      <c r="IMT65"/>
      <c r="IMU65"/>
      <c r="IMV65"/>
      <c r="IMW65"/>
      <c r="IMX65"/>
      <c r="IMY65"/>
      <c r="IMZ65"/>
      <c r="INA65"/>
      <c r="INB65"/>
      <c r="INC65"/>
      <c r="IND65"/>
      <c r="INE65"/>
      <c r="INF65"/>
      <c r="ING65"/>
      <c r="INH65"/>
      <c r="INI65"/>
      <c r="INJ65"/>
      <c r="INK65"/>
      <c r="INL65"/>
      <c r="INM65"/>
      <c r="INN65"/>
      <c r="INO65"/>
      <c r="INP65"/>
      <c r="INQ65"/>
      <c r="INR65"/>
      <c r="INS65"/>
      <c r="INT65"/>
      <c r="INU65"/>
      <c r="INV65"/>
      <c r="INW65"/>
      <c r="INX65"/>
      <c r="INY65"/>
      <c r="INZ65"/>
      <c r="IOA65"/>
      <c r="IOB65"/>
      <c r="IOC65"/>
      <c r="IOD65"/>
      <c r="IOE65"/>
      <c r="IOF65"/>
      <c r="IOG65"/>
      <c r="IOH65"/>
      <c r="IOI65"/>
      <c r="IOJ65"/>
      <c r="IOK65"/>
      <c r="IOL65"/>
      <c r="IOM65"/>
      <c r="ION65"/>
      <c r="IOO65"/>
      <c r="IOP65"/>
      <c r="IOQ65"/>
      <c r="IOR65"/>
      <c r="IOS65"/>
      <c r="IOT65"/>
      <c r="IOU65"/>
      <c r="IOV65"/>
      <c r="IOW65"/>
      <c r="IOX65"/>
      <c r="IOY65"/>
      <c r="IOZ65"/>
      <c r="IPA65"/>
      <c r="IPB65"/>
      <c r="IPC65"/>
      <c r="IPD65"/>
      <c r="IPE65"/>
      <c r="IPF65"/>
      <c r="IPG65"/>
      <c r="IPH65"/>
      <c r="IPI65"/>
      <c r="IPJ65"/>
      <c r="IPK65"/>
      <c r="IPL65"/>
      <c r="IPM65"/>
      <c r="IPN65"/>
      <c r="IPO65"/>
      <c r="IPP65"/>
      <c r="IPQ65"/>
      <c r="IPR65"/>
      <c r="IPS65"/>
      <c r="IPT65"/>
      <c r="IPU65"/>
      <c r="IPV65"/>
      <c r="IPW65"/>
      <c r="IPX65"/>
      <c r="IPY65"/>
      <c r="IPZ65"/>
      <c r="IQA65"/>
      <c r="IQB65"/>
      <c r="IQC65"/>
      <c r="IQD65"/>
      <c r="IQE65"/>
      <c r="IQF65"/>
      <c r="IQG65"/>
      <c r="IQH65"/>
      <c r="IQI65"/>
      <c r="IQJ65"/>
      <c r="IQK65"/>
      <c r="IQL65"/>
      <c r="IQM65"/>
      <c r="IQN65"/>
      <c r="IQO65"/>
      <c r="IQP65"/>
      <c r="IQQ65"/>
      <c r="IQR65"/>
      <c r="IQS65"/>
      <c r="IQT65"/>
      <c r="IQU65"/>
      <c r="IQV65"/>
      <c r="IQW65"/>
      <c r="IQX65"/>
      <c r="IQY65"/>
      <c r="IQZ65"/>
      <c r="IRA65"/>
      <c r="IRB65"/>
      <c r="IRC65"/>
      <c r="IRD65"/>
      <c r="IRE65"/>
      <c r="IRF65"/>
      <c r="IRG65"/>
      <c r="IRH65"/>
      <c r="IRI65"/>
      <c r="IRJ65"/>
      <c r="IRK65"/>
      <c r="IRL65"/>
      <c r="IRM65"/>
      <c r="IRN65"/>
      <c r="IRO65"/>
      <c r="IRP65"/>
      <c r="IRQ65"/>
      <c r="IRR65"/>
      <c r="IRS65"/>
      <c r="IRT65"/>
      <c r="IRU65"/>
      <c r="IRV65"/>
      <c r="IRW65"/>
      <c r="IRX65"/>
      <c r="IRY65"/>
      <c r="IRZ65"/>
      <c r="ISA65"/>
      <c r="ISB65"/>
      <c r="ISC65"/>
      <c r="ISD65"/>
      <c r="ISE65"/>
      <c r="ISF65"/>
      <c r="ISG65"/>
      <c r="ISH65"/>
      <c r="ISI65"/>
      <c r="ISJ65"/>
      <c r="ISK65"/>
      <c r="ISL65"/>
      <c r="ISM65"/>
      <c r="ISN65"/>
      <c r="ISO65"/>
      <c r="ISP65"/>
      <c r="ISQ65"/>
      <c r="ISR65"/>
      <c r="ISS65"/>
      <c r="IST65"/>
      <c r="ISU65"/>
      <c r="ISV65"/>
      <c r="ISW65"/>
      <c r="ISX65"/>
      <c r="ISY65"/>
      <c r="ISZ65"/>
      <c r="ITA65"/>
      <c r="ITB65"/>
      <c r="ITC65"/>
      <c r="ITD65"/>
      <c r="ITE65"/>
      <c r="ITF65"/>
      <c r="ITG65"/>
      <c r="ITH65"/>
      <c r="ITI65"/>
      <c r="ITJ65"/>
      <c r="ITK65"/>
      <c r="ITL65"/>
      <c r="ITM65"/>
      <c r="ITN65"/>
      <c r="ITO65"/>
      <c r="ITP65"/>
      <c r="ITQ65"/>
      <c r="ITR65"/>
      <c r="ITS65"/>
      <c r="ITT65"/>
      <c r="ITU65"/>
      <c r="ITV65"/>
      <c r="ITW65"/>
      <c r="ITX65"/>
      <c r="ITY65"/>
      <c r="ITZ65"/>
      <c r="IUA65"/>
      <c r="IUB65"/>
      <c r="IUC65"/>
      <c r="IUD65"/>
      <c r="IUE65"/>
      <c r="IUF65"/>
      <c r="IUG65"/>
      <c r="IUH65"/>
      <c r="IUI65"/>
      <c r="IUJ65"/>
      <c r="IUK65"/>
      <c r="IUL65"/>
      <c r="IUM65"/>
      <c r="IUN65"/>
      <c r="IUO65"/>
      <c r="IUP65"/>
      <c r="IUQ65"/>
      <c r="IUR65"/>
      <c r="IUS65"/>
      <c r="IUT65"/>
      <c r="IUU65"/>
      <c r="IUV65"/>
      <c r="IUW65"/>
      <c r="IUX65"/>
      <c r="IUY65"/>
      <c r="IUZ65"/>
      <c r="IVA65"/>
      <c r="IVB65"/>
      <c r="IVC65"/>
      <c r="IVD65"/>
      <c r="IVE65"/>
      <c r="IVF65"/>
      <c r="IVG65"/>
      <c r="IVH65"/>
      <c r="IVI65"/>
      <c r="IVJ65"/>
      <c r="IVK65"/>
      <c r="IVL65"/>
      <c r="IVM65"/>
      <c r="IVN65"/>
      <c r="IVO65"/>
      <c r="IVP65"/>
      <c r="IVQ65"/>
      <c r="IVR65"/>
      <c r="IVS65"/>
      <c r="IVT65"/>
      <c r="IVU65"/>
      <c r="IVV65"/>
      <c r="IVW65"/>
      <c r="IVX65"/>
      <c r="IVY65"/>
      <c r="IVZ65"/>
      <c r="IWA65"/>
      <c r="IWB65"/>
      <c r="IWC65"/>
      <c r="IWD65"/>
      <c r="IWE65"/>
      <c r="IWF65"/>
      <c r="IWG65"/>
      <c r="IWH65"/>
      <c r="IWI65"/>
      <c r="IWJ65"/>
      <c r="IWK65"/>
      <c r="IWL65"/>
      <c r="IWM65"/>
      <c r="IWN65"/>
      <c r="IWO65"/>
      <c r="IWP65"/>
      <c r="IWQ65"/>
      <c r="IWR65"/>
      <c r="IWS65"/>
      <c r="IWT65"/>
      <c r="IWU65"/>
      <c r="IWV65"/>
      <c r="IWW65"/>
      <c r="IWX65"/>
      <c r="IWY65"/>
      <c r="IWZ65"/>
      <c r="IXA65"/>
      <c r="IXB65"/>
      <c r="IXC65"/>
      <c r="IXD65"/>
      <c r="IXE65"/>
      <c r="IXF65"/>
      <c r="IXG65"/>
      <c r="IXH65"/>
      <c r="IXI65"/>
      <c r="IXJ65"/>
      <c r="IXK65"/>
      <c r="IXL65"/>
      <c r="IXM65"/>
      <c r="IXN65"/>
      <c r="IXO65"/>
      <c r="IXP65"/>
      <c r="IXQ65"/>
      <c r="IXR65"/>
      <c r="IXS65"/>
      <c r="IXT65"/>
      <c r="IXU65"/>
      <c r="IXV65"/>
      <c r="IXW65"/>
      <c r="IXX65"/>
      <c r="IXY65"/>
      <c r="IXZ65"/>
      <c r="IYA65"/>
      <c r="IYB65"/>
      <c r="IYC65"/>
      <c r="IYD65"/>
      <c r="IYE65"/>
      <c r="IYF65"/>
      <c r="IYG65"/>
      <c r="IYH65"/>
      <c r="IYI65"/>
      <c r="IYJ65"/>
      <c r="IYK65"/>
      <c r="IYL65"/>
      <c r="IYM65"/>
      <c r="IYN65"/>
      <c r="IYO65"/>
      <c r="IYP65"/>
      <c r="IYQ65"/>
      <c r="IYR65"/>
      <c r="IYS65"/>
      <c r="IYT65"/>
      <c r="IYU65"/>
      <c r="IYV65"/>
      <c r="IYW65"/>
      <c r="IYX65"/>
      <c r="IYY65"/>
      <c r="IYZ65"/>
      <c r="IZA65"/>
      <c r="IZB65"/>
      <c r="IZC65"/>
      <c r="IZD65"/>
      <c r="IZE65"/>
      <c r="IZF65"/>
      <c r="IZG65"/>
      <c r="IZH65"/>
      <c r="IZI65"/>
      <c r="IZJ65"/>
      <c r="IZK65"/>
      <c r="IZL65"/>
      <c r="IZM65"/>
      <c r="IZN65"/>
      <c r="IZO65"/>
      <c r="IZP65"/>
      <c r="IZQ65"/>
      <c r="IZR65"/>
      <c r="IZS65"/>
      <c r="IZT65"/>
      <c r="IZU65"/>
      <c r="IZV65"/>
      <c r="IZW65"/>
      <c r="IZX65"/>
      <c r="IZY65"/>
      <c r="IZZ65"/>
      <c r="JAA65"/>
      <c r="JAB65"/>
      <c r="JAC65"/>
      <c r="JAD65"/>
      <c r="JAE65"/>
      <c r="JAF65"/>
      <c r="JAG65"/>
      <c r="JAH65"/>
      <c r="JAI65"/>
      <c r="JAJ65"/>
      <c r="JAK65"/>
      <c r="JAL65"/>
      <c r="JAM65"/>
      <c r="JAN65"/>
      <c r="JAO65"/>
      <c r="JAP65"/>
      <c r="JAQ65"/>
      <c r="JAR65"/>
      <c r="JAS65"/>
      <c r="JAT65"/>
      <c r="JAU65"/>
      <c r="JAV65"/>
      <c r="JAW65"/>
      <c r="JAX65"/>
      <c r="JAY65"/>
      <c r="JAZ65"/>
      <c r="JBA65"/>
      <c r="JBB65"/>
      <c r="JBC65"/>
      <c r="JBD65"/>
      <c r="JBE65"/>
      <c r="JBF65"/>
      <c r="JBG65"/>
      <c r="JBH65"/>
      <c r="JBI65"/>
      <c r="JBJ65"/>
      <c r="JBK65"/>
      <c r="JBL65"/>
      <c r="JBM65"/>
      <c r="JBN65"/>
      <c r="JBO65"/>
      <c r="JBP65"/>
      <c r="JBQ65"/>
      <c r="JBR65"/>
      <c r="JBS65"/>
      <c r="JBT65"/>
      <c r="JBU65"/>
      <c r="JBV65"/>
      <c r="JBW65"/>
      <c r="JBX65"/>
      <c r="JBY65"/>
      <c r="JBZ65"/>
      <c r="JCA65"/>
      <c r="JCB65"/>
      <c r="JCC65"/>
      <c r="JCD65"/>
      <c r="JCE65"/>
      <c r="JCF65"/>
      <c r="JCG65"/>
      <c r="JCH65"/>
      <c r="JCI65"/>
      <c r="JCJ65"/>
      <c r="JCK65"/>
      <c r="JCL65"/>
      <c r="JCM65"/>
      <c r="JCN65"/>
      <c r="JCO65"/>
      <c r="JCP65"/>
      <c r="JCQ65"/>
      <c r="JCR65"/>
      <c r="JCS65"/>
      <c r="JCT65"/>
      <c r="JCU65"/>
      <c r="JCV65"/>
      <c r="JCW65"/>
      <c r="JCX65"/>
      <c r="JCY65"/>
      <c r="JCZ65"/>
      <c r="JDA65"/>
      <c r="JDB65"/>
      <c r="JDC65"/>
      <c r="JDD65"/>
      <c r="JDE65"/>
      <c r="JDF65"/>
      <c r="JDG65"/>
      <c r="JDH65"/>
      <c r="JDI65"/>
      <c r="JDJ65"/>
      <c r="JDK65"/>
      <c r="JDL65"/>
      <c r="JDM65"/>
      <c r="JDN65"/>
      <c r="JDO65"/>
      <c r="JDP65"/>
      <c r="JDQ65"/>
      <c r="JDR65"/>
      <c r="JDS65"/>
      <c r="JDT65"/>
      <c r="JDU65"/>
      <c r="JDV65"/>
      <c r="JDW65"/>
      <c r="JDX65"/>
      <c r="JDY65"/>
      <c r="JDZ65"/>
      <c r="JEA65"/>
      <c r="JEB65"/>
      <c r="JEC65"/>
      <c r="JED65"/>
      <c r="JEE65"/>
      <c r="JEF65"/>
      <c r="JEG65"/>
      <c r="JEH65"/>
      <c r="JEI65"/>
      <c r="JEJ65"/>
      <c r="JEK65"/>
      <c r="JEL65"/>
      <c r="JEM65"/>
      <c r="JEN65"/>
      <c r="JEO65"/>
      <c r="JEP65"/>
      <c r="JEQ65"/>
      <c r="JER65"/>
      <c r="JES65"/>
      <c r="JET65"/>
      <c r="JEU65"/>
      <c r="JEV65"/>
      <c r="JEW65"/>
      <c r="JEX65"/>
      <c r="JEY65"/>
      <c r="JEZ65"/>
      <c r="JFA65"/>
      <c r="JFB65"/>
      <c r="JFC65"/>
      <c r="JFD65"/>
      <c r="JFE65"/>
      <c r="JFF65"/>
      <c r="JFG65"/>
      <c r="JFH65"/>
      <c r="JFI65"/>
      <c r="JFJ65"/>
      <c r="JFK65"/>
      <c r="JFL65"/>
      <c r="JFM65"/>
      <c r="JFN65"/>
      <c r="JFO65"/>
      <c r="JFP65"/>
      <c r="JFQ65"/>
      <c r="JFR65"/>
      <c r="JFS65"/>
      <c r="JFT65"/>
      <c r="JFU65"/>
      <c r="JFV65"/>
      <c r="JFW65"/>
      <c r="JFX65"/>
      <c r="JFY65"/>
      <c r="JFZ65"/>
      <c r="JGA65"/>
      <c r="JGB65"/>
      <c r="JGC65"/>
      <c r="JGD65"/>
      <c r="JGE65"/>
      <c r="JGF65"/>
      <c r="JGG65"/>
      <c r="JGH65"/>
      <c r="JGI65"/>
      <c r="JGJ65"/>
      <c r="JGK65"/>
      <c r="JGL65"/>
      <c r="JGM65"/>
      <c r="JGN65"/>
      <c r="JGO65"/>
      <c r="JGP65"/>
      <c r="JGQ65"/>
      <c r="JGR65"/>
      <c r="JGS65"/>
      <c r="JGT65"/>
      <c r="JGU65"/>
      <c r="JGV65"/>
      <c r="JGW65"/>
      <c r="JGX65"/>
      <c r="JGY65"/>
      <c r="JGZ65"/>
      <c r="JHA65"/>
      <c r="JHB65"/>
      <c r="JHC65"/>
      <c r="JHD65"/>
      <c r="JHE65"/>
      <c r="JHF65"/>
      <c r="JHG65"/>
      <c r="JHH65"/>
      <c r="JHI65"/>
      <c r="JHJ65"/>
      <c r="JHK65"/>
      <c r="JHL65"/>
      <c r="JHM65"/>
      <c r="JHN65"/>
      <c r="JHO65"/>
      <c r="JHP65"/>
      <c r="JHQ65"/>
      <c r="JHR65"/>
      <c r="JHS65"/>
      <c r="JHT65"/>
      <c r="JHU65"/>
      <c r="JHV65"/>
      <c r="JHW65"/>
      <c r="JHX65"/>
      <c r="JHY65"/>
      <c r="JHZ65"/>
      <c r="JIA65"/>
      <c r="JIB65"/>
      <c r="JIC65"/>
      <c r="JID65"/>
      <c r="JIE65"/>
      <c r="JIF65"/>
      <c r="JIG65"/>
      <c r="JIH65"/>
      <c r="JII65"/>
      <c r="JIJ65"/>
      <c r="JIK65"/>
      <c r="JIL65"/>
      <c r="JIM65"/>
      <c r="JIN65"/>
      <c r="JIO65"/>
      <c r="JIP65"/>
      <c r="JIQ65"/>
      <c r="JIR65"/>
      <c r="JIS65"/>
      <c r="JIT65"/>
      <c r="JIU65"/>
      <c r="JIV65"/>
      <c r="JIW65"/>
      <c r="JIX65"/>
      <c r="JIY65"/>
      <c r="JIZ65"/>
      <c r="JJA65"/>
      <c r="JJB65"/>
      <c r="JJC65"/>
      <c r="JJD65"/>
      <c r="JJE65"/>
      <c r="JJF65"/>
      <c r="JJG65"/>
      <c r="JJH65"/>
      <c r="JJI65"/>
      <c r="JJJ65"/>
      <c r="JJK65"/>
      <c r="JJL65"/>
      <c r="JJM65"/>
      <c r="JJN65"/>
      <c r="JJO65"/>
      <c r="JJP65"/>
      <c r="JJQ65"/>
      <c r="JJR65"/>
      <c r="JJS65"/>
      <c r="JJT65"/>
      <c r="JJU65"/>
      <c r="JJV65"/>
      <c r="JJW65"/>
      <c r="JJX65"/>
      <c r="JJY65"/>
      <c r="JJZ65"/>
      <c r="JKA65"/>
      <c r="JKB65"/>
      <c r="JKC65"/>
      <c r="JKD65"/>
      <c r="JKE65"/>
      <c r="JKF65"/>
      <c r="JKG65"/>
      <c r="JKH65"/>
      <c r="JKI65"/>
      <c r="JKJ65"/>
      <c r="JKK65"/>
      <c r="JKL65"/>
      <c r="JKM65"/>
      <c r="JKN65"/>
      <c r="JKO65"/>
      <c r="JKP65"/>
      <c r="JKQ65"/>
      <c r="JKR65"/>
      <c r="JKS65"/>
      <c r="JKT65"/>
      <c r="JKU65"/>
      <c r="JKV65"/>
      <c r="JKW65"/>
      <c r="JKX65"/>
      <c r="JKY65"/>
      <c r="JKZ65"/>
      <c r="JLA65"/>
      <c r="JLB65"/>
      <c r="JLC65"/>
      <c r="JLD65"/>
      <c r="JLE65"/>
      <c r="JLF65"/>
      <c r="JLG65"/>
      <c r="JLH65"/>
      <c r="JLI65"/>
      <c r="JLJ65"/>
      <c r="JLK65"/>
      <c r="JLL65"/>
      <c r="JLM65"/>
      <c r="JLN65"/>
      <c r="JLO65"/>
      <c r="JLP65"/>
      <c r="JLQ65"/>
      <c r="JLR65"/>
      <c r="JLS65"/>
      <c r="JLT65"/>
      <c r="JLU65"/>
      <c r="JLV65"/>
      <c r="JLW65"/>
      <c r="JLX65"/>
      <c r="JLY65"/>
      <c r="JLZ65"/>
      <c r="JMA65"/>
      <c r="JMB65"/>
      <c r="JMC65"/>
      <c r="JMD65"/>
      <c r="JME65"/>
      <c r="JMF65"/>
      <c r="JMG65"/>
      <c r="JMH65"/>
      <c r="JMI65"/>
      <c r="JMJ65"/>
      <c r="JMK65"/>
      <c r="JML65"/>
      <c r="JMM65"/>
      <c r="JMN65"/>
      <c r="JMO65"/>
      <c r="JMP65"/>
      <c r="JMQ65"/>
      <c r="JMR65"/>
      <c r="JMS65"/>
      <c r="JMT65"/>
      <c r="JMU65"/>
      <c r="JMV65"/>
      <c r="JMW65"/>
      <c r="JMX65"/>
      <c r="JMY65"/>
      <c r="JMZ65"/>
      <c r="JNA65"/>
      <c r="JNB65"/>
      <c r="JNC65"/>
      <c r="JND65"/>
      <c r="JNE65"/>
      <c r="JNF65"/>
      <c r="JNG65"/>
      <c r="JNH65"/>
      <c r="JNI65"/>
      <c r="JNJ65"/>
      <c r="JNK65"/>
      <c r="JNL65"/>
      <c r="JNM65"/>
      <c r="JNN65"/>
      <c r="JNO65"/>
      <c r="JNP65"/>
      <c r="JNQ65"/>
      <c r="JNR65"/>
      <c r="JNS65"/>
      <c r="JNT65"/>
      <c r="JNU65"/>
      <c r="JNV65"/>
      <c r="JNW65"/>
      <c r="JNX65"/>
      <c r="JNY65"/>
      <c r="JNZ65"/>
      <c r="JOA65"/>
      <c r="JOB65"/>
      <c r="JOC65"/>
      <c r="JOD65"/>
      <c r="JOE65"/>
      <c r="JOF65"/>
      <c r="JOG65"/>
      <c r="JOH65"/>
      <c r="JOI65"/>
      <c r="JOJ65"/>
      <c r="JOK65"/>
      <c r="JOL65"/>
      <c r="JOM65"/>
      <c r="JON65"/>
      <c r="JOO65"/>
      <c r="JOP65"/>
      <c r="JOQ65"/>
      <c r="JOR65"/>
      <c r="JOS65"/>
      <c r="JOT65"/>
      <c r="JOU65"/>
      <c r="JOV65"/>
      <c r="JOW65"/>
      <c r="JOX65"/>
      <c r="JOY65"/>
      <c r="JOZ65"/>
      <c r="JPA65"/>
      <c r="JPB65"/>
      <c r="JPC65"/>
      <c r="JPD65"/>
      <c r="JPE65"/>
      <c r="JPF65"/>
      <c r="JPG65"/>
      <c r="JPH65"/>
      <c r="JPI65"/>
      <c r="JPJ65"/>
      <c r="JPK65"/>
      <c r="JPL65"/>
      <c r="JPM65"/>
      <c r="JPN65"/>
      <c r="JPO65"/>
      <c r="JPP65"/>
      <c r="JPQ65"/>
      <c r="JPR65"/>
      <c r="JPS65"/>
      <c r="JPT65"/>
      <c r="JPU65"/>
      <c r="JPV65"/>
      <c r="JPW65"/>
      <c r="JPX65"/>
      <c r="JPY65"/>
      <c r="JPZ65"/>
      <c r="JQA65"/>
      <c r="JQB65"/>
      <c r="JQC65"/>
      <c r="JQD65"/>
      <c r="JQE65"/>
      <c r="JQF65"/>
      <c r="JQG65"/>
      <c r="JQH65"/>
      <c r="JQI65"/>
      <c r="JQJ65"/>
      <c r="JQK65"/>
      <c r="JQL65"/>
      <c r="JQM65"/>
      <c r="JQN65"/>
      <c r="JQO65"/>
      <c r="JQP65"/>
      <c r="JQQ65"/>
      <c r="JQR65"/>
      <c r="JQS65"/>
      <c r="JQT65"/>
      <c r="JQU65"/>
      <c r="JQV65"/>
      <c r="JQW65"/>
      <c r="JQX65"/>
      <c r="JQY65"/>
      <c r="JQZ65"/>
      <c r="JRA65"/>
      <c r="JRB65"/>
      <c r="JRC65"/>
      <c r="JRD65"/>
      <c r="JRE65"/>
      <c r="JRF65"/>
      <c r="JRG65"/>
      <c r="JRH65"/>
      <c r="JRI65"/>
      <c r="JRJ65"/>
      <c r="JRK65"/>
      <c r="JRL65"/>
      <c r="JRM65"/>
      <c r="JRN65"/>
      <c r="JRO65"/>
      <c r="JRP65"/>
      <c r="JRQ65"/>
      <c r="JRR65"/>
      <c r="JRS65"/>
      <c r="JRT65"/>
      <c r="JRU65"/>
      <c r="JRV65"/>
      <c r="JRW65"/>
      <c r="JRX65"/>
      <c r="JRY65"/>
      <c r="JRZ65"/>
      <c r="JSA65"/>
      <c r="JSB65"/>
      <c r="JSC65"/>
      <c r="JSD65"/>
      <c r="JSE65"/>
      <c r="JSF65"/>
      <c r="JSG65"/>
      <c r="JSH65"/>
      <c r="JSI65"/>
      <c r="JSJ65"/>
      <c r="JSK65"/>
      <c r="JSL65"/>
      <c r="JSM65"/>
      <c r="JSN65"/>
      <c r="JSO65"/>
      <c r="JSP65"/>
      <c r="JSQ65"/>
      <c r="JSR65"/>
      <c r="JSS65"/>
      <c r="JST65"/>
      <c r="JSU65"/>
      <c r="JSV65"/>
      <c r="JSW65"/>
      <c r="JSX65"/>
      <c r="JSY65"/>
      <c r="JSZ65"/>
      <c r="JTA65"/>
      <c r="JTB65"/>
      <c r="JTC65"/>
      <c r="JTD65"/>
      <c r="JTE65"/>
      <c r="JTF65"/>
      <c r="JTG65"/>
      <c r="JTH65"/>
      <c r="JTI65"/>
      <c r="JTJ65"/>
      <c r="JTK65"/>
      <c r="JTL65"/>
      <c r="JTM65"/>
      <c r="JTN65"/>
      <c r="JTO65"/>
      <c r="JTP65"/>
      <c r="JTQ65"/>
      <c r="JTR65"/>
      <c r="JTS65"/>
      <c r="JTT65"/>
      <c r="JTU65"/>
      <c r="JTV65"/>
      <c r="JTW65"/>
      <c r="JTX65"/>
      <c r="JTY65"/>
      <c r="JTZ65"/>
      <c r="JUA65"/>
      <c r="JUB65"/>
      <c r="JUC65"/>
      <c r="JUD65"/>
      <c r="JUE65"/>
      <c r="JUF65"/>
      <c r="JUG65"/>
      <c r="JUH65"/>
      <c r="JUI65"/>
      <c r="JUJ65"/>
      <c r="JUK65"/>
      <c r="JUL65"/>
      <c r="JUM65"/>
      <c r="JUN65"/>
      <c r="JUO65"/>
      <c r="JUP65"/>
      <c r="JUQ65"/>
      <c r="JUR65"/>
      <c r="JUS65"/>
      <c r="JUT65"/>
      <c r="JUU65"/>
      <c r="JUV65"/>
      <c r="JUW65"/>
      <c r="JUX65"/>
      <c r="JUY65"/>
      <c r="JUZ65"/>
      <c r="JVA65"/>
      <c r="JVB65"/>
      <c r="JVC65"/>
      <c r="JVD65"/>
      <c r="JVE65"/>
      <c r="JVF65"/>
      <c r="JVG65"/>
      <c r="JVH65"/>
      <c r="JVI65"/>
      <c r="JVJ65"/>
      <c r="JVK65"/>
      <c r="JVL65"/>
      <c r="JVM65"/>
      <c r="JVN65"/>
      <c r="JVO65"/>
      <c r="JVP65"/>
      <c r="JVQ65"/>
      <c r="JVR65"/>
      <c r="JVS65"/>
      <c r="JVT65"/>
      <c r="JVU65"/>
      <c r="JVV65"/>
      <c r="JVW65"/>
      <c r="JVX65"/>
      <c r="JVY65"/>
      <c r="JVZ65"/>
      <c r="JWA65"/>
      <c r="JWB65"/>
      <c r="JWC65"/>
      <c r="JWD65"/>
      <c r="JWE65"/>
      <c r="JWF65"/>
      <c r="JWG65"/>
      <c r="JWH65"/>
      <c r="JWI65"/>
      <c r="JWJ65"/>
      <c r="JWK65"/>
      <c r="JWL65"/>
      <c r="JWM65"/>
      <c r="JWN65"/>
      <c r="JWO65"/>
      <c r="JWP65"/>
      <c r="JWQ65"/>
      <c r="JWR65"/>
      <c r="JWS65"/>
      <c r="JWT65"/>
      <c r="JWU65"/>
      <c r="JWV65"/>
      <c r="JWW65"/>
      <c r="JWX65"/>
      <c r="JWY65"/>
      <c r="JWZ65"/>
      <c r="JXA65"/>
      <c r="JXB65"/>
      <c r="JXC65"/>
      <c r="JXD65"/>
      <c r="JXE65"/>
      <c r="JXF65"/>
      <c r="JXG65"/>
      <c r="JXH65"/>
      <c r="JXI65"/>
      <c r="JXJ65"/>
      <c r="JXK65"/>
      <c r="JXL65"/>
      <c r="JXM65"/>
      <c r="JXN65"/>
      <c r="JXO65"/>
      <c r="JXP65"/>
      <c r="JXQ65"/>
      <c r="JXR65"/>
      <c r="JXS65"/>
      <c r="JXT65"/>
      <c r="JXU65"/>
      <c r="JXV65"/>
      <c r="JXW65"/>
      <c r="JXX65"/>
      <c r="JXY65"/>
      <c r="JXZ65"/>
      <c r="JYA65"/>
      <c r="JYB65"/>
      <c r="JYC65"/>
      <c r="JYD65"/>
      <c r="JYE65"/>
      <c r="JYF65"/>
      <c r="JYG65"/>
      <c r="JYH65"/>
      <c r="JYI65"/>
      <c r="JYJ65"/>
      <c r="JYK65"/>
      <c r="JYL65"/>
      <c r="JYM65"/>
      <c r="JYN65"/>
      <c r="JYO65"/>
      <c r="JYP65"/>
      <c r="JYQ65"/>
      <c r="JYR65"/>
      <c r="JYS65"/>
      <c r="JYT65"/>
      <c r="JYU65"/>
      <c r="JYV65"/>
      <c r="JYW65"/>
      <c r="JYX65"/>
      <c r="JYY65"/>
      <c r="JYZ65"/>
      <c r="JZA65"/>
      <c r="JZB65"/>
      <c r="JZC65"/>
      <c r="JZD65"/>
      <c r="JZE65"/>
      <c r="JZF65"/>
      <c r="JZG65"/>
      <c r="JZH65"/>
      <c r="JZI65"/>
      <c r="JZJ65"/>
      <c r="JZK65"/>
      <c r="JZL65"/>
      <c r="JZM65"/>
      <c r="JZN65"/>
      <c r="JZO65"/>
      <c r="JZP65"/>
      <c r="JZQ65"/>
      <c r="JZR65"/>
      <c r="JZS65"/>
      <c r="JZT65"/>
      <c r="JZU65"/>
      <c r="JZV65"/>
      <c r="JZW65"/>
      <c r="JZX65"/>
      <c r="JZY65"/>
      <c r="JZZ65"/>
      <c r="KAA65"/>
      <c r="KAB65"/>
      <c r="KAC65"/>
      <c r="KAD65"/>
      <c r="KAE65"/>
      <c r="KAF65"/>
      <c r="KAG65"/>
      <c r="KAH65"/>
      <c r="KAI65"/>
      <c r="KAJ65"/>
      <c r="KAK65"/>
      <c r="KAL65"/>
      <c r="KAM65"/>
      <c r="KAN65"/>
      <c r="KAO65"/>
      <c r="KAP65"/>
      <c r="KAQ65"/>
      <c r="KAR65"/>
      <c r="KAS65"/>
      <c r="KAT65"/>
      <c r="KAU65"/>
      <c r="KAV65"/>
      <c r="KAW65"/>
      <c r="KAX65"/>
      <c r="KAY65"/>
      <c r="KAZ65"/>
      <c r="KBA65"/>
      <c r="KBB65"/>
      <c r="KBC65"/>
      <c r="KBD65"/>
      <c r="KBE65"/>
      <c r="KBF65"/>
      <c r="KBG65"/>
      <c r="KBH65"/>
      <c r="KBI65"/>
      <c r="KBJ65"/>
      <c r="KBK65"/>
      <c r="KBL65"/>
      <c r="KBM65"/>
      <c r="KBN65"/>
      <c r="KBO65"/>
      <c r="KBP65"/>
      <c r="KBQ65"/>
      <c r="KBR65"/>
      <c r="KBS65"/>
      <c r="KBT65"/>
      <c r="KBU65"/>
      <c r="KBV65"/>
      <c r="KBW65"/>
      <c r="KBX65"/>
      <c r="KBY65"/>
      <c r="KBZ65"/>
      <c r="KCA65"/>
      <c r="KCB65"/>
      <c r="KCC65"/>
      <c r="KCD65"/>
      <c r="KCE65"/>
      <c r="KCF65"/>
      <c r="KCG65"/>
      <c r="KCH65"/>
      <c r="KCI65"/>
      <c r="KCJ65"/>
      <c r="KCK65"/>
      <c r="KCL65"/>
      <c r="KCM65"/>
      <c r="KCN65"/>
      <c r="KCO65"/>
      <c r="KCP65"/>
      <c r="KCQ65"/>
      <c r="KCR65"/>
      <c r="KCS65"/>
      <c r="KCT65"/>
      <c r="KCU65"/>
      <c r="KCV65"/>
      <c r="KCW65"/>
      <c r="KCX65"/>
      <c r="KCY65"/>
      <c r="KCZ65"/>
      <c r="KDA65"/>
      <c r="KDB65"/>
      <c r="KDC65"/>
      <c r="KDD65"/>
      <c r="KDE65"/>
      <c r="KDF65"/>
      <c r="KDG65"/>
      <c r="KDH65"/>
      <c r="KDI65"/>
      <c r="KDJ65"/>
      <c r="KDK65"/>
      <c r="KDL65"/>
      <c r="KDM65"/>
      <c r="KDN65"/>
      <c r="KDO65"/>
      <c r="KDP65"/>
      <c r="KDQ65"/>
      <c r="KDR65"/>
      <c r="KDS65"/>
      <c r="KDT65"/>
      <c r="KDU65"/>
      <c r="KDV65"/>
      <c r="KDW65"/>
      <c r="KDX65"/>
      <c r="KDY65"/>
      <c r="KDZ65"/>
      <c r="KEA65"/>
      <c r="KEB65"/>
      <c r="KEC65"/>
      <c r="KED65"/>
      <c r="KEE65"/>
      <c r="KEF65"/>
      <c r="KEG65"/>
      <c r="KEH65"/>
      <c r="KEI65"/>
      <c r="KEJ65"/>
      <c r="KEK65"/>
      <c r="KEL65"/>
      <c r="KEM65"/>
      <c r="KEN65"/>
      <c r="KEO65"/>
      <c r="KEP65"/>
      <c r="KEQ65"/>
      <c r="KER65"/>
      <c r="KES65"/>
      <c r="KET65"/>
      <c r="KEU65"/>
      <c r="KEV65"/>
      <c r="KEW65"/>
      <c r="KEX65"/>
      <c r="KEY65"/>
      <c r="KEZ65"/>
      <c r="KFA65"/>
      <c r="KFB65"/>
      <c r="KFC65"/>
      <c r="KFD65"/>
      <c r="KFE65"/>
      <c r="KFF65"/>
      <c r="KFG65"/>
      <c r="KFH65"/>
      <c r="KFI65"/>
      <c r="KFJ65"/>
      <c r="KFK65"/>
      <c r="KFL65"/>
      <c r="KFM65"/>
      <c r="KFN65"/>
      <c r="KFO65"/>
      <c r="KFP65"/>
      <c r="KFQ65"/>
      <c r="KFR65"/>
      <c r="KFS65"/>
      <c r="KFT65"/>
      <c r="KFU65"/>
      <c r="KFV65"/>
      <c r="KFW65"/>
      <c r="KFX65"/>
      <c r="KFY65"/>
      <c r="KFZ65"/>
      <c r="KGA65"/>
      <c r="KGB65"/>
      <c r="KGC65"/>
      <c r="KGD65"/>
      <c r="KGE65"/>
      <c r="KGF65"/>
      <c r="KGG65"/>
      <c r="KGH65"/>
      <c r="KGI65"/>
      <c r="KGJ65"/>
      <c r="KGK65"/>
      <c r="KGL65"/>
      <c r="KGM65"/>
      <c r="KGN65"/>
      <c r="KGO65"/>
      <c r="KGP65"/>
      <c r="KGQ65"/>
      <c r="KGR65"/>
      <c r="KGS65"/>
      <c r="KGT65"/>
      <c r="KGU65"/>
      <c r="KGV65"/>
      <c r="KGW65"/>
      <c r="KGX65"/>
      <c r="KGY65"/>
      <c r="KGZ65"/>
      <c r="KHA65"/>
      <c r="KHB65"/>
      <c r="KHC65"/>
      <c r="KHD65"/>
      <c r="KHE65"/>
      <c r="KHF65"/>
      <c r="KHG65"/>
      <c r="KHH65"/>
      <c r="KHI65"/>
      <c r="KHJ65"/>
      <c r="KHK65"/>
      <c r="KHL65"/>
      <c r="KHM65"/>
      <c r="KHN65"/>
      <c r="KHO65"/>
      <c r="KHP65"/>
      <c r="KHQ65"/>
      <c r="KHR65"/>
      <c r="KHS65"/>
      <c r="KHT65"/>
      <c r="KHU65"/>
      <c r="KHV65"/>
      <c r="KHW65"/>
      <c r="KHX65"/>
      <c r="KHY65"/>
      <c r="KHZ65"/>
      <c r="KIA65"/>
      <c r="KIB65"/>
      <c r="KIC65"/>
      <c r="KID65"/>
      <c r="KIE65"/>
      <c r="KIF65"/>
      <c r="KIG65"/>
      <c r="KIH65"/>
      <c r="KII65"/>
      <c r="KIJ65"/>
      <c r="KIK65"/>
      <c r="KIL65"/>
      <c r="KIM65"/>
      <c r="KIN65"/>
      <c r="KIO65"/>
      <c r="KIP65"/>
      <c r="KIQ65"/>
      <c r="KIR65"/>
      <c r="KIS65"/>
      <c r="KIT65"/>
      <c r="KIU65"/>
      <c r="KIV65"/>
      <c r="KIW65"/>
      <c r="KIX65"/>
      <c r="KIY65"/>
      <c r="KIZ65"/>
      <c r="KJA65"/>
      <c r="KJB65"/>
      <c r="KJC65"/>
      <c r="KJD65"/>
      <c r="KJE65"/>
      <c r="KJF65"/>
      <c r="KJG65"/>
      <c r="KJH65"/>
      <c r="KJI65"/>
      <c r="KJJ65"/>
      <c r="KJK65"/>
      <c r="KJL65"/>
      <c r="KJM65"/>
      <c r="KJN65"/>
      <c r="KJO65"/>
      <c r="KJP65"/>
      <c r="KJQ65"/>
      <c r="KJR65"/>
      <c r="KJS65"/>
      <c r="KJT65"/>
      <c r="KJU65"/>
      <c r="KJV65"/>
      <c r="KJW65"/>
      <c r="KJX65"/>
      <c r="KJY65"/>
      <c r="KJZ65"/>
      <c r="KKA65"/>
      <c r="KKB65"/>
      <c r="KKC65"/>
      <c r="KKD65"/>
      <c r="KKE65"/>
      <c r="KKF65"/>
      <c r="KKG65"/>
      <c r="KKH65"/>
      <c r="KKI65"/>
      <c r="KKJ65"/>
      <c r="KKK65"/>
      <c r="KKL65"/>
      <c r="KKM65"/>
      <c r="KKN65"/>
      <c r="KKO65"/>
      <c r="KKP65"/>
      <c r="KKQ65"/>
      <c r="KKR65"/>
      <c r="KKS65"/>
      <c r="KKT65"/>
      <c r="KKU65"/>
      <c r="KKV65"/>
      <c r="KKW65"/>
      <c r="KKX65"/>
      <c r="KKY65"/>
      <c r="KKZ65"/>
      <c r="KLA65"/>
      <c r="KLB65"/>
      <c r="KLC65"/>
      <c r="KLD65"/>
      <c r="KLE65"/>
      <c r="KLF65"/>
      <c r="KLG65"/>
      <c r="KLH65"/>
      <c r="KLI65"/>
      <c r="KLJ65"/>
      <c r="KLK65"/>
      <c r="KLL65"/>
      <c r="KLM65"/>
      <c r="KLN65"/>
      <c r="KLO65"/>
      <c r="KLP65"/>
      <c r="KLQ65"/>
      <c r="KLR65"/>
      <c r="KLS65"/>
      <c r="KLT65"/>
      <c r="KLU65"/>
      <c r="KLV65"/>
      <c r="KLW65"/>
      <c r="KLX65"/>
      <c r="KLY65"/>
      <c r="KLZ65"/>
      <c r="KMA65"/>
      <c r="KMB65"/>
      <c r="KMC65"/>
      <c r="KMD65"/>
      <c r="KME65"/>
      <c r="KMF65"/>
      <c r="KMG65"/>
      <c r="KMH65"/>
      <c r="KMI65"/>
      <c r="KMJ65"/>
      <c r="KMK65"/>
      <c r="KML65"/>
      <c r="KMM65"/>
      <c r="KMN65"/>
      <c r="KMO65"/>
      <c r="KMP65"/>
      <c r="KMQ65"/>
      <c r="KMR65"/>
      <c r="KMS65"/>
      <c r="KMT65"/>
      <c r="KMU65"/>
      <c r="KMV65"/>
      <c r="KMW65"/>
      <c r="KMX65"/>
      <c r="KMY65"/>
      <c r="KMZ65"/>
      <c r="KNA65"/>
      <c r="KNB65"/>
      <c r="KNC65"/>
      <c r="KND65"/>
      <c r="KNE65"/>
      <c r="KNF65"/>
      <c r="KNG65"/>
      <c r="KNH65"/>
      <c r="KNI65"/>
      <c r="KNJ65"/>
      <c r="KNK65"/>
      <c r="KNL65"/>
      <c r="KNM65"/>
      <c r="KNN65"/>
      <c r="KNO65"/>
      <c r="KNP65"/>
      <c r="KNQ65"/>
      <c r="KNR65"/>
      <c r="KNS65"/>
      <c r="KNT65"/>
      <c r="KNU65"/>
      <c r="KNV65"/>
      <c r="KNW65"/>
      <c r="KNX65"/>
      <c r="KNY65"/>
      <c r="KNZ65"/>
      <c r="KOA65"/>
      <c r="KOB65"/>
      <c r="KOC65"/>
      <c r="KOD65"/>
      <c r="KOE65"/>
      <c r="KOF65"/>
      <c r="KOG65"/>
      <c r="KOH65"/>
      <c r="KOI65"/>
      <c r="KOJ65"/>
      <c r="KOK65"/>
      <c r="KOL65"/>
      <c r="KOM65"/>
      <c r="KON65"/>
      <c r="KOO65"/>
      <c r="KOP65"/>
      <c r="KOQ65"/>
      <c r="KOR65"/>
      <c r="KOS65"/>
      <c r="KOT65"/>
      <c r="KOU65"/>
      <c r="KOV65"/>
      <c r="KOW65"/>
      <c r="KOX65"/>
      <c r="KOY65"/>
      <c r="KOZ65"/>
      <c r="KPA65"/>
      <c r="KPB65"/>
      <c r="KPC65"/>
      <c r="KPD65"/>
      <c r="KPE65"/>
      <c r="KPF65"/>
      <c r="KPG65"/>
      <c r="KPH65"/>
      <c r="KPI65"/>
      <c r="KPJ65"/>
      <c r="KPK65"/>
      <c r="KPL65"/>
      <c r="KPM65"/>
      <c r="KPN65"/>
      <c r="KPO65"/>
      <c r="KPP65"/>
      <c r="KPQ65"/>
      <c r="KPR65"/>
      <c r="KPS65"/>
      <c r="KPT65"/>
      <c r="KPU65"/>
      <c r="KPV65"/>
      <c r="KPW65"/>
      <c r="KPX65"/>
      <c r="KPY65"/>
      <c r="KPZ65"/>
      <c r="KQA65"/>
      <c r="KQB65"/>
      <c r="KQC65"/>
      <c r="KQD65"/>
      <c r="KQE65"/>
      <c r="KQF65"/>
      <c r="KQG65"/>
      <c r="KQH65"/>
      <c r="KQI65"/>
      <c r="KQJ65"/>
      <c r="KQK65"/>
      <c r="KQL65"/>
      <c r="KQM65"/>
      <c r="KQN65"/>
      <c r="KQO65"/>
      <c r="KQP65"/>
      <c r="KQQ65"/>
      <c r="KQR65"/>
      <c r="KQS65"/>
      <c r="KQT65"/>
      <c r="KQU65"/>
      <c r="KQV65"/>
      <c r="KQW65"/>
      <c r="KQX65"/>
      <c r="KQY65"/>
      <c r="KQZ65"/>
      <c r="KRA65"/>
      <c r="KRB65"/>
      <c r="KRC65"/>
      <c r="KRD65"/>
      <c r="KRE65"/>
      <c r="KRF65"/>
      <c r="KRG65"/>
      <c r="KRH65"/>
      <c r="KRI65"/>
      <c r="KRJ65"/>
      <c r="KRK65"/>
      <c r="KRL65"/>
      <c r="KRM65"/>
      <c r="KRN65"/>
      <c r="KRO65"/>
      <c r="KRP65"/>
      <c r="KRQ65"/>
      <c r="KRR65"/>
      <c r="KRS65"/>
      <c r="KRT65"/>
      <c r="KRU65"/>
      <c r="KRV65"/>
      <c r="KRW65"/>
      <c r="KRX65"/>
      <c r="KRY65"/>
      <c r="KRZ65"/>
      <c r="KSA65"/>
      <c r="KSB65"/>
      <c r="KSC65"/>
      <c r="KSD65"/>
      <c r="KSE65"/>
      <c r="KSF65"/>
      <c r="KSG65"/>
      <c r="KSH65"/>
      <c r="KSI65"/>
      <c r="KSJ65"/>
      <c r="KSK65"/>
      <c r="KSL65"/>
      <c r="KSM65"/>
      <c r="KSN65"/>
      <c r="KSO65"/>
      <c r="KSP65"/>
      <c r="KSQ65"/>
      <c r="KSR65"/>
      <c r="KSS65"/>
      <c r="KST65"/>
      <c r="KSU65"/>
      <c r="KSV65"/>
      <c r="KSW65"/>
      <c r="KSX65"/>
      <c r="KSY65"/>
      <c r="KSZ65"/>
      <c r="KTA65"/>
      <c r="KTB65"/>
      <c r="KTC65"/>
      <c r="KTD65"/>
      <c r="KTE65"/>
      <c r="KTF65"/>
      <c r="KTG65"/>
      <c r="KTH65"/>
      <c r="KTI65"/>
      <c r="KTJ65"/>
      <c r="KTK65"/>
      <c r="KTL65"/>
      <c r="KTM65"/>
      <c r="KTN65"/>
      <c r="KTO65"/>
      <c r="KTP65"/>
      <c r="KTQ65"/>
      <c r="KTR65"/>
      <c r="KTS65"/>
      <c r="KTT65"/>
      <c r="KTU65"/>
      <c r="KTV65"/>
      <c r="KTW65"/>
      <c r="KTX65"/>
      <c r="KTY65"/>
      <c r="KTZ65"/>
      <c r="KUA65"/>
      <c r="KUB65"/>
      <c r="KUC65"/>
      <c r="KUD65"/>
      <c r="KUE65"/>
      <c r="KUF65"/>
      <c r="KUG65"/>
      <c r="KUH65"/>
      <c r="KUI65"/>
      <c r="KUJ65"/>
      <c r="KUK65"/>
      <c r="KUL65"/>
      <c r="KUM65"/>
      <c r="KUN65"/>
      <c r="KUO65"/>
      <c r="KUP65"/>
      <c r="KUQ65"/>
      <c r="KUR65"/>
      <c r="KUS65"/>
      <c r="KUT65"/>
      <c r="KUU65"/>
      <c r="KUV65"/>
      <c r="KUW65"/>
      <c r="KUX65"/>
      <c r="KUY65"/>
      <c r="KUZ65"/>
      <c r="KVA65"/>
      <c r="KVB65"/>
      <c r="KVC65"/>
      <c r="KVD65"/>
      <c r="KVE65"/>
      <c r="KVF65"/>
      <c r="KVG65"/>
      <c r="KVH65"/>
      <c r="KVI65"/>
      <c r="KVJ65"/>
      <c r="KVK65"/>
      <c r="KVL65"/>
      <c r="KVM65"/>
      <c r="KVN65"/>
      <c r="KVO65"/>
      <c r="KVP65"/>
      <c r="KVQ65"/>
      <c r="KVR65"/>
      <c r="KVS65"/>
      <c r="KVT65"/>
      <c r="KVU65"/>
      <c r="KVV65"/>
      <c r="KVW65"/>
      <c r="KVX65"/>
      <c r="KVY65"/>
      <c r="KVZ65"/>
      <c r="KWA65"/>
      <c r="KWB65"/>
      <c r="KWC65"/>
      <c r="KWD65"/>
      <c r="KWE65"/>
      <c r="KWF65"/>
      <c r="KWG65"/>
      <c r="KWH65"/>
      <c r="KWI65"/>
      <c r="KWJ65"/>
      <c r="KWK65"/>
      <c r="KWL65"/>
      <c r="KWM65"/>
      <c r="KWN65"/>
      <c r="KWO65"/>
      <c r="KWP65"/>
      <c r="KWQ65"/>
      <c r="KWR65"/>
      <c r="KWS65"/>
      <c r="KWT65"/>
      <c r="KWU65"/>
      <c r="KWV65"/>
      <c r="KWW65"/>
      <c r="KWX65"/>
      <c r="KWY65"/>
      <c r="KWZ65"/>
      <c r="KXA65"/>
      <c r="KXB65"/>
      <c r="KXC65"/>
      <c r="KXD65"/>
      <c r="KXE65"/>
      <c r="KXF65"/>
      <c r="KXG65"/>
      <c r="KXH65"/>
      <c r="KXI65"/>
      <c r="KXJ65"/>
      <c r="KXK65"/>
      <c r="KXL65"/>
      <c r="KXM65"/>
      <c r="KXN65"/>
      <c r="KXO65"/>
      <c r="KXP65"/>
      <c r="KXQ65"/>
      <c r="KXR65"/>
      <c r="KXS65"/>
      <c r="KXT65"/>
      <c r="KXU65"/>
      <c r="KXV65"/>
      <c r="KXW65"/>
      <c r="KXX65"/>
      <c r="KXY65"/>
      <c r="KXZ65"/>
      <c r="KYA65"/>
      <c r="KYB65"/>
      <c r="KYC65"/>
      <c r="KYD65"/>
      <c r="KYE65"/>
      <c r="KYF65"/>
      <c r="KYG65"/>
      <c r="KYH65"/>
      <c r="KYI65"/>
      <c r="KYJ65"/>
      <c r="KYK65"/>
      <c r="KYL65"/>
      <c r="KYM65"/>
      <c r="KYN65"/>
      <c r="KYO65"/>
      <c r="KYP65"/>
      <c r="KYQ65"/>
      <c r="KYR65"/>
      <c r="KYS65"/>
      <c r="KYT65"/>
      <c r="KYU65"/>
      <c r="KYV65"/>
      <c r="KYW65"/>
      <c r="KYX65"/>
      <c r="KYY65"/>
      <c r="KYZ65"/>
      <c r="KZA65"/>
      <c r="KZB65"/>
      <c r="KZC65"/>
      <c r="KZD65"/>
      <c r="KZE65"/>
      <c r="KZF65"/>
      <c r="KZG65"/>
      <c r="KZH65"/>
      <c r="KZI65"/>
      <c r="KZJ65"/>
      <c r="KZK65"/>
      <c r="KZL65"/>
      <c r="KZM65"/>
      <c r="KZN65"/>
      <c r="KZO65"/>
      <c r="KZP65"/>
      <c r="KZQ65"/>
      <c r="KZR65"/>
      <c r="KZS65"/>
      <c r="KZT65"/>
      <c r="KZU65"/>
      <c r="KZV65"/>
      <c r="KZW65"/>
      <c r="KZX65"/>
      <c r="KZY65"/>
      <c r="KZZ65"/>
      <c r="LAA65"/>
      <c r="LAB65"/>
      <c r="LAC65"/>
      <c r="LAD65"/>
      <c r="LAE65"/>
      <c r="LAF65"/>
      <c r="LAG65"/>
      <c r="LAH65"/>
      <c r="LAI65"/>
      <c r="LAJ65"/>
      <c r="LAK65"/>
      <c r="LAL65"/>
      <c r="LAM65"/>
      <c r="LAN65"/>
      <c r="LAO65"/>
      <c r="LAP65"/>
      <c r="LAQ65"/>
      <c r="LAR65"/>
      <c r="LAS65"/>
      <c r="LAT65"/>
      <c r="LAU65"/>
      <c r="LAV65"/>
      <c r="LAW65"/>
      <c r="LAX65"/>
      <c r="LAY65"/>
      <c r="LAZ65"/>
      <c r="LBA65"/>
      <c r="LBB65"/>
      <c r="LBC65"/>
      <c r="LBD65"/>
      <c r="LBE65"/>
      <c r="LBF65"/>
      <c r="LBG65"/>
      <c r="LBH65"/>
      <c r="LBI65"/>
      <c r="LBJ65"/>
      <c r="LBK65"/>
      <c r="LBL65"/>
      <c r="LBM65"/>
      <c r="LBN65"/>
      <c r="LBO65"/>
      <c r="LBP65"/>
      <c r="LBQ65"/>
      <c r="LBR65"/>
      <c r="LBS65"/>
      <c r="LBT65"/>
      <c r="LBU65"/>
      <c r="LBV65"/>
      <c r="LBW65"/>
      <c r="LBX65"/>
      <c r="LBY65"/>
      <c r="LBZ65"/>
      <c r="LCA65"/>
      <c r="LCB65"/>
      <c r="LCC65"/>
      <c r="LCD65"/>
      <c r="LCE65"/>
      <c r="LCF65"/>
      <c r="LCG65"/>
      <c r="LCH65"/>
      <c r="LCI65"/>
      <c r="LCJ65"/>
      <c r="LCK65"/>
      <c r="LCL65"/>
      <c r="LCM65"/>
      <c r="LCN65"/>
      <c r="LCO65"/>
      <c r="LCP65"/>
      <c r="LCQ65"/>
      <c r="LCR65"/>
      <c r="LCS65"/>
      <c r="LCT65"/>
      <c r="LCU65"/>
      <c r="LCV65"/>
      <c r="LCW65"/>
      <c r="LCX65"/>
      <c r="LCY65"/>
      <c r="LCZ65"/>
      <c r="LDA65"/>
      <c r="LDB65"/>
      <c r="LDC65"/>
      <c r="LDD65"/>
      <c r="LDE65"/>
      <c r="LDF65"/>
      <c r="LDG65"/>
      <c r="LDH65"/>
      <c r="LDI65"/>
      <c r="LDJ65"/>
      <c r="LDK65"/>
      <c r="LDL65"/>
      <c r="LDM65"/>
      <c r="LDN65"/>
      <c r="LDO65"/>
      <c r="LDP65"/>
      <c r="LDQ65"/>
      <c r="LDR65"/>
      <c r="LDS65"/>
      <c r="LDT65"/>
      <c r="LDU65"/>
      <c r="LDV65"/>
      <c r="LDW65"/>
      <c r="LDX65"/>
      <c r="LDY65"/>
      <c r="LDZ65"/>
      <c r="LEA65"/>
      <c r="LEB65"/>
      <c r="LEC65"/>
      <c r="LED65"/>
      <c r="LEE65"/>
      <c r="LEF65"/>
      <c r="LEG65"/>
      <c r="LEH65"/>
      <c r="LEI65"/>
      <c r="LEJ65"/>
      <c r="LEK65"/>
      <c r="LEL65"/>
      <c r="LEM65"/>
      <c r="LEN65"/>
      <c r="LEO65"/>
      <c r="LEP65"/>
      <c r="LEQ65"/>
      <c r="LER65"/>
      <c r="LES65"/>
      <c r="LET65"/>
      <c r="LEU65"/>
      <c r="LEV65"/>
      <c r="LEW65"/>
      <c r="LEX65"/>
      <c r="LEY65"/>
      <c r="LEZ65"/>
      <c r="LFA65"/>
      <c r="LFB65"/>
      <c r="LFC65"/>
      <c r="LFD65"/>
      <c r="LFE65"/>
      <c r="LFF65"/>
      <c r="LFG65"/>
      <c r="LFH65"/>
      <c r="LFI65"/>
      <c r="LFJ65"/>
      <c r="LFK65"/>
      <c r="LFL65"/>
      <c r="LFM65"/>
      <c r="LFN65"/>
      <c r="LFO65"/>
      <c r="LFP65"/>
      <c r="LFQ65"/>
      <c r="LFR65"/>
      <c r="LFS65"/>
      <c r="LFT65"/>
      <c r="LFU65"/>
      <c r="LFV65"/>
      <c r="LFW65"/>
      <c r="LFX65"/>
      <c r="LFY65"/>
      <c r="LFZ65"/>
      <c r="LGA65"/>
      <c r="LGB65"/>
      <c r="LGC65"/>
      <c r="LGD65"/>
      <c r="LGE65"/>
      <c r="LGF65"/>
      <c r="LGG65"/>
      <c r="LGH65"/>
      <c r="LGI65"/>
      <c r="LGJ65"/>
      <c r="LGK65"/>
      <c r="LGL65"/>
      <c r="LGM65"/>
      <c r="LGN65"/>
      <c r="LGO65"/>
      <c r="LGP65"/>
      <c r="LGQ65"/>
      <c r="LGR65"/>
      <c r="LGS65"/>
      <c r="LGT65"/>
      <c r="LGU65"/>
      <c r="LGV65"/>
      <c r="LGW65"/>
      <c r="LGX65"/>
      <c r="LGY65"/>
      <c r="LGZ65"/>
      <c r="LHA65"/>
      <c r="LHB65"/>
      <c r="LHC65"/>
      <c r="LHD65"/>
      <c r="LHE65"/>
      <c r="LHF65"/>
      <c r="LHG65"/>
      <c r="LHH65"/>
      <c r="LHI65"/>
      <c r="LHJ65"/>
      <c r="LHK65"/>
      <c r="LHL65"/>
      <c r="LHM65"/>
      <c r="LHN65"/>
      <c r="LHO65"/>
      <c r="LHP65"/>
      <c r="LHQ65"/>
      <c r="LHR65"/>
      <c r="LHS65"/>
      <c r="LHT65"/>
      <c r="LHU65"/>
      <c r="LHV65"/>
      <c r="LHW65"/>
      <c r="LHX65"/>
      <c r="LHY65"/>
      <c r="LHZ65"/>
      <c r="LIA65"/>
      <c r="LIB65"/>
      <c r="LIC65"/>
      <c r="LID65"/>
      <c r="LIE65"/>
      <c r="LIF65"/>
      <c r="LIG65"/>
      <c r="LIH65"/>
      <c r="LII65"/>
      <c r="LIJ65"/>
      <c r="LIK65"/>
      <c r="LIL65"/>
      <c r="LIM65"/>
      <c r="LIN65"/>
      <c r="LIO65"/>
      <c r="LIP65"/>
      <c r="LIQ65"/>
      <c r="LIR65"/>
      <c r="LIS65"/>
      <c r="LIT65"/>
      <c r="LIU65"/>
      <c r="LIV65"/>
      <c r="LIW65"/>
      <c r="LIX65"/>
      <c r="LIY65"/>
      <c r="LIZ65"/>
      <c r="LJA65"/>
      <c r="LJB65"/>
      <c r="LJC65"/>
      <c r="LJD65"/>
      <c r="LJE65"/>
      <c r="LJF65"/>
      <c r="LJG65"/>
      <c r="LJH65"/>
      <c r="LJI65"/>
      <c r="LJJ65"/>
      <c r="LJK65"/>
      <c r="LJL65"/>
      <c r="LJM65"/>
      <c r="LJN65"/>
      <c r="LJO65"/>
      <c r="LJP65"/>
      <c r="LJQ65"/>
      <c r="LJR65"/>
      <c r="LJS65"/>
      <c r="LJT65"/>
      <c r="LJU65"/>
      <c r="LJV65"/>
      <c r="LJW65"/>
      <c r="LJX65"/>
      <c r="LJY65"/>
      <c r="LJZ65"/>
      <c r="LKA65"/>
      <c r="LKB65"/>
      <c r="LKC65"/>
      <c r="LKD65"/>
      <c r="LKE65"/>
      <c r="LKF65"/>
      <c r="LKG65"/>
      <c r="LKH65"/>
      <c r="LKI65"/>
      <c r="LKJ65"/>
      <c r="LKK65"/>
      <c r="LKL65"/>
      <c r="LKM65"/>
      <c r="LKN65"/>
      <c r="LKO65"/>
      <c r="LKP65"/>
      <c r="LKQ65"/>
      <c r="LKR65"/>
      <c r="LKS65"/>
      <c r="LKT65"/>
      <c r="LKU65"/>
      <c r="LKV65"/>
      <c r="LKW65"/>
      <c r="LKX65"/>
      <c r="LKY65"/>
      <c r="LKZ65"/>
      <c r="LLA65"/>
      <c r="LLB65"/>
      <c r="LLC65"/>
      <c r="LLD65"/>
      <c r="LLE65"/>
      <c r="LLF65"/>
      <c r="LLG65"/>
      <c r="LLH65"/>
      <c r="LLI65"/>
      <c r="LLJ65"/>
      <c r="LLK65"/>
      <c r="LLL65"/>
      <c r="LLM65"/>
      <c r="LLN65"/>
      <c r="LLO65"/>
      <c r="LLP65"/>
      <c r="LLQ65"/>
      <c r="LLR65"/>
      <c r="LLS65"/>
      <c r="LLT65"/>
      <c r="LLU65"/>
      <c r="LLV65"/>
      <c r="LLW65"/>
      <c r="LLX65"/>
      <c r="LLY65"/>
      <c r="LLZ65"/>
      <c r="LMA65"/>
      <c r="LMB65"/>
      <c r="LMC65"/>
      <c r="LMD65"/>
      <c r="LME65"/>
      <c r="LMF65"/>
      <c r="LMG65"/>
      <c r="LMH65"/>
      <c r="LMI65"/>
      <c r="LMJ65"/>
      <c r="LMK65"/>
      <c r="LML65"/>
      <c r="LMM65"/>
      <c r="LMN65"/>
      <c r="LMO65"/>
      <c r="LMP65"/>
      <c r="LMQ65"/>
      <c r="LMR65"/>
      <c r="LMS65"/>
      <c r="LMT65"/>
      <c r="LMU65"/>
      <c r="LMV65"/>
      <c r="LMW65"/>
      <c r="LMX65"/>
      <c r="LMY65"/>
      <c r="LMZ65"/>
      <c r="LNA65"/>
      <c r="LNB65"/>
      <c r="LNC65"/>
      <c r="LND65"/>
      <c r="LNE65"/>
      <c r="LNF65"/>
      <c r="LNG65"/>
      <c r="LNH65"/>
      <c r="LNI65"/>
      <c r="LNJ65"/>
      <c r="LNK65"/>
      <c r="LNL65"/>
      <c r="LNM65"/>
      <c r="LNN65"/>
      <c r="LNO65"/>
      <c r="LNP65"/>
      <c r="LNQ65"/>
      <c r="LNR65"/>
      <c r="LNS65"/>
      <c r="LNT65"/>
      <c r="LNU65"/>
      <c r="LNV65"/>
      <c r="LNW65"/>
      <c r="LNX65"/>
      <c r="LNY65"/>
      <c r="LNZ65"/>
      <c r="LOA65"/>
      <c r="LOB65"/>
      <c r="LOC65"/>
      <c r="LOD65"/>
      <c r="LOE65"/>
      <c r="LOF65"/>
      <c r="LOG65"/>
      <c r="LOH65"/>
      <c r="LOI65"/>
      <c r="LOJ65"/>
      <c r="LOK65"/>
      <c r="LOL65"/>
      <c r="LOM65"/>
      <c r="LON65"/>
      <c r="LOO65"/>
      <c r="LOP65"/>
      <c r="LOQ65"/>
      <c r="LOR65"/>
      <c r="LOS65"/>
      <c r="LOT65"/>
      <c r="LOU65"/>
      <c r="LOV65"/>
      <c r="LOW65"/>
      <c r="LOX65"/>
      <c r="LOY65"/>
      <c r="LOZ65"/>
      <c r="LPA65"/>
      <c r="LPB65"/>
      <c r="LPC65"/>
      <c r="LPD65"/>
      <c r="LPE65"/>
      <c r="LPF65"/>
      <c r="LPG65"/>
      <c r="LPH65"/>
      <c r="LPI65"/>
      <c r="LPJ65"/>
      <c r="LPK65"/>
      <c r="LPL65"/>
      <c r="LPM65"/>
      <c r="LPN65"/>
      <c r="LPO65"/>
      <c r="LPP65"/>
      <c r="LPQ65"/>
      <c r="LPR65"/>
      <c r="LPS65"/>
      <c r="LPT65"/>
      <c r="LPU65"/>
      <c r="LPV65"/>
      <c r="LPW65"/>
      <c r="LPX65"/>
      <c r="LPY65"/>
      <c r="LPZ65"/>
      <c r="LQA65"/>
      <c r="LQB65"/>
      <c r="LQC65"/>
      <c r="LQD65"/>
      <c r="LQE65"/>
      <c r="LQF65"/>
      <c r="LQG65"/>
      <c r="LQH65"/>
      <c r="LQI65"/>
      <c r="LQJ65"/>
      <c r="LQK65"/>
      <c r="LQL65"/>
      <c r="LQM65"/>
      <c r="LQN65"/>
      <c r="LQO65"/>
      <c r="LQP65"/>
      <c r="LQQ65"/>
      <c r="LQR65"/>
      <c r="LQS65"/>
      <c r="LQT65"/>
      <c r="LQU65"/>
      <c r="LQV65"/>
      <c r="LQW65"/>
      <c r="LQX65"/>
      <c r="LQY65"/>
      <c r="LQZ65"/>
      <c r="LRA65"/>
      <c r="LRB65"/>
      <c r="LRC65"/>
      <c r="LRD65"/>
      <c r="LRE65"/>
      <c r="LRF65"/>
      <c r="LRG65"/>
      <c r="LRH65"/>
      <c r="LRI65"/>
      <c r="LRJ65"/>
      <c r="LRK65"/>
      <c r="LRL65"/>
      <c r="LRM65"/>
      <c r="LRN65"/>
      <c r="LRO65"/>
      <c r="LRP65"/>
      <c r="LRQ65"/>
      <c r="LRR65"/>
      <c r="LRS65"/>
      <c r="LRT65"/>
      <c r="LRU65"/>
      <c r="LRV65"/>
      <c r="LRW65"/>
      <c r="LRX65"/>
      <c r="LRY65"/>
      <c r="LRZ65"/>
      <c r="LSA65"/>
      <c r="LSB65"/>
      <c r="LSC65"/>
      <c r="LSD65"/>
      <c r="LSE65"/>
      <c r="LSF65"/>
      <c r="LSG65"/>
      <c r="LSH65"/>
      <c r="LSI65"/>
      <c r="LSJ65"/>
      <c r="LSK65"/>
      <c r="LSL65"/>
      <c r="LSM65"/>
      <c r="LSN65"/>
      <c r="LSO65"/>
      <c r="LSP65"/>
      <c r="LSQ65"/>
      <c r="LSR65"/>
      <c r="LSS65"/>
      <c r="LST65"/>
      <c r="LSU65"/>
      <c r="LSV65"/>
      <c r="LSW65"/>
      <c r="LSX65"/>
      <c r="LSY65"/>
      <c r="LSZ65"/>
      <c r="LTA65"/>
      <c r="LTB65"/>
      <c r="LTC65"/>
      <c r="LTD65"/>
      <c r="LTE65"/>
      <c r="LTF65"/>
      <c r="LTG65"/>
      <c r="LTH65"/>
      <c r="LTI65"/>
      <c r="LTJ65"/>
      <c r="LTK65"/>
      <c r="LTL65"/>
      <c r="LTM65"/>
      <c r="LTN65"/>
      <c r="LTO65"/>
      <c r="LTP65"/>
      <c r="LTQ65"/>
      <c r="LTR65"/>
      <c r="LTS65"/>
      <c r="LTT65"/>
      <c r="LTU65"/>
      <c r="LTV65"/>
      <c r="LTW65"/>
      <c r="LTX65"/>
      <c r="LTY65"/>
      <c r="LTZ65"/>
      <c r="LUA65"/>
      <c r="LUB65"/>
      <c r="LUC65"/>
      <c r="LUD65"/>
      <c r="LUE65"/>
      <c r="LUF65"/>
      <c r="LUG65"/>
      <c r="LUH65"/>
      <c r="LUI65"/>
      <c r="LUJ65"/>
      <c r="LUK65"/>
      <c r="LUL65"/>
      <c r="LUM65"/>
      <c r="LUN65"/>
      <c r="LUO65"/>
      <c r="LUP65"/>
      <c r="LUQ65"/>
      <c r="LUR65"/>
      <c r="LUS65"/>
      <c r="LUT65"/>
      <c r="LUU65"/>
      <c r="LUV65"/>
      <c r="LUW65"/>
      <c r="LUX65"/>
      <c r="LUY65"/>
      <c r="LUZ65"/>
      <c r="LVA65"/>
      <c r="LVB65"/>
      <c r="LVC65"/>
      <c r="LVD65"/>
      <c r="LVE65"/>
      <c r="LVF65"/>
      <c r="LVG65"/>
      <c r="LVH65"/>
      <c r="LVI65"/>
      <c r="LVJ65"/>
      <c r="LVK65"/>
      <c r="LVL65"/>
      <c r="LVM65"/>
      <c r="LVN65"/>
      <c r="LVO65"/>
      <c r="LVP65"/>
      <c r="LVQ65"/>
      <c r="LVR65"/>
      <c r="LVS65"/>
      <c r="LVT65"/>
      <c r="LVU65"/>
      <c r="LVV65"/>
      <c r="LVW65"/>
      <c r="LVX65"/>
      <c r="LVY65"/>
      <c r="LVZ65"/>
      <c r="LWA65"/>
      <c r="LWB65"/>
      <c r="LWC65"/>
      <c r="LWD65"/>
      <c r="LWE65"/>
      <c r="LWF65"/>
      <c r="LWG65"/>
      <c r="LWH65"/>
      <c r="LWI65"/>
      <c r="LWJ65"/>
      <c r="LWK65"/>
      <c r="LWL65"/>
      <c r="LWM65"/>
      <c r="LWN65"/>
      <c r="LWO65"/>
      <c r="LWP65"/>
      <c r="LWQ65"/>
      <c r="LWR65"/>
      <c r="LWS65"/>
      <c r="LWT65"/>
      <c r="LWU65"/>
      <c r="LWV65"/>
      <c r="LWW65"/>
      <c r="LWX65"/>
      <c r="LWY65"/>
      <c r="LWZ65"/>
      <c r="LXA65"/>
      <c r="LXB65"/>
      <c r="LXC65"/>
      <c r="LXD65"/>
      <c r="LXE65"/>
      <c r="LXF65"/>
      <c r="LXG65"/>
      <c r="LXH65"/>
      <c r="LXI65"/>
      <c r="LXJ65"/>
      <c r="LXK65"/>
      <c r="LXL65"/>
      <c r="LXM65"/>
      <c r="LXN65"/>
      <c r="LXO65"/>
      <c r="LXP65"/>
      <c r="LXQ65"/>
      <c r="LXR65"/>
      <c r="LXS65"/>
      <c r="LXT65"/>
      <c r="LXU65"/>
      <c r="LXV65"/>
      <c r="LXW65"/>
      <c r="LXX65"/>
      <c r="LXY65"/>
      <c r="LXZ65"/>
      <c r="LYA65"/>
      <c r="LYB65"/>
      <c r="LYC65"/>
      <c r="LYD65"/>
      <c r="LYE65"/>
      <c r="LYF65"/>
      <c r="LYG65"/>
      <c r="LYH65"/>
      <c r="LYI65"/>
      <c r="LYJ65"/>
      <c r="LYK65"/>
      <c r="LYL65"/>
      <c r="LYM65"/>
      <c r="LYN65"/>
      <c r="LYO65"/>
      <c r="LYP65"/>
      <c r="LYQ65"/>
      <c r="LYR65"/>
      <c r="LYS65"/>
      <c r="LYT65"/>
      <c r="LYU65"/>
      <c r="LYV65"/>
      <c r="LYW65"/>
      <c r="LYX65"/>
      <c r="LYY65"/>
      <c r="LYZ65"/>
      <c r="LZA65"/>
      <c r="LZB65"/>
      <c r="LZC65"/>
      <c r="LZD65"/>
      <c r="LZE65"/>
      <c r="LZF65"/>
      <c r="LZG65"/>
      <c r="LZH65"/>
      <c r="LZI65"/>
      <c r="LZJ65"/>
      <c r="LZK65"/>
      <c r="LZL65"/>
      <c r="LZM65"/>
      <c r="LZN65"/>
      <c r="LZO65"/>
      <c r="LZP65"/>
      <c r="LZQ65"/>
      <c r="LZR65"/>
      <c r="LZS65"/>
      <c r="LZT65"/>
      <c r="LZU65"/>
      <c r="LZV65"/>
      <c r="LZW65"/>
      <c r="LZX65"/>
      <c r="LZY65"/>
      <c r="LZZ65"/>
      <c r="MAA65"/>
      <c r="MAB65"/>
      <c r="MAC65"/>
      <c r="MAD65"/>
      <c r="MAE65"/>
      <c r="MAF65"/>
      <c r="MAG65"/>
      <c r="MAH65"/>
      <c r="MAI65"/>
      <c r="MAJ65"/>
      <c r="MAK65"/>
      <c r="MAL65"/>
      <c r="MAM65"/>
      <c r="MAN65"/>
      <c r="MAO65"/>
      <c r="MAP65"/>
      <c r="MAQ65"/>
      <c r="MAR65"/>
      <c r="MAS65"/>
      <c r="MAT65"/>
      <c r="MAU65"/>
      <c r="MAV65"/>
      <c r="MAW65"/>
      <c r="MAX65"/>
      <c r="MAY65"/>
      <c r="MAZ65"/>
      <c r="MBA65"/>
      <c r="MBB65"/>
      <c r="MBC65"/>
      <c r="MBD65"/>
      <c r="MBE65"/>
      <c r="MBF65"/>
      <c r="MBG65"/>
      <c r="MBH65"/>
      <c r="MBI65"/>
      <c r="MBJ65"/>
      <c r="MBK65"/>
      <c r="MBL65"/>
      <c r="MBM65"/>
      <c r="MBN65"/>
      <c r="MBO65"/>
      <c r="MBP65"/>
      <c r="MBQ65"/>
      <c r="MBR65"/>
      <c r="MBS65"/>
      <c r="MBT65"/>
      <c r="MBU65"/>
      <c r="MBV65"/>
      <c r="MBW65"/>
      <c r="MBX65"/>
      <c r="MBY65"/>
      <c r="MBZ65"/>
      <c r="MCA65"/>
      <c r="MCB65"/>
      <c r="MCC65"/>
      <c r="MCD65"/>
      <c r="MCE65"/>
      <c r="MCF65"/>
      <c r="MCG65"/>
      <c r="MCH65"/>
      <c r="MCI65"/>
      <c r="MCJ65"/>
      <c r="MCK65"/>
      <c r="MCL65"/>
      <c r="MCM65"/>
      <c r="MCN65"/>
      <c r="MCO65"/>
      <c r="MCP65"/>
      <c r="MCQ65"/>
      <c r="MCR65"/>
      <c r="MCS65"/>
      <c r="MCT65"/>
      <c r="MCU65"/>
      <c r="MCV65"/>
      <c r="MCW65"/>
      <c r="MCX65"/>
      <c r="MCY65"/>
      <c r="MCZ65"/>
      <c r="MDA65"/>
      <c r="MDB65"/>
      <c r="MDC65"/>
      <c r="MDD65"/>
      <c r="MDE65"/>
      <c r="MDF65"/>
      <c r="MDG65"/>
      <c r="MDH65"/>
      <c r="MDI65"/>
      <c r="MDJ65"/>
      <c r="MDK65"/>
      <c r="MDL65"/>
      <c r="MDM65"/>
      <c r="MDN65"/>
      <c r="MDO65"/>
      <c r="MDP65"/>
      <c r="MDQ65"/>
      <c r="MDR65"/>
      <c r="MDS65"/>
      <c r="MDT65"/>
      <c r="MDU65"/>
      <c r="MDV65"/>
      <c r="MDW65"/>
      <c r="MDX65"/>
      <c r="MDY65"/>
      <c r="MDZ65"/>
      <c r="MEA65"/>
      <c r="MEB65"/>
      <c r="MEC65"/>
      <c r="MED65"/>
      <c r="MEE65"/>
      <c r="MEF65"/>
      <c r="MEG65"/>
      <c r="MEH65"/>
      <c r="MEI65"/>
      <c r="MEJ65"/>
      <c r="MEK65"/>
      <c r="MEL65"/>
      <c r="MEM65"/>
      <c r="MEN65"/>
      <c r="MEO65"/>
      <c r="MEP65"/>
      <c r="MEQ65"/>
      <c r="MER65"/>
      <c r="MES65"/>
      <c r="MET65"/>
      <c r="MEU65"/>
      <c r="MEV65"/>
      <c r="MEW65"/>
      <c r="MEX65"/>
      <c r="MEY65"/>
      <c r="MEZ65"/>
      <c r="MFA65"/>
      <c r="MFB65"/>
      <c r="MFC65"/>
      <c r="MFD65"/>
      <c r="MFE65"/>
      <c r="MFF65"/>
      <c r="MFG65"/>
      <c r="MFH65"/>
      <c r="MFI65"/>
      <c r="MFJ65"/>
      <c r="MFK65"/>
      <c r="MFL65"/>
      <c r="MFM65"/>
      <c r="MFN65"/>
      <c r="MFO65"/>
      <c r="MFP65"/>
      <c r="MFQ65"/>
      <c r="MFR65"/>
      <c r="MFS65"/>
      <c r="MFT65"/>
      <c r="MFU65"/>
      <c r="MFV65"/>
      <c r="MFW65"/>
      <c r="MFX65"/>
      <c r="MFY65"/>
      <c r="MFZ65"/>
      <c r="MGA65"/>
      <c r="MGB65"/>
      <c r="MGC65"/>
      <c r="MGD65"/>
      <c r="MGE65"/>
      <c r="MGF65"/>
      <c r="MGG65"/>
      <c r="MGH65"/>
      <c r="MGI65"/>
      <c r="MGJ65"/>
      <c r="MGK65"/>
      <c r="MGL65"/>
      <c r="MGM65"/>
      <c r="MGN65"/>
      <c r="MGO65"/>
      <c r="MGP65"/>
      <c r="MGQ65"/>
      <c r="MGR65"/>
      <c r="MGS65"/>
      <c r="MGT65"/>
      <c r="MGU65"/>
      <c r="MGV65"/>
      <c r="MGW65"/>
      <c r="MGX65"/>
      <c r="MGY65"/>
      <c r="MGZ65"/>
      <c r="MHA65"/>
      <c r="MHB65"/>
      <c r="MHC65"/>
      <c r="MHD65"/>
      <c r="MHE65"/>
      <c r="MHF65"/>
      <c r="MHG65"/>
      <c r="MHH65"/>
      <c r="MHI65"/>
      <c r="MHJ65"/>
      <c r="MHK65"/>
      <c r="MHL65"/>
      <c r="MHM65"/>
      <c r="MHN65"/>
      <c r="MHO65"/>
      <c r="MHP65"/>
      <c r="MHQ65"/>
      <c r="MHR65"/>
      <c r="MHS65"/>
      <c r="MHT65"/>
      <c r="MHU65"/>
      <c r="MHV65"/>
      <c r="MHW65"/>
      <c r="MHX65"/>
      <c r="MHY65"/>
      <c r="MHZ65"/>
      <c r="MIA65"/>
      <c r="MIB65"/>
      <c r="MIC65"/>
      <c r="MID65"/>
      <c r="MIE65"/>
      <c r="MIF65"/>
      <c r="MIG65"/>
      <c r="MIH65"/>
      <c r="MII65"/>
      <c r="MIJ65"/>
      <c r="MIK65"/>
      <c r="MIL65"/>
      <c r="MIM65"/>
      <c r="MIN65"/>
      <c r="MIO65"/>
      <c r="MIP65"/>
      <c r="MIQ65"/>
      <c r="MIR65"/>
      <c r="MIS65"/>
      <c r="MIT65"/>
      <c r="MIU65"/>
      <c r="MIV65"/>
      <c r="MIW65"/>
      <c r="MIX65"/>
      <c r="MIY65"/>
      <c r="MIZ65"/>
      <c r="MJA65"/>
      <c r="MJB65"/>
      <c r="MJC65"/>
      <c r="MJD65"/>
      <c r="MJE65"/>
      <c r="MJF65"/>
      <c r="MJG65"/>
      <c r="MJH65"/>
      <c r="MJI65"/>
      <c r="MJJ65"/>
      <c r="MJK65"/>
      <c r="MJL65"/>
      <c r="MJM65"/>
      <c r="MJN65"/>
      <c r="MJO65"/>
      <c r="MJP65"/>
      <c r="MJQ65"/>
      <c r="MJR65"/>
      <c r="MJS65"/>
      <c r="MJT65"/>
      <c r="MJU65"/>
      <c r="MJV65"/>
      <c r="MJW65"/>
      <c r="MJX65"/>
      <c r="MJY65"/>
      <c r="MJZ65"/>
      <c r="MKA65"/>
      <c r="MKB65"/>
      <c r="MKC65"/>
      <c r="MKD65"/>
      <c r="MKE65"/>
      <c r="MKF65"/>
      <c r="MKG65"/>
      <c r="MKH65"/>
      <c r="MKI65"/>
      <c r="MKJ65"/>
      <c r="MKK65"/>
      <c r="MKL65"/>
      <c r="MKM65"/>
      <c r="MKN65"/>
      <c r="MKO65"/>
      <c r="MKP65"/>
      <c r="MKQ65"/>
      <c r="MKR65"/>
      <c r="MKS65"/>
      <c r="MKT65"/>
      <c r="MKU65"/>
      <c r="MKV65"/>
      <c r="MKW65"/>
      <c r="MKX65"/>
      <c r="MKY65"/>
      <c r="MKZ65"/>
      <c r="MLA65"/>
      <c r="MLB65"/>
      <c r="MLC65"/>
      <c r="MLD65"/>
      <c r="MLE65"/>
      <c r="MLF65"/>
      <c r="MLG65"/>
      <c r="MLH65"/>
      <c r="MLI65"/>
      <c r="MLJ65"/>
      <c r="MLK65"/>
      <c r="MLL65"/>
      <c r="MLM65"/>
      <c r="MLN65"/>
      <c r="MLO65"/>
      <c r="MLP65"/>
      <c r="MLQ65"/>
      <c r="MLR65"/>
      <c r="MLS65"/>
      <c r="MLT65"/>
      <c r="MLU65"/>
      <c r="MLV65"/>
      <c r="MLW65"/>
      <c r="MLX65"/>
      <c r="MLY65"/>
      <c r="MLZ65"/>
      <c r="MMA65"/>
      <c r="MMB65"/>
      <c r="MMC65"/>
      <c r="MMD65"/>
      <c r="MME65"/>
      <c r="MMF65"/>
      <c r="MMG65"/>
      <c r="MMH65"/>
      <c r="MMI65"/>
      <c r="MMJ65"/>
      <c r="MMK65"/>
      <c r="MML65"/>
      <c r="MMM65"/>
      <c r="MMN65"/>
      <c r="MMO65"/>
      <c r="MMP65"/>
      <c r="MMQ65"/>
      <c r="MMR65"/>
      <c r="MMS65"/>
      <c r="MMT65"/>
      <c r="MMU65"/>
      <c r="MMV65"/>
      <c r="MMW65"/>
      <c r="MMX65"/>
      <c r="MMY65"/>
      <c r="MMZ65"/>
      <c r="MNA65"/>
      <c r="MNB65"/>
      <c r="MNC65"/>
      <c r="MND65"/>
      <c r="MNE65"/>
      <c r="MNF65"/>
      <c r="MNG65"/>
      <c r="MNH65"/>
      <c r="MNI65"/>
      <c r="MNJ65"/>
      <c r="MNK65"/>
      <c r="MNL65"/>
      <c r="MNM65"/>
      <c r="MNN65"/>
      <c r="MNO65"/>
      <c r="MNP65"/>
      <c r="MNQ65"/>
      <c r="MNR65"/>
      <c r="MNS65"/>
      <c r="MNT65"/>
      <c r="MNU65"/>
      <c r="MNV65"/>
      <c r="MNW65"/>
      <c r="MNX65"/>
      <c r="MNY65"/>
      <c r="MNZ65"/>
      <c r="MOA65"/>
      <c r="MOB65"/>
      <c r="MOC65"/>
      <c r="MOD65"/>
      <c r="MOE65"/>
      <c r="MOF65"/>
      <c r="MOG65"/>
      <c r="MOH65"/>
      <c r="MOI65"/>
      <c r="MOJ65"/>
      <c r="MOK65"/>
      <c r="MOL65"/>
      <c r="MOM65"/>
      <c r="MON65"/>
      <c r="MOO65"/>
      <c r="MOP65"/>
      <c r="MOQ65"/>
      <c r="MOR65"/>
      <c r="MOS65"/>
      <c r="MOT65"/>
      <c r="MOU65"/>
      <c r="MOV65"/>
      <c r="MOW65"/>
      <c r="MOX65"/>
      <c r="MOY65"/>
      <c r="MOZ65"/>
      <c r="MPA65"/>
      <c r="MPB65"/>
      <c r="MPC65"/>
      <c r="MPD65"/>
      <c r="MPE65"/>
      <c r="MPF65"/>
      <c r="MPG65"/>
      <c r="MPH65"/>
      <c r="MPI65"/>
      <c r="MPJ65"/>
      <c r="MPK65"/>
      <c r="MPL65"/>
      <c r="MPM65"/>
      <c r="MPN65"/>
      <c r="MPO65"/>
      <c r="MPP65"/>
      <c r="MPQ65"/>
      <c r="MPR65"/>
      <c r="MPS65"/>
      <c r="MPT65"/>
      <c r="MPU65"/>
      <c r="MPV65"/>
      <c r="MPW65"/>
      <c r="MPX65"/>
      <c r="MPY65"/>
      <c r="MPZ65"/>
      <c r="MQA65"/>
      <c r="MQB65"/>
      <c r="MQC65"/>
      <c r="MQD65"/>
      <c r="MQE65"/>
      <c r="MQF65"/>
      <c r="MQG65"/>
      <c r="MQH65"/>
      <c r="MQI65"/>
      <c r="MQJ65"/>
      <c r="MQK65"/>
      <c r="MQL65"/>
      <c r="MQM65"/>
      <c r="MQN65"/>
      <c r="MQO65"/>
      <c r="MQP65"/>
      <c r="MQQ65"/>
      <c r="MQR65"/>
      <c r="MQS65"/>
      <c r="MQT65"/>
      <c r="MQU65"/>
      <c r="MQV65"/>
      <c r="MQW65"/>
      <c r="MQX65"/>
      <c r="MQY65"/>
      <c r="MQZ65"/>
      <c r="MRA65"/>
      <c r="MRB65"/>
      <c r="MRC65"/>
      <c r="MRD65"/>
      <c r="MRE65"/>
      <c r="MRF65"/>
      <c r="MRG65"/>
      <c r="MRH65"/>
      <c r="MRI65"/>
      <c r="MRJ65"/>
      <c r="MRK65"/>
      <c r="MRL65"/>
      <c r="MRM65"/>
      <c r="MRN65"/>
      <c r="MRO65"/>
      <c r="MRP65"/>
      <c r="MRQ65"/>
      <c r="MRR65"/>
      <c r="MRS65"/>
      <c r="MRT65"/>
      <c r="MRU65"/>
      <c r="MRV65"/>
      <c r="MRW65"/>
      <c r="MRX65"/>
      <c r="MRY65"/>
      <c r="MRZ65"/>
      <c r="MSA65"/>
      <c r="MSB65"/>
      <c r="MSC65"/>
      <c r="MSD65"/>
      <c r="MSE65"/>
      <c r="MSF65"/>
      <c r="MSG65"/>
      <c r="MSH65"/>
      <c r="MSI65"/>
      <c r="MSJ65"/>
      <c r="MSK65"/>
      <c r="MSL65"/>
      <c r="MSM65"/>
      <c r="MSN65"/>
      <c r="MSO65"/>
      <c r="MSP65"/>
      <c r="MSQ65"/>
      <c r="MSR65"/>
      <c r="MSS65"/>
      <c r="MST65"/>
      <c r="MSU65"/>
      <c r="MSV65"/>
      <c r="MSW65"/>
      <c r="MSX65"/>
      <c r="MSY65"/>
      <c r="MSZ65"/>
      <c r="MTA65"/>
      <c r="MTB65"/>
      <c r="MTC65"/>
      <c r="MTD65"/>
      <c r="MTE65"/>
      <c r="MTF65"/>
      <c r="MTG65"/>
      <c r="MTH65"/>
      <c r="MTI65"/>
      <c r="MTJ65"/>
      <c r="MTK65"/>
      <c r="MTL65"/>
      <c r="MTM65"/>
      <c r="MTN65"/>
      <c r="MTO65"/>
      <c r="MTP65"/>
      <c r="MTQ65"/>
      <c r="MTR65"/>
      <c r="MTS65"/>
      <c r="MTT65"/>
      <c r="MTU65"/>
      <c r="MTV65"/>
      <c r="MTW65"/>
      <c r="MTX65"/>
      <c r="MTY65"/>
      <c r="MTZ65"/>
      <c r="MUA65"/>
      <c r="MUB65"/>
      <c r="MUC65"/>
      <c r="MUD65"/>
      <c r="MUE65"/>
      <c r="MUF65"/>
      <c r="MUG65"/>
      <c r="MUH65"/>
      <c r="MUI65"/>
      <c r="MUJ65"/>
      <c r="MUK65"/>
      <c r="MUL65"/>
      <c r="MUM65"/>
      <c r="MUN65"/>
      <c r="MUO65"/>
      <c r="MUP65"/>
      <c r="MUQ65"/>
      <c r="MUR65"/>
      <c r="MUS65"/>
      <c r="MUT65"/>
      <c r="MUU65"/>
      <c r="MUV65"/>
      <c r="MUW65"/>
      <c r="MUX65"/>
      <c r="MUY65"/>
      <c r="MUZ65"/>
      <c r="MVA65"/>
      <c r="MVB65"/>
      <c r="MVC65"/>
      <c r="MVD65"/>
      <c r="MVE65"/>
      <c r="MVF65"/>
      <c r="MVG65"/>
      <c r="MVH65"/>
      <c r="MVI65"/>
      <c r="MVJ65"/>
      <c r="MVK65"/>
      <c r="MVL65"/>
      <c r="MVM65"/>
      <c r="MVN65"/>
      <c r="MVO65"/>
      <c r="MVP65"/>
      <c r="MVQ65"/>
      <c r="MVR65"/>
      <c r="MVS65"/>
      <c r="MVT65"/>
      <c r="MVU65"/>
      <c r="MVV65"/>
      <c r="MVW65"/>
      <c r="MVX65"/>
      <c r="MVY65"/>
      <c r="MVZ65"/>
      <c r="MWA65"/>
      <c r="MWB65"/>
      <c r="MWC65"/>
      <c r="MWD65"/>
      <c r="MWE65"/>
      <c r="MWF65"/>
      <c r="MWG65"/>
      <c r="MWH65"/>
      <c r="MWI65"/>
      <c r="MWJ65"/>
      <c r="MWK65"/>
      <c r="MWL65"/>
      <c r="MWM65"/>
      <c r="MWN65"/>
      <c r="MWO65"/>
      <c r="MWP65"/>
      <c r="MWQ65"/>
      <c r="MWR65"/>
      <c r="MWS65"/>
      <c r="MWT65"/>
      <c r="MWU65"/>
      <c r="MWV65"/>
      <c r="MWW65"/>
      <c r="MWX65"/>
      <c r="MWY65"/>
      <c r="MWZ65"/>
      <c r="MXA65"/>
      <c r="MXB65"/>
      <c r="MXC65"/>
      <c r="MXD65"/>
      <c r="MXE65"/>
      <c r="MXF65"/>
      <c r="MXG65"/>
      <c r="MXH65"/>
      <c r="MXI65"/>
      <c r="MXJ65"/>
      <c r="MXK65"/>
      <c r="MXL65"/>
      <c r="MXM65"/>
      <c r="MXN65"/>
      <c r="MXO65"/>
      <c r="MXP65"/>
      <c r="MXQ65"/>
      <c r="MXR65"/>
      <c r="MXS65"/>
      <c r="MXT65"/>
      <c r="MXU65"/>
      <c r="MXV65"/>
      <c r="MXW65"/>
      <c r="MXX65"/>
      <c r="MXY65"/>
      <c r="MXZ65"/>
      <c r="MYA65"/>
      <c r="MYB65"/>
      <c r="MYC65"/>
      <c r="MYD65"/>
      <c r="MYE65"/>
      <c r="MYF65"/>
      <c r="MYG65"/>
      <c r="MYH65"/>
      <c r="MYI65"/>
      <c r="MYJ65"/>
      <c r="MYK65"/>
      <c r="MYL65"/>
      <c r="MYM65"/>
      <c r="MYN65"/>
      <c r="MYO65"/>
      <c r="MYP65"/>
      <c r="MYQ65"/>
      <c r="MYR65"/>
      <c r="MYS65"/>
      <c r="MYT65"/>
      <c r="MYU65"/>
      <c r="MYV65"/>
      <c r="MYW65"/>
      <c r="MYX65"/>
      <c r="MYY65"/>
      <c r="MYZ65"/>
      <c r="MZA65"/>
      <c r="MZB65"/>
      <c r="MZC65"/>
      <c r="MZD65"/>
      <c r="MZE65"/>
      <c r="MZF65"/>
      <c r="MZG65"/>
      <c r="MZH65"/>
      <c r="MZI65"/>
      <c r="MZJ65"/>
      <c r="MZK65"/>
      <c r="MZL65"/>
      <c r="MZM65"/>
      <c r="MZN65"/>
      <c r="MZO65"/>
      <c r="MZP65"/>
      <c r="MZQ65"/>
      <c r="MZR65"/>
      <c r="MZS65"/>
      <c r="MZT65"/>
      <c r="MZU65"/>
      <c r="MZV65"/>
      <c r="MZW65"/>
      <c r="MZX65"/>
      <c r="MZY65"/>
      <c r="MZZ65"/>
      <c r="NAA65"/>
      <c r="NAB65"/>
      <c r="NAC65"/>
      <c r="NAD65"/>
      <c r="NAE65"/>
      <c r="NAF65"/>
      <c r="NAG65"/>
      <c r="NAH65"/>
      <c r="NAI65"/>
      <c r="NAJ65"/>
      <c r="NAK65"/>
      <c r="NAL65"/>
      <c r="NAM65"/>
      <c r="NAN65"/>
      <c r="NAO65"/>
      <c r="NAP65"/>
      <c r="NAQ65"/>
      <c r="NAR65"/>
      <c r="NAS65"/>
      <c r="NAT65"/>
      <c r="NAU65"/>
      <c r="NAV65"/>
      <c r="NAW65"/>
      <c r="NAX65"/>
      <c r="NAY65"/>
      <c r="NAZ65"/>
      <c r="NBA65"/>
      <c r="NBB65"/>
      <c r="NBC65"/>
      <c r="NBD65"/>
      <c r="NBE65"/>
      <c r="NBF65"/>
      <c r="NBG65"/>
      <c r="NBH65"/>
      <c r="NBI65"/>
      <c r="NBJ65"/>
      <c r="NBK65"/>
      <c r="NBL65"/>
      <c r="NBM65"/>
      <c r="NBN65"/>
      <c r="NBO65"/>
      <c r="NBP65"/>
      <c r="NBQ65"/>
      <c r="NBR65"/>
      <c r="NBS65"/>
      <c r="NBT65"/>
      <c r="NBU65"/>
      <c r="NBV65"/>
      <c r="NBW65"/>
      <c r="NBX65"/>
      <c r="NBY65"/>
      <c r="NBZ65"/>
      <c r="NCA65"/>
      <c r="NCB65"/>
      <c r="NCC65"/>
      <c r="NCD65"/>
      <c r="NCE65"/>
      <c r="NCF65"/>
      <c r="NCG65"/>
      <c r="NCH65"/>
      <c r="NCI65"/>
      <c r="NCJ65"/>
      <c r="NCK65"/>
      <c r="NCL65"/>
      <c r="NCM65"/>
      <c r="NCN65"/>
      <c r="NCO65"/>
      <c r="NCP65"/>
      <c r="NCQ65"/>
      <c r="NCR65"/>
      <c r="NCS65"/>
      <c r="NCT65"/>
      <c r="NCU65"/>
      <c r="NCV65"/>
      <c r="NCW65"/>
      <c r="NCX65"/>
      <c r="NCY65"/>
      <c r="NCZ65"/>
      <c r="NDA65"/>
      <c r="NDB65"/>
      <c r="NDC65"/>
      <c r="NDD65"/>
      <c r="NDE65"/>
      <c r="NDF65"/>
      <c r="NDG65"/>
      <c r="NDH65"/>
      <c r="NDI65"/>
      <c r="NDJ65"/>
      <c r="NDK65"/>
      <c r="NDL65"/>
      <c r="NDM65"/>
      <c r="NDN65"/>
      <c r="NDO65"/>
      <c r="NDP65"/>
      <c r="NDQ65"/>
      <c r="NDR65"/>
      <c r="NDS65"/>
      <c r="NDT65"/>
      <c r="NDU65"/>
      <c r="NDV65"/>
      <c r="NDW65"/>
      <c r="NDX65"/>
      <c r="NDY65"/>
      <c r="NDZ65"/>
      <c r="NEA65"/>
      <c r="NEB65"/>
      <c r="NEC65"/>
      <c r="NED65"/>
      <c r="NEE65"/>
      <c r="NEF65"/>
      <c r="NEG65"/>
      <c r="NEH65"/>
      <c r="NEI65"/>
      <c r="NEJ65"/>
      <c r="NEK65"/>
      <c r="NEL65"/>
      <c r="NEM65"/>
      <c r="NEN65"/>
      <c r="NEO65"/>
      <c r="NEP65"/>
      <c r="NEQ65"/>
      <c r="NER65"/>
      <c r="NES65"/>
      <c r="NET65"/>
      <c r="NEU65"/>
      <c r="NEV65"/>
      <c r="NEW65"/>
      <c r="NEX65"/>
      <c r="NEY65"/>
      <c r="NEZ65"/>
      <c r="NFA65"/>
      <c r="NFB65"/>
      <c r="NFC65"/>
      <c r="NFD65"/>
      <c r="NFE65"/>
      <c r="NFF65"/>
      <c r="NFG65"/>
      <c r="NFH65"/>
      <c r="NFI65"/>
      <c r="NFJ65"/>
      <c r="NFK65"/>
      <c r="NFL65"/>
      <c r="NFM65"/>
      <c r="NFN65"/>
      <c r="NFO65"/>
      <c r="NFP65"/>
      <c r="NFQ65"/>
      <c r="NFR65"/>
      <c r="NFS65"/>
      <c r="NFT65"/>
      <c r="NFU65"/>
      <c r="NFV65"/>
      <c r="NFW65"/>
      <c r="NFX65"/>
      <c r="NFY65"/>
      <c r="NFZ65"/>
      <c r="NGA65"/>
      <c r="NGB65"/>
      <c r="NGC65"/>
      <c r="NGD65"/>
      <c r="NGE65"/>
      <c r="NGF65"/>
      <c r="NGG65"/>
      <c r="NGH65"/>
      <c r="NGI65"/>
      <c r="NGJ65"/>
      <c r="NGK65"/>
      <c r="NGL65"/>
      <c r="NGM65"/>
      <c r="NGN65"/>
      <c r="NGO65"/>
      <c r="NGP65"/>
      <c r="NGQ65"/>
      <c r="NGR65"/>
      <c r="NGS65"/>
      <c r="NGT65"/>
      <c r="NGU65"/>
      <c r="NGV65"/>
      <c r="NGW65"/>
      <c r="NGX65"/>
      <c r="NGY65"/>
      <c r="NGZ65"/>
      <c r="NHA65"/>
      <c r="NHB65"/>
      <c r="NHC65"/>
      <c r="NHD65"/>
      <c r="NHE65"/>
      <c r="NHF65"/>
      <c r="NHG65"/>
      <c r="NHH65"/>
      <c r="NHI65"/>
      <c r="NHJ65"/>
      <c r="NHK65"/>
      <c r="NHL65"/>
      <c r="NHM65"/>
      <c r="NHN65"/>
      <c r="NHO65"/>
      <c r="NHP65"/>
      <c r="NHQ65"/>
      <c r="NHR65"/>
      <c r="NHS65"/>
      <c r="NHT65"/>
      <c r="NHU65"/>
      <c r="NHV65"/>
      <c r="NHW65"/>
      <c r="NHX65"/>
      <c r="NHY65"/>
      <c r="NHZ65"/>
      <c r="NIA65"/>
      <c r="NIB65"/>
      <c r="NIC65"/>
      <c r="NID65"/>
      <c r="NIE65"/>
      <c r="NIF65"/>
      <c r="NIG65"/>
      <c r="NIH65"/>
      <c r="NII65"/>
      <c r="NIJ65"/>
      <c r="NIK65"/>
      <c r="NIL65"/>
      <c r="NIM65"/>
      <c r="NIN65"/>
      <c r="NIO65"/>
      <c r="NIP65"/>
      <c r="NIQ65"/>
      <c r="NIR65"/>
      <c r="NIS65"/>
      <c r="NIT65"/>
      <c r="NIU65"/>
      <c r="NIV65"/>
      <c r="NIW65"/>
      <c r="NIX65"/>
      <c r="NIY65"/>
      <c r="NIZ65"/>
      <c r="NJA65"/>
      <c r="NJB65"/>
      <c r="NJC65"/>
      <c r="NJD65"/>
      <c r="NJE65"/>
      <c r="NJF65"/>
      <c r="NJG65"/>
      <c r="NJH65"/>
      <c r="NJI65"/>
      <c r="NJJ65"/>
      <c r="NJK65"/>
      <c r="NJL65"/>
      <c r="NJM65"/>
      <c r="NJN65"/>
      <c r="NJO65"/>
      <c r="NJP65"/>
      <c r="NJQ65"/>
      <c r="NJR65"/>
      <c r="NJS65"/>
      <c r="NJT65"/>
      <c r="NJU65"/>
      <c r="NJV65"/>
      <c r="NJW65"/>
      <c r="NJX65"/>
      <c r="NJY65"/>
      <c r="NJZ65"/>
      <c r="NKA65"/>
      <c r="NKB65"/>
      <c r="NKC65"/>
      <c r="NKD65"/>
      <c r="NKE65"/>
      <c r="NKF65"/>
      <c r="NKG65"/>
      <c r="NKH65"/>
      <c r="NKI65"/>
      <c r="NKJ65"/>
      <c r="NKK65"/>
      <c r="NKL65"/>
      <c r="NKM65"/>
      <c r="NKN65"/>
      <c r="NKO65"/>
      <c r="NKP65"/>
      <c r="NKQ65"/>
      <c r="NKR65"/>
      <c r="NKS65"/>
      <c r="NKT65"/>
      <c r="NKU65"/>
      <c r="NKV65"/>
      <c r="NKW65"/>
      <c r="NKX65"/>
      <c r="NKY65"/>
      <c r="NKZ65"/>
      <c r="NLA65"/>
      <c r="NLB65"/>
      <c r="NLC65"/>
      <c r="NLD65"/>
      <c r="NLE65"/>
      <c r="NLF65"/>
      <c r="NLG65"/>
      <c r="NLH65"/>
      <c r="NLI65"/>
      <c r="NLJ65"/>
      <c r="NLK65"/>
      <c r="NLL65"/>
      <c r="NLM65"/>
      <c r="NLN65"/>
      <c r="NLO65"/>
      <c r="NLP65"/>
      <c r="NLQ65"/>
      <c r="NLR65"/>
      <c r="NLS65"/>
      <c r="NLT65"/>
      <c r="NLU65"/>
      <c r="NLV65"/>
      <c r="NLW65"/>
      <c r="NLX65"/>
      <c r="NLY65"/>
      <c r="NLZ65"/>
      <c r="NMA65"/>
      <c r="NMB65"/>
      <c r="NMC65"/>
      <c r="NMD65"/>
      <c r="NME65"/>
      <c r="NMF65"/>
      <c r="NMG65"/>
      <c r="NMH65"/>
      <c r="NMI65"/>
      <c r="NMJ65"/>
      <c r="NMK65"/>
      <c r="NML65"/>
      <c r="NMM65"/>
      <c r="NMN65"/>
      <c r="NMO65"/>
      <c r="NMP65"/>
      <c r="NMQ65"/>
      <c r="NMR65"/>
      <c r="NMS65"/>
      <c r="NMT65"/>
      <c r="NMU65"/>
      <c r="NMV65"/>
      <c r="NMW65"/>
      <c r="NMX65"/>
      <c r="NMY65"/>
      <c r="NMZ65"/>
      <c r="NNA65"/>
      <c r="NNB65"/>
      <c r="NNC65"/>
      <c r="NND65"/>
      <c r="NNE65"/>
      <c r="NNF65"/>
      <c r="NNG65"/>
      <c r="NNH65"/>
      <c r="NNI65"/>
      <c r="NNJ65"/>
      <c r="NNK65"/>
      <c r="NNL65"/>
      <c r="NNM65"/>
      <c r="NNN65"/>
      <c r="NNO65"/>
      <c r="NNP65"/>
      <c r="NNQ65"/>
      <c r="NNR65"/>
      <c r="NNS65"/>
      <c r="NNT65"/>
      <c r="NNU65"/>
      <c r="NNV65"/>
      <c r="NNW65"/>
      <c r="NNX65"/>
      <c r="NNY65"/>
      <c r="NNZ65"/>
      <c r="NOA65"/>
      <c r="NOB65"/>
      <c r="NOC65"/>
      <c r="NOD65"/>
      <c r="NOE65"/>
      <c r="NOF65"/>
      <c r="NOG65"/>
      <c r="NOH65"/>
      <c r="NOI65"/>
      <c r="NOJ65"/>
      <c r="NOK65"/>
      <c r="NOL65"/>
      <c r="NOM65"/>
      <c r="NON65"/>
      <c r="NOO65"/>
      <c r="NOP65"/>
      <c r="NOQ65"/>
      <c r="NOR65"/>
      <c r="NOS65"/>
      <c r="NOT65"/>
      <c r="NOU65"/>
      <c r="NOV65"/>
      <c r="NOW65"/>
      <c r="NOX65"/>
      <c r="NOY65"/>
      <c r="NOZ65"/>
      <c r="NPA65"/>
      <c r="NPB65"/>
      <c r="NPC65"/>
      <c r="NPD65"/>
      <c r="NPE65"/>
      <c r="NPF65"/>
      <c r="NPG65"/>
      <c r="NPH65"/>
      <c r="NPI65"/>
      <c r="NPJ65"/>
      <c r="NPK65"/>
      <c r="NPL65"/>
      <c r="NPM65"/>
      <c r="NPN65"/>
      <c r="NPO65"/>
      <c r="NPP65"/>
      <c r="NPQ65"/>
      <c r="NPR65"/>
      <c r="NPS65"/>
      <c r="NPT65"/>
      <c r="NPU65"/>
      <c r="NPV65"/>
      <c r="NPW65"/>
      <c r="NPX65"/>
      <c r="NPY65"/>
      <c r="NPZ65"/>
      <c r="NQA65"/>
      <c r="NQB65"/>
      <c r="NQC65"/>
      <c r="NQD65"/>
      <c r="NQE65"/>
      <c r="NQF65"/>
      <c r="NQG65"/>
      <c r="NQH65"/>
      <c r="NQI65"/>
      <c r="NQJ65"/>
      <c r="NQK65"/>
      <c r="NQL65"/>
      <c r="NQM65"/>
      <c r="NQN65"/>
      <c r="NQO65"/>
      <c r="NQP65"/>
      <c r="NQQ65"/>
      <c r="NQR65"/>
      <c r="NQS65"/>
      <c r="NQT65"/>
      <c r="NQU65"/>
      <c r="NQV65"/>
      <c r="NQW65"/>
      <c r="NQX65"/>
      <c r="NQY65"/>
      <c r="NQZ65"/>
      <c r="NRA65"/>
      <c r="NRB65"/>
      <c r="NRC65"/>
      <c r="NRD65"/>
      <c r="NRE65"/>
      <c r="NRF65"/>
      <c r="NRG65"/>
      <c r="NRH65"/>
      <c r="NRI65"/>
      <c r="NRJ65"/>
      <c r="NRK65"/>
      <c r="NRL65"/>
      <c r="NRM65"/>
      <c r="NRN65"/>
      <c r="NRO65"/>
      <c r="NRP65"/>
      <c r="NRQ65"/>
      <c r="NRR65"/>
      <c r="NRS65"/>
      <c r="NRT65"/>
      <c r="NRU65"/>
      <c r="NRV65"/>
      <c r="NRW65"/>
      <c r="NRX65"/>
      <c r="NRY65"/>
      <c r="NRZ65"/>
      <c r="NSA65"/>
      <c r="NSB65"/>
      <c r="NSC65"/>
      <c r="NSD65"/>
      <c r="NSE65"/>
      <c r="NSF65"/>
      <c r="NSG65"/>
      <c r="NSH65"/>
      <c r="NSI65"/>
      <c r="NSJ65"/>
      <c r="NSK65"/>
      <c r="NSL65"/>
      <c r="NSM65"/>
      <c r="NSN65"/>
      <c r="NSO65"/>
      <c r="NSP65"/>
      <c r="NSQ65"/>
      <c r="NSR65"/>
      <c r="NSS65"/>
      <c r="NST65"/>
      <c r="NSU65"/>
      <c r="NSV65"/>
      <c r="NSW65"/>
      <c r="NSX65"/>
      <c r="NSY65"/>
      <c r="NSZ65"/>
      <c r="NTA65"/>
      <c r="NTB65"/>
      <c r="NTC65"/>
      <c r="NTD65"/>
      <c r="NTE65"/>
      <c r="NTF65"/>
      <c r="NTG65"/>
      <c r="NTH65"/>
      <c r="NTI65"/>
      <c r="NTJ65"/>
      <c r="NTK65"/>
      <c r="NTL65"/>
      <c r="NTM65"/>
      <c r="NTN65"/>
      <c r="NTO65"/>
      <c r="NTP65"/>
      <c r="NTQ65"/>
      <c r="NTR65"/>
      <c r="NTS65"/>
      <c r="NTT65"/>
      <c r="NTU65"/>
      <c r="NTV65"/>
      <c r="NTW65"/>
      <c r="NTX65"/>
      <c r="NTY65"/>
      <c r="NTZ65"/>
      <c r="NUA65"/>
      <c r="NUB65"/>
      <c r="NUC65"/>
      <c r="NUD65"/>
      <c r="NUE65"/>
      <c r="NUF65"/>
      <c r="NUG65"/>
      <c r="NUH65"/>
      <c r="NUI65"/>
      <c r="NUJ65"/>
      <c r="NUK65"/>
      <c r="NUL65"/>
      <c r="NUM65"/>
      <c r="NUN65"/>
      <c r="NUO65"/>
      <c r="NUP65"/>
      <c r="NUQ65"/>
      <c r="NUR65"/>
      <c r="NUS65"/>
      <c r="NUT65"/>
      <c r="NUU65"/>
      <c r="NUV65"/>
      <c r="NUW65"/>
      <c r="NUX65"/>
      <c r="NUY65"/>
      <c r="NUZ65"/>
      <c r="NVA65"/>
      <c r="NVB65"/>
      <c r="NVC65"/>
      <c r="NVD65"/>
      <c r="NVE65"/>
      <c r="NVF65"/>
      <c r="NVG65"/>
      <c r="NVH65"/>
      <c r="NVI65"/>
      <c r="NVJ65"/>
      <c r="NVK65"/>
      <c r="NVL65"/>
      <c r="NVM65"/>
      <c r="NVN65"/>
      <c r="NVO65"/>
      <c r="NVP65"/>
      <c r="NVQ65"/>
      <c r="NVR65"/>
      <c r="NVS65"/>
      <c r="NVT65"/>
      <c r="NVU65"/>
      <c r="NVV65"/>
      <c r="NVW65"/>
      <c r="NVX65"/>
      <c r="NVY65"/>
      <c r="NVZ65"/>
      <c r="NWA65"/>
      <c r="NWB65"/>
      <c r="NWC65"/>
      <c r="NWD65"/>
      <c r="NWE65"/>
      <c r="NWF65"/>
      <c r="NWG65"/>
      <c r="NWH65"/>
      <c r="NWI65"/>
      <c r="NWJ65"/>
      <c r="NWK65"/>
      <c r="NWL65"/>
      <c r="NWM65"/>
      <c r="NWN65"/>
      <c r="NWO65"/>
      <c r="NWP65"/>
      <c r="NWQ65"/>
      <c r="NWR65"/>
      <c r="NWS65"/>
      <c r="NWT65"/>
      <c r="NWU65"/>
      <c r="NWV65"/>
      <c r="NWW65"/>
      <c r="NWX65"/>
      <c r="NWY65"/>
      <c r="NWZ65"/>
      <c r="NXA65"/>
      <c r="NXB65"/>
      <c r="NXC65"/>
      <c r="NXD65"/>
      <c r="NXE65"/>
      <c r="NXF65"/>
      <c r="NXG65"/>
      <c r="NXH65"/>
      <c r="NXI65"/>
      <c r="NXJ65"/>
      <c r="NXK65"/>
      <c r="NXL65"/>
      <c r="NXM65"/>
      <c r="NXN65"/>
      <c r="NXO65"/>
      <c r="NXP65"/>
      <c r="NXQ65"/>
      <c r="NXR65"/>
      <c r="NXS65"/>
      <c r="NXT65"/>
      <c r="NXU65"/>
      <c r="NXV65"/>
      <c r="NXW65"/>
      <c r="NXX65"/>
      <c r="NXY65"/>
      <c r="NXZ65"/>
      <c r="NYA65"/>
      <c r="NYB65"/>
      <c r="NYC65"/>
      <c r="NYD65"/>
      <c r="NYE65"/>
      <c r="NYF65"/>
      <c r="NYG65"/>
      <c r="NYH65"/>
      <c r="NYI65"/>
      <c r="NYJ65"/>
      <c r="NYK65"/>
      <c r="NYL65"/>
      <c r="NYM65"/>
      <c r="NYN65"/>
      <c r="NYO65"/>
      <c r="NYP65"/>
      <c r="NYQ65"/>
      <c r="NYR65"/>
      <c r="NYS65"/>
      <c r="NYT65"/>
      <c r="NYU65"/>
      <c r="NYV65"/>
      <c r="NYW65"/>
      <c r="NYX65"/>
      <c r="NYY65"/>
      <c r="NYZ65"/>
      <c r="NZA65"/>
      <c r="NZB65"/>
      <c r="NZC65"/>
      <c r="NZD65"/>
      <c r="NZE65"/>
      <c r="NZF65"/>
      <c r="NZG65"/>
      <c r="NZH65"/>
      <c r="NZI65"/>
      <c r="NZJ65"/>
      <c r="NZK65"/>
      <c r="NZL65"/>
      <c r="NZM65"/>
      <c r="NZN65"/>
      <c r="NZO65"/>
      <c r="NZP65"/>
      <c r="NZQ65"/>
      <c r="NZR65"/>
      <c r="NZS65"/>
      <c r="NZT65"/>
      <c r="NZU65"/>
      <c r="NZV65"/>
      <c r="NZW65"/>
      <c r="NZX65"/>
      <c r="NZY65"/>
      <c r="NZZ65"/>
      <c r="OAA65"/>
      <c r="OAB65"/>
      <c r="OAC65"/>
      <c r="OAD65"/>
      <c r="OAE65"/>
      <c r="OAF65"/>
      <c r="OAG65"/>
      <c r="OAH65"/>
      <c r="OAI65"/>
      <c r="OAJ65"/>
      <c r="OAK65"/>
      <c r="OAL65"/>
      <c r="OAM65"/>
      <c r="OAN65"/>
      <c r="OAO65"/>
      <c r="OAP65"/>
      <c r="OAQ65"/>
      <c r="OAR65"/>
      <c r="OAS65"/>
      <c r="OAT65"/>
      <c r="OAU65"/>
      <c r="OAV65"/>
      <c r="OAW65"/>
      <c r="OAX65"/>
      <c r="OAY65"/>
      <c r="OAZ65"/>
      <c r="OBA65"/>
      <c r="OBB65"/>
      <c r="OBC65"/>
      <c r="OBD65"/>
      <c r="OBE65"/>
      <c r="OBF65"/>
      <c r="OBG65"/>
      <c r="OBH65"/>
      <c r="OBI65"/>
      <c r="OBJ65"/>
      <c r="OBK65"/>
      <c r="OBL65"/>
      <c r="OBM65"/>
      <c r="OBN65"/>
      <c r="OBO65"/>
      <c r="OBP65"/>
      <c r="OBQ65"/>
      <c r="OBR65"/>
      <c r="OBS65"/>
      <c r="OBT65"/>
      <c r="OBU65"/>
      <c r="OBV65"/>
      <c r="OBW65"/>
      <c r="OBX65"/>
      <c r="OBY65"/>
      <c r="OBZ65"/>
      <c r="OCA65"/>
      <c r="OCB65"/>
      <c r="OCC65"/>
      <c r="OCD65"/>
      <c r="OCE65"/>
      <c r="OCF65"/>
      <c r="OCG65"/>
      <c r="OCH65"/>
      <c r="OCI65"/>
      <c r="OCJ65"/>
      <c r="OCK65"/>
      <c r="OCL65"/>
      <c r="OCM65"/>
      <c r="OCN65"/>
      <c r="OCO65"/>
      <c r="OCP65"/>
      <c r="OCQ65"/>
      <c r="OCR65"/>
      <c r="OCS65"/>
      <c r="OCT65"/>
      <c r="OCU65"/>
      <c r="OCV65"/>
      <c r="OCW65"/>
      <c r="OCX65"/>
      <c r="OCY65"/>
      <c r="OCZ65"/>
      <c r="ODA65"/>
      <c r="ODB65"/>
      <c r="ODC65"/>
      <c r="ODD65"/>
      <c r="ODE65"/>
      <c r="ODF65"/>
      <c r="ODG65"/>
      <c r="ODH65"/>
      <c r="ODI65"/>
      <c r="ODJ65"/>
      <c r="ODK65"/>
      <c r="ODL65"/>
      <c r="ODM65"/>
      <c r="ODN65"/>
      <c r="ODO65"/>
      <c r="ODP65"/>
      <c r="ODQ65"/>
      <c r="ODR65"/>
      <c r="ODS65"/>
      <c r="ODT65"/>
      <c r="ODU65"/>
      <c r="ODV65"/>
      <c r="ODW65"/>
      <c r="ODX65"/>
      <c r="ODY65"/>
      <c r="ODZ65"/>
      <c r="OEA65"/>
      <c r="OEB65"/>
      <c r="OEC65"/>
      <c r="OED65"/>
      <c r="OEE65"/>
      <c r="OEF65"/>
      <c r="OEG65"/>
      <c r="OEH65"/>
      <c r="OEI65"/>
      <c r="OEJ65"/>
      <c r="OEK65"/>
      <c r="OEL65"/>
      <c r="OEM65"/>
      <c r="OEN65"/>
      <c r="OEO65"/>
      <c r="OEP65"/>
      <c r="OEQ65"/>
      <c r="OER65"/>
      <c r="OES65"/>
      <c r="OET65"/>
      <c r="OEU65"/>
      <c r="OEV65"/>
      <c r="OEW65"/>
      <c r="OEX65"/>
      <c r="OEY65"/>
      <c r="OEZ65"/>
      <c r="OFA65"/>
      <c r="OFB65"/>
      <c r="OFC65"/>
      <c r="OFD65"/>
      <c r="OFE65"/>
      <c r="OFF65"/>
      <c r="OFG65"/>
      <c r="OFH65"/>
      <c r="OFI65"/>
      <c r="OFJ65"/>
      <c r="OFK65"/>
      <c r="OFL65"/>
      <c r="OFM65"/>
      <c r="OFN65"/>
      <c r="OFO65"/>
      <c r="OFP65"/>
      <c r="OFQ65"/>
      <c r="OFR65"/>
      <c r="OFS65"/>
      <c r="OFT65"/>
      <c r="OFU65"/>
      <c r="OFV65"/>
      <c r="OFW65"/>
      <c r="OFX65"/>
      <c r="OFY65"/>
      <c r="OFZ65"/>
      <c r="OGA65"/>
      <c r="OGB65"/>
      <c r="OGC65"/>
      <c r="OGD65"/>
      <c r="OGE65"/>
      <c r="OGF65"/>
      <c r="OGG65"/>
      <c r="OGH65"/>
      <c r="OGI65"/>
      <c r="OGJ65"/>
      <c r="OGK65"/>
      <c r="OGL65"/>
      <c r="OGM65"/>
      <c r="OGN65"/>
      <c r="OGO65"/>
      <c r="OGP65"/>
      <c r="OGQ65"/>
      <c r="OGR65"/>
      <c r="OGS65"/>
      <c r="OGT65"/>
      <c r="OGU65"/>
      <c r="OGV65"/>
      <c r="OGW65"/>
      <c r="OGX65"/>
      <c r="OGY65"/>
      <c r="OGZ65"/>
      <c r="OHA65"/>
      <c r="OHB65"/>
      <c r="OHC65"/>
      <c r="OHD65"/>
      <c r="OHE65"/>
      <c r="OHF65"/>
      <c r="OHG65"/>
      <c r="OHH65"/>
      <c r="OHI65"/>
      <c r="OHJ65"/>
      <c r="OHK65"/>
      <c r="OHL65"/>
      <c r="OHM65"/>
      <c r="OHN65"/>
      <c r="OHO65"/>
      <c r="OHP65"/>
      <c r="OHQ65"/>
      <c r="OHR65"/>
      <c r="OHS65"/>
      <c r="OHT65"/>
      <c r="OHU65"/>
      <c r="OHV65"/>
      <c r="OHW65"/>
      <c r="OHX65"/>
      <c r="OHY65"/>
      <c r="OHZ65"/>
      <c r="OIA65"/>
      <c r="OIB65"/>
      <c r="OIC65"/>
      <c r="OID65"/>
      <c r="OIE65"/>
      <c r="OIF65"/>
      <c r="OIG65"/>
      <c r="OIH65"/>
      <c r="OII65"/>
      <c r="OIJ65"/>
      <c r="OIK65"/>
      <c r="OIL65"/>
      <c r="OIM65"/>
      <c r="OIN65"/>
      <c r="OIO65"/>
      <c r="OIP65"/>
      <c r="OIQ65"/>
      <c r="OIR65"/>
      <c r="OIS65"/>
      <c r="OIT65"/>
      <c r="OIU65"/>
      <c r="OIV65"/>
      <c r="OIW65"/>
      <c r="OIX65"/>
      <c r="OIY65"/>
      <c r="OIZ65"/>
      <c r="OJA65"/>
      <c r="OJB65"/>
      <c r="OJC65"/>
      <c r="OJD65"/>
      <c r="OJE65"/>
      <c r="OJF65"/>
      <c r="OJG65"/>
      <c r="OJH65"/>
      <c r="OJI65"/>
      <c r="OJJ65"/>
      <c r="OJK65"/>
      <c r="OJL65"/>
      <c r="OJM65"/>
      <c r="OJN65"/>
      <c r="OJO65"/>
      <c r="OJP65"/>
      <c r="OJQ65"/>
      <c r="OJR65"/>
      <c r="OJS65"/>
      <c r="OJT65"/>
      <c r="OJU65"/>
      <c r="OJV65"/>
      <c r="OJW65"/>
      <c r="OJX65"/>
      <c r="OJY65"/>
      <c r="OJZ65"/>
      <c r="OKA65"/>
      <c r="OKB65"/>
      <c r="OKC65"/>
      <c r="OKD65"/>
      <c r="OKE65"/>
      <c r="OKF65"/>
      <c r="OKG65"/>
      <c r="OKH65"/>
      <c r="OKI65"/>
      <c r="OKJ65"/>
      <c r="OKK65"/>
      <c r="OKL65"/>
      <c r="OKM65"/>
      <c r="OKN65"/>
      <c r="OKO65"/>
      <c r="OKP65"/>
      <c r="OKQ65"/>
      <c r="OKR65"/>
      <c r="OKS65"/>
      <c r="OKT65"/>
      <c r="OKU65"/>
      <c r="OKV65"/>
      <c r="OKW65"/>
      <c r="OKX65"/>
      <c r="OKY65"/>
      <c r="OKZ65"/>
      <c r="OLA65"/>
      <c r="OLB65"/>
      <c r="OLC65"/>
      <c r="OLD65"/>
      <c r="OLE65"/>
      <c r="OLF65"/>
      <c r="OLG65"/>
      <c r="OLH65"/>
      <c r="OLI65"/>
      <c r="OLJ65"/>
      <c r="OLK65"/>
      <c r="OLL65"/>
      <c r="OLM65"/>
      <c r="OLN65"/>
      <c r="OLO65"/>
      <c r="OLP65"/>
      <c r="OLQ65"/>
      <c r="OLR65"/>
      <c r="OLS65"/>
      <c r="OLT65"/>
      <c r="OLU65"/>
      <c r="OLV65"/>
      <c r="OLW65"/>
      <c r="OLX65"/>
      <c r="OLY65"/>
      <c r="OLZ65"/>
      <c r="OMA65"/>
      <c r="OMB65"/>
      <c r="OMC65"/>
      <c r="OMD65"/>
      <c r="OME65"/>
      <c r="OMF65"/>
      <c r="OMG65"/>
      <c r="OMH65"/>
      <c r="OMI65"/>
      <c r="OMJ65"/>
      <c r="OMK65"/>
      <c r="OML65"/>
      <c r="OMM65"/>
      <c r="OMN65"/>
      <c r="OMO65"/>
      <c r="OMP65"/>
      <c r="OMQ65"/>
      <c r="OMR65"/>
      <c r="OMS65"/>
      <c r="OMT65"/>
      <c r="OMU65"/>
      <c r="OMV65"/>
      <c r="OMW65"/>
      <c r="OMX65"/>
      <c r="OMY65"/>
      <c r="OMZ65"/>
      <c r="ONA65"/>
      <c r="ONB65"/>
      <c r="ONC65"/>
      <c r="OND65"/>
      <c r="ONE65"/>
      <c r="ONF65"/>
      <c r="ONG65"/>
      <c r="ONH65"/>
      <c r="ONI65"/>
      <c r="ONJ65"/>
      <c r="ONK65"/>
      <c r="ONL65"/>
      <c r="ONM65"/>
      <c r="ONN65"/>
      <c r="ONO65"/>
      <c r="ONP65"/>
      <c r="ONQ65"/>
      <c r="ONR65"/>
      <c r="ONS65"/>
      <c r="ONT65"/>
      <c r="ONU65"/>
      <c r="ONV65"/>
      <c r="ONW65"/>
      <c r="ONX65"/>
      <c r="ONY65"/>
      <c r="ONZ65"/>
      <c r="OOA65"/>
      <c r="OOB65"/>
      <c r="OOC65"/>
      <c r="OOD65"/>
      <c r="OOE65"/>
      <c r="OOF65"/>
      <c r="OOG65"/>
      <c r="OOH65"/>
      <c r="OOI65"/>
      <c r="OOJ65"/>
      <c r="OOK65"/>
      <c r="OOL65"/>
      <c r="OOM65"/>
      <c r="OON65"/>
      <c r="OOO65"/>
      <c r="OOP65"/>
      <c r="OOQ65"/>
      <c r="OOR65"/>
      <c r="OOS65"/>
      <c r="OOT65"/>
      <c r="OOU65"/>
      <c r="OOV65"/>
      <c r="OOW65"/>
      <c r="OOX65"/>
      <c r="OOY65"/>
      <c r="OOZ65"/>
      <c r="OPA65"/>
      <c r="OPB65"/>
      <c r="OPC65"/>
      <c r="OPD65"/>
      <c r="OPE65"/>
      <c r="OPF65"/>
      <c r="OPG65"/>
      <c r="OPH65"/>
      <c r="OPI65"/>
      <c r="OPJ65"/>
      <c r="OPK65"/>
      <c r="OPL65"/>
      <c r="OPM65"/>
      <c r="OPN65"/>
      <c r="OPO65"/>
      <c r="OPP65"/>
      <c r="OPQ65"/>
      <c r="OPR65"/>
      <c r="OPS65"/>
      <c r="OPT65"/>
      <c r="OPU65"/>
      <c r="OPV65"/>
      <c r="OPW65"/>
      <c r="OPX65"/>
      <c r="OPY65"/>
      <c r="OPZ65"/>
      <c r="OQA65"/>
      <c r="OQB65"/>
      <c r="OQC65"/>
      <c r="OQD65"/>
      <c r="OQE65"/>
      <c r="OQF65"/>
      <c r="OQG65"/>
      <c r="OQH65"/>
      <c r="OQI65"/>
      <c r="OQJ65"/>
      <c r="OQK65"/>
      <c r="OQL65"/>
      <c r="OQM65"/>
      <c r="OQN65"/>
      <c r="OQO65"/>
      <c r="OQP65"/>
      <c r="OQQ65"/>
      <c r="OQR65"/>
      <c r="OQS65"/>
      <c r="OQT65"/>
      <c r="OQU65"/>
      <c r="OQV65"/>
      <c r="OQW65"/>
      <c r="OQX65"/>
      <c r="OQY65"/>
      <c r="OQZ65"/>
      <c r="ORA65"/>
      <c r="ORB65"/>
      <c r="ORC65"/>
      <c r="ORD65"/>
      <c r="ORE65"/>
      <c r="ORF65"/>
      <c r="ORG65"/>
      <c r="ORH65"/>
      <c r="ORI65"/>
      <c r="ORJ65"/>
      <c r="ORK65"/>
      <c r="ORL65"/>
      <c r="ORM65"/>
      <c r="ORN65"/>
      <c r="ORO65"/>
      <c r="ORP65"/>
      <c r="ORQ65"/>
      <c r="ORR65"/>
      <c r="ORS65"/>
      <c r="ORT65"/>
      <c r="ORU65"/>
      <c r="ORV65"/>
      <c r="ORW65"/>
      <c r="ORX65"/>
      <c r="ORY65"/>
      <c r="ORZ65"/>
      <c r="OSA65"/>
      <c r="OSB65"/>
      <c r="OSC65"/>
      <c r="OSD65"/>
      <c r="OSE65"/>
      <c r="OSF65"/>
      <c r="OSG65"/>
      <c r="OSH65"/>
      <c r="OSI65"/>
      <c r="OSJ65"/>
      <c r="OSK65"/>
      <c r="OSL65"/>
      <c r="OSM65"/>
      <c r="OSN65"/>
      <c r="OSO65"/>
      <c r="OSP65"/>
      <c r="OSQ65"/>
      <c r="OSR65"/>
      <c r="OSS65"/>
      <c r="OST65"/>
      <c r="OSU65"/>
      <c r="OSV65"/>
      <c r="OSW65"/>
      <c r="OSX65"/>
      <c r="OSY65"/>
      <c r="OSZ65"/>
      <c r="OTA65"/>
      <c r="OTB65"/>
      <c r="OTC65"/>
      <c r="OTD65"/>
      <c r="OTE65"/>
      <c r="OTF65"/>
      <c r="OTG65"/>
      <c r="OTH65"/>
      <c r="OTI65"/>
      <c r="OTJ65"/>
      <c r="OTK65"/>
      <c r="OTL65"/>
      <c r="OTM65"/>
      <c r="OTN65"/>
      <c r="OTO65"/>
      <c r="OTP65"/>
      <c r="OTQ65"/>
      <c r="OTR65"/>
      <c r="OTS65"/>
      <c r="OTT65"/>
      <c r="OTU65"/>
      <c r="OTV65"/>
      <c r="OTW65"/>
      <c r="OTX65"/>
      <c r="OTY65"/>
      <c r="OTZ65"/>
      <c r="OUA65"/>
      <c r="OUB65"/>
      <c r="OUC65"/>
      <c r="OUD65"/>
      <c r="OUE65"/>
      <c r="OUF65"/>
      <c r="OUG65"/>
      <c r="OUH65"/>
      <c r="OUI65"/>
      <c r="OUJ65"/>
      <c r="OUK65"/>
      <c r="OUL65"/>
      <c r="OUM65"/>
      <c r="OUN65"/>
      <c r="OUO65"/>
      <c r="OUP65"/>
      <c r="OUQ65"/>
      <c r="OUR65"/>
      <c r="OUS65"/>
      <c r="OUT65"/>
      <c r="OUU65"/>
      <c r="OUV65"/>
      <c r="OUW65"/>
      <c r="OUX65"/>
      <c r="OUY65"/>
      <c r="OUZ65"/>
      <c r="OVA65"/>
      <c r="OVB65"/>
      <c r="OVC65"/>
      <c r="OVD65"/>
      <c r="OVE65"/>
      <c r="OVF65"/>
      <c r="OVG65"/>
      <c r="OVH65"/>
      <c r="OVI65"/>
      <c r="OVJ65"/>
      <c r="OVK65"/>
      <c r="OVL65"/>
      <c r="OVM65"/>
      <c r="OVN65"/>
      <c r="OVO65"/>
      <c r="OVP65"/>
      <c r="OVQ65"/>
      <c r="OVR65"/>
      <c r="OVS65"/>
      <c r="OVT65"/>
      <c r="OVU65"/>
      <c r="OVV65"/>
      <c r="OVW65"/>
      <c r="OVX65"/>
      <c r="OVY65"/>
      <c r="OVZ65"/>
      <c r="OWA65"/>
      <c r="OWB65"/>
      <c r="OWC65"/>
      <c r="OWD65"/>
      <c r="OWE65"/>
      <c r="OWF65"/>
      <c r="OWG65"/>
      <c r="OWH65"/>
      <c r="OWI65"/>
      <c r="OWJ65"/>
      <c r="OWK65"/>
      <c r="OWL65"/>
      <c r="OWM65"/>
      <c r="OWN65"/>
      <c r="OWO65"/>
      <c r="OWP65"/>
      <c r="OWQ65"/>
      <c r="OWR65"/>
      <c r="OWS65"/>
      <c r="OWT65"/>
      <c r="OWU65"/>
      <c r="OWV65"/>
      <c r="OWW65"/>
      <c r="OWX65"/>
      <c r="OWY65"/>
      <c r="OWZ65"/>
      <c r="OXA65"/>
      <c r="OXB65"/>
      <c r="OXC65"/>
      <c r="OXD65"/>
      <c r="OXE65"/>
      <c r="OXF65"/>
      <c r="OXG65"/>
      <c r="OXH65"/>
      <c r="OXI65"/>
      <c r="OXJ65"/>
      <c r="OXK65"/>
      <c r="OXL65"/>
      <c r="OXM65"/>
      <c r="OXN65"/>
      <c r="OXO65"/>
      <c r="OXP65"/>
      <c r="OXQ65"/>
      <c r="OXR65"/>
      <c r="OXS65"/>
      <c r="OXT65"/>
      <c r="OXU65"/>
      <c r="OXV65"/>
      <c r="OXW65"/>
      <c r="OXX65"/>
      <c r="OXY65"/>
      <c r="OXZ65"/>
      <c r="OYA65"/>
      <c r="OYB65"/>
      <c r="OYC65"/>
      <c r="OYD65"/>
      <c r="OYE65"/>
      <c r="OYF65"/>
      <c r="OYG65"/>
      <c r="OYH65"/>
      <c r="OYI65"/>
      <c r="OYJ65"/>
      <c r="OYK65"/>
      <c r="OYL65"/>
      <c r="OYM65"/>
      <c r="OYN65"/>
      <c r="OYO65"/>
      <c r="OYP65"/>
      <c r="OYQ65"/>
      <c r="OYR65"/>
      <c r="OYS65"/>
      <c r="OYT65"/>
      <c r="OYU65"/>
      <c r="OYV65"/>
      <c r="OYW65"/>
      <c r="OYX65"/>
      <c r="OYY65"/>
      <c r="OYZ65"/>
      <c r="OZA65"/>
      <c r="OZB65"/>
      <c r="OZC65"/>
      <c r="OZD65"/>
      <c r="OZE65"/>
      <c r="OZF65"/>
      <c r="OZG65"/>
      <c r="OZH65"/>
      <c r="OZI65"/>
      <c r="OZJ65"/>
      <c r="OZK65"/>
      <c r="OZL65"/>
      <c r="OZM65"/>
      <c r="OZN65"/>
      <c r="OZO65"/>
      <c r="OZP65"/>
      <c r="OZQ65"/>
      <c r="OZR65"/>
      <c r="OZS65"/>
      <c r="OZT65"/>
      <c r="OZU65"/>
      <c r="OZV65"/>
      <c r="OZW65"/>
      <c r="OZX65"/>
      <c r="OZY65"/>
      <c r="OZZ65"/>
      <c r="PAA65"/>
      <c r="PAB65"/>
      <c r="PAC65"/>
      <c r="PAD65"/>
      <c r="PAE65"/>
      <c r="PAF65"/>
      <c r="PAG65"/>
      <c r="PAH65"/>
      <c r="PAI65"/>
      <c r="PAJ65"/>
      <c r="PAK65"/>
      <c r="PAL65"/>
      <c r="PAM65"/>
      <c r="PAN65"/>
      <c r="PAO65"/>
      <c r="PAP65"/>
      <c r="PAQ65"/>
      <c r="PAR65"/>
      <c r="PAS65"/>
      <c r="PAT65"/>
      <c r="PAU65"/>
      <c r="PAV65"/>
      <c r="PAW65"/>
      <c r="PAX65"/>
      <c r="PAY65"/>
      <c r="PAZ65"/>
      <c r="PBA65"/>
      <c r="PBB65"/>
      <c r="PBC65"/>
      <c r="PBD65"/>
      <c r="PBE65"/>
      <c r="PBF65"/>
      <c r="PBG65"/>
      <c r="PBH65"/>
      <c r="PBI65"/>
      <c r="PBJ65"/>
      <c r="PBK65"/>
      <c r="PBL65"/>
      <c r="PBM65"/>
      <c r="PBN65"/>
      <c r="PBO65"/>
      <c r="PBP65"/>
      <c r="PBQ65"/>
      <c r="PBR65"/>
      <c r="PBS65"/>
      <c r="PBT65"/>
      <c r="PBU65"/>
      <c r="PBV65"/>
      <c r="PBW65"/>
      <c r="PBX65"/>
      <c r="PBY65"/>
      <c r="PBZ65"/>
      <c r="PCA65"/>
      <c r="PCB65"/>
      <c r="PCC65"/>
      <c r="PCD65"/>
      <c r="PCE65"/>
      <c r="PCF65"/>
      <c r="PCG65"/>
      <c r="PCH65"/>
      <c r="PCI65"/>
      <c r="PCJ65"/>
      <c r="PCK65"/>
      <c r="PCL65"/>
      <c r="PCM65"/>
      <c r="PCN65"/>
      <c r="PCO65"/>
      <c r="PCP65"/>
      <c r="PCQ65"/>
      <c r="PCR65"/>
      <c r="PCS65"/>
      <c r="PCT65"/>
      <c r="PCU65"/>
      <c r="PCV65"/>
      <c r="PCW65"/>
      <c r="PCX65"/>
      <c r="PCY65"/>
      <c r="PCZ65"/>
      <c r="PDA65"/>
      <c r="PDB65"/>
      <c r="PDC65"/>
      <c r="PDD65"/>
      <c r="PDE65"/>
      <c r="PDF65"/>
      <c r="PDG65"/>
      <c r="PDH65"/>
      <c r="PDI65"/>
      <c r="PDJ65"/>
      <c r="PDK65"/>
      <c r="PDL65"/>
      <c r="PDM65"/>
      <c r="PDN65"/>
      <c r="PDO65"/>
      <c r="PDP65"/>
      <c r="PDQ65"/>
      <c r="PDR65"/>
      <c r="PDS65"/>
      <c r="PDT65"/>
      <c r="PDU65"/>
      <c r="PDV65"/>
      <c r="PDW65"/>
      <c r="PDX65"/>
      <c r="PDY65"/>
      <c r="PDZ65"/>
      <c r="PEA65"/>
      <c r="PEB65"/>
      <c r="PEC65"/>
      <c r="PED65"/>
      <c r="PEE65"/>
      <c r="PEF65"/>
      <c r="PEG65"/>
      <c r="PEH65"/>
      <c r="PEI65"/>
      <c r="PEJ65"/>
      <c r="PEK65"/>
      <c r="PEL65"/>
      <c r="PEM65"/>
      <c r="PEN65"/>
      <c r="PEO65"/>
      <c r="PEP65"/>
      <c r="PEQ65"/>
      <c r="PER65"/>
      <c r="PES65"/>
      <c r="PET65"/>
      <c r="PEU65"/>
      <c r="PEV65"/>
      <c r="PEW65"/>
      <c r="PEX65"/>
      <c r="PEY65"/>
      <c r="PEZ65"/>
      <c r="PFA65"/>
      <c r="PFB65"/>
      <c r="PFC65"/>
      <c r="PFD65"/>
      <c r="PFE65"/>
      <c r="PFF65"/>
      <c r="PFG65"/>
      <c r="PFH65"/>
      <c r="PFI65"/>
      <c r="PFJ65"/>
      <c r="PFK65"/>
      <c r="PFL65"/>
      <c r="PFM65"/>
      <c r="PFN65"/>
      <c r="PFO65"/>
      <c r="PFP65"/>
      <c r="PFQ65"/>
      <c r="PFR65"/>
      <c r="PFS65"/>
      <c r="PFT65"/>
      <c r="PFU65"/>
      <c r="PFV65"/>
      <c r="PFW65"/>
      <c r="PFX65"/>
      <c r="PFY65"/>
      <c r="PFZ65"/>
      <c r="PGA65"/>
      <c r="PGB65"/>
      <c r="PGC65"/>
      <c r="PGD65"/>
      <c r="PGE65"/>
      <c r="PGF65"/>
      <c r="PGG65"/>
      <c r="PGH65"/>
      <c r="PGI65"/>
      <c r="PGJ65"/>
      <c r="PGK65"/>
      <c r="PGL65"/>
      <c r="PGM65"/>
      <c r="PGN65"/>
      <c r="PGO65"/>
      <c r="PGP65"/>
      <c r="PGQ65"/>
      <c r="PGR65"/>
      <c r="PGS65"/>
      <c r="PGT65"/>
      <c r="PGU65"/>
      <c r="PGV65"/>
      <c r="PGW65"/>
      <c r="PGX65"/>
      <c r="PGY65"/>
      <c r="PGZ65"/>
      <c r="PHA65"/>
      <c r="PHB65"/>
      <c r="PHC65"/>
      <c r="PHD65"/>
      <c r="PHE65"/>
      <c r="PHF65"/>
      <c r="PHG65"/>
      <c r="PHH65"/>
      <c r="PHI65"/>
      <c r="PHJ65"/>
      <c r="PHK65"/>
      <c r="PHL65"/>
      <c r="PHM65"/>
      <c r="PHN65"/>
      <c r="PHO65"/>
      <c r="PHP65"/>
      <c r="PHQ65"/>
      <c r="PHR65"/>
      <c r="PHS65"/>
      <c r="PHT65"/>
      <c r="PHU65"/>
      <c r="PHV65"/>
      <c r="PHW65"/>
      <c r="PHX65"/>
      <c r="PHY65"/>
      <c r="PHZ65"/>
      <c r="PIA65"/>
      <c r="PIB65"/>
      <c r="PIC65"/>
      <c r="PID65"/>
      <c r="PIE65"/>
      <c r="PIF65"/>
      <c r="PIG65"/>
      <c r="PIH65"/>
      <c r="PII65"/>
      <c r="PIJ65"/>
      <c r="PIK65"/>
      <c r="PIL65"/>
      <c r="PIM65"/>
      <c r="PIN65"/>
      <c r="PIO65"/>
      <c r="PIP65"/>
      <c r="PIQ65"/>
      <c r="PIR65"/>
      <c r="PIS65"/>
      <c r="PIT65"/>
      <c r="PIU65"/>
      <c r="PIV65"/>
      <c r="PIW65"/>
      <c r="PIX65"/>
      <c r="PIY65"/>
      <c r="PIZ65"/>
      <c r="PJA65"/>
      <c r="PJB65"/>
      <c r="PJC65"/>
      <c r="PJD65"/>
      <c r="PJE65"/>
      <c r="PJF65"/>
      <c r="PJG65"/>
      <c r="PJH65"/>
      <c r="PJI65"/>
      <c r="PJJ65"/>
      <c r="PJK65"/>
      <c r="PJL65"/>
      <c r="PJM65"/>
      <c r="PJN65"/>
      <c r="PJO65"/>
      <c r="PJP65"/>
      <c r="PJQ65"/>
      <c r="PJR65"/>
      <c r="PJS65"/>
      <c r="PJT65"/>
      <c r="PJU65"/>
      <c r="PJV65"/>
      <c r="PJW65"/>
      <c r="PJX65"/>
      <c r="PJY65"/>
      <c r="PJZ65"/>
      <c r="PKA65"/>
      <c r="PKB65"/>
      <c r="PKC65"/>
      <c r="PKD65"/>
      <c r="PKE65"/>
      <c r="PKF65"/>
      <c r="PKG65"/>
      <c r="PKH65"/>
      <c r="PKI65"/>
      <c r="PKJ65"/>
      <c r="PKK65"/>
      <c r="PKL65"/>
      <c r="PKM65"/>
      <c r="PKN65"/>
      <c r="PKO65"/>
      <c r="PKP65"/>
      <c r="PKQ65"/>
      <c r="PKR65"/>
      <c r="PKS65"/>
      <c r="PKT65"/>
      <c r="PKU65"/>
      <c r="PKV65"/>
      <c r="PKW65"/>
      <c r="PKX65"/>
      <c r="PKY65"/>
      <c r="PKZ65"/>
      <c r="PLA65"/>
      <c r="PLB65"/>
      <c r="PLC65"/>
      <c r="PLD65"/>
      <c r="PLE65"/>
      <c r="PLF65"/>
      <c r="PLG65"/>
      <c r="PLH65"/>
      <c r="PLI65"/>
      <c r="PLJ65"/>
      <c r="PLK65"/>
      <c r="PLL65"/>
      <c r="PLM65"/>
      <c r="PLN65"/>
      <c r="PLO65"/>
      <c r="PLP65"/>
      <c r="PLQ65"/>
      <c r="PLR65"/>
      <c r="PLS65"/>
      <c r="PLT65"/>
      <c r="PLU65"/>
      <c r="PLV65"/>
      <c r="PLW65"/>
      <c r="PLX65"/>
      <c r="PLY65"/>
      <c r="PLZ65"/>
      <c r="PMA65"/>
      <c r="PMB65"/>
      <c r="PMC65"/>
      <c r="PMD65"/>
      <c r="PME65"/>
      <c r="PMF65"/>
      <c r="PMG65"/>
      <c r="PMH65"/>
      <c r="PMI65"/>
      <c r="PMJ65"/>
      <c r="PMK65"/>
      <c r="PML65"/>
      <c r="PMM65"/>
      <c r="PMN65"/>
      <c r="PMO65"/>
      <c r="PMP65"/>
      <c r="PMQ65"/>
      <c r="PMR65"/>
      <c r="PMS65"/>
      <c r="PMT65"/>
      <c r="PMU65"/>
      <c r="PMV65"/>
      <c r="PMW65"/>
      <c r="PMX65"/>
      <c r="PMY65"/>
      <c r="PMZ65"/>
      <c r="PNA65"/>
      <c r="PNB65"/>
      <c r="PNC65"/>
      <c r="PND65"/>
      <c r="PNE65"/>
      <c r="PNF65"/>
      <c r="PNG65"/>
      <c r="PNH65"/>
      <c r="PNI65"/>
      <c r="PNJ65"/>
      <c r="PNK65"/>
      <c r="PNL65"/>
      <c r="PNM65"/>
      <c r="PNN65"/>
      <c r="PNO65"/>
      <c r="PNP65"/>
      <c r="PNQ65"/>
      <c r="PNR65"/>
      <c r="PNS65"/>
      <c r="PNT65"/>
      <c r="PNU65"/>
      <c r="PNV65"/>
      <c r="PNW65"/>
      <c r="PNX65"/>
      <c r="PNY65"/>
      <c r="PNZ65"/>
      <c r="POA65"/>
      <c r="POB65"/>
      <c r="POC65"/>
      <c r="POD65"/>
      <c r="POE65"/>
      <c r="POF65"/>
      <c r="POG65"/>
      <c r="POH65"/>
      <c r="POI65"/>
      <c r="POJ65"/>
      <c r="POK65"/>
      <c r="POL65"/>
      <c r="POM65"/>
      <c r="PON65"/>
      <c r="POO65"/>
      <c r="POP65"/>
      <c r="POQ65"/>
      <c r="POR65"/>
      <c r="POS65"/>
      <c r="POT65"/>
      <c r="POU65"/>
      <c r="POV65"/>
      <c r="POW65"/>
      <c r="POX65"/>
      <c r="POY65"/>
      <c r="POZ65"/>
      <c r="PPA65"/>
      <c r="PPB65"/>
      <c r="PPC65"/>
      <c r="PPD65"/>
      <c r="PPE65"/>
      <c r="PPF65"/>
      <c r="PPG65"/>
      <c r="PPH65"/>
      <c r="PPI65"/>
      <c r="PPJ65"/>
      <c r="PPK65"/>
      <c r="PPL65"/>
      <c r="PPM65"/>
      <c r="PPN65"/>
      <c r="PPO65"/>
      <c r="PPP65"/>
      <c r="PPQ65"/>
      <c r="PPR65"/>
      <c r="PPS65"/>
      <c r="PPT65"/>
      <c r="PPU65"/>
      <c r="PPV65"/>
      <c r="PPW65"/>
      <c r="PPX65"/>
      <c r="PPY65"/>
      <c r="PPZ65"/>
      <c r="PQA65"/>
      <c r="PQB65"/>
      <c r="PQC65"/>
      <c r="PQD65"/>
      <c r="PQE65"/>
      <c r="PQF65"/>
      <c r="PQG65"/>
      <c r="PQH65"/>
      <c r="PQI65"/>
      <c r="PQJ65"/>
      <c r="PQK65"/>
      <c r="PQL65"/>
      <c r="PQM65"/>
      <c r="PQN65"/>
      <c r="PQO65"/>
      <c r="PQP65"/>
      <c r="PQQ65"/>
      <c r="PQR65"/>
      <c r="PQS65"/>
      <c r="PQT65"/>
      <c r="PQU65"/>
      <c r="PQV65"/>
      <c r="PQW65"/>
      <c r="PQX65"/>
      <c r="PQY65"/>
      <c r="PQZ65"/>
      <c r="PRA65"/>
      <c r="PRB65"/>
      <c r="PRC65"/>
      <c r="PRD65"/>
      <c r="PRE65"/>
      <c r="PRF65"/>
      <c r="PRG65"/>
      <c r="PRH65"/>
      <c r="PRI65"/>
      <c r="PRJ65"/>
      <c r="PRK65"/>
      <c r="PRL65"/>
      <c r="PRM65"/>
      <c r="PRN65"/>
      <c r="PRO65"/>
      <c r="PRP65"/>
      <c r="PRQ65"/>
      <c r="PRR65"/>
      <c r="PRS65"/>
      <c r="PRT65"/>
      <c r="PRU65"/>
      <c r="PRV65"/>
      <c r="PRW65"/>
      <c r="PRX65"/>
      <c r="PRY65"/>
      <c r="PRZ65"/>
      <c r="PSA65"/>
      <c r="PSB65"/>
      <c r="PSC65"/>
      <c r="PSD65"/>
      <c r="PSE65"/>
      <c r="PSF65"/>
      <c r="PSG65"/>
      <c r="PSH65"/>
      <c r="PSI65"/>
      <c r="PSJ65"/>
      <c r="PSK65"/>
      <c r="PSL65"/>
      <c r="PSM65"/>
      <c r="PSN65"/>
      <c r="PSO65"/>
      <c r="PSP65"/>
      <c r="PSQ65"/>
      <c r="PSR65"/>
      <c r="PSS65"/>
      <c r="PST65"/>
      <c r="PSU65"/>
      <c r="PSV65"/>
      <c r="PSW65"/>
      <c r="PSX65"/>
      <c r="PSY65"/>
      <c r="PSZ65"/>
      <c r="PTA65"/>
      <c r="PTB65"/>
      <c r="PTC65"/>
      <c r="PTD65"/>
      <c r="PTE65"/>
      <c r="PTF65"/>
      <c r="PTG65"/>
      <c r="PTH65"/>
      <c r="PTI65"/>
      <c r="PTJ65"/>
      <c r="PTK65"/>
      <c r="PTL65"/>
      <c r="PTM65"/>
      <c r="PTN65"/>
      <c r="PTO65"/>
      <c r="PTP65"/>
      <c r="PTQ65"/>
      <c r="PTR65"/>
      <c r="PTS65"/>
      <c r="PTT65"/>
      <c r="PTU65"/>
      <c r="PTV65"/>
      <c r="PTW65"/>
      <c r="PTX65"/>
      <c r="PTY65"/>
      <c r="PTZ65"/>
      <c r="PUA65"/>
      <c r="PUB65"/>
      <c r="PUC65"/>
      <c r="PUD65"/>
      <c r="PUE65"/>
      <c r="PUF65"/>
      <c r="PUG65"/>
      <c r="PUH65"/>
      <c r="PUI65"/>
      <c r="PUJ65"/>
      <c r="PUK65"/>
      <c r="PUL65"/>
      <c r="PUM65"/>
      <c r="PUN65"/>
      <c r="PUO65"/>
      <c r="PUP65"/>
      <c r="PUQ65"/>
      <c r="PUR65"/>
      <c r="PUS65"/>
      <c r="PUT65"/>
      <c r="PUU65"/>
      <c r="PUV65"/>
      <c r="PUW65"/>
      <c r="PUX65"/>
      <c r="PUY65"/>
      <c r="PUZ65"/>
      <c r="PVA65"/>
      <c r="PVB65"/>
      <c r="PVC65"/>
      <c r="PVD65"/>
      <c r="PVE65"/>
      <c r="PVF65"/>
      <c r="PVG65"/>
      <c r="PVH65"/>
      <c r="PVI65"/>
      <c r="PVJ65"/>
      <c r="PVK65"/>
      <c r="PVL65"/>
      <c r="PVM65"/>
      <c r="PVN65"/>
      <c r="PVO65"/>
      <c r="PVP65"/>
      <c r="PVQ65"/>
      <c r="PVR65"/>
      <c r="PVS65"/>
      <c r="PVT65"/>
      <c r="PVU65"/>
      <c r="PVV65"/>
      <c r="PVW65"/>
      <c r="PVX65"/>
      <c r="PVY65"/>
      <c r="PVZ65"/>
      <c r="PWA65"/>
      <c r="PWB65"/>
      <c r="PWC65"/>
      <c r="PWD65"/>
      <c r="PWE65"/>
      <c r="PWF65"/>
      <c r="PWG65"/>
      <c r="PWH65"/>
      <c r="PWI65"/>
      <c r="PWJ65"/>
      <c r="PWK65"/>
      <c r="PWL65"/>
      <c r="PWM65"/>
      <c r="PWN65"/>
      <c r="PWO65"/>
      <c r="PWP65"/>
      <c r="PWQ65"/>
      <c r="PWR65"/>
      <c r="PWS65"/>
      <c r="PWT65"/>
      <c r="PWU65"/>
      <c r="PWV65"/>
      <c r="PWW65"/>
      <c r="PWX65"/>
      <c r="PWY65"/>
      <c r="PWZ65"/>
      <c r="PXA65"/>
      <c r="PXB65"/>
      <c r="PXC65"/>
      <c r="PXD65"/>
      <c r="PXE65"/>
      <c r="PXF65"/>
      <c r="PXG65"/>
      <c r="PXH65"/>
      <c r="PXI65"/>
      <c r="PXJ65"/>
      <c r="PXK65"/>
      <c r="PXL65"/>
      <c r="PXM65"/>
      <c r="PXN65"/>
      <c r="PXO65"/>
      <c r="PXP65"/>
      <c r="PXQ65"/>
      <c r="PXR65"/>
      <c r="PXS65"/>
      <c r="PXT65"/>
      <c r="PXU65"/>
      <c r="PXV65"/>
      <c r="PXW65"/>
      <c r="PXX65"/>
      <c r="PXY65"/>
      <c r="PXZ65"/>
      <c r="PYA65"/>
      <c r="PYB65"/>
      <c r="PYC65"/>
      <c r="PYD65"/>
      <c r="PYE65"/>
      <c r="PYF65"/>
      <c r="PYG65"/>
      <c r="PYH65"/>
      <c r="PYI65"/>
      <c r="PYJ65"/>
      <c r="PYK65"/>
      <c r="PYL65"/>
      <c r="PYM65"/>
      <c r="PYN65"/>
      <c r="PYO65"/>
      <c r="PYP65"/>
      <c r="PYQ65"/>
      <c r="PYR65"/>
      <c r="PYS65"/>
      <c r="PYT65"/>
      <c r="PYU65"/>
      <c r="PYV65"/>
      <c r="PYW65"/>
      <c r="PYX65"/>
      <c r="PYY65"/>
      <c r="PYZ65"/>
      <c r="PZA65"/>
      <c r="PZB65"/>
      <c r="PZC65"/>
      <c r="PZD65"/>
      <c r="PZE65"/>
      <c r="PZF65"/>
      <c r="PZG65"/>
      <c r="PZH65"/>
      <c r="PZI65"/>
      <c r="PZJ65"/>
      <c r="PZK65"/>
      <c r="PZL65"/>
      <c r="PZM65"/>
      <c r="PZN65"/>
      <c r="PZO65"/>
      <c r="PZP65"/>
      <c r="PZQ65"/>
      <c r="PZR65"/>
      <c r="PZS65"/>
      <c r="PZT65"/>
      <c r="PZU65"/>
      <c r="PZV65"/>
      <c r="PZW65"/>
      <c r="PZX65"/>
      <c r="PZY65"/>
      <c r="PZZ65"/>
      <c r="QAA65"/>
      <c r="QAB65"/>
      <c r="QAC65"/>
      <c r="QAD65"/>
      <c r="QAE65"/>
      <c r="QAF65"/>
      <c r="QAG65"/>
      <c r="QAH65"/>
      <c r="QAI65"/>
      <c r="QAJ65"/>
      <c r="QAK65"/>
      <c r="QAL65"/>
      <c r="QAM65"/>
      <c r="QAN65"/>
      <c r="QAO65"/>
      <c r="QAP65"/>
      <c r="QAQ65"/>
      <c r="QAR65"/>
      <c r="QAS65"/>
      <c r="QAT65"/>
      <c r="QAU65"/>
      <c r="QAV65"/>
      <c r="QAW65"/>
      <c r="QAX65"/>
      <c r="QAY65"/>
      <c r="QAZ65"/>
      <c r="QBA65"/>
      <c r="QBB65"/>
      <c r="QBC65"/>
      <c r="QBD65"/>
      <c r="QBE65"/>
      <c r="QBF65"/>
      <c r="QBG65"/>
      <c r="QBH65"/>
      <c r="QBI65"/>
      <c r="QBJ65"/>
      <c r="QBK65"/>
      <c r="QBL65"/>
      <c r="QBM65"/>
      <c r="QBN65"/>
      <c r="QBO65"/>
      <c r="QBP65"/>
      <c r="QBQ65"/>
      <c r="QBR65"/>
      <c r="QBS65"/>
      <c r="QBT65"/>
      <c r="QBU65"/>
      <c r="QBV65"/>
      <c r="QBW65"/>
      <c r="QBX65"/>
      <c r="QBY65"/>
      <c r="QBZ65"/>
      <c r="QCA65"/>
      <c r="QCB65"/>
      <c r="QCC65"/>
      <c r="QCD65"/>
      <c r="QCE65"/>
      <c r="QCF65"/>
      <c r="QCG65"/>
      <c r="QCH65"/>
      <c r="QCI65"/>
      <c r="QCJ65"/>
      <c r="QCK65"/>
      <c r="QCL65"/>
      <c r="QCM65"/>
      <c r="QCN65"/>
      <c r="QCO65"/>
      <c r="QCP65"/>
      <c r="QCQ65"/>
      <c r="QCR65"/>
      <c r="QCS65"/>
      <c r="QCT65"/>
      <c r="QCU65"/>
      <c r="QCV65"/>
      <c r="QCW65"/>
      <c r="QCX65"/>
      <c r="QCY65"/>
      <c r="QCZ65"/>
      <c r="QDA65"/>
      <c r="QDB65"/>
      <c r="QDC65"/>
      <c r="QDD65"/>
      <c r="QDE65"/>
      <c r="QDF65"/>
      <c r="QDG65"/>
      <c r="QDH65"/>
      <c r="QDI65"/>
      <c r="QDJ65"/>
      <c r="QDK65"/>
      <c r="QDL65"/>
      <c r="QDM65"/>
      <c r="QDN65"/>
      <c r="QDO65"/>
      <c r="QDP65"/>
      <c r="QDQ65"/>
      <c r="QDR65"/>
      <c r="QDS65"/>
      <c r="QDT65"/>
      <c r="QDU65"/>
      <c r="QDV65"/>
      <c r="QDW65"/>
      <c r="QDX65"/>
      <c r="QDY65"/>
      <c r="QDZ65"/>
      <c r="QEA65"/>
      <c r="QEB65"/>
      <c r="QEC65"/>
      <c r="QED65"/>
      <c r="QEE65"/>
      <c r="QEF65"/>
      <c r="QEG65"/>
      <c r="QEH65"/>
      <c r="QEI65"/>
      <c r="QEJ65"/>
      <c r="QEK65"/>
      <c r="QEL65"/>
      <c r="QEM65"/>
      <c r="QEN65"/>
      <c r="QEO65"/>
      <c r="QEP65"/>
      <c r="QEQ65"/>
      <c r="QER65"/>
      <c r="QES65"/>
      <c r="QET65"/>
      <c r="QEU65"/>
      <c r="QEV65"/>
      <c r="QEW65"/>
      <c r="QEX65"/>
      <c r="QEY65"/>
      <c r="QEZ65"/>
      <c r="QFA65"/>
      <c r="QFB65"/>
      <c r="QFC65"/>
      <c r="QFD65"/>
      <c r="QFE65"/>
      <c r="QFF65"/>
      <c r="QFG65"/>
      <c r="QFH65"/>
      <c r="QFI65"/>
      <c r="QFJ65"/>
      <c r="QFK65"/>
      <c r="QFL65"/>
      <c r="QFM65"/>
      <c r="QFN65"/>
      <c r="QFO65"/>
      <c r="QFP65"/>
      <c r="QFQ65"/>
      <c r="QFR65"/>
      <c r="QFS65"/>
      <c r="QFT65"/>
      <c r="QFU65"/>
      <c r="QFV65"/>
      <c r="QFW65"/>
      <c r="QFX65"/>
      <c r="QFY65"/>
      <c r="QFZ65"/>
      <c r="QGA65"/>
      <c r="QGB65"/>
      <c r="QGC65"/>
      <c r="QGD65"/>
      <c r="QGE65"/>
      <c r="QGF65"/>
      <c r="QGG65"/>
      <c r="QGH65"/>
      <c r="QGI65"/>
      <c r="QGJ65"/>
      <c r="QGK65"/>
      <c r="QGL65"/>
      <c r="QGM65"/>
      <c r="QGN65"/>
      <c r="QGO65"/>
      <c r="QGP65"/>
      <c r="QGQ65"/>
      <c r="QGR65"/>
      <c r="QGS65"/>
      <c r="QGT65"/>
      <c r="QGU65"/>
      <c r="QGV65"/>
      <c r="QGW65"/>
      <c r="QGX65"/>
      <c r="QGY65"/>
      <c r="QGZ65"/>
      <c r="QHA65"/>
      <c r="QHB65"/>
      <c r="QHC65"/>
      <c r="QHD65"/>
      <c r="QHE65"/>
      <c r="QHF65"/>
      <c r="QHG65"/>
      <c r="QHH65"/>
      <c r="QHI65"/>
      <c r="QHJ65"/>
      <c r="QHK65"/>
      <c r="QHL65"/>
      <c r="QHM65"/>
      <c r="QHN65"/>
      <c r="QHO65"/>
      <c r="QHP65"/>
      <c r="QHQ65"/>
      <c r="QHR65"/>
      <c r="QHS65"/>
      <c r="QHT65"/>
      <c r="QHU65"/>
      <c r="QHV65"/>
      <c r="QHW65"/>
      <c r="QHX65"/>
      <c r="QHY65"/>
      <c r="QHZ65"/>
      <c r="QIA65"/>
      <c r="QIB65"/>
      <c r="QIC65"/>
      <c r="QID65"/>
      <c r="QIE65"/>
      <c r="QIF65"/>
      <c r="QIG65"/>
      <c r="QIH65"/>
      <c r="QII65"/>
      <c r="QIJ65"/>
      <c r="QIK65"/>
      <c r="QIL65"/>
      <c r="QIM65"/>
      <c r="QIN65"/>
      <c r="QIO65"/>
      <c r="QIP65"/>
      <c r="QIQ65"/>
      <c r="QIR65"/>
      <c r="QIS65"/>
      <c r="QIT65"/>
      <c r="QIU65"/>
      <c r="QIV65"/>
      <c r="QIW65"/>
      <c r="QIX65"/>
      <c r="QIY65"/>
      <c r="QIZ65"/>
      <c r="QJA65"/>
      <c r="QJB65"/>
      <c r="QJC65"/>
      <c r="QJD65"/>
      <c r="QJE65"/>
      <c r="QJF65"/>
      <c r="QJG65"/>
      <c r="QJH65"/>
      <c r="QJI65"/>
      <c r="QJJ65"/>
      <c r="QJK65"/>
      <c r="QJL65"/>
      <c r="QJM65"/>
      <c r="QJN65"/>
      <c r="QJO65"/>
      <c r="QJP65"/>
      <c r="QJQ65"/>
      <c r="QJR65"/>
      <c r="QJS65"/>
      <c r="QJT65"/>
      <c r="QJU65"/>
      <c r="QJV65"/>
      <c r="QJW65"/>
      <c r="QJX65"/>
      <c r="QJY65"/>
      <c r="QJZ65"/>
      <c r="QKA65"/>
      <c r="QKB65"/>
      <c r="QKC65"/>
      <c r="QKD65"/>
      <c r="QKE65"/>
      <c r="QKF65"/>
      <c r="QKG65"/>
      <c r="QKH65"/>
      <c r="QKI65"/>
      <c r="QKJ65"/>
      <c r="QKK65"/>
      <c r="QKL65"/>
      <c r="QKM65"/>
      <c r="QKN65"/>
      <c r="QKO65"/>
      <c r="QKP65"/>
      <c r="QKQ65"/>
      <c r="QKR65"/>
      <c r="QKS65"/>
      <c r="QKT65"/>
      <c r="QKU65"/>
      <c r="QKV65"/>
      <c r="QKW65"/>
      <c r="QKX65"/>
      <c r="QKY65"/>
      <c r="QKZ65"/>
      <c r="QLA65"/>
      <c r="QLB65"/>
      <c r="QLC65"/>
      <c r="QLD65"/>
      <c r="QLE65"/>
      <c r="QLF65"/>
      <c r="QLG65"/>
      <c r="QLH65"/>
      <c r="QLI65"/>
      <c r="QLJ65"/>
      <c r="QLK65"/>
      <c r="QLL65"/>
      <c r="QLM65"/>
      <c r="QLN65"/>
      <c r="QLO65"/>
      <c r="QLP65"/>
      <c r="QLQ65"/>
      <c r="QLR65"/>
      <c r="QLS65"/>
      <c r="QLT65"/>
      <c r="QLU65"/>
      <c r="QLV65"/>
      <c r="QLW65"/>
      <c r="QLX65"/>
      <c r="QLY65"/>
      <c r="QLZ65"/>
      <c r="QMA65"/>
      <c r="QMB65"/>
      <c r="QMC65"/>
      <c r="QMD65"/>
      <c r="QME65"/>
      <c r="QMF65"/>
      <c r="QMG65"/>
      <c r="QMH65"/>
      <c r="QMI65"/>
      <c r="QMJ65"/>
      <c r="QMK65"/>
      <c r="QML65"/>
      <c r="QMM65"/>
      <c r="QMN65"/>
      <c r="QMO65"/>
      <c r="QMP65"/>
      <c r="QMQ65"/>
      <c r="QMR65"/>
      <c r="QMS65"/>
      <c r="QMT65"/>
      <c r="QMU65"/>
      <c r="QMV65"/>
      <c r="QMW65"/>
      <c r="QMX65"/>
      <c r="QMY65"/>
      <c r="QMZ65"/>
      <c r="QNA65"/>
      <c r="QNB65"/>
      <c r="QNC65"/>
      <c r="QND65"/>
      <c r="QNE65"/>
      <c r="QNF65"/>
      <c r="QNG65"/>
      <c r="QNH65"/>
      <c r="QNI65"/>
      <c r="QNJ65"/>
      <c r="QNK65"/>
      <c r="QNL65"/>
      <c r="QNM65"/>
      <c r="QNN65"/>
      <c r="QNO65"/>
      <c r="QNP65"/>
      <c r="QNQ65"/>
      <c r="QNR65"/>
      <c r="QNS65"/>
      <c r="QNT65"/>
      <c r="QNU65"/>
      <c r="QNV65"/>
      <c r="QNW65"/>
      <c r="QNX65"/>
      <c r="QNY65"/>
      <c r="QNZ65"/>
      <c r="QOA65"/>
      <c r="QOB65"/>
      <c r="QOC65"/>
      <c r="QOD65"/>
      <c r="QOE65"/>
      <c r="QOF65"/>
      <c r="QOG65"/>
      <c r="QOH65"/>
      <c r="QOI65"/>
      <c r="QOJ65"/>
      <c r="QOK65"/>
      <c r="QOL65"/>
      <c r="QOM65"/>
      <c r="QON65"/>
      <c r="QOO65"/>
      <c r="QOP65"/>
      <c r="QOQ65"/>
      <c r="QOR65"/>
      <c r="QOS65"/>
      <c r="QOT65"/>
      <c r="QOU65"/>
      <c r="QOV65"/>
      <c r="QOW65"/>
      <c r="QOX65"/>
      <c r="QOY65"/>
      <c r="QOZ65"/>
      <c r="QPA65"/>
      <c r="QPB65"/>
      <c r="QPC65"/>
      <c r="QPD65"/>
      <c r="QPE65"/>
      <c r="QPF65"/>
      <c r="QPG65"/>
      <c r="QPH65"/>
      <c r="QPI65"/>
      <c r="QPJ65"/>
      <c r="QPK65"/>
      <c r="QPL65"/>
      <c r="QPM65"/>
      <c r="QPN65"/>
      <c r="QPO65"/>
      <c r="QPP65"/>
      <c r="QPQ65"/>
      <c r="QPR65"/>
      <c r="QPS65"/>
      <c r="QPT65"/>
      <c r="QPU65"/>
      <c r="QPV65"/>
      <c r="QPW65"/>
      <c r="QPX65"/>
      <c r="QPY65"/>
      <c r="QPZ65"/>
      <c r="QQA65"/>
      <c r="QQB65"/>
      <c r="QQC65"/>
      <c r="QQD65"/>
      <c r="QQE65"/>
      <c r="QQF65"/>
      <c r="QQG65"/>
      <c r="QQH65"/>
      <c r="QQI65"/>
      <c r="QQJ65"/>
      <c r="QQK65"/>
      <c r="QQL65"/>
      <c r="QQM65"/>
      <c r="QQN65"/>
      <c r="QQO65"/>
      <c r="QQP65"/>
      <c r="QQQ65"/>
      <c r="QQR65"/>
      <c r="QQS65"/>
      <c r="QQT65"/>
      <c r="QQU65"/>
      <c r="QQV65"/>
      <c r="QQW65"/>
      <c r="QQX65"/>
      <c r="QQY65"/>
      <c r="QQZ65"/>
      <c r="QRA65"/>
      <c r="QRB65"/>
      <c r="QRC65"/>
      <c r="QRD65"/>
      <c r="QRE65"/>
      <c r="QRF65"/>
      <c r="QRG65"/>
      <c r="QRH65"/>
      <c r="QRI65"/>
      <c r="QRJ65"/>
      <c r="QRK65"/>
      <c r="QRL65"/>
      <c r="QRM65"/>
      <c r="QRN65"/>
      <c r="QRO65"/>
      <c r="QRP65"/>
      <c r="QRQ65"/>
      <c r="QRR65"/>
      <c r="QRS65"/>
      <c r="QRT65"/>
      <c r="QRU65"/>
      <c r="QRV65"/>
      <c r="QRW65"/>
      <c r="QRX65"/>
      <c r="QRY65"/>
      <c r="QRZ65"/>
      <c r="QSA65"/>
      <c r="QSB65"/>
      <c r="QSC65"/>
      <c r="QSD65"/>
      <c r="QSE65"/>
      <c r="QSF65"/>
      <c r="QSG65"/>
      <c r="QSH65"/>
      <c r="QSI65"/>
      <c r="QSJ65"/>
      <c r="QSK65"/>
      <c r="QSL65"/>
      <c r="QSM65"/>
      <c r="QSN65"/>
      <c r="QSO65"/>
      <c r="QSP65"/>
      <c r="QSQ65"/>
      <c r="QSR65"/>
      <c r="QSS65"/>
      <c r="QST65"/>
      <c r="QSU65"/>
      <c r="QSV65"/>
      <c r="QSW65"/>
      <c r="QSX65"/>
      <c r="QSY65"/>
      <c r="QSZ65"/>
      <c r="QTA65"/>
      <c r="QTB65"/>
      <c r="QTC65"/>
      <c r="QTD65"/>
      <c r="QTE65"/>
      <c r="QTF65"/>
      <c r="QTG65"/>
      <c r="QTH65"/>
      <c r="QTI65"/>
      <c r="QTJ65"/>
      <c r="QTK65"/>
      <c r="QTL65"/>
      <c r="QTM65"/>
      <c r="QTN65"/>
      <c r="QTO65"/>
      <c r="QTP65"/>
      <c r="QTQ65"/>
      <c r="QTR65"/>
      <c r="QTS65"/>
      <c r="QTT65"/>
      <c r="QTU65"/>
      <c r="QTV65"/>
      <c r="QTW65"/>
      <c r="QTX65"/>
      <c r="QTY65"/>
      <c r="QTZ65"/>
      <c r="QUA65"/>
      <c r="QUB65"/>
      <c r="QUC65"/>
      <c r="QUD65"/>
      <c r="QUE65"/>
      <c r="QUF65"/>
      <c r="QUG65"/>
      <c r="QUH65"/>
      <c r="QUI65"/>
      <c r="QUJ65"/>
      <c r="QUK65"/>
      <c r="QUL65"/>
      <c r="QUM65"/>
      <c r="QUN65"/>
      <c r="QUO65"/>
      <c r="QUP65"/>
      <c r="QUQ65"/>
      <c r="QUR65"/>
      <c r="QUS65"/>
      <c r="QUT65"/>
      <c r="QUU65"/>
      <c r="QUV65"/>
      <c r="QUW65"/>
      <c r="QUX65"/>
      <c r="QUY65"/>
      <c r="QUZ65"/>
      <c r="QVA65"/>
      <c r="QVB65"/>
      <c r="QVC65"/>
      <c r="QVD65"/>
      <c r="QVE65"/>
      <c r="QVF65"/>
      <c r="QVG65"/>
      <c r="QVH65"/>
      <c r="QVI65"/>
      <c r="QVJ65"/>
      <c r="QVK65"/>
      <c r="QVL65"/>
      <c r="QVM65"/>
      <c r="QVN65"/>
      <c r="QVO65"/>
      <c r="QVP65"/>
      <c r="QVQ65"/>
      <c r="QVR65"/>
      <c r="QVS65"/>
      <c r="QVT65"/>
      <c r="QVU65"/>
      <c r="QVV65"/>
      <c r="QVW65"/>
      <c r="QVX65"/>
      <c r="QVY65"/>
      <c r="QVZ65"/>
      <c r="QWA65"/>
      <c r="QWB65"/>
      <c r="QWC65"/>
      <c r="QWD65"/>
      <c r="QWE65"/>
      <c r="QWF65"/>
      <c r="QWG65"/>
      <c r="QWH65"/>
      <c r="QWI65"/>
      <c r="QWJ65"/>
      <c r="QWK65"/>
      <c r="QWL65"/>
      <c r="QWM65"/>
      <c r="QWN65"/>
      <c r="QWO65"/>
      <c r="QWP65"/>
      <c r="QWQ65"/>
      <c r="QWR65"/>
      <c r="QWS65"/>
      <c r="QWT65"/>
      <c r="QWU65"/>
      <c r="QWV65"/>
      <c r="QWW65"/>
      <c r="QWX65"/>
      <c r="QWY65"/>
      <c r="QWZ65"/>
      <c r="QXA65"/>
      <c r="QXB65"/>
      <c r="QXC65"/>
      <c r="QXD65"/>
      <c r="QXE65"/>
      <c r="QXF65"/>
      <c r="QXG65"/>
      <c r="QXH65"/>
      <c r="QXI65"/>
      <c r="QXJ65"/>
      <c r="QXK65"/>
      <c r="QXL65"/>
      <c r="QXM65"/>
      <c r="QXN65"/>
      <c r="QXO65"/>
      <c r="QXP65"/>
      <c r="QXQ65"/>
      <c r="QXR65"/>
      <c r="QXS65"/>
      <c r="QXT65"/>
      <c r="QXU65"/>
      <c r="QXV65"/>
      <c r="QXW65"/>
      <c r="QXX65"/>
      <c r="QXY65"/>
      <c r="QXZ65"/>
      <c r="QYA65"/>
      <c r="QYB65"/>
      <c r="QYC65"/>
      <c r="QYD65"/>
      <c r="QYE65"/>
      <c r="QYF65"/>
      <c r="QYG65"/>
      <c r="QYH65"/>
      <c r="QYI65"/>
      <c r="QYJ65"/>
      <c r="QYK65"/>
      <c r="QYL65"/>
      <c r="QYM65"/>
      <c r="QYN65"/>
      <c r="QYO65"/>
      <c r="QYP65"/>
      <c r="QYQ65"/>
      <c r="QYR65"/>
      <c r="QYS65"/>
      <c r="QYT65"/>
      <c r="QYU65"/>
      <c r="QYV65"/>
      <c r="QYW65"/>
      <c r="QYX65"/>
      <c r="QYY65"/>
      <c r="QYZ65"/>
      <c r="QZA65"/>
      <c r="QZB65"/>
      <c r="QZC65"/>
      <c r="QZD65"/>
      <c r="QZE65"/>
      <c r="QZF65"/>
      <c r="QZG65"/>
      <c r="QZH65"/>
      <c r="QZI65"/>
      <c r="QZJ65"/>
      <c r="QZK65"/>
      <c r="QZL65"/>
      <c r="QZM65"/>
      <c r="QZN65"/>
      <c r="QZO65"/>
      <c r="QZP65"/>
      <c r="QZQ65"/>
      <c r="QZR65"/>
      <c r="QZS65"/>
      <c r="QZT65"/>
      <c r="QZU65"/>
      <c r="QZV65"/>
      <c r="QZW65"/>
      <c r="QZX65"/>
      <c r="QZY65"/>
      <c r="QZZ65"/>
      <c r="RAA65"/>
      <c r="RAB65"/>
      <c r="RAC65"/>
      <c r="RAD65"/>
      <c r="RAE65"/>
      <c r="RAF65"/>
      <c r="RAG65"/>
      <c r="RAH65"/>
      <c r="RAI65"/>
      <c r="RAJ65"/>
      <c r="RAK65"/>
      <c r="RAL65"/>
      <c r="RAM65"/>
      <c r="RAN65"/>
      <c r="RAO65"/>
      <c r="RAP65"/>
      <c r="RAQ65"/>
      <c r="RAR65"/>
      <c r="RAS65"/>
      <c r="RAT65"/>
      <c r="RAU65"/>
      <c r="RAV65"/>
      <c r="RAW65"/>
      <c r="RAX65"/>
      <c r="RAY65"/>
      <c r="RAZ65"/>
      <c r="RBA65"/>
      <c r="RBB65"/>
      <c r="RBC65"/>
      <c r="RBD65"/>
      <c r="RBE65"/>
      <c r="RBF65"/>
      <c r="RBG65"/>
      <c r="RBH65"/>
      <c r="RBI65"/>
      <c r="RBJ65"/>
      <c r="RBK65"/>
      <c r="RBL65"/>
      <c r="RBM65"/>
      <c r="RBN65"/>
      <c r="RBO65"/>
      <c r="RBP65"/>
      <c r="RBQ65"/>
      <c r="RBR65"/>
      <c r="RBS65"/>
      <c r="RBT65"/>
      <c r="RBU65"/>
      <c r="RBV65"/>
      <c r="RBW65"/>
      <c r="RBX65"/>
      <c r="RBY65"/>
      <c r="RBZ65"/>
      <c r="RCA65"/>
      <c r="RCB65"/>
      <c r="RCC65"/>
      <c r="RCD65"/>
      <c r="RCE65"/>
      <c r="RCF65"/>
      <c r="RCG65"/>
      <c r="RCH65"/>
      <c r="RCI65"/>
      <c r="RCJ65"/>
      <c r="RCK65"/>
      <c r="RCL65"/>
      <c r="RCM65"/>
      <c r="RCN65"/>
      <c r="RCO65"/>
      <c r="RCP65"/>
      <c r="RCQ65"/>
      <c r="RCR65"/>
      <c r="RCS65"/>
      <c r="RCT65"/>
      <c r="RCU65"/>
      <c r="RCV65"/>
      <c r="RCW65"/>
      <c r="RCX65"/>
      <c r="RCY65"/>
      <c r="RCZ65"/>
      <c r="RDA65"/>
      <c r="RDB65"/>
      <c r="RDC65"/>
      <c r="RDD65"/>
      <c r="RDE65"/>
      <c r="RDF65"/>
      <c r="RDG65"/>
      <c r="RDH65"/>
      <c r="RDI65"/>
      <c r="RDJ65"/>
      <c r="RDK65"/>
      <c r="RDL65"/>
      <c r="RDM65"/>
      <c r="RDN65"/>
      <c r="RDO65"/>
      <c r="RDP65"/>
      <c r="RDQ65"/>
      <c r="RDR65"/>
      <c r="RDS65"/>
      <c r="RDT65"/>
      <c r="RDU65"/>
      <c r="RDV65"/>
      <c r="RDW65"/>
      <c r="RDX65"/>
      <c r="RDY65"/>
      <c r="RDZ65"/>
      <c r="REA65"/>
      <c r="REB65"/>
      <c r="REC65"/>
      <c r="RED65"/>
      <c r="REE65"/>
      <c r="REF65"/>
      <c r="REG65"/>
      <c r="REH65"/>
      <c r="REI65"/>
      <c r="REJ65"/>
      <c r="REK65"/>
      <c r="REL65"/>
      <c r="REM65"/>
      <c r="REN65"/>
      <c r="REO65"/>
      <c r="REP65"/>
      <c r="REQ65"/>
      <c r="RER65"/>
      <c r="RES65"/>
      <c r="RET65"/>
      <c r="REU65"/>
      <c r="REV65"/>
      <c r="REW65"/>
      <c r="REX65"/>
      <c r="REY65"/>
      <c r="REZ65"/>
      <c r="RFA65"/>
      <c r="RFB65"/>
      <c r="RFC65"/>
      <c r="RFD65"/>
      <c r="RFE65"/>
      <c r="RFF65"/>
      <c r="RFG65"/>
      <c r="RFH65"/>
      <c r="RFI65"/>
      <c r="RFJ65"/>
      <c r="RFK65"/>
      <c r="RFL65"/>
      <c r="RFM65"/>
      <c r="RFN65"/>
      <c r="RFO65"/>
      <c r="RFP65"/>
      <c r="RFQ65"/>
      <c r="RFR65"/>
      <c r="RFS65"/>
      <c r="RFT65"/>
      <c r="RFU65"/>
      <c r="RFV65"/>
      <c r="RFW65"/>
      <c r="RFX65"/>
      <c r="RFY65"/>
      <c r="RFZ65"/>
      <c r="RGA65"/>
      <c r="RGB65"/>
      <c r="RGC65"/>
      <c r="RGD65"/>
      <c r="RGE65"/>
      <c r="RGF65"/>
      <c r="RGG65"/>
      <c r="RGH65"/>
      <c r="RGI65"/>
      <c r="RGJ65"/>
      <c r="RGK65"/>
      <c r="RGL65"/>
      <c r="RGM65"/>
      <c r="RGN65"/>
      <c r="RGO65"/>
      <c r="RGP65"/>
      <c r="RGQ65"/>
      <c r="RGR65"/>
      <c r="RGS65"/>
      <c r="RGT65"/>
      <c r="RGU65"/>
      <c r="RGV65"/>
      <c r="RGW65"/>
      <c r="RGX65"/>
      <c r="RGY65"/>
      <c r="RGZ65"/>
      <c r="RHA65"/>
      <c r="RHB65"/>
      <c r="RHC65"/>
      <c r="RHD65"/>
      <c r="RHE65"/>
      <c r="RHF65"/>
      <c r="RHG65"/>
      <c r="RHH65"/>
      <c r="RHI65"/>
      <c r="RHJ65"/>
      <c r="RHK65"/>
      <c r="RHL65"/>
      <c r="RHM65"/>
      <c r="RHN65"/>
      <c r="RHO65"/>
      <c r="RHP65"/>
      <c r="RHQ65"/>
      <c r="RHR65"/>
      <c r="RHS65"/>
      <c r="RHT65"/>
      <c r="RHU65"/>
      <c r="RHV65"/>
      <c r="RHW65"/>
      <c r="RHX65"/>
      <c r="RHY65"/>
      <c r="RHZ65"/>
      <c r="RIA65"/>
      <c r="RIB65"/>
      <c r="RIC65"/>
      <c r="RID65"/>
      <c r="RIE65"/>
      <c r="RIF65"/>
      <c r="RIG65"/>
      <c r="RIH65"/>
      <c r="RII65"/>
      <c r="RIJ65"/>
      <c r="RIK65"/>
      <c r="RIL65"/>
      <c r="RIM65"/>
      <c r="RIN65"/>
      <c r="RIO65"/>
      <c r="RIP65"/>
      <c r="RIQ65"/>
      <c r="RIR65"/>
      <c r="RIS65"/>
      <c r="RIT65"/>
      <c r="RIU65"/>
      <c r="RIV65"/>
      <c r="RIW65"/>
      <c r="RIX65"/>
      <c r="RIY65"/>
      <c r="RIZ65"/>
      <c r="RJA65"/>
      <c r="RJB65"/>
      <c r="RJC65"/>
      <c r="RJD65"/>
      <c r="RJE65"/>
      <c r="RJF65"/>
      <c r="RJG65"/>
      <c r="RJH65"/>
      <c r="RJI65"/>
      <c r="RJJ65"/>
      <c r="RJK65"/>
      <c r="RJL65"/>
      <c r="RJM65"/>
      <c r="RJN65"/>
      <c r="RJO65"/>
      <c r="RJP65"/>
      <c r="RJQ65"/>
      <c r="RJR65"/>
      <c r="RJS65"/>
      <c r="RJT65"/>
      <c r="RJU65"/>
      <c r="RJV65"/>
      <c r="RJW65"/>
      <c r="RJX65"/>
      <c r="RJY65"/>
      <c r="RJZ65"/>
      <c r="RKA65"/>
      <c r="RKB65"/>
      <c r="RKC65"/>
      <c r="RKD65"/>
      <c r="RKE65"/>
      <c r="RKF65"/>
      <c r="RKG65"/>
      <c r="RKH65"/>
      <c r="RKI65"/>
      <c r="RKJ65"/>
      <c r="RKK65"/>
      <c r="RKL65"/>
      <c r="RKM65"/>
      <c r="RKN65"/>
      <c r="RKO65"/>
      <c r="RKP65"/>
      <c r="RKQ65"/>
      <c r="RKR65"/>
      <c r="RKS65"/>
      <c r="RKT65"/>
      <c r="RKU65"/>
      <c r="RKV65"/>
      <c r="RKW65"/>
      <c r="RKX65"/>
      <c r="RKY65"/>
      <c r="RKZ65"/>
      <c r="RLA65"/>
      <c r="RLB65"/>
      <c r="RLC65"/>
      <c r="RLD65"/>
      <c r="RLE65"/>
      <c r="RLF65"/>
      <c r="RLG65"/>
      <c r="RLH65"/>
      <c r="RLI65"/>
      <c r="RLJ65"/>
      <c r="RLK65"/>
      <c r="RLL65"/>
      <c r="RLM65"/>
      <c r="RLN65"/>
      <c r="RLO65"/>
      <c r="RLP65"/>
      <c r="RLQ65"/>
      <c r="RLR65"/>
      <c r="RLS65"/>
      <c r="RLT65"/>
      <c r="RLU65"/>
      <c r="RLV65"/>
      <c r="RLW65"/>
      <c r="RLX65"/>
      <c r="RLY65"/>
      <c r="RLZ65"/>
      <c r="RMA65"/>
      <c r="RMB65"/>
      <c r="RMC65"/>
      <c r="RMD65"/>
      <c r="RME65"/>
      <c r="RMF65"/>
      <c r="RMG65"/>
      <c r="RMH65"/>
      <c r="RMI65"/>
      <c r="RMJ65"/>
      <c r="RMK65"/>
      <c r="RML65"/>
      <c r="RMM65"/>
      <c r="RMN65"/>
      <c r="RMO65"/>
      <c r="RMP65"/>
      <c r="RMQ65"/>
      <c r="RMR65"/>
      <c r="RMS65"/>
      <c r="RMT65"/>
      <c r="RMU65"/>
      <c r="RMV65"/>
      <c r="RMW65"/>
      <c r="RMX65"/>
      <c r="RMY65"/>
      <c r="RMZ65"/>
      <c r="RNA65"/>
      <c r="RNB65"/>
      <c r="RNC65"/>
      <c r="RND65"/>
      <c r="RNE65"/>
      <c r="RNF65"/>
      <c r="RNG65"/>
      <c r="RNH65"/>
      <c r="RNI65"/>
      <c r="RNJ65"/>
      <c r="RNK65"/>
      <c r="RNL65"/>
      <c r="RNM65"/>
      <c r="RNN65"/>
      <c r="RNO65"/>
      <c r="RNP65"/>
      <c r="RNQ65"/>
      <c r="RNR65"/>
      <c r="RNS65"/>
      <c r="RNT65"/>
      <c r="RNU65"/>
      <c r="RNV65"/>
      <c r="RNW65"/>
      <c r="RNX65"/>
      <c r="RNY65"/>
      <c r="RNZ65"/>
      <c r="ROA65"/>
      <c r="ROB65"/>
      <c r="ROC65"/>
      <c r="ROD65"/>
      <c r="ROE65"/>
      <c r="ROF65"/>
      <c r="ROG65"/>
      <c r="ROH65"/>
      <c r="ROI65"/>
      <c r="ROJ65"/>
      <c r="ROK65"/>
      <c r="ROL65"/>
      <c r="ROM65"/>
      <c r="RON65"/>
      <c r="ROO65"/>
      <c r="ROP65"/>
      <c r="ROQ65"/>
      <c r="ROR65"/>
      <c r="ROS65"/>
      <c r="ROT65"/>
      <c r="ROU65"/>
      <c r="ROV65"/>
      <c r="ROW65"/>
      <c r="ROX65"/>
      <c r="ROY65"/>
      <c r="ROZ65"/>
      <c r="RPA65"/>
      <c r="RPB65"/>
      <c r="RPC65"/>
      <c r="RPD65"/>
      <c r="RPE65"/>
      <c r="RPF65"/>
      <c r="RPG65"/>
      <c r="RPH65"/>
      <c r="RPI65"/>
      <c r="RPJ65"/>
      <c r="RPK65"/>
      <c r="RPL65"/>
      <c r="RPM65"/>
      <c r="RPN65"/>
      <c r="RPO65"/>
      <c r="RPP65"/>
      <c r="RPQ65"/>
      <c r="RPR65"/>
      <c r="RPS65"/>
      <c r="RPT65"/>
      <c r="RPU65"/>
      <c r="RPV65"/>
      <c r="RPW65"/>
      <c r="RPX65"/>
      <c r="RPY65"/>
      <c r="RPZ65"/>
      <c r="RQA65"/>
      <c r="RQB65"/>
      <c r="RQC65"/>
      <c r="RQD65"/>
      <c r="RQE65"/>
      <c r="RQF65"/>
      <c r="RQG65"/>
      <c r="RQH65"/>
      <c r="RQI65"/>
      <c r="RQJ65"/>
      <c r="RQK65"/>
      <c r="RQL65"/>
      <c r="RQM65"/>
      <c r="RQN65"/>
      <c r="RQO65"/>
      <c r="RQP65"/>
      <c r="RQQ65"/>
      <c r="RQR65"/>
      <c r="RQS65"/>
      <c r="RQT65"/>
      <c r="RQU65"/>
      <c r="RQV65"/>
      <c r="RQW65"/>
      <c r="RQX65"/>
      <c r="RQY65"/>
      <c r="RQZ65"/>
      <c r="RRA65"/>
      <c r="RRB65"/>
      <c r="RRC65"/>
      <c r="RRD65"/>
      <c r="RRE65"/>
      <c r="RRF65"/>
      <c r="RRG65"/>
      <c r="RRH65"/>
      <c r="RRI65"/>
      <c r="RRJ65"/>
      <c r="RRK65"/>
      <c r="RRL65"/>
      <c r="RRM65"/>
      <c r="RRN65"/>
      <c r="RRO65"/>
      <c r="RRP65"/>
      <c r="RRQ65"/>
      <c r="RRR65"/>
      <c r="RRS65"/>
      <c r="RRT65"/>
      <c r="RRU65"/>
      <c r="RRV65"/>
      <c r="RRW65"/>
      <c r="RRX65"/>
      <c r="RRY65"/>
      <c r="RRZ65"/>
      <c r="RSA65"/>
      <c r="RSB65"/>
      <c r="RSC65"/>
      <c r="RSD65"/>
      <c r="RSE65"/>
      <c r="RSF65"/>
      <c r="RSG65"/>
      <c r="RSH65"/>
      <c r="RSI65"/>
      <c r="RSJ65"/>
      <c r="RSK65"/>
      <c r="RSL65"/>
      <c r="RSM65"/>
      <c r="RSN65"/>
      <c r="RSO65"/>
      <c r="RSP65"/>
      <c r="RSQ65"/>
      <c r="RSR65"/>
      <c r="RSS65"/>
      <c r="RST65"/>
      <c r="RSU65"/>
      <c r="RSV65"/>
      <c r="RSW65"/>
      <c r="RSX65"/>
      <c r="RSY65"/>
      <c r="RSZ65"/>
      <c r="RTA65"/>
      <c r="RTB65"/>
      <c r="RTC65"/>
      <c r="RTD65"/>
      <c r="RTE65"/>
      <c r="RTF65"/>
      <c r="RTG65"/>
      <c r="RTH65"/>
      <c r="RTI65"/>
      <c r="RTJ65"/>
      <c r="RTK65"/>
      <c r="RTL65"/>
      <c r="RTM65"/>
      <c r="RTN65"/>
      <c r="RTO65"/>
      <c r="RTP65"/>
      <c r="RTQ65"/>
      <c r="RTR65"/>
      <c r="RTS65"/>
      <c r="RTT65"/>
      <c r="RTU65"/>
      <c r="RTV65"/>
      <c r="RTW65"/>
      <c r="RTX65"/>
      <c r="RTY65"/>
      <c r="RTZ65"/>
      <c r="RUA65"/>
      <c r="RUB65"/>
      <c r="RUC65"/>
      <c r="RUD65"/>
      <c r="RUE65"/>
      <c r="RUF65"/>
      <c r="RUG65"/>
      <c r="RUH65"/>
      <c r="RUI65"/>
      <c r="RUJ65"/>
      <c r="RUK65"/>
      <c r="RUL65"/>
      <c r="RUM65"/>
      <c r="RUN65"/>
      <c r="RUO65"/>
      <c r="RUP65"/>
      <c r="RUQ65"/>
      <c r="RUR65"/>
      <c r="RUS65"/>
      <c r="RUT65"/>
      <c r="RUU65"/>
      <c r="RUV65"/>
      <c r="RUW65"/>
      <c r="RUX65"/>
      <c r="RUY65"/>
      <c r="RUZ65"/>
      <c r="RVA65"/>
      <c r="RVB65"/>
      <c r="RVC65"/>
      <c r="RVD65"/>
      <c r="RVE65"/>
      <c r="RVF65"/>
      <c r="RVG65"/>
      <c r="RVH65"/>
      <c r="RVI65"/>
      <c r="RVJ65"/>
      <c r="RVK65"/>
      <c r="RVL65"/>
      <c r="RVM65"/>
      <c r="RVN65"/>
      <c r="RVO65"/>
      <c r="RVP65"/>
      <c r="RVQ65"/>
      <c r="RVR65"/>
      <c r="RVS65"/>
      <c r="RVT65"/>
      <c r="RVU65"/>
      <c r="RVV65"/>
      <c r="RVW65"/>
      <c r="RVX65"/>
      <c r="RVY65"/>
      <c r="RVZ65"/>
      <c r="RWA65"/>
      <c r="RWB65"/>
      <c r="RWC65"/>
      <c r="RWD65"/>
      <c r="RWE65"/>
      <c r="RWF65"/>
      <c r="RWG65"/>
      <c r="RWH65"/>
      <c r="RWI65"/>
      <c r="RWJ65"/>
      <c r="RWK65"/>
      <c r="RWL65"/>
      <c r="RWM65"/>
      <c r="RWN65"/>
      <c r="RWO65"/>
      <c r="RWP65"/>
      <c r="RWQ65"/>
      <c r="RWR65"/>
      <c r="RWS65"/>
      <c r="RWT65"/>
      <c r="RWU65"/>
      <c r="RWV65"/>
      <c r="RWW65"/>
      <c r="RWX65"/>
      <c r="RWY65"/>
      <c r="RWZ65"/>
      <c r="RXA65"/>
      <c r="RXB65"/>
      <c r="RXC65"/>
      <c r="RXD65"/>
      <c r="RXE65"/>
      <c r="RXF65"/>
      <c r="RXG65"/>
      <c r="RXH65"/>
      <c r="RXI65"/>
      <c r="RXJ65"/>
      <c r="RXK65"/>
      <c r="RXL65"/>
      <c r="RXM65"/>
      <c r="RXN65"/>
      <c r="RXO65"/>
      <c r="RXP65"/>
      <c r="RXQ65"/>
      <c r="RXR65"/>
      <c r="RXS65"/>
      <c r="RXT65"/>
      <c r="RXU65"/>
      <c r="RXV65"/>
      <c r="RXW65"/>
      <c r="RXX65"/>
      <c r="RXY65"/>
      <c r="RXZ65"/>
      <c r="RYA65"/>
      <c r="RYB65"/>
      <c r="RYC65"/>
      <c r="RYD65"/>
      <c r="RYE65"/>
      <c r="RYF65"/>
      <c r="RYG65"/>
      <c r="RYH65"/>
      <c r="RYI65"/>
      <c r="RYJ65"/>
      <c r="RYK65"/>
      <c r="RYL65"/>
      <c r="RYM65"/>
      <c r="RYN65"/>
      <c r="RYO65"/>
      <c r="RYP65"/>
      <c r="RYQ65"/>
      <c r="RYR65"/>
      <c r="RYS65"/>
      <c r="RYT65"/>
      <c r="RYU65"/>
      <c r="RYV65"/>
      <c r="RYW65"/>
      <c r="RYX65"/>
      <c r="RYY65"/>
      <c r="RYZ65"/>
      <c r="RZA65"/>
      <c r="RZB65"/>
      <c r="RZC65"/>
      <c r="RZD65"/>
      <c r="RZE65"/>
      <c r="RZF65"/>
      <c r="RZG65"/>
      <c r="RZH65"/>
      <c r="RZI65"/>
      <c r="RZJ65"/>
      <c r="RZK65"/>
      <c r="RZL65"/>
      <c r="RZM65"/>
      <c r="RZN65"/>
      <c r="RZO65"/>
      <c r="RZP65"/>
      <c r="RZQ65"/>
      <c r="RZR65"/>
      <c r="RZS65"/>
      <c r="RZT65"/>
      <c r="RZU65"/>
      <c r="RZV65"/>
      <c r="RZW65"/>
      <c r="RZX65"/>
      <c r="RZY65"/>
      <c r="RZZ65"/>
      <c r="SAA65"/>
      <c r="SAB65"/>
      <c r="SAC65"/>
      <c r="SAD65"/>
      <c r="SAE65"/>
      <c r="SAF65"/>
      <c r="SAG65"/>
      <c r="SAH65"/>
      <c r="SAI65"/>
      <c r="SAJ65"/>
      <c r="SAK65"/>
      <c r="SAL65"/>
      <c r="SAM65"/>
      <c r="SAN65"/>
      <c r="SAO65"/>
      <c r="SAP65"/>
      <c r="SAQ65"/>
      <c r="SAR65"/>
      <c r="SAS65"/>
      <c r="SAT65"/>
      <c r="SAU65"/>
      <c r="SAV65"/>
      <c r="SAW65"/>
      <c r="SAX65"/>
      <c r="SAY65"/>
      <c r="SAZ65"/>
      <c r="SBA65"/>
      <c r="SBB65"/>
      <c r="SBC65"/>
      <c r="SBD65"/>
      <c r="SBE65"/>
      <c r="SBF65"/>
      <c r="SBG65"/>
      <c r="SBH65"/>
      <c r="SBI65"/>
      <c r="SBJ65"/>
      <c r="SBK65"/>
      <c r="SBL65"/>
      <c r="SBM65"/>
      <c r="SBN65"/>
      <c r="SBO65"/>
      <c r="SBP65"/>
      <c r="SBQ65"/>
      <c r="SBR65"/>
      <c r="SBS65"/>
      <c r="SBT65"/>
      <c r="SBU65"/>
      <c r="SBV65"/>
      <c r="SBW65"/>
      <c r="SBX65"/>
      <c r="SBY65"/>
      <c r="SBZ65"/>
      <c r="SCA65"/>
      <c r="SCB65"/>
      <c r="SCC65"/>
      <c r="SCD65"/>
      <c r="SCE65"/>
      <c r="SCF65"/>
      <c r="SCG65"/>
      <c r="SCH65"/>
      <c r="SCI65"/>
      <c r="SCJ65"/>
      <c r="SCK65"/>
      <c r="SCL65"/>
      <c r="SCM65"/>
      <c r="SCN65"/>
      <c r="SCO65"/>
      <c r="SCP65"/>
      <c r="SCQ65"/>
      <c r="SCR65"/>
      <c r="SCS65"/>
      <c r="SCT65"/>
      <c r="SCU65"/>
      <c r="SCV65"/>
      <c r="SCW65"/>
      <c r="SCX65"/>
      <c r="SCY65"/>
      <c r="SCZ65"/>
      <c r="SDA65"/>
      <c r="SDB65"/>
      <c r="SDC65"/>
      <c r="SDD65"/>
      <c r="SDE65"/>
      <c r="SDF65"/>
      <c r="SDG65"/>
      <c r="SDH65"/>
      <c r="SDI65"/>
      <c r="SDJ65"/>
      <c r="SDK65"/>
      <c r="SDL65"/>
      <c r="SDM65"/>
      <c r="SDN65"/>
      <c r="SDO65"/>
      <c r="SDP65"/>
      <c r="SDQ65"/>
      <c r="SDR65"/>
      <c r="SDS65"/>
      <c r="SDT65"/>
      <c r="SDU65"/>
      <c r="SDV65"/>
      <c r="SDW65"/>
      <c r="SDX65"/>
      <c r="SDY65"/>
      <c r="SDZ65"/>
      <c r="SEA65"/>
      <c r="SEB65"/>
      <c r="SEC65"/>
      <c r="SED65"/>
      <c r="SEE65"/>
      <c r="SEF65"/>
      <c r="SEG65"/>
      <c r="SEH65"/>
      <c r="SEI65"/>
      <c r="SEJ65"/>
      <c r="SEK65"/>
      <c r="SEL65"/>
      <c r="SEM65"/>
      <c r="SEN65"/>
      <c r="SEO65"/>
      <c r="SEP65"/>
      <c r="SEQ65"/>
      <c r="SER65"/>
      <c r="SES65"/>
      <c r="SET65"/>
      <c r="SEU65"/>
      <c r="SEV65"/>
      <c r="SEW65"/>
      <c r="SEX65"/>
      <c r="SEY65"/>
      <c r="SEZ65"/>
      <c r="SFA65"/>
      <c r="SFB65"/>
      <c r="SFC65"/>
      <c r="SFD65"/>
      <c r="SFE65"/>
      <c r="SFF65"/>
      <c r="SFG65"/>
      <c r="SFH65"/>
      <c r="SFI65"/>
      <c r="SFJ65"/>
      <c r="SFK65"/>
      <c r="SFL65"/>
      <c r="SFM65"/>
      <c r="SFN65"/>
      <c r="SFO65"/>
      <c r="SFP65"/>
      <c r="SFQ65"/>
      <c r="SFR65"/>
      <c r="SFS65"/>
      <c r="SFT65"/>
      <c r="SFU65"/>
      <c r="SFV65"/>
      <c r="SFW65"/>
      <c r="SFX65"/>
      <c r="SFY65"/>
      <c r="SFZ65"/>
      <c r="SGA65"/>
      <c r="SGB65"/>
      <c r="SGC65"/>
      <c r="SGD65"/>
      <c r="SGE65"/>
      <c r="SGF65"/>
      <c r="SGG65"/>
      <c r="SGH65"/>
      <c r="SGI65"/>
      <c r="SGJ65"/>
      <c r="SGK65"/>
      <c r="SGL65"/>
      <c r="SGM65"/>
      <c r="SGN65"/>
      <c r="SGO65"/>
      <c r="SGP65"/>
      <c r="SGQ65"/>
      <c r="SGR65"/>
      <c r="SGS65"/>
      <c r="SGT65"/>
      <c r="SGU65"/>
      <c r="SGV65"/>
      <c r="SGW65"/>
      <c r="SGX65"/>
      <c r="SGY65"/>
      <c r="SGZ65"/>
      <c r="SHA65"/>
      <c r="SHB65"/>
      <c r="SHC65"/>
      <c r="SHD65"/>
      <c r="SHE65"/>
      <c r="SHF65"/>
      <c r="SHG65"/>
      <c r="SHH65"/>
      <c r="SHI65"/>
      <c r="SHJ65"/>
      <c r="SHK65"/>
      <c r="SHL65"/>
      <c r="SHM65"/>
      <c r="SHN65"/>
      <c r="SHO65"/>
      <c r="SHP65"/>
      <c r="SHQ65"/>
      <c r="SHR65"/>
      <c r="SHS65"/>
      <c r="SHT65"/>
      <c r="SHU65"/>
      <c r="SHV65"/>
      <c r="SHW65"/>
      <c r="SHX65"/>
      <c r="SHY65"/>
      <c r="SHZ65"/>
      <c r="SIA65"/>
      <c r="SIB65"/>
      <c r="SIC65"/>
      <c r="SID65"/>
      <c r="SIE65"/>
      <c r="SIF65"/>
      <c r="SIG65"/>
      <c r="SIH65"/>
      <c r="SII65"/>
      <c r="SIJ65"/>
      <c r="SIK65"/>
      <c r="SIL65"/>
      <c r="SIM65"/>
      <c r="SIN65"/>
      <c r="SIO65"/>
      <c r="SIP65"/>
      <c r="SIQ65"/>
      <c r="SIR65"/>
      <c r="SIS65"/>
      <c r="SIT65"/>
      <c r="SIU65"/>
      <c r="SIV65"/>
      <c r="SIW65"/>
      <c r="SIX65"/>
      <c r="SIY65"/>
      <c r="SIZ65"/>
      <c r="SJA65"/>
      <c r="SJB65"/>
      <c r="SJC65"/>
      <c r="SJD65"/>
      <c r="SJE65"/>
      <c r="SJF65"/>
      <c r="SJG65"/>
      <c r="SJH65"/>
      <c r="SJI65"/>
      <c r="SJJ65"/>
      <c r="SJK65"/>
      <c r="SJL65"/>
      <c r="SJM65"/>
      <c r="SJN65"/>
      <c r="SJO65"/>
      <c r="SJP65"/>
      <c r="SJQ65"/>
      <c r="SJR65"/>
      <c r="SJS65"/>
      <c r="SJT65"/>
      <c r="SJU65"/>
      <c r="SJV65"/>
      <c r="SJW65"/>
      <c r="SJX65"/>
      <c r="SJY65"/>
      <c r="SJZ65"/>
      <c r="SKA65"/>
      <c r="SKB65"/>
      <c r="SKC65"/>
      <c r="SKD65"/>
      <c r="SKE65"/>
      <c r="SKF65"/>
      <c r="SKG65"/>
      <c r="SKH65"/>
      <c r="SKI65"/>
      <c r="SKJ65"/>
      <c r="SKK65"/>
      <c r="SKL65"/>
      <c r="SKM65"/>
      <c r="SKN65"/>
      <c r="SKO65"/>
      <c r="SKP65"/>
      <c r="SKQ65"/>
      <c r="SKR65"/>
      <c r="SKS65"/>
      <c r="SKT65"/>
      <c r="SKU65"/>
      <c r="SKV65"/>
      <c r="SKW65"/>
      <c r="SKX65"/>
      <c r="SKY65"/>
      <c r="SKZ65"/>
      <c r="SLA65"/>
      <c r="SLB65"/>
      <c r="SLC65"/>
      <c r="SLD65"/>
      <c r="SLE65"/>
      <c r="SLF65"/>
      <c r="SLG65"/>
      <c r="SLH65"/>
      <c r="SLI65"/>
      <c r="SLJ65"/>
      <c r="SLK65"/>
      <c r="SLL65"/>
      <c r="SLM65"/>
      <c r="SLN65"/>
      <c r="SLO65"/>
      <c r="SLP65"/>
      <c r="SLQ65"/>
      <c r="SLR65"/>
      <c r="SLS65"/>
      <c r="SLT65"/>
      <c r="SLU65"/>
      <c r="SLV65"/>
      <c r="SLW65"/>
      <c r="SLX65"/>
      <c r="SLY65"/>
      <c r="SLZ65"/>
      <c r="SMA65"/>
      <c r="SMB65"/>
      <c r="SMC65"/>
      <c r="SMD65"/>
      <c r="SME65"/>
      <c r="SMF65"/>
      <c r="SMG65"/>
      <c r="SMH65"/>
      <c r="SMI65"/>
      <c r="SMJ65"/>
      <c r="SMK65"/>
      <c r="SML65"/>
      <c r="SMM65"/>
      <c r="SMN65"/>
      <c r="SMO65"/>
      <c r="SMP65"/>
      <c r="SMQ65"/>
      <c r="SMR65"/>
      <c r="SMS65"/>
      <c r="SMT65"/>
      <c r="SMU65"/>
      <c r="SMV65"/>
      <c r="SMW65"/>
      <c r="SMX65"/>
      <c r="SMY65"/>
      <c r="SMZ65"/>
      <c r="SNA65"/>
      <c r="SNB65"/>
      <c r="SNC65"/>
      <c r="SND65"/>
      <c r="SNE65"/>
      <c r="SNF65"/>
      <c r="SNG65"/>
      <c r="SNH65"/>
      <c r="SNI65"/>
      <c r="SNJ65"/>
      <c r="SNK65"/>
      <c r="SNL65"/>
      <c r="SNM65"/>
      <c r="SNN65"/>
      <c r="SNO65"/>
      <c r="SNP65"/>
      <c r="SNQ65"/>
      <c r="SNR65"/>
      <c r="SNS65"/>
      <c r="SNT65"/>
      <c r="SNU65"/>
      <c r="SNV65"/>
      <c r="SNW65"/>
      <c r="SNX65"/>
      <c r="SNY65"/>
      <c r="SNZ65"/>
      <c r="SOA65"/>
      <c r="SOB65"/>
      <c r="SOC65"/>
      <c r="SOD65"/>
      <c r="SOE65"/>
      <c r="SOF65"/>
      <c r="SOG65"/>
      <c r="SOH65"/>
      <c r="SOI65"/>
      <c r="SOJ65"/>
      <c r="SOK65"/>
      <c r="SOL65"/>
      <c r="SOM65"/>
      <c r="SON65"/>
      <c r="SOO65"/>
      <c r="SOP65"/>
      <c r="SOQ65"/>
      <c r="SOR65"/>
      <c r="SOS65"/>
      <c r="SOT65"/>
      <c r="SOU65"/>
      <c r="SOV65"/>
      <c r="SOW65"/>
      <c r="SOX65"/>
      <c r="SOY65"/>
      <c r="SOZ65"/>
      <c r="SPA65"/>
      <c r="SPB65"/>
      <c r="SPC65"/>
      <c r="SPD65"/>
      <c r="SPE65"/>
      <c r="SPF65"/>
      <c r="SPG65"/>
      <c r="SPH65"/>
      <c r="SPI65"/>
      <c r="SPJ65"/>
      <c r="SPK65"/>
      <c r="SPL65"/>
      <c r="SPM65"/>
      <c r="SPN65"/>
      <c r="SPO65"/>
      <c r="SPP65"/>
      <c r="SPQ65"/>
      <c r="SPR65"/>
      <c r="SPS65"/>
      <c r="SPT65"/>
      <c r="SPU65"/>
      <c r="SPV65"/>
      <c r="SPW65"/>
      <c r="SPX65"/>
      <c r="SPY65"/>
      <c r="SPZ65"/>
      <c r="SQA65"/>
      <c r="SQB65"/>
      <c r="SQC65"/>
      <c r="SQD65"/>
      <c r="SQE65"/>
      <c r="SQF65"/>
      <c r="SQG65"/>
      <c r="SQH65"/>
      <c r="SQI65"/>
      <c r="SQJ65"/>
      <c r="SQK65"/>
      <c r="SQL65"/>
      <c r="SQM65"/>
      <c r="SQN65"/>
      <c r="SQO65"/>
      <c r="SQP65"/>
      <c r="SQQ65"/>
      <c r="SQR65"/>
      <c r="SQS65"/>
      <c r="SQT65"/>
      <c r="SQU65"/>
      <c r="SQV65"/>
      <c r="SQW65"/>
      <c r="SQX65"/>
      <c r="SQY65"/>
      <c r="SQZ65"/>
      <c r="SRA65"/>
      <c r="SRB65"/>
      <c r="SRC65"/>
      <c r="SRD65"/>
      <c r="SRE65"/>
      <c r="SRF65"/>
      <c r="SRG65"/>
      <c r="SRH65"/>
      <c r="SRI65"/>
      <c r="SRJ65"/>
      <c r="SRK65"/>
      <c r="SRL65"/>
      <c r="SRM65"/>
      <c r="SRN65"/>
      <c r="SRO65"/>
      <c r="SRP65"/>
      <c r="SRQ65"/>
      <c r="SRR65"/>
      <c r="SRS65"/>
      <c r="SRT65"/>
      <c r="SRU65"/>
      <c r="SRV65"/>
      <c r="SRW65"/>
      <c r="SRX65"/>
      <c r="SRY65"/>
      <c r="SRZ65"/>
      <c r="SSA65"/>
      <c r="SSB65"/>
      <c r="SSC65"/>
      <c r="SSD65"/>
      <c r="SSE65"/>
      <c r="SSF65"/>
      <c r="SSG65"/>
      <c r="SSH65"/>
      <c r="SSI65"/>
      <c r="SSJ65"/>
      <c r="SSK65"/>
      <c r="SSL65"/>
      <c r="SSM65"/>
      <c r="SSN65"/>
      <c r="SSO65"/>
      <c r="SSP65"/>
      <c r="SSQ65"/>
      <c r="SSR65"/>
      <c r="SSS65"/>
      <c r="SST65"/>
      <c r="SSU65"/>
      <c r="SSV65"/>
      <c r="SSW65"/>
      <c r="SSX65"/>
      <c r="SSY65"/>
      <c r="SSZ65"/>
      <c r="STA65"/>
      <c r="STB65"/>
      <c r="STC65"/>
      <c r="STD65"/>
      <c r="STE65"/>
      <c r="STF65"/>
      <c r="STG65"/>
      <c r="STH65"/>
      <c r="STI65"/>
      <c r="STJ65"/>
      <c r="STK65"/>
      <c r="STL65"/>
      <c r="STM65"/>
      <c r="STN65"/>
      <c r="STO65"/>
      <c r="STP65"/>
      <c r="STQ65"/>
      <c r="STR65"/>
      <c r="STS65"/>
      <c r="STT65"/>
      <c r="STU65"/>
      <c r="STV65"/>
      <c r="STW65"/>
      <c r="STX65"/>
      <c r="STY65"/>
      <c r="STZ65"/>
      <c r="SUA65"/>
      <c r="SUB65"/>
      <c r="SUC65"/>
      <c r="SUD65"/>
      <c r="SUE65"/>
      <c r="SUF65"/>
      <c r="SUG65"/>
      <c r="SUH65"/>
      <c r="SUI65"/>
      <c r="SUJ65"/>
      <c r="SUK65"/>
      <c r="SUL65"/>
      <c r="SUM65"/>
      <c r="SUN65"/>
      <c r="SUO65"/>
      <c r="SUP65"/>
      <c r="SUQ65"/>
      <c r="SUR65"/>
      <c r="SUS65"/>
      <c r="SUT65"/>
      <c r="SUU65"/>
      <c r="SUV65"/>
      <c r="SUW65"/>
      <c r="SUX65"/>
      <c r="SUY65"/>
      <c r="SUZ65"/>
      <c r="SVA65"/>
      <c r="SVB65"/>
      <c r="SVC65"/>
      <c r="SVD65"/>
      <c r="SVE65"/>
      <c r="SVF65"/>
      <c r="SVG65"/>
      <c r="SVH65"/>
      <c r="SVI65"/>
      <c r="SVJ65"/>
      <c r="SVK65"/>
      <c r="SVL65"/>
      <c r="SVM65"/>
      <c r="SVN65"/>
      <c r="SVO65"/>
      <c r="SVP65"/>
      <c r="SVQ65"/>
      <c r="SVR65"/>
      <c r="SVS65"/>
      <c r="SVT65"/>
      <c r="SVU65"/>
      <c r="SVV65"/>
      <c r="SVW65"/>
      <c r="SVX65"/>
      <c r="SVY65"/>
      <c r="SVZ65"/>
      <c r="SWA65"/>
      <c r="SWB65"/>
      <c r="SWC65"/>
      <c r="SWD65"/>
      <c r="SWE65"/>
      <c r="SWF65"/>
      <c r="SWG65"/>
      <c r="SWH65"/>
      <c r="SWI65"/>
      <c r="SWJ65"/>
      <c r="SWK65"/>
      <c r="SWL65"/>
      <c r="SWM65"/>
      <c r="SWN65"/>
      <c r="SWO65"/>
      <c r="SWP65"/>
      <c r="SWQ65"/>
      <c r="SWR65"/>
      <c r="SWS65"/>
      <c r="SWT65"/>
      <c r="SWU65"/>
      <c r="SWV65"/>
      <c r="SWW65"/>
      <c r="SWX65"/>
      <c r="SWY65"/>
      <c r="SWZ65"/>
      <c r="SXA65"/>
      <c r="SXB65"/>
      <c r="SXC65"/>
      <c r="SXD65"/>
      <c r="SXE65"/>
      <c r="SXF65"/>
      <c r="SXG65"/>
      <c r="SXH65"/>
      <c r="SXI65"/>
      <c r="SXJ65"/>
      <c r="SXK65"/>
      <c r="SXL65"/>
      <c r="SXM65"/>
      <c r="SXN65"/>
      <c r="SXO65"/>
      <c r="SXP65"/>
      <c r="SXQ65"/>
      <c r="SXR65"/>
      <c r="SXS65"/>
      <c r="SXT65"/>
      <c r="SXU65"/>
      <c r="SXV65"/>
      <c r="SXW65"/>
      <c r="SXX65"/>
      <c r="SXY65"/>
      <c r="SXZ65"/>
      <c r="SYA65"/>
      <c r="SYB65"/>
      <c r="SYC65"/>
      <c r="SYD65"/>
      <c r="SYE65"/>
      <c r="SYF65"/>
      <c r="SYG65"/>
      <c r="SYH65"/>
      <c r="SYI65"/>
      <c r="SYJ65"/>
      <c r="SYK65"/>
      <c r="SYL65"/>
      <c r="SYM65"/>
      <c r="SYN65"/>
      <c r="SYO65"/>
      <c r="SYP65"/>
      <c r="SYQ65"/>
      <c r="SYR65"/>
      <c r="SYS65"/>
      <c r="SYT65"/>
      <c r="SYU65"/>
      <c r="SYV65"/>
      <c r="SYW65"/>
      <c r="SYX65"/>
      <c r="SYY65"/>
      <c r="SYZ65"/>
      <c r="SZA65"/>
      <c r="SZB65"/>
      <c r="SZC65"/>
      <c r="SZD65"/>
      <c r="SZE65"/>
      <c r="SZF65"/>
      <c r="SZG65"/>
      <c r="SZH65"/>
      <c r="SZI65"/>
      <c r="SZJ65"/>
      <c r="SZK65"/>
      <c r="SZL65"/>
      <c r="SZM65"/>
      <c r="SZN65"/>
      <c r="SZO65"/>
      <c r="SZP65"/>
      <c r="SZQ65"/>
      <c r="SZR65"/>
      <c r="SZS65"/>
      <c r="SZT65"/>
      <c r="SZU65"/>
      <c r="SZV65"/>
      <c r="SZW65"/>
      <c r="SZX65"/>
      <c r="SZY65"/>
      <c r="SZZ65"/>
      <c r="TAA65"/>
      <c r="TAB65"/>
      <c r="TAC65"/>
      <c r="TAD65"/>
      <c r="TAE65"/>
      <c r="TAF65"/>
      <c r="TAG65"/>
      <c r="TAH65"/>
      <c r="TAI65"/>
      <c r="TAJ65"/>
      <c r="TAK65"/>
      <c r="TAL65"/>
      <c r="TAM65"/>
      <c r="TAN65"/>
      <c r="TAO65"/>
      <c r="TAP65"/>
      <c r="TAQ65"/>
      <c r="TAR65"/>
      <c r="TAS65"/>
      <c r="TAT65"/>
      <c r="TAU65"/>
      <c r="TAV65"/>
      <c r="TAW65"/>
      <c r="TAX65"/>
      <c r="TAY65"/>
      <c r="TAZ65"/>
      <c r="TBA65"/>
      <c r="TBB65"/>
      <c r="TBC65"/>
      <c r="TBD65"/>
      <c r="TBE65"/>
      <c r="TBF65"/>
      <c r="TBG65"/>
      <c r="TBH65"/>
      <c r="TBI65"/>
      <c r="TBJ65"/>
      <c r="TBK65"/>
      <c r="TBL65"/>
      <c r="TBM65"/>
      <c r="TBN65"/>
      <c r="TBO65"/>
      <c r="TBP65"/>
      <c r="TBQ65"/>
      <c r="TBR65"/>
      <c r="TBS65"/>
      <c r="TBT65"/>
      <c r="TBU65"/>
      <c r="TBV65"/>
      <c r="TBW65"/>
      <c r="TBX65"/>
      <c r="TBY65"/>
      <c r="TBZ65"/>
      <c r="TCA65"/>
      <c r="TCB65"/>
      <c r="TCC65"/>
      <c r="TCD65"/>
      <c r="TCE65"/>
      <c r="TCF65"/>
      <c r="TCG65"/>
      <c r="TCH65"/>
      <c r="TCI65"/>
      <c r="TCJ65"/>
      <c r="TCK65"/>
      <c r="TCL65"/>
      <c r="TCM65"/>
      <c r="TCN65"/>
      <c r="TCO65"/>
      <c r="TCP65"/>
      <c r="TCQ65"/>
      <c r="TCR65"/>
      <c r="TCS65"/>
      <c r="TCT65"/>
      <c r="TCU65"/>
      <c r="TCV65"/>
      <c r="TCW65"/>
      <c r="TCX65"/>
      <c r="TCY65"/>
      <c r="TCZ65"/>
      <c r="TDA65"/>
      <c r="TDB65"/>
      <c r="TDC65"/>
      <c r="TDD65"/>
      <c r="TDE65"/>
      <c r="TDF65"/>
      <c r="TDG65"/>
      <c r="TDH65"/>
      <c r="TDI65"/>
      <c r="TDJ65"/>
      <c r="TDK65"/>
      <c r="TDL65"/>
      <c r="TDM65"/>
      <c r="TDN65"/>
      <c r="TDO65"/>
      <c r="TDP65"/>
      <c r="TDQ65"/>
      <c r="TDR65"/>
      <c r="TDS65"/>
      <c r="TDT65"/>
      <c r="TDU65"/>
      <c r="TDV65"/>
      <c r="TDW65"/>
      <c r="TDX65"/>
      <c r="TDY65"/>
      <c r="TDZ65"/>
      <c r="TEA65"/>
      <c r="TEB65"/>
      <c r="TEC65"/>
      <c r="TED65"/>
      <c r="TEE65"/>
      <c r="TEF65"/>
      <c r="TEG65"/>
      <c r="TEH65"/>
      <c r="TEI65"/>
      <c r="TEJ65"/>
      <c r="TEK65"/>
      <c r="TEL65"/>
      <c r="TEM65"/>
      <c r="TEN65"/>
      <c r="TEO65"/>
      <c r="TEP65"/>
      <c r="TEQ65"/>
      <c r="TER65"/>
      <c r="TES65"/>
      <c r="TET65"/>
      <c r="TEU65"/>
      <c r="TEV65"/>
      <c r="TEW65"/>
      <c r="TEX65"/>
      <c r="TEY65"/>
      <c r="TEZ65"/>
      <c r="TFA65"/>
      <c r="TFB65"/>
      <c r="TFC65"/>
      <c r="TFD65"/>
      <c r="TFE65"/>
      <c r="TFF65"/>
      <c r="TFG65"/>
      <c r="TFH65"/>
      <c r="TFI65"/>
      <c r="TFJ65"/>
      <c r="TFK65"/>
      <c r="TFL65"/>
      <c r="TFM65"/>
      <c r="TFN65"/>
      <c r="TFO65"/>
      <c r="TFP65"/>
      <c r="TFQ65"/>
      <c r="TFR65"/>
      <c r="TFS65"/>
      <c r="TFT65"/>
      <c r="TFU65"/>
      <c r="TFV65"/>
      <c r="TFW65"/>
      <c r="TFX65"/>
      <c r="TFY65"/>
      <c r="TFZ65"/>
      <c r="TGA65"/>
      <c r="TGB65"/>
      <c r="TGC65"/>
      <c r="TGD65"/>
      <c r="TGE65"/>
      <c r="TGF65"/>
      <c r="TGG65"/>
      <c r="TGH65"/>
      <c r="TGI65"/>
      <c r="TGJ65"/>
      <c r="TGK65"/>
      <c r="TGL65"/>
      <c r="TGM65"/>
      <c r="TGN65"/>
      <c r="TGO65"/>
      <c r="TGP65"/>
      <c r="TGQ65"/>
      <c r="TGR65"/>
      <c r="TGS65"/>
      <c r="TGT65"/>
      <c r="TGU65"/>
      <c r="TGV65"/>
      <c r="TGW65"/>
      <c r="TGX65"/>
      <c r="TGY65"/>
      <c r="TGZ65"/>
      <c r="THA65"/>
      <c r="THB65"/>
      <c r="THC65"/>
      <c r="THD65"/>
      <c r="THE65"/>
      <c r="THF65"/>
      <c r="THG65"/>
      <c r="THH65"/>
      <c r="THI65"/>
      <c r="THJ65"/>
      <c r="THK65"/>
      <c r="THL65"/>
      <c r="THM65"/>
      <c r="THN65"/>
      <c r="THO65"/>
      <c r="THP65"/>
      <c r="THQ65"/>
      <c r="THR65"/>
      <c r="THS65"/>
      <c r="THT65"/>
      <c r="THU65"/>
      <c r="THV65"/>
      <c r="THW65"/>
      <c r="THX65"/>
      <c r="THY65"/>
      <c r="THZ65"/>
      <c r="TIA65"/>
      <c r="TIB65"/>
      <c r="TIC65"/>
      <c r="TID65"/>
      <c r="TIE65"/>
      <c r="TIF65"/>
      <c r="TIG65"/>
      <c r="TIH65"/>
      <c r="TII65"/>
      <c r="TIJ65"/>
      <c r="TIK65"/>
      <c r="TIL65"/>
      <c r="TIM65"/>
      <c r="TIN65"/>
      <c r="TIO65"/>
      <c r="TIP65"/>
      <c r="TIQ65"/>
      <c r="TIR65"/>
      <c r="TIS65"/>
      <c r="TIT65"/>
      <c r="TIU65"/>
      <c r="TIV65"/>
      <c r="TIW65"/>
      <c r="TIX65"/>
      <c r="TIY65"/>
      <c r="TIZ65"/>
      <c r="TJA65"/>
      <c r="TJB65"/>
      <c r="TJC65"/>
      <c r="TJD65"/>
      <c r="TJE65"/>
      <c r="TJF65"/>
      <c r="TJG65"/>
      <c r="TJH65"/>
      <c r="TJI65"/>
      <c r="TJJ65"/>
      <c r="TJK65"/>
      <c r="TJL65"/>
      <c r="TJM65"/>
      <c r="TJN65"/>
      <c r="TJO65"/>
      <c r="TJP65"/>
      <c r="TJQ65"/>
      <c r="TJR65"/>
      <c r="TJS65"/>
      <c r="TJT65"/>
      <c r="TJU65"/>
      <c r="TJV65"/>
      <c r="TJW65"/>
      <c r="TJX65"/>
      <c r="TJY65"/>
      <c r="TJZ65"/>
      <c r="TKA65"/>
      <c r="TKB65"/>
      <c r="TKC65"/>
      <c r="TKD65"/>
      <c r="TKE65"/>
      <c r="TKF65"/>
      <c r="TKG65"/>
      <c r="TKH65"/>
      <c r="TKI65"/>
      <c r="TKJ65"/>
      <c r="TKK65"/>
      <c r="TKL65"/>
      <c r="TKM65"/>
      <c r="TKN65"/>
      <c r="TKO65"/>
      <c r="TKP65"/>
      <c r="TKQ65"/>
      <c r="TKR65"/>
      <c r="TKS65"/>
      <c r="TKT65"/>
      <c r="TKU65"/>
      <c r="TKV65"/>
      <c r="TKW65"/>
      <c r="TKX65"/>
      <c r="TKY65"/>
      <c r="TKZ65"/>
      <c r="TLA65"/>
      <c r="TLB65"/>
      <c r="TLC65"/>
      <c r="TLD65"/>
      <c r="TLE65"/>
      <c r="TLF65"/>
      <c r="TLG65"/>
      <c r="TLH65"/>
      <c r="TLI65"/>
      <c r="TLJ65"/>
      <c r="TLK65"/>
      <c r="TLL65"/>
      <c r="TLM65"/>
      <c r="TLN65"/>
      <c r="TLO65"/>
      <c r="TLP65"/>
      <c r="TLQ65"/>
      <c r="TLR65"/>
      <c r="TLS65"/>
      <c r="TLT65"/>
      <c r="TLU65"/>
      <c r="TLV65"/>
      <c r="TLW65"/>
      <c r="TLX65"/>
      <c r="TLY65"/>
      <c r="TLZ65"/>
      <c r="TMA65"/>
      <c r="TMB65"/>
      <c r="TMC65"/>
      <c r="TMD65"/>
      <c r="TME65"/>
      <c r="TMF65"/>
      <c r="TMG65"/>
      <c r="TMH65"/>
      <c r="TMI65"/>
      <c r="TMJ65"/>
      <c r="TMK65"/>
      <c r="TML65"/>
      <c r="TMM65"/>
      <c r="TMN65"/>
      <c r="TMO65"/>
      <c r="TMP65"/>
      <c r="TMQ65"/>
      <c r="TMR65"/>
      <c r="TMS65"/>
      <c r="TMT65"/>
      <c r="TMU65"/>
      <c r="TMV65"/>
      <c r="TMW65"/>
      <c r="TMX65"/>
      <c r="TMY65"/>
      <c r="TMZ65"/>
      <c r="TNA65"/>
      <c r="TNB65"/>
      <c r="TNC65"/>
      <c r="TND65"/>
      <c r="TNE65"/>
      <c r="TNF65"/>
      <c r="TNG65"/>
      <c r="TNH65"/>
      <c r="TNI65"/>
      <c r="TNJ65"/>
      <c r="TNK65"/>
      <c r="TNL65"/>
      <c r="TNM65"/>
      <c r="TNN65"/>
      <c r="TNO65"/>
      <c r="TNP65"/>
      <c r="TNQ65"/>
      <c r="TNR65"/>
      <c r="TNS65"/>
      <c r="TNT65"/>
      <c r="TNU65"/>
      <c r="TNV65"/>
      <c r="TNW65"/>
      <c r="TNX65"/>
      <c r="TNY65"/>
      <c r="TNZ65"/>
      <c r="TOA65"/>
      <c r="TOB65"/>
      <c r="TOC65"/>
      <c r="TOD65"/>
      <c r="TOE65"/>
      <c r="TOF65"/>
      <c r="TOG65"/>
      <c r="TOH65"/>
      <c r="TOI65"/>
      <c r="TOJ65"/>
      <c r="TOK65"/>
      <c r="TOL65"/>
      <c r="TOM65"/>
      <c r="TON65"/>
      <c r="TOO65"/>
      <c r="TOP65"/>
      <c r="TOQ65"/>
      <c r="TOR65"/>
      <c r="TOS65"/>
      <c r="TOT65"/>
      <c r="TOU65"/>
      <c r="TOV65"/>
      <c r="TOW65"/>
      <c r="TOX65"/>
      <c r="TOY65"/>
      <c r="TOZ65"/>
      <c r="TPA65"/>
      <c r="TPB65"/>
      <c r="TPC65"/>
      <c r="TPD65"/>
      <c r="TPE65"/>
      <c r="TPF65"/>
      <c r="TPG65"/>
      <c r="TPH65"/>
      <c r="TPI65"/>
      <c r="TPJ65"/>
      <c r="TPK65"/>
      <c r="TPL65"/>
      <c r="TPM65"/>
      <c r="TPN65"/>
      <c r="TPO65"/>
      <c r="TPP65"/>
      <c r="TPQ65"/>
      <c r="TPR65"/>
      <c r="TPS65"/>
      <c r="TPT65"/>
      <c r="TPU65"/>
      <c r="TPV65"/>
      <c r="TPW65"/>
      <c r="TPX65"/>
      <c r="TPY65"/>
      <c r="TPZ65"/>
      <c r="TQA65"/>
      <c r="TQB65"/>
      <c r="TQC65"/>
      <c r="TQD65"/>
      <c r="TQE65"/>
      <c r="TQF65"/>
      <c r="TQG65"/>
      <c r="TQH65"/>
      <c r="TQI65"/>
      <c r="TQJ65"/>
      <c r="TQK65"/>
      <c r="TQL65"/>
      <c r="TQM65"/>
      <c r="TQN65"/>
      <c r="TQO65"/>
      <c r="TQP65"/>
      <c r="TQQ65"/>
      <c r="TQR65"/>
      <c r="TQS65"/>
      <c r="TQT65"/>
      <c r="TQU65"/>
      <c r="TQV65"/>
      <c r="TQW65"/>
      <c r="TQX65"/>
      <c r="TQY65"/>
      <c r="TQZ65"/>
      <c r="TRA65"/>
      <c r="TRB65"/>
      <c r="TRC65"/>
      <c r="TRD65"/>
      <c r="TRE65"/>
      <c r="TRF65"/>
      <c r="TRG65"/>
      <c r="TRH65"/>
      <c r="TRI65"/>
      <c r="TRJ65"/>
      <c r="TRK65"/>
      <c r="TRL65"/>
      <c r="TRM65"/>
      <c r="TRN65"/>
      <c r="TRO65"/>
      <c r="TRP65"/>
      <c r="TRQ65"/>
      <c r="TRR65"/>
      <c r="TRS65"/>
      <c r="TRT65"/>
      <c r="TRU65"/>
      <c r="TRV65"/>
      <c r="TRW65"/>
      <c r="TRX65"/>
      <c r="TRY65"/>
      <c r="TRZ65"/>
      <c r="TSA65"/>
      <c r="TSB65"/>
      <c r="TSC65"/>
      <c r="TSD65"/>
      <c r="TSE65"/>
      <c r="TSF65"/>
      <c r="TSG65"/>
      <c r="TSH65"/>
      <c r="TSI65"/>
      <c r="TSJ65"/>
      <c r="TSK65"/>
      <c r="TSL65"/>
      <c r="TSM65"/>
      <c r="TSN65"/>
      <c r="TSO65"/>
      <c r="TSP65"/>
      <c r="TSQ65"/>
      <c r="TSR65"/>
      <c r="TSS65"/>
      <c r="TST65"/>
      <c r="TSU65"/>
      <c r="TSV65"/>
      <c r="TSW65"/>
      <c r="TSX65"/>
      <c r="TSY65"/>
      <c r="TSZ65"/>
      <c r="TTA65"/>
      <c r="TTB65"/>
      <c r="TTC65"/>
      <c r="TTD65"/>
      <c r="TTE65"/>
      <c r="TTF65"/>
      <c r="TTG65"/>
      <c r="TTH65"/>
      <c r="TTI65"/>
      <c r="TTJ65"/>
      <c r="TTK65"/>
      <c r="TTL65"/>
      <c r="TTM65"/>
      <c r="TTN65"/>
      <c r="TTO65"/>
      <c r="TTP65"/>
      <c r="TTQ65"/>
      <c r="TTR65"/>
      <c r="TTS65"/>
      <c r="TTT65"/>
      <c r="TTU65"/>
      <c r="TTV65"/>
      <c r="TTW65"/>
      <c r="TTX65"/>
      <c r="TTY65"/>
      <c r="TTZ65"/>
      <c r="TUA65"/>
      <c r="TUB65"/>
      <c r="TUC65"/>
      <c r="TUD65"/>
      <c r="TUE65"/>
      <c r="TUF65"/>
      <c r="TUG65"/>
      <c r="TUH65"/>
      <c r="TUI65"/>
      <c r="TUJ65"/>
      <c r="TUK65"/>
      <c r="TUL65"/>
      <c r="TUM65"/>
      <c r="TUN65"/>
      <c r="TUO65"/>
      <c r="TUP65"/>
      <c r="TUQ65"/>
      <c r="TUR65"/>
      <c r="TUS65"/>
      <c r="TUT65"/>
      <c r="TUU65"/>
      <c r="TUV65"/>
      <c r="TUW65"/>
      <c r="TUX65"/>
      <c r="TUY65"/>
      <c r="TUZ65"/>
      <c r="TVA65"/>
      <c r="TVB65"/>
      <c r="TVC65"/>
      <c r="TVD65"/>
      <c r="TVE65"/>
      <c r="TVF65"/>
      <c r="TVG65"/>
      <c r="TVH65"/>
      <c r="TVI65"/>
      <c r="TVJ65"/>
      <c r="TVK65"/>
      <c r="TVL65"/>
      <c r="TVM65"/>
      <c r="TVN65"/>
      <c r="TVO65"/>
      <c r="TVP65"/>
      <c r="TVQ65"/>
      <c r="TVR65"/>
      <c r="TVS65"/>
      <c r="TVT65"/>
      <c r="TVU65"/>
      <c r="TVV65"/>
      <c r="TVW65"/>
      <c r="TVX65"/>
      <c r="TVY65"/>
      <c r="TVZ65"/>
      <c r="TWA65"/>
      <c r="TWB65"/>
      <c r="TWC65"/>
      <c r="TWD65"/>
      <c r="TWE65"/>
      <c r="TWF65"/>
      <c r="TWG65"/>
      <c r="TWH65"/>
      <c r="TWI65"/>
      <c r="TWJ65"/>
      <c r="TWK65"/>
      <c r="TWL65"/>
      <c r="TWM65"/>
      <c r="TWN65"/>
      <c r="TWO65"/>
      <c r="TWP65"/>
      <c r="TWQ65"/>
      <c r="TWR65"/>
      <c r="TWS65"/>
      <c r="TWT65"/>
      <c r="TWU65"/>
      <c r="TWV65"/>
      <c r="TWW65"/>
      <c r="TWX65"/>
      <c r="TWY65"/>
      <c r="TWZ65"/>
      <c r="TXA65"/>
      <c r="TXB65"/>
      <c r="TXC65"/>
      <c r="TXD65"/>
      <c r="TXE65"/>
      <c r="TXF65"/>
      <c r="TXG65"/>
      <c r="TXH65"/>
      <c r="TXI65"/>
      <c r="TXJ65"/>
      <c r="TXK65"/>
      <c r="TXL65"/>
      <c r="TXM65"/>
      <c r="TXN65"/>
      <c r="TXO65"/>
      <c r="TXP65"/>
      <c r="TXQ65"/>
      <c r="TXR65"/>
      <c r="TXS65"/>
      <c r="TXT65"/>
      <c r="TXU65"/>
      <c r="TXV65"/>
      <c r="TXW65"/>
      <c r="TXX65"/>
      <c r="TXY65"/>
      <c r="TXZ65"/>
      <c r="TYA65"/>
      <c r="TYB65"/>
      <c r="TYC65"/>
      <c r="TYD65"/>
      <c r="TYE65"/>
      <c r="TYF65"/>
      <c r="TYG65"/>
      <c r="TYH65"/>
      <c r="TYI65"/>
      <c r="TYJ65"/>
      <c r="TYK65"/>
      <c r="TYL65"/>
      <c r="TYM65"/>
      <c r="TYN65"/>
      <c r="TYO65"/>
      <c r="TYP65"/>
      <c r="TYQ65"/>
      <c r="TYR65"/>
      <c r="TYS65"/>
      <c r="TYT65"/>
      <c r="TYU65"/>
      <c r="TYV65"/>
      <c r="TYW65"/>
      <c r="TYX65"/>
      <c r="TYY65"/>
      <c r="TYZ65"/>
      <c r="TZA65"/>
      <c r="TZB65"/>
      <c r="TZC65"/>
      <c r="TZD65"/>
      <c r="TZE65"/>
      <c r="TZF65"/>
      <c r="TZG65"/>
      <c r="TZH65"/>
      <c r="TZI65"/>
      <c r="TZJ65"/>
      <c r="TZK65"/>
      <c r="TZL65"/>
      <c r="TZM65"/>
      <c r="TZN65"/>
      <c r="TZO65"/>
      <c r="TZP65"/>
      <c r="TZQ65"/>
      <c r="TZR65"/>
      <c r="TZS65"/>
      <c r="TZT65"/>
      <c r="TZU65"/>
      <c r="TZV65"/>
      <c r="TZW65"/>
      <c r="TZX65"/>
      <c r="TZY65"/>
      <c r="TZZ65"/>
      <c r="UAA65"/>
      <c r="UAB65"/>
      <c r="UAC65"/>
      <c r="UAD65"/>
      <c r="UAE65"/>
      <c r="UAF65"/>
      <c r="UAG65"/>
      <c r="UAH65"/>
      <c r="UAI65"/>
      <c r="UAJ65"/>
      <c r="UAK65"/>
      <c r="UAL65"/>
      <c r="UAM65"/>
      <c r="UAN65"/>
      <c r="UAO65"/>
      <c r="UAP65"/>
      <c r="UAQ65"/>
      <c r="UAR65"/>
      <c r="UAS65"/>
      <c r="UAT65"/>
      <c r="UAU65"/>
      <c r="UAV65"/>
      <c r="UAW65"/>
      <c r="UAX65"/>
      <c r="UAY65"/>
      <c r="UAZ65"/>
      <c r="UBA65"/>
      <c r="UBB65"/>
      <c r="UBC65"/>
      <c r="UBD65"/>
      <c r="UBE65"/>
      <c r="UBF65"/>
      <c r="UBG65"/>
      <c r="UBH65"/>
      <c r="UBI65"/>
      <c r="UBJ65"/>
      <c r="UBK65"/>
      <c r="UBL65"/>
      <c r="UBM65"/>
      <c r="UBN65"/>
      <c r="UBO65"/>
      <c r="UBP65"/>
      <c r="UBQ65"/>
      <c r="UBR65"/>
      <c r="UBS65"/>
      <c r="UBT65"/>
      <c r="UBU65"/>
      <c r="UBV65"/>
      <c r="UBW65"/>
      <c r="UBX65"/>
      <c r="UBY65"/>
      <c r="UBZ65"/>
      <c r="UCA65"/>
      <c r="UCB65"/>
      <c r="UCC65"/>
      <c r="UCD65"/>
      <c r="UCE65"/>
      <c r="UCF65"/>
      <c r="UCG65"/>
      <c r="UCH65"/>
      <c r="UCI65"/>
      <c r="UCJ65"/>
      <c r="UCK65"/>
      <c r="UCL65"/>
      <c r="UCM65"/>
      <c r="UCN65"/>
      <c r="UCO65"/>
      <c r="UCP65"/>
      <c r="UCQ65"/>
      <c r="UCR65"/>
      <c r="UCS65"/>
      <c r="UCT65"/>
      <c r="UCU65"/>
      <c r="UCV65"/>
      <c r="UCW65"/>
      <c r="UCX65"/>
      <c r="UCY65"/>
      <c r="UCZ65"/>
      <c r="UDA65"/>
      <c r="UDB65"/>
      <c r="UDC65"/>
      <c r="UDD65"/>
      <c r="UDE65"/>
      <c r="UDF65"/>
      <c r="UDG65"/>
      <c r="UDH65"/>
      <c r="UDI65"/>
      <c r="UDJ65"/>
      <c r="UDK65"/>
      <c r="UDL65"/>
      <c r="UDM65"/>
      <c r="UDN65"/>
      <c r="UDO65"/>
      <c r="UDP65"/>
      <c r="UDQ65"/>
      <c r="UDR65"/>
      <c r="UDS65"/>
      <c r="UDT65"/>
      <c r="UDU65"/>
      <c r="UDV65"/>
      <c r="UDW65"/>
      <c r="UDX65"/>
      <c r="UDY65"/>
      <c r="UDZ65"/>
      <c r="UEA65"/>
      <c r="UEB65"/>
      <c r="UEC65"/>
      <c r="UED65"/>
      <c r="UEE65"/>
      <c r="UEF65"/>
      <c r="UEG65"/>
      <c r="UEH65"/>
      <c r="UEI65"/>
      <c r="UEJ65"/>
      <c r="UEK65"/>
      <c r="UEL65"/>
      <c r="UEM65"/>
      <c r="UEN65"/>
      <c r="UEO65"/>
      <c r="UEP65"/>
      <c r="UEQ65"/>
      <c r="UER65"/>
      <c r="UES65"/>
      <c r="UET65"/>
      <c r="UEU65"/>
      <c r="UEV65"/>
      <c r="UEW65"/>
      <c r="UEX65"/>
      <c r="UEY65"/>
      <c r="UEZ65"/>
      <c r="UFA65"/>
      <c r="UFB65"/>
      <c r="UFC65"/>
      <c r="UFD65"/>
      <c r="UFE65"/>
      <c r="UFF65"/>
      <c r="UFG65"/>
      <c r="UFH65"/>
      <c r="UFI65"/>
      <c r="UFJ65"/>
      <c r="UFK65"/>
      <c r="UFL65"/>
      <c r="UFM65"/>
      <c r="UFN65"/>
      <c r="UFO65"/>
      <c r="UFP65"/>
      <c r="UFQ65"/>
      <c r="UFR65"/>
      <c r="UFS65"/>
      <c r="UFT65"/>
      <c r="UFU65"/>
      <c r="UFV65"/>
      <c r="UFW65"/>
      <c r="UFX65"/>
      <c r="UFY65"/>
      <c r="UFZ65"/>
      <c r="UGA65"/>
      <c r="UGB65"/>
      <c r="UGC65"/>
      <c r="UGD65"/>
      <c r="UGE65"/>
      <c r="UGF65"/>
      <c r="UGG65"/>
      <c r="UGH65"/>
      <c r="UGI65"/>
      <c r="UGJ65"/>
      <c r="UGK65"/>
      <c r="UGL65"/>
      <c r="UGM65"/>
      <c r="UGN65"/>
      <c r="UGO65"/>
      <c r="UGP65"/>
      <c r="UGQ65"/>
      <c r="UGR65"/>
      <c r="UGS65"/>
      <c r="UGT65"/>
      <c r="UGU65"/>
      <c r="UGV65"/>
      <c r="UGW65"/>
      <c r="UGX65"/>
      <c r="UGY65"/>
      <c r="UGZ65"/>
      <c r="UHA65"/>
      <c r="UHB65"/>
      <c r="UHC65"/>
      <c r="UHD65"/>
      <c r="UHE65"/>
      <c r="UHF65"/>
      <c r="UHG65"/>
      <c r="UHH65"/>
      <c r="UHI65"/>
      <c r="UHJ65"/>
      <c r="UHK65"/>
      <c r="UHL65"/>
      <c r="UHM65"/>
      <c r="UHN65"/>
      <c r="UHO65"/>
      <c r="UHP65"/>
      <c r="UHQ65"/>
      <c r="UHR65"/>
      <c r="UHS65"/>
      <c r="UHT65"/>
      <c r="UHU65"/>
      <c r="UHV65"/>
      <c r="UHW65"/>
      <c r="UHX65"/>
      <c r="UHY65"/>
      <c r="UHZ65"/>
      <c r="UIA65"/>
      <c r="UIB65"/>
      <c r="UIC65"/>
      <c r="UID65"/>
      <c r="UIE65"/>
      <c r="UIF65"/>
      <c r="UIG65"/>
      <c r="UIH65"/>
      <c r="UII65"/>
      <c r="UIJ65"/>
      <c r="UIK65"/>
      <c r="UIL65"/>
      <c r="UIM65"/>
      <c r="UIN65"/>
      <c r="UIO65"/>
      <c r="UIP65"/>
      <c r="UIQ65"/>
      <c r="UIR65"/>
      <c r="UIS65"/>
      <c r="UIT65"/>
      <c r="UIU65"/>
      <c r="UIV65"/>
      <c r="UIW65"/>
      <c r="UIX65"/>
      <c r="UIY65"/>
      <c r="UIZ65"/>
      <c r="UJA65"/>
      <c r="UJB65"/>
      <c r="UJC65"/>
      <c r="UJD65"/>
      <c r="UJE65"/>
      <c r="UJF65"/>
      <c r="UJG65"/>
      <c r="UJH65"/>
      <c r="UJI65"/>
      <c r="UJJ65"/>
      <c r="UJK65"/>
      <c r="UJL65"/>
      <c r="UJM65"/>
      <c r="UJN65"/>
      <c r="UJO65"/>
      <c r="UJP65"/>
      <c r="UJQ65"/>
      <c r="UJR65"/>
      <c r="UJS65"/>
      <c r="UJT65"/>
      <c r="UJU65"/>
      <c r="UJV65"/>
      <c r="UJW65"/>
      <c r="UJX65"/>
      <c r="UJY65"/>
      <c r="UJZ65"/>
      <c r="UKA65"/>
      <c r="UKB65"/>
      <c r="UKC65"/>
      <c r="UKD65"/>
      <c r="UKE65"/>
      <c r="UKF65"/>
      <c r="UKG65"/>
      <c r="UKH65"/>
      <c r="UKI65"/>
      <c r="UKJ65"/>
      <c r="UKK65"/>
      <c r="UKL65"/>
      <c r="UKM65"/>
      <c r="UKN65"/>
      <c r="UKO65"/>
      <c r="UKP65"/>
      <c r="UKQ65"/>
      <c r="UKR65"/>
      <c r="UKS65"/>
      <c r="UKT65"/>
      <c r="UKU65"/>
      <c r="UKV65"/>
      <c r="UKW65"/>
      <c r="UKX65"/>
      <c r="UKY65"/>
      <c r="UKZ65"/>
      <c r="ULA65"/>
      <c r="ULB65"/>
      <c r="ULC65"/>
      <c r="ULD65"/>
      <c r="ULE65"/>
      <c r="ULF65"/>
      <c r="ULG65"/>
      <c r="ULH65"/>
      <c r="ULI65"/>
      <c r="ULJ65"/>
      <c r="ULK65"/>
      <c r="ULL65"/>
      <c r="ULM65"/>
      <c r="ULN65"/>
      <c r="ULO65"/>
      <c r="ULP65"/>
      <c r="ULQ65"/>
      <c r="ULR65"/>
      <c r="ULS65"/>
      <c r="ULT65"/>
      <c r="ULU65"/>
      <c r="ULV65"/>
      <c r="ULW65"/>
      <c r="ULX65"/>
      <c r="ULY65"/>
      <c r="ULZ65"/>
      <c r="UMA65"/>
      <c r="UMB65"/>
      <c r="UMC65"/>
      <c r="UMD65"/>
      <c r="UME65"/>
      <c r="UMF65"/>
      <c r="UMG65"/>
      <c r="UMH65"/>
      <c r="UMI65"/>
      <c r="UMJ65"/>
      <c r="UMK65"/>
      <c r="UML65"/>
      <c r="UMM65"/>
      <c r="UMN65"/>
      <c r="UMO65"/>
      <c r="UMP65"/>
      <c r="UMQ65"/>
      <c r="UMR65"/>
      <c r="UMS65"/>
      <c r="UMT65"/>
      <c r="UMU65"/>
      <c r="UMV65"/>
      <c r="UMW65"/>
      <c r="UMX65"/>
      <c r="UMY65"/>
      <c r="UMZ65"/>
      <c r="UNA65"/>
      <c r="UNB65"/>
      <c r="UNC65"/>
      <c r="UND65"/>
      <c r="UNE65"/>
      <c r="UNF65"/>
      <c r="UNG65"/>
      <c r="UNH65"/>
      <c r="UNI65"/>
      <c r="UNJ65"/>
      <c r="UNK65"/>
      <c r="UNL65"/>
      <c r="UNM65"/>
      <c r="UNN65"/>
      <c r="UNO65"/>
      <c r="UNP65"/>
      <c r="UNQ65"/>
      <c r="UNR65"/>
      <c r="UNS65"/>
      <c r="UNT65"/>
      <c r="UNU65"/>
      <c r="UNV65"/>
      <c r="UNW65"/>
      <c r="UNX65"/>
      <c r="UNY65"/>
      <c r="UNZ65"/>
      <c r="UOA65"/>
      <c r="UOB65"/>
      <c r="UOC65"/>
      <c r="UOD65"/>
      <c r="UOE65"/>
      <c r="UOF65"/>
      <c r="UOG65"/>
      <c r="UOH65"/>
      <c r="UOI65"/>
      <c r="UOJ65"/>
      <c r="UOK65"/>
      <c r="UOL65"/>
      <c r="UOM65"/>
      <c r="UON65"/>
      <c r="UOO65"/>
      <c r="UOP65"/>
      <c r="UOQ65"/>
      <c r="UOR65"/>
      <c r="UOS65"/>
      <c r="UOT65"/>
      <c r="UOU65"/>
      <c r="UOV65"/>
      <c r="UOW65"/>
      <c r="UOX65"/>
      <c r="UOY65"/>
      <c r="UOZ65"/>
      <c r="UPA65"/>
      <c r="UPB65"/>
      <c r="UPC65"/>
      <c r="UPD65"/>
      <c r="UPE65"/>
      <c r="UPF65"/>
      <c r="UPG65"/>
      <c r="UPH65"/>
      <c r="UPI65"/>
      <c r="UPJ65"/>
      <c r="UPK65"/>
      <c r="UPL65"/>
      <c r="UPM65"/>
      <c r="UPN65"/>
      <c r="UPO65"/>
      <c r="UPP65"/>
      <c r="UPQ65"/>
      <c r="UPR65"/>
      <c r="UPS65"/>
      <c r="UPT65"/>
      <c r="UPU65"/>
      <c r="UPV65"/>
      <c r="UPW65"/>
      <c r="UPX65"/>
      <c r="UPY65"/>
      <c r="UPZ65"/>
      <c r="UQA65"/>
      <c r="UQB65"/>
      <c r="UQC65"/>
      <c r="UQD65"/>
      <c r="UQE65"/>
      <c r="UQF65"/>
      <c r="UQG65"/>
      <c r="UQH65"/>
      <c r="UQI65"/>
      <c r="UQJ65"/>
      <c r="UQK65"/>
      <c r="UQL65"/>
      <c r="UQM65"/>
      <c r="UQN65"/>
      <c r="UQO65"/>
      <c r="UQP65"/>
      <c r="UQQ65"/>
      <c r="UQR65"/>
      <c r="UQS65"/>
      <c r="UQT65"/>
      <c r="UQU65"/>
      <c r="UQV65"/>
      <c r="UQW65"/>
      <c r="UQX65"/>
      <c r="UQY65"/>
      <c r="UQZ65"/>
      <c r="URA65"/>
      <c r="URB65"/>
      <c r="URC65"/>
      <c r="URD65"/>
      <c r="URE65"/>
      <c r="URF65"/>
      <c r="URG65"/>
      <c r="URH65"/>
      <c r="URI65"/>
      <c r="URJ65"/>
      <c r="URK65"/>
      <c r="URL65"/>
      <c r="URM65"/>
      <c r="URN65"/>
      <c r="URO65"/>
      <c r="URP65"/>
      <c r="URQ65"/>
      <c r="URR65"/>
      <c r="URS65"/>
      <c r="URT65"/>
      <c r="URU65"/>
      <c r="URV65"/>
      <c r="URW65"/>
      <c r="URX65"/>
      <c r="URY65"/>
      <c r="URZ65"/>
      <c r="USA65"/>
      <c r="USB65"/>
      <c r="USC65"/>
      <c r="USD65"/>
      <c r="USE65"/>
      <c r="USF65"/>
      <c r="USG65"/>
      <c r="USH65"/>
      <c r="USI65"/>
      <c r="USJ65"/>
      <c r="USK65"/>
      <c r="USL65"/>
      <c r="USM65"/>
      <c r="USN65"/>
      <c r="USO65"/>
      <c r="USP65"/>
      <c r="USQ65"/>
      <c r="USR65"/>
      <c r="USS65"/>
      <c r="UST65"/>
      <c r="USU65"/>
      <c r="USV65"/>
      <c r="USW65"/>
      <c r="USX65"/>
      <c r="USY65"/>
      <c r="USZ65"/>
      <c r="UTA65"/>
      <c r="UTB65"/>
      <c r="UTC65"/>
      <c r="UTD65"/>
      <c r="UTE65"/>
      <c r="UTF65"/>
      <c r="UTG65"/>
      <c r="UTH65"/>
      <c r="UTI65"/>
      <c r="UTJ65"/>
      <c r="UTK65"/>
      <c r="UTL65"/>
      <c r="UTM65"/>
      <c r="UTN65"/>
      <c r="UTO65"/>
      <c r="UTP65"/>
      <c r="UTQ65"/>
      <c r="UTR65"/>
      <c r="UTS65"/>
      <c r="UTT65"/>
      <c r="UTU65"/>
      <c r="UTV65"/>
      <c r="UTW65"/>
      <c r="UTX65"/>
      <c r="UTY65"/>
      <c r="UTZ65"/>
      <c r="UUA65"/>
      <c r="UUB65"/>
      <c r="UUC65"/>
      <c r="UUD65"/>
      <c r="UUE65"/>
      <c r="UUF65"/>
      <c r="UUG65"/>
      <c r="UUH65"/>
      <c r="UUI65"/>
      <c r="UUJ65"/>
      <c r="UUK65"/>
      <c r="UUL65"/>
      <c r="UUM65"/>
      <c r="UUN65"/>
      <c r="UUO65"/>
      <c r="UUP65"/>
      <c r="UUQ65"/>
      <c r="UUR65"/>
      <c r="UUS65"/>
      <c r="UUT65"/>
      <c r="UUU65"/>
      <c r="UUV65"/>
      <c r="UUW65"/>
      <c r="UUX65"/>
      <c r="UUY65"/>
      <c r="UUZ65"/>
      <c r="UVA65"/>
      <c r="UVB65"/>
      <c r="UVC65"/>
      <c r="UVD65"/>
      <c r="UVE65"/>
      <c r="UVF65"/>
      <c r="UVG65"/>
      <c r="UVH65"/>
      <c r="UVI65"/>
      <c r="UVJ65"/>
      <c r="UVK65"/>
      <c r="UVL65"/>
      <c r="UVM65"/>
      <c r="UVN65"/>
      <c r="UVO65"/>
      <c r="UVP65"/>
      <c r="UVQ65"/>
      <c r="UVR65"/>
      <c r="UVS65"/>
      <c r="UVT65"/>
      <c r="UVU65"/>
      <c r="UVV65"/>
      <c r="UVW65"/>
      <c r="UVX65"/>
      <c r="UVY65"/>
      <c r="UVZ65"/>
      <c r="UWA65"/>
      <c r="UWB65"/>
      <c r="UWC65"/>
      <c r="UWD65"/>
      <c r="UWE65"/>
      <c r="UWF65"/>
      <c r="UWG65"/>
      <c r="UWH65"/>
      <c r="UWI65"/>
      <c r="UWJ65"/>
      <c r="UWK65"/>
      <c r="UWL65"/>
      <c r="UWM65"/>
      <c r="UWN65"/>
      <c r="UWO65"/>
      <c r="UWP65"/>
      <c r="UWQ65"/>
      <c r="UWR65"/>
      <c r="UWS65"/>
      <c r="UWT65"/>
      <c r="UWU65"/>
      <c r="UWV65"/>
      <c r="UWW65"/>
      <c r="UWX65"/>
      <c r="UWY65"/>
      <c r="UWZ65"/>
      <c r="UXA65"/>
      <c r="UXB65"/>
      <c r="UXC65"/>
      <c r="UXD65"/>
      <c r="UXE65"/>
      <c r="UXF65"/>
      <c r="UXG65"/>
      <c r="UXH65"/>
      <c r="UXI65"/>
      <c r="UXJ65"/>
      <c r="UXK65"/>
      <c r="UXL65"/>
      <c r="UXM65"/>
      <c r="UXN65"/>
      <c r="UXO65"/>
      <c r="UXP65"/>
      <c r="UXQ65"/>
      <c r="UXR65"/>
      <c r="UXS65"/>
      <c r="UXT65"/>
      <c r="UXU65"/>
      <c r="UXV65"/>
      <c r="UXW65"/>
      <c r="UXX65"/>
      <c r="UXY65"/>
      <c r="UXZ65"/>
      <c r="UYA65"/>
      <c r="UYB65"/>
      <c r="UYC65"/>
      <c r="UYD65"/>
      <c r="UYE65"/>
      <c r="UYF65"/>
      <c r="UYG65"/>
      <c r="UYH65"/>
      <c r="UYI65"/>
      <c r="UYJ65"/>
      <c r="UYK65"/>
      <c r="UYL65"/>
      <c r="UYM65"/>
      <c r="UYN65"/>
      <c r="UYO65"/>
      <c r="UYP65"/>
      <c r="UYQ65"/>
      <c r="UYR65"/>
      <c r="UYS65"/>
      <c r="UYT65"/>
      <c r="UYU65"/>
      <c r="UYV65"/>
      <c r="UYW65"/>
      <c r="UYX65"/>
      <c r="UYY65"/>
      <c r="UYZ65"/>
      <c r="UZA65"/>
      <c r="UZB65"/>
      <c r="UZC65"/>
      <c r="UZD65"/>
      <c r="UZE65"/>
      <c r="UZF65"/>
      <c r="UZG65"/>
      <c r="UZH65"/>
      <c r="UZI65"/>
      <c r="UZJ65"/>
      <c r="UZK65"/>
      <c r="UZL65"/>
      <c r="UZM65"/>
      <c r="UZN65"/>
      <c r="UZO65"/>
      <c r="UZP65"/>
      <c r="UZQ65"/>
      <c r="UZR65"/>
      <c r="UZS65"/>
      <c r="UZT65"/>
      <c r="UZU65"/>
      <c r="UZV65"/>
      <c r="UZW65"/>
      <c r="UZX65"/>
      <c r="UZY65"/>
      <c r="UZZ65"/>
      <c r="VAA65"/>
      <c r="VAB65"/>
      <c r="VAC65"/>
      <c r="VAD65"/>
      <c r="VAE65"/>
      <c r="VAF65"/>
      <c r="VAG65"/>
      <c r="VAH65"/>
      <c r="VAI65"/>
      <c r="VAJ65"/>
      <c r="VAK65"/>
      <c r="VAL65"/>
      <c r="VAM65"/>
      <c r="VAN65"/>
      <c r="VAO65"/>
      <c r="VAP65"/>
      <c r="VAQ65"/>
      <c r="VAR65"/>
      <c r="VAS65"/>
      <c r="VAT65"/>
      <c r="VAU65"/>
      <c r="VAV65"/>
      <c r="VAW65"/>
      <c r="VAX65"/>
      <c r="VAY65"/>
      <c r="VAZ65"/>
      <c r="VBA65"/>
      <c r="VBB65"/>
      <c r="VBC65"/>
      <c r="VBD65"/>
      <c r="VBE65"/>
      <c r="VBF65"/>
      <c r="VBG65"/>
      <c r="VBH65"/>
      <c r="VBI65"/>
      <c r="VBJ65"/>
      <c r="VBK65"/>
      <c r="VBL65"/>
      <c r="VBM65"/>
      <c r="VBN65"/>
      <c r="VBO65"/>
      <c r="VBP65"/>
      <c r="VBQ65"/>
      <c r="VBR65"/>
      <c r="VBS65"/>
      <c r="VBT65"/>
      <c r="VBU65"/>
      <c r="VBV65"/>
      <c r="VBW65"/>
      <c r="VBX65"/>
      <c r="VBY65"/>
      <c r="VBZ65"/>
      <c r="VCA65"/>
      <c r="VCB65"/>
      <c r="VCC65"/>
      <c r="VCD65"/>
      <c r="VCE65"/>
      <c r="VCF65"/>
      <c r="VCG65"/>
      <c r="VCH65"/>
      <c r="VCI65"/>
      <c r="VCJ65"/>
      <c r="VCK65"/>
      <c r="VCL65"/>
      <c r="VCM65"/>
      <c r="VCN65"/>
      <c r="VCO65"/>
      <c r="VCP65"/>
      <c r="VCQ65"/>
      <c r="VCR65"/>
      <c r="VCS65"/>
      <c r="VCT65"/>
      <c r="VCU65"/>
      <c r="VCV65"/>
      <c r="VCW65"/>
      <c r="VCX65"/>
      <c r="VCY65"/>
      <c r="VCZ65"/>
      <c r="VDA65"/>
      <c r="VDB65"/>
      <c r="VDC65"/>
      <c r="VDD65"/>
      <c r="VDE65"/>
      <c r="VDF65"/>
      <c r="VDG65"/>
      <c r="VDH65"/>
      <c r="VDI65"/>
      <c r="VDJ65"/>
      <c r="VDK65"/>
      <c r="VDL65"/>
      <c r="VDM65"/>
      <c r="VDN65"/>
      <c r="VDO65"/>
      <c r="VDP65"/>
      <c r="VDQ65"/>
      <c r="VDR65"/>
      <c r="VDS65"/>
      <c r="VDT65"/>
      <c r="VDU65"/>
      <c r="VDV65"/>
      <c r="VDW65"/>
      <c r="VDX65"/>
      <c r="VDY65"/>
      <c r="VDZ65"/>
      <c r="VEA65"/>
      <c r="VEB65"/>
      <c r="VEC65"/>
      <c r="VED65"/>
      <c r="VEE65"/>
      <c r="VEF65"/>
      <c r="VEG65"/>
      <c r="VEH65"/>
      <c r="VEI65"/>
      <c r="VEJ65"/>
      <c r="VEK65"/>
      <c r="VEL65"/>
      <c r="VEM65"/>
      <c r="VEN65"/>
      <c r="VEO65"/>
      <c r="VEP65"/>
      <c r="VEQ65"/>
      <c r="VER65"/>
      <c r="VES65"/>
      <c r="VET65"/>
      <c r="VEU65"/>
      <c r="VEV65"/>
      <c r="VEW65"/>
      <c r="VEX65"/>
      <c r="VEY65"/>
      <c r="VEZ65"/>
      <c r="VFA65"/>
      <c r="VFB65"/>
      <c r="VFC65"/>
      <c r="VFD65"/>
      <c r="VFE65"/>
      <c r="VFF65"/>
      <c r="VFG65"/>
      <c r="VFH65"/>
      <c r="VFI65"/>
      <c r="VFJ65"/>
      <c r="VFK65"/>
      <c r="VFL65"/>
      <c r="VFM65"/>
      <c r="VFN65"/>
      <c r="VFO65"/>
      <c r="VFP65"/>
      <c r="VFQ65"/>
      <c r="VFR65"/>
      <c r="VFS65"/>
      <c r="VFT65"/>
      <c r="VFU65"/>
      <c r="VFV65"/>
      <c r="VFW65"/>
      <c r="VFX65"/>
      <c r="VFY65"/>
      <c r="VFZ65"/>
      <c r="VGA65"/>
      <c r="VGB65"/>
      <c r="VGC65"/>
      <c r="VGD65"/>
      <c r="VGE65"/>
      <c r="VGF65"/>
      <c r="VGG65"/>
      <c r="VGH65"/>
      <c r="VGI65"/>
      <c r="VGJ65"/>
      <c r="VGK65"/>
      <c r="VGL65"/>
      <c r="VGM65"/>
      <c r="VGN65"/>
      <c r="VGO65"/>
      <c r="VGP65"/>
      <c r="VGQ65"/>
      <c r="VGR65"/>
      <c r="VGS65"/>
      <c r="VGT65"/>
      <c r="VGU65"/>
      <c r="VGV65"/>
      <c r="VGW65"/>
      <c r="VGX65"/>
      <c r="VGY65"/>
      <c r="VGZ65"/>
      <c r="VHA65"/>
      <c r="VHB65"/>
      <c r="VHC65"/>
      <c r="VHD65"/>
      <c r="VHE65"/>
      <c r="VHF65"/>
      <c r="VHG65"/>
      <c r="VHH65"/>
      <c r="VHI65"/>
      <c r="VHJ65"/>
      <c r="VHK65"/>
      <c r="VHL65"/>
      <c r="VHM65"/>
      <c r="VHN65"/>
      <c r="VHO65"/>
      <c r="VHP65"/>
      <c r="VHQ65"/>
      <c r="VHR65"/>
      <c r="VHS65"/>
      <c r="VHT65"/>
      <c r="VHU65"/>
      <c r="VHV65"/>
      <c r="VHW65"/>
      <c r="VHX65"/>
      <c r="VHY65"/>
      <c r="VHZ65"/>
      <c r="VIA65"/>
      <c r="VIB65"/>
      <c r="VIC65"/>
      <c r="VID65"/>
      <c r="VIE65"/>
      <c r="VIF65"/>
      <c r="VIG65"/>
      <c r="VIH65"/>
      <c r="VII65"/>
      <c r="VIJ65"/>
      <c r="VIK65"/>
      <c r="VIL65"/>
      <c r="VIM65"/>
      <c r="VIN65"/>
      <c r="VIO65"/>
      <c r="VIP65"/>
      <c r="VIQ65"/>
      <c r="VIR65"/>
      <c r="VIS65"/>
      <c r="VIT65"/>
      <c r="VIU65"/>
      <c r="VIV65"/>
      <c r="VIW65"/>
      <c r="VIX65"/>
      <c r="VIY65"/>
      <c r="VIZ65"/>
      <c r="VJA65"/>
      <c r="VJB65"/>
      <c r="VJC65"/>
      <c r="VJD65"/>
      <c r="VJE65"/>
      <c r="VJF65"/>
      <c r="VJG65"/>
      <c r="VJH65"/>
      <c r="VJI65"/>
      <c r="VJJ65"/>
      <c r="VJK65"/>
      <c r="VJL65"/>
      <c r="VJM65"/>
      <c r="VJN65"/>
      <c r="VJO65"/>
      <c r="VJP65"/>
      <c r="VJQ65"/>
      <c r="VJR65"/>
      <c r="VJS65"/>
      <c r="VJT65"/>
      <c r="VJU65"/>
      <c r="VJV65"/>
      <c r="VJW65"/>
      <c r="VJX65"/>
      <c r="VJY65"/>
      <c r="VJZ65"/>
      <c r="VKA65"/>
      <c r="VKB65"/>
      <c r="VKC65"/>
      <c r="VKD65"/>
      <c r="VKE65"/>
      <c r="VKF65"/>
      <c r="VKG65"/>
      <c r="VKH65"/>
      <c r="VKI65"/>
      <c r="VKJ65"/>
      <c r="VKK65"/>
      <c r="VKL65"/>
      <c r="VKM65"/>
      <c r="VKN65"/>
      <c r="VKO65"/>
      <c r="VKP65"/>
      <c r="VKQ65"/>
      <c r="VKR65"/>
      <c r="VKS65"/>
      <c r="VKT65"/>
      <c r="VKU65"/>
      <c r="VKV65"/>
      <c r="VKW65"/>
      <c r="VKX65"/>
      <c r="VKY65"/>
      <c r="VKZ65"/>
      <c r="VLA65"/>
      <c r="VLB65"/>
      <c r="VLC65"/>
      <c r="VLD65"/>
      <c r="VLE65"/>
      <c r="VLF65"/>
      <c r="VLG65"/>
      <c r="VLH65"/>
      <c r="VLI65"/>
      <c r="VLJ65"/>
      <c r="VLK65"/>
      <c r="VLL65"/>
      <c r="VLM65"/>
      <c r="VLN65"/>
      <c r="VLO65"/>
      <c r="VLP65"/>
      <c r="VLQ65"/>
      <c r="VLR65"/>
      <c r="VLS65"/>
      <c r="VLT65"/>
      <c r="VLU65"/>
      <c r="VLV65"/>
      <c r="VLW65"/>
      <c r="VLX65"/>
      <c r="VLY65"/>
      <c r="VLZ65"/>
      <c r="VMA65"/>
      <c r="VMB65"/>
      <c r="VMC65"/>
      <c r="VMD65"/>
      <c r="VME65"/>
      <c r="VMF65"/>
      <c r="VMG65"/>
      <c r="VMH65"/>
      <c r="VMI65"/>
      <c r="VMJ65"/>
      <c r="VMK65"/>
      <c r="VML65"/>
      <c r="VMM65"/>
      <c r="VMN65"/>
      <c r="VMO65"/>
      <c r="VMP65"/>
      <c r="VMQ65"/>
      <c r="VMR65"/>
      <c r="VMS65"/>
      <c r="VMT65"/>
      <c r="VMU65"/>
      <c r="VMV65"/>
      <c r="VMW65"/>
      <c r="VMX65"/>
      <c r="VMY65"/>
      <c r="VMZ65"/>
      <c r="VNA65"/>
      <c r="VNB65"/>
      <c r="VNC65"/>
      <c r="VND65"/>
      <c r="VNE65"/>
      <c r="VNF65"/>
      <c r="VNG65"/>
      <c r="VNH65"/>
      <c r="VNI65"/>
      <c r="VNJ65"/>
      <c r="VNK65"/>
      <c r="VNL65"/>
      <c r="VNM65"/>
      <c r="VNN65"/>
      <c r="VNO65"/>
      <c r="VNP65"/>
      <c r="VNQ65"/>
      <c r="VNR65"/>
      <c r="VNS65"/>
      <c r="VNT65"/>
      <c r="VNU65"/>
      <c r="VNV65"/>
      <c r="VNW65"/>
      <c r="VNX65"/>
      <c r="VNY65"/>
      <c r="VNZ65"/>
      <c r="VOA65"/>
      <c r="VOB65"/>
      <c r="VOC65"/>
      <c r="VOD65"/>
      <c r="VOE65"/>
      <c r="VOF65"/>
      <c r="VOG65"/>
      <c r="VOH65"/>
      <c r="VOI65"/>
      <c r="VOJ65"/>
      <c r="VOK65"/>
      <c r="VOL65"/>
      <c r="VOM65"/>
      <c r="VON65"/>
      <c r="VOO65"/>
      <c r="VOP65"/>
      <c r="VOQ65"/>
      <c r="VOR65"/>
      <c r="VOS65"/>
      <c r="VOT65"/>
      <c r="VOU65"/>
      <c r="VOV65"/>
      <c r="VOW65"/>
      <c r="VOX65"/>
      <c r="VOY65"/>
      <c r="VOZ65"/>
      <c r="VPA65"/>
      <c r="VPB65"/>
      <c r="VPC65"/>
      <c r="VPD65"/>
      <c r="VPE65"/>
      <c r="VPF65"/>
      <c r="VPG65"/>
      <c r="VPH65"/>
      <c r="VPI65"/>
      <c r="VPJ65"/>
      <c r="VPK65"/>
      <c r="VPL65"/>
      <c r="VPM65"/>
      <c r="VPN65"/>
      <c r="VPO65"/>
      <c r="VPP65"/>
      <c r="VPQ65"/>
      <c r="VPR65"/>
      <c r="VPS65"/>
      <c r="VPT65"/>
      <c r="VPU65"/>
      <c r="VPV65"/>
      <c r="VPW65"/>
      <c r="VPX65"/>
      <c r="VPY65"/>
      <c r="VPZ65"/>
      <c r="VQA65"/>
      <c r="VQB65"/>
      <c r="VQC65"/>
      <c r="VQD65"/>
      <c r="VQE65"/>
      <c r="VQF65"/>
      <c r="VQG65"/>
      <c r="VQH65"/>
      <c r="VQI65"/>
      <c r="VQJ65"/>
      <c r="VQK65"/>
      <c r="VQL65"/>
      <c r="VQM65"/>
      <c r="VQN65"/>
      <c r="VQO65"/>
      <c r="VQP65"/>
      <c r="VQQ65"/>
      <c r="VQR65"/>
      <c r="VQS65"/>
      <c r="VQT65"/>
      <c r="VQU65"/>
      <c r="VQV65"/>
      <c r="VQW65"/>
      <c r="VQX65"/>
      <c r="VQY65"/>
      <c r="VQZ65"/>
      <c r="VRA65"/>
      <c r="VRB65"/>
      <c r="VRC65"/>
      <c r="VRD65"/>
      <c r="VRE65"/>
      <c r="VRF65"/>
      <c r="VRG65"/>
      <c r="VRH65"/>
      <c r="VRI65"/>
      <c r="VRJ65"/>
      <c r="VRK65"/>
      <c r="VRL65"/>
      <c r="VRM65"/>
      <c r="VRN65"/>
      <c r="VRO65"/>
      <c r="VRP65"/>
      <c r="VRQ65"/>
      <c r="VRR65"/>
      <c r="VRS65"/>
      <c r="VRT65"/>
      <c r="VRU65"/>
      <c r="VRV65"/>
      <c r="VRW65"/>
      <c r="VRX65"/>
      <c r="VRY65"/>
      <c r="VRZ65"/>
      <c r="VSA65"/>
      <c r="VSB65"/>
      <c r="VSC65"/>
      <c r="VSD65"/>
      <c r="VSE65"/>
      <c r="VSF65"/>
      <c r="VSG65"/>
      <c r="VSH65"/>
      <c r="VSI65"/>
      <c r="VSJ65"/>
      <c r="VSK65"/>
      <c r="VSL65"/>
      <c r="VSM65"/>
      <c r="VSN65"/>
      <c r="VSO65"/>
      <c r="VSP65"/>
      <c r="VSQ65"/>
      <c r="VSR65"/>
      <c r="VSS65"/>
      <c r="VST65"/>
      <c r="VSU65"/>
      <c r="VSV65"/>
      <c r="VSW65"/>
      <c r="VSX65"/>
      <c r="VSY65"/>
      <c r="VSZ65"/>
      <c r="VTA65"/>
      <c r="VTB65"/>
      <c r="VTC65"/>
      <c r="VTD65"/>
      <c r="VTE65"/>
      <c r="VTF65"/>
      <c r="VTG65"/>
      <c r="VTH65"/>
      <c r="VTI65"/>
      <c r="VTJ65"/>
      <c r="VTK65"/>
      <c r="VTL65"/>
      <c r="VTM65"/>
      <c r="VTN65"/>
      <c r="VTO65"/>
      <c r="VTP65"/>
      <c r="VTQ65"/>
      <c r="VTR65"/>
      <c r="VTS65"/>
      <c r="VTT65"/>
      <c r="VTU65"/>
      <c r="VTV65"/>
      <c r="VTW65"/>
      <c r="VTX65"/>
      <c r="VTY65"/>
      <c r="VTZ65"/>
      <c r="VUA65"/>
      <c r="VUB65"/>
      <c r="VUC65"/>
      <c r="VUD65"/>
      <c r="VUE65"/>
      <c r="VUF65"/>
      <c r="VUG65"/>
      <c r="VUH65"/>
      <c r="VUI65"/>
      <c r="VUJ65"/>
      <c r="VUK65"/>
      <c r="VUL65"/>
      <c r="VUM65"/>
      <c r="VUN65"/>
      <c r="VUO65"/>
      <c r="VUP65"/>
      <c r="VUQ65"/>
      <c r="VUR65"/>
      <c r="VUS65"/>
      <c r="VUT65"/>
      <c r="VUU65"/>
      <c r="VUV65"/>
      <c r="VUW65"/>
      <c r="VUX65"/>
      <c r="VUY65"/>
      <c r="VUZ65"/>
      <c r="VVA65"/>
      <c r="VVB65"/>
      <c r="VVC65"/>
      <c r="VVD65"/>
      <c r="VVE65"/>
      <c r="VVF65"/>
      <c r="VVG65"/>
      <c r="VVH65"/>
      <c r="VVI65"/>
      <c r="VVJ65"/>
      <c r="VVK65"/>
      <c r="VVL65"/>
      <c r="VVM65"/>
      <c r="VVN65"/>
      <c r="VVO65"/>
      <c r="VVP65"/>
      <c r="VVQ65"/>
      <c r="VVR65"/>
      <c r="VVS65"/>
      <c r="VVT65"/>
      <c r="VVU65"/>
      <c r="VVV65"/>
      <c r="VVW65"/>
      <c r="VVX65"/>
      <c r="VVY65"/>
      <c r="VVZ65"/>
      <c r="VWA65"/>
      <c r="VWB65"/>
      <c r="VWC65"/>
      <c r="VWD65"/>
      <c r="VWE65"/>
      <c r="VWF65"/>
      <c r="VWG65"/>
      <c r="VWH65"/>
      <c r="VWI65"/>
      <c r="VWJ65"/>
      <c r="VWK65"/>
      <c r="VWL65"/>
      <c r="VWM65"/>
      <c r="VWN65"/>
      <c r="VWO65"/>
      <c r="VWP65"/>
      <c r="VWQ65"/>
      <c r="VWR65"/>
      <c r="VWS65"/>
      <c r="VWT65"/>
      <c r="VWU65"/>
      <c r="VWV65"/>
      <c r="VWW65"/>
      <c r="VWX65"/>
      <c r="VWY65"/>
      <c r="VWZ65"/>
      <c r="VXA65"/>
      <c r="VXB65"/>
      <c r="VXC65"/>
      <c r="VXD65"/>
      <c r="VXE65"/>
      <c r="VXF65"/>
      <c r="VXG65"/>
      <c r="VXH65"/>
      <c r="VXI65"/>
      <c r="VXJ65"/>
      <c r="VXK65"/>
      <c r="VXL65"/>
      <c r="VXM65"/>
      <c r="VXN65"/>
      <c r="VXO65"/>
      <c r="VXP65"/>
      <c r="VXQ65"/>
      <c r="VXR65"/>
      <c r="VXS65"/>
      <c r="VXT65"/>
      <c r="VXU65"/>
      <c r="VXV65"/>
      <c r="VXW65"/>
      <c r="VXX65"/>
      <c r="VXY65"/>
      <c r="VXZ65"/>
      <c r="VYA65"/>
      <c r="VYB65"/>
      <c r="VYC65"/>
      <c r="VYD65"/>
      <c r="VYE65"/>
      <c r="VYF65"/>
      <c r="VYG65"/>
      <c r="VYH65"/>
      <c r="VYI65"/>
      <c r="VYJ65"/>
      <c r="VYK65"/>
      <c r="VYL65"/>
      <c r="VYM65"/>
      <c r="VYN65"/>
      <c r="VYO65"/>
      <c r="VYP65"/>
      <c r="VYQ65"/>
      <c r="VYR65"/>
      <c r="VYS65"/>
      <c r="VYT65"/>
      <c r="VYU65"/>
      <c r="VYV65"/>
      <c r="VYW65"/>
      <c r="VYX65"/>
      <c r="VYY65"/>
      <c r="VYZ65"/>
      <c r="VZA65"/>
      <c r="VZB65"/>
      <c r="VZC65"/>
      <c r="VZD65"/>
      <c r="VZE65"/>
      <c r="VZF65"/>
      <c r="VZG65"/>
      <c r="VZH65"/>
      <c r="VZI65"/>
      <c r="VZJ65"/>
      <c r="VZK65"/>
      <c r="VZL65"/>
      <c r="VZM65"/>
      <c r="VZN65"/>
      <c r="VZO65"/>
      <c r="VZP65"/>
      <c r="VZQ65"/>
      <c r="VZR65"/>
      <c r="VZS65"/>
      <c r="VZT65"/>
      <c r="VZU65"/>
      <c r="VZV65"/>
      <c r="VZW65"/>
      <c r="VZX65"/>
      <c r="VZY65"/>
      <c r="VZZ65"/>
      <c r="WAA65"/>
      <c r="WAB65"/>
      <c r="WAC65"/>
      <c r="WAD65"/>
      <c r="WAE65"/>
      <c r="WAF65"/>
      <c r="WAG65"/>
      <c r="WAH65"/>
      <c r="WAI65"/>
      <c r="WAJ65"/>
      <c r="WAK65"/>
      <c r="WAL65"/>
      <c r="WAM65"/>
      <c r="WAN65"/>
      <c r="WAO65"/>
      <c r="WAP65"/>
      <c r="WAQ65"/>
      <c r="WAR65"/>
      <c r="WAS65"/>
      <c r="WAT65"/>
      <c r="WAU65"/>
      <c r="WAV65"/>
      <c r="WAW65"/>
      <c r="WAX65"/>
      <c r="WAY65"/>
      <c r="WAZ65"/>
      <c r="WBA65"/>
      <c r="WBB65"/>
      <c r="WBC65"/>
      <c r="WBD65"/>
      <c r="WBE65"/>
      <c r="WBF65"/>
      <c r="WBG65"/>
      <c r="WBH65"/>
      <c r="WBI65"/>
      <c r="WBJ65"/>
      <c r="WBK65"/>
      <c r="WBL65"/>
      <c r="WBM65"/>
      <c r="WBN65"/>
      <c r="WBO65"/>
      <c r="WBP65"/>
      <c r="WBQ65"/>
      <c r="WBR65"/>
      <c r="WBS65"/>
      <c r="WBT65"/>
      <c r="WBU65"/>
      <c r="WBV65"/>
      <c r="WBW65"/>
      <c r="WBX65"/>
      <c r="WBY65"/>
      <c r="WBZ65"/>
      <c r="WCA65"/>
      <c r="WCB65"/>
      <c r="WCC65"/>
      <c r="WCD65"/>
      <c r="WCE65"/>
      <c r="WCF65"/>
      <c r="WCG65"/>
      <c r="WCH65"/>
      <c r="WCI65"/>
      <c r="WCJ65"/>
      <c r="WCK65"/>
      <c r="WCL65"/>
      <c r="WCM65"/>
      <c r="WCN65"/>
      <c r="WCO65"/>
      <c r="WCP65"/>
      <c r="WCQ65"/>
      <c r="WCR65"/>
      <c r="WCS65"/>
      <c r="WCT65"/>
      <c r="WCU65"/>
      <c r="WCV65"/>
      <c r="WCW65"/>
      <c r="WCX65"/>
      <c r="WCY65"/>
      <c r="WCZ65"/>
      <c r="WDA65"/>
      <c r="WDB65"/>
      <c r="WDC65"/>
      <c r="WDD65"/>
      <c r="WDE65"/>
      <c r="WDF65"/>
      <c r="WDG65"/>
      <c r="WDH65"/>
      <c r="WDI65"/>
      <c r="WDJ65"/>
      <c r="WDK65"/>
      <c r="WDL65"/>
      <c r="WDM65"/>
      <c r="WDN65"/>
      <c r="WDO65"/>
      <c r="WDP65"/>
      <c r="WDQ65"/>
      <c r="WDR65"/>
      <c r="WDS65"/>
      <c r="WDT65"/>
      <c r="WDU65"/>
      <c r="WDV65"/>
      <c r="WDW65"/>
      <c r="WDX65"/>
      <c r="WDY65"/>
      <c r="WDZ65"/>
      <c r="WEA65"/>
      <c r="WEB65"/>
      <c r="WEC65"/>
      <c r="WED65"/>
      <c r="WEE65"/>
      <c r="WEF65"/>
      <c r="WEG65"/>
      <c r="WEH65"/>
      <c r="WEI65"/>
      <c r="WEJ65"/>
      <c r="WEK65"/>
      <c r="WEL65"/>
      <c r="WEM65"/>
      <c r="WEN65"/>
      <c r="WEO65"/>
      <c r="WEP65"/>
      <c r="WEQ65"/>
      <c r="WER65"/>
      <c r="WES65"/>
      <c r="WET65"/>
      <c r="WEU65"/>
      <c r="WEV65"/>
      <c r="WEW65"/>
      <c r="WEX65"/>
      <c r="WEY65"/>
      <c r="WEZ65"/>
      <c r="WFA65"/>
      <c r="WFB65"/>
      <c r="WFC65"/>
      <c r="WFD65"/>
      <c r="WFE65"/>
      <c r="WFF65"/>
      <c r="WFG65"/>
      <c r="WFH65"/>
      <c r="WFI65"/>
      <c r="WFJ65"/>
      <c r="WFK65"/>
      <c r="WFL65"/>
      <c r="WFM65"/>
      <c r="WFN65"/>
      <c r="WFO65"/>
      <c r="WFP65"/>
      <c r="WFQ65"/>
      <c r="WFR65"/>
      <c r="WFS65"/>
      <c r="WFT65"/>
      <c r="WFU65"/>
      <c r="WFV65"/>
      <c r="WFW65"/>
      <c r="WFX65"/>
      <c r="WFY65"/>
      <c r="WFZ65"/>
      <c r="WGA65"/>
      <c r="WGB65"/>
      <c r="WGC65"/>
      <c r="WGD65"/>
      <c r="WGE65"/>
      <c r="WGF65"/>
      <c r="WGG65"/>
      <c r="WGH65"/>
      <c r="WGI65"/>
      <c r="WGJ65"/>
      <c r="WGK65"/>
      <c r="WGL65"/>
      <c r="WGM65"/>
      <c r="WGN65"/>
      <c r="WGO65"/>
      <c r="WGP65"/>
      <c r="WGQ65"/>
      <c r="WGR65"/>
      <c r="WGS65"/>
      <c r="WGT65"/>
      <c r="WGU65"/>
      <c r="WGV65"/>
      <c r="WGW65"/>
      <c r="WGX65"/>
      <c r="WGY65"/>
      <c r="WGZ65"/>
      <c r="WHA65"/>
      <c r="WHB65"/>
      <c r="WHC65"/>
      <c r="WHD65"/>
      <c r="WHE65"/>
      <c r="WHF65"/>
      <c r="WHG65"/>
      <c r="WHH65"/>
      <c r="WHI65"/>
      <c r="WHJ65"/>
      <c r="WHK65"/>
      <c r="WHL65"/>
      <c r="WHM65"/>
      <c r="WHN65"/>
      <c r="WHO65"/>
      <c r="WHP65"/>
      <c r="WHQ65"/>
      <c r="WHR65"/>
      <c r="WHS65"/>
      <c r="WHT65"/>
      <c r="WHU65"/>
      <c r="WHV65"/>
      <c r="WHW65"/>
      <c r="WHX65"/>
      <c r="WHY65"/>
      <c r="WHZ65"/>
      <c r="WIA65"/>
      <c r="WIB65"/>
      <c r="WIC65"/>
      <c r="WID65"/>
      <c r="WIE65"/>
      <c r="WIF65"/>
      <c r="WIG65"/>
      <c r="WIH65"/>
      <c r="WII65"/>
      <c r="WIJ65"/>
      <c r="WIK65"/>
      <c r="WIL65"/>
      <c r="WIM65"/>
      <c r="WIN65"/>
      <c r="WIO65"/>
      <c r="WIP65"/>
      <c r="WIQ65"/>
      <c r="WIR65"/>
      <c r="WIS65"/>
      <c r="WIT65"/>
      <c r="WIU65"/>
      <c r="WIV65"/>
      <c r="WIW65"/>
      <c r="WIX65"/>
      <c r="WIY65"/>
      <c r="WIZ65"/>
      <c r="WJA65"/>
      <c r="WJB65"/>
      <c r="WJC65"/>
      <c r="WJD65"/>
      <c r="WJE65"/>
      <c r="WJF65"/>
      <c r="WJG65"/>
      <c r="WJH65"/>
      <c r="WJI65"/>
      <c r="WJJ65"/>
      <c r="WJK65"/>
      <c r="WJL65"/>
      <c r="WJM65"/>
      <c r="WJN65"/>
      <c r="WJO65"/>
      <c r="WJP65"/>
      <c r="WJQ65"/>
      <c r="WJR65"/>
      <c r="WJS65"/>
      <c r="WJT65"/>
      <c r="WJU65"/>
      <c r="WJV65"/>
      <c r="WJW65"/>
      <c r="WJX65"/>
      <c r="WJY65"/>
      <c r="WJZ65"/>
      <c r="WKA65"/>
      <c r="WKB65"/>
      <c r="WKC65"/>
      <c r="WKD65"/>
      <c r="WKE65"/>
      <c r="WKF65"/>
      <c r="WKG65"/>
      <c r="WKH65"/>
      <c r="WKI65"/>
      <c r="WKJ65"/>
      <c r="WKK65"/>
      <c r="WKL65"/>
      <c r="WKM65"/>
      <c r="WKN65"/>
      <c r="WKO65"/>
      <c r="WKP65"/>
      <c r="WKQ65"/>
      <c r="WKR65"/>
      <c r="WKS65"/>
      <c r="WKT65"/>
      <c r="WKU65"/>
      <c r="WKV65"/>
      <c r="WKW65"/>
      <c r="WKX65"/>
      <c r="WKY65"/>
      <c r="WKZ65"/>
      <c r="WLA65"/>
      <c r="WLB65"/>
      <c r="WLC65"/>
      <c r="WLD65"/>
      <c r="WLE65"/>
      <c r="WLF65"/>
      <c r="WLG65"/>
      <c r="WLH65"/>
      <c r="WLI65"/>
      <c r="WLJ65"/>
      <c r="WLK65"/>
      <c r="WLL65"/>
      <c r="WLM65"/>
      <c r="WLN65"/>
      <c r="WLO65"/>
      <c r="WLP65"/>
      <c r="WLQ65"/>
      <c r="WLR65"/>
      <c r="WLS65"/>
      <c r="WLT65"/>
      <c r="WLU65"/>
      <c r="WLV65"/>
      <c r="WLW65"/>
      <c r="WLX65"/>
      <c r="WLY65"/>
      <c r="WLZ65"/>
      <c r="WMA65"/>
      <c r="WMB65"/>
      <c r="WMC65"/>
      <c r="WMD65"/>
      <c r="WME65"/>
      <c r="WMF65"/>
      <c r="WMG65"/>
      <c r="WMH65"/>
      <c r="WMI65"/>
      <c r="WMJ65"/>
      <c r="WMK65"/>
      <c r="WML65"/>
      <c r="WMM65"/>
      <c r="WMN65"/>
      <c r="WMO65"/>
      <c r="WMP65"/>
      <c r="WMQ65"/>
      <c r="WMR65"/>
      <c r="WMS65"/>
      <c r="WMT65"/>
      <c r="WMU65"/>
      <c r="WMV65"/>
      <c r="WMW65"/>
      <c r="WMX65"/>
      <c r="WMY65"/>
      <c r="WMZ65"/>
      <c r="WNA65"/>
      <c r="WNB65"/>
      <c r="WNC65"/>
      <c r="WND65"/>
      <c r="WNE65"/>
      <c r="WNF65"/>
      <c r="WNG65"/>
      <c r="WNH65"/>
      <c r="WNI65"/>
      <c r="WNJ65"/>
      <c r="WNK65"/>
      <c r="WNL65"/>
      <c r="WNM65"/>
      <c r="WNN65"/>
      <c r="WNO65"/>
      <c r="WNP65"/>
      <c r="WNQ65"/>
      <c r="WNR65"/>
      <c r="WNS65"/>
      <c r="WNT65"/>
      <c r="WNU65"/>
      <c r="WNV65"/>
      <c r="WNW65"/>
      <c r="WNX65"/>
      <c r="WNY65"/>
      <c r="WNZ65"/>
      <c r="WOA65"/>
      <c r="WOB65"/>
      <c r="WOC65"/>
      <c r="WOD65"/>
      <c r="WOE65"/>
      <c r="WOF65"/>
      <c r="WOG65"/>
      <c r="WOH65"/>
      <c r="WOI65"/>
      <c r="WOJ65"/>
      <c r="WOK65"/>
      <c r="WOL65"/>
      <c r="WOM65"/>
      <c r="WON65"/>
      <c r="WOO65"/>
      <c r="WOP65"/>
      <c r="WOQ65"/>
      <c r="WOR65"/>
      <c r="WOS65"/>
      <c r="WOT65"/>
      <c r="WOU65"/>
      <c r="WOV65"/>
      <c r="WOW65"/>
      <c r="WOX65"/>
      <c r="WOY65"/>
      <c r="WOZ65"/>
      <c r="WPA65"/>
      <c r="WPB65"/>
      <c r="WPC65"/>
      <c r="WPD65"/>
      <c r="WPE65"/>
      <c r="WPF65"/>
      <c r="WPG65"/>
      <c r="WPH65"/>
      <c r="WPI65"/>
      <c r="WPJ65"/>
      <c r="WPK65"/>
      <c r="WPL65"/>
      <c r="WPM65"/>
      <c r="WPN65"/>
      <c r="WPO65"/>
      <c r="WPP65"/>
      <c r="WPQ65"/>
      <c r="WPR65"/>
      <c r="WPS65"/>
      <c r="WPT65"/>
      <c r="WPU65"/>
      <c r="WPV65"/>
      <c r="WPW65"/>
      <c r="WPX65"/>
      <c r="WPY65"/>
      <c r="WPZ65"/>
      <c r="WQA65"/>
      <c r="WQB65"/>
      <c r="WQC65"/>
      <c r="WQD65"/>
      <c r="WQE65"/>
      <c r="WQF65"/>
      <c r="WQG65"/>
      <c r="WQH65"/>
      <c r="WQI65"/>
      <c r="WQJ65"/>
      <c r="WQK65"/>
      <c r="WQL65"/>
      <c r="WQM65"/>
      <c r="WQN65"/>
      <c r="WQO65"/>
      <c r="WQP65"/>
      <c r="WQQ65"/>
      <c r="WQR65"/>
      <c r="WQS65"/>
      <c r="WQT65"/>
      <c r="WQU65"/>
      <c r="WQV65"/>
      <c r="WQW65"/>
      <c r="WQX65"/>
      <c r="WQY65"/>
      <c r="WQZ65"/>
      <c r="WRA65"/>
      <c r="WRB65"/>
      <c r="WRC65"/>
      <c r="WRD65"/>
      <c r="WRE65"/>
      <c r="WRF65"/>
      <c r="WRG65"/>
      <c r="WRH65"/>
      <c r="WRI65"/>
      <c r="WRJ65"/>
      <c r="WRK65"/>
      <c r="WRL65"/>
      <c r="WRM65"/>
      <c r="WRN65"/>
      <c r="WRO65"/>
      <c r="WRP65"/>
      <c r="WRQ65"/>
      <c r="WRR65"/>
      <c r="WRS65"/>
      <c r="WRT65"/>
      <c r="WRU65"/>
      <c r="WRV65"/>
      <c r="WRW65"/>
      <c r="WRX65"/>
      <c r="WRY65"/>
      <c r="WRZ65"/>
      <c r="WSA65"/>
      <c r="WSB65"/>
      <c r="WSC65"/>
      <c r="WSD65"/>
      <c r="WSE65"/>
      <c r="WSF65"/>
      <c r="WSG65"/>
      <c r="WSH65"/>
      <c r="WSI65"/>
      <c r="WSJ65"/>
      <c r="WSK65"/>
      <c r="WSL65"/>
      <c r="WSM65"/>
      <c r="WSN65"/>
      <c r="WSO65"/>
      <c r="WSP65"/>
      <c r="WSQ65"/>
      <c r="WSR65"/>
      <c r="WSS65"/>
      <c r="WST65"/>
      <c r="WSU65"/>
      <c r="WSV65"/>
      <c r="WSW65"/>
      <c r="WSX65"/>
      <c r="WSY65"/>
      <c r="WSZ65"/>
      <c r="WTA65"/>
      <c r="WTB65"/>
      <c r="WTC65"/>
      <c r="WTD65"/>
      <c r="WTE65"/>
      <c r="WTF65"/>
      <c r="WTG65"/>
      <c r="WTH65"/>
      <c r="WTI65"/>
      <c r="WTJ65"/>
      <c r="WTK65"/>
      <c r="WTL65"/>
      <c r="WTM65"/>
      <c r="WTN65"/>
      <c r="WTO65"/>
      <c r="WTP65"/>
      <c r="WTQ65"/>
      <c r="WTR65"/>
      <c r="WTS65"/>
      <c r="WTT65"/>
      <c r="WTU65"/>
      <c r="WTV65"/>
      <c r="WTW65"/>
      <c r="WTX65"/>
      <c r="WTY65"/>
      <c r="WTZ65"/>
      <c r="WUA65"/>
      <c r="WUB65"/>
      <c r="WUC65"/>
      <c r="WUD65"/>
      <c r="WUE65"/>
      <c r="WUF65"/>
      <c r="WUG65"/>
      <c r="WUH65"/>
      <c r="WUI65"/>
      <c r="WUJ65"/>
      <c r="WUK65"/>
      <c r="WUL65"/>
      <c r="WUM65"/>
      <c r="WUN65"/>
      <c r="WUO65"/>
      <c r="WUP65"/>
      <c r="WUQ65"/>
      <c r="WUR65"/>
      <c r="WUS65"/>
      <c r="WUT65"/>
      <c r="WUU65"/>
      <c r="WUV65"/>
      <c r="WUW65"/>
      <c r="WUX65"/>
      <c r="WUY65"/>
      <c r="WUZ65"/>
      <c r="WVA65"/>
      <c r="WVB65"/>
      <c r="WVC65"/>
      <c r="WVD65"/>
      <c r="WVE65"/>
      <c r="WVF65"/>
      <c r="WVG65"/>
      <c r="WVH65"/>
      <c r="WVI65"/>
      <c r="WVJ65"/>
      <c r="WVK65"/>
      <c r="WVL65"/>
      <c r="WVM65"/>
      <c r="WVN65"/>
      <c r="WVO65"/>
      <c r="WVP65"/>
      <c r="WVQ65"/>
      <c r="WVR65"/>
      <c r="WVS65"/>
      <c r="WVT65"/>
      <c r="WVU65"/>
      <c r="WVV65"/>
      <c r="WVW65"/>
      <c r="WVX65"/>
      <c r="WVY65"/>
      <c r="WVZ65"/>
      <c r="WWA65"/>
      <c r="WWB65"/>
      <c r="WWC65"/>
      <c r="WWD65"/>
      <c r="WWE65"/>
      <c r="WWF65"/>
      <c r="WWG65"/>
      <c r="WWH65"/>
      <c r="WWI65"/>
      <c r="WWJ65"/>
      <c r="WWK65"/>
      <c r="WWL65"/>
      <c r="WWM65"/>
      <c r="WWN65"/>
      <c r="WWO65"/>
      <c r="WWP65"/>
      <c r="WWQ65"/>
      <c r="WWR65"/>
      <c r="WWS65"/>
      <c r="WWT65"/>
      <c r="WWU65"/>
      <c r="WWV65"/>
      <c r="WWW65"/>
      <c r="WWX65"/>
      <c r="WWY65"/>
      <c r="WWZ65"/>
      <c r="WXA65"/>
      <c r="WXB65"/>
      <c r="WXC65"/>
      <c r="WXD65"/>
      <c r="WXE65"/>
      <c r="WXF65"/>
      <c r="WXG65"/>
      <c r="WXH65"/>
      <c r="WXI65"/>
      <c r="WXJ65"/>
      <c r="WXK65"/>
      <c r="WXL65"/>
      <c r="WXM65"/>
      <c r="WXN65"/>
      <c r="WXO65"/>
      <c r="WXP65"/>
      <c r="WXQ65"/>
      <c r="WXR65"/>
      <c r="WXS65"/>
      <c r="WXT65"/>
      <c r="WXU65"/>
      <c r="WXV65"/>
      <c r="WXW65"/>
      <c r="WXX65"/>
      <c r="WXY65"/>
      <c r="WXZ65"/>
      <c r="WYA65"/>
      <c r="WYB65"/>
      <c r="WYC65"/>
      <c r="WYD65"/>
      <c r="WYE65"/>
      <c r="WYF65"/>
      <c r="WYG65"/>
      <c r="WYH65"/>
      <c r="WYI65"/>
      <c r="WYJ65"/>
      <c r="WYK65"/>
      <c r="WYL65"/>
      <c r="WYM65"/>
      <c r="WYN65"/>
      <c r="WYO65"/>
      <c r="WYP65"/>
      <c r="WYQ65"/>
      <c r="WYR65"/>
      <c r="WYS65"/>
      <c r="WYT65"/>
      <c r="WYU65"/>
      <c r="WYV65"/>
      <c r="WYW65"/>
      <c r="WYX65"/>
      <c r="WYY65"/>
      <c r="WYZ65"/>
      <c r="WZA65"/>
      <c r="WZB65"/>
      <c r="WZC65"/>
      <c r="WZD65"/>
      <c r="WZE65"/>
      <c r="WZF65"/>
      <c r="WZG65"/>
      <c r="WZH65"/>
      <c r="WZI65"/>
      <c r="WZJ65"/>
      <c r="WZK65"/>
      <c r="WZL65"/>
      <c r="WZM65"/>
      <c r="WZN65"/>
      <c r="WZO65"/>
      <c r="WZP65"/>
      <c r="WZQ65"/>
      <c r="WZR65"/>
      <c r="WZS65"/>
      <c r="WZT65"/>
      <c r="WZU65"/>
      <c r="WZV65"/>
      <c r="WZW65"/>
      <c r="WZX65"/>
      <c r="WZY65"/>
      <c r="WZZ65"/>
      <c r="XAA65"/>
      <c r="XAB65"/>
      <c r="XAC65"/>
      <c r="XAD65"/>
      <c r="XAE65"/>
      <c r="XAF65"/>
      <c r="XAG65"/>
      <c r="XAH65"/>
      <c r="XAI65"/>
      <c r="XAJ65"/>
      <c r="XAK65"/>
      <c r="XAL65"/>
      <c r="XAM65"/>
      <c r="XAN65"/>
      <c r="XAO65"/>
      <c r="XAP65"/>
      <c r="XAQ65"/>
      <c r="XAR65"/>
      <c r="XAS65"/>
      <c r="XAT65"/>
      <c r="XAU65"/>
      <c r="XAV65"/>
      <c r="XAW65"/>
      <c r="XAX65"/>
      <c r="XAY65"/>
      <c r="XAZ65"/>
      <c r="XBA65"/>
      <c r="XBB65"/>
      <c r="XBC65"/>
      <c r="XBD65"/>
      <c r="XBE65"/>
      <c r="XBF65"/>
      <c r="XBG65"/>
      <c r="XBH65"/>
      <c r="XBI65"/>
      <c r="XBJ65"/>
      <c r="XBK65"/>
      <c r="XBL65"/>
      <c r="XBM65"/>
      <c r="XBN65"/>
      <c r="XBO65"/>
      <c r="XBP65"/>
      <c r="XBQ65"/>
      <c r="XBR65"/>
      <c r="XBS65"/>
      <c r="XBT65"/>
      <c r="XBU65"/>
      <c r="XBV65"/>
      <c r="XBW65"/>
      <c r="XBX65"/>
      <c r="XBY65"/>
      <c r="XBZ65"/>
      <c r="XCA65"/>
      <c r="XCB65"/>
      <c r="XCC65"/>
      <c r="XCD65"/>
      <c r="XCE65"/>
      <c r="XCF65"/>
      <c r="XCG65"/>
      <c r="XCH65"/>
      <c r="XCI65"/>
      <c r="XCJ65"/>
      <c r="XCK65"/>
      <c r="XCL65"/>
      <c r="XCM65"/>
      <c r="XCN65"/>
      <c r="XCO65"/>
      <c r="XCP65"/>
      <c r="XCQ65"/>
      <c r="XCR65"/>
      <c r="XCS65"/>
      <c r="XCT65"/>
      <c r="XCU65"/>
      <c r="XCV65"/>
      <c r="XCW65"/>
      <c r="XCX65"/>
      <c r="XCY65"/>
      <c r="XCZ65"/>
      <c r="XDA65"/>
      <c r="XDB65"/>
      <c r="XDC65"/>
      <c r="XDD65"/>
      <c r="XDE65"/>
      <c r="XDF65"/>
      <c r="XDG65"/>
      <c r="XDH65"/>
      <c r="XDI65"/>
      <c r="XDJ65"/>
      <c r="XDK65"/>
      <c r="XDL65"/>
      <c r="XDM65"/>
      <c r="XDN65"/>
      <c r="XDO65"/>
      <c r="XDP65"/>
      <c r="XDQ65"/>
      <c r="XDR65"/>
      <c r="XDS65"/>
      <c r="XDT65"/>
      <c r="XDU65"/>
      <c r="XDV65"/>
      <c r="XDW65"/>
      <c r="XDX65"/>
      <c r="XDY65"/>
      <c r="XDZ65"/>
      <c r="XEA65"/>
      <c r="XEB65"/>
      <c r="XEC65"/>
      <c r="XED65"/>
      <c r="XEE65"/>
      <c r="XEF65"/>
      <c r="XEG65"/>
      <c r="XEH65"/>
      <c r="XEI65"/>
      <c r="XEJ65"/>
      <c r="XEK65"/>
      <c r="XEL65"/>
      <c r="XEM65"/>
      <c r="XEN65"/>
      <c r="XEO65"/>
      <c r="XEP65"/>
      <c r="XEQ65"/>
      <c r="XER65"/>
      <c r="XES65"/>
      <c r="XET65"/>
      <c r="XEU65"/>
      <c r="XEV65"/>
      <c r="XEW65"/>
      <c r="XEX65"/>
      <c r="XEY65"/>
      <c r="XEZ65"/>
      <c r="XFA65"/>
      <c r="XFB65"/>
      <c r="XFC65"/>
      <c r="XFD65"/>
    </row>
    <row r="66" spans="3:16384" ht="126">
      <c r="C66" s="1227" t="s">
        <v>1833</v>
      </c>
      <c r="D66" s="1210">
        <v>215</v>
      </c>
      <c r="E66" s="1211" t="s">
        <v>1834</v>
      </c>
      <c r="F66" s="1211" t="s">
        <v>1635</v>
      </c>
      <c r="G66" s="1211" t="s">
        <v>1809</v>
      </c>
      <c r="H66" s="1211" t="s">
        <v>1835</v>
      </c>
      <c r="I66" s="1211" t="s">
        <v>1638</v>
      </c>
      <c r="J66" s="1211" t="s">
        <v>1705</v>
      </c>
      <c r="K66" s="1210">
        <v>106982.7</v>
      </c>
      <c r="L66" s="1232" t="s">
        <v>1811</v>
      </c>
      <c r="M66" s="1232">
        <v>16450.41</v>
      </c>
      <c r="N66" s="1234">
        <v>55785</v>
      </c>
      <c r="O66" s="1211" t="s">
        <v>1641</v>
      </c>
      <c r="P66" s="1234">
        <v>42185</v>
      </c>
      <c r="Q66" s="1211" t="s">
        <v>1836</v>
      </c>
      <c r="R66" s="1244" t="s">
        <v>1649</v>
      </c>
    </row>
    <row r="67" spans="3:16384" ht="31.5">
      <c r="C67" s="1226" t="s">
        <v>1837</v>
      </c>
      <c r="D67" s="1213"/>
      <c r="E67" s="1214"/>
      <c r="F67" s="1214"/>
      <c r="G67" s="1214"/>
      <c r="H67" s="1214"/>
      <c r="I67" s="1214"/>
      <c r="J67" s="1214"/>
      <c r="K67" s="1213"/>
      <c r="L67" s="1213"/>
      <c r="M67" s="1213"/>
      <c r="N67" s="1235"/>
      <c r="O67" s="1214"/>
      <c r="P67" s="1235"/>
      <c r="Q67" s="1214"/>
      <c r="R67" s="1246" t="s">
        <v>1663</v>
      </c>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c r="GR67"/>
      <c r="GS67"/>
      <c r="GT67"/>
      <c r="GU67"/>
      <c r="GV67"/>
      <c r="GW67"/>
      <c r="GX67"/>
      <c r="GY67"/>
      <c r="GZ67"/>
      <c r="HA67"/>
      <c r="HB67"/>
      <c r="HC67"/>
      <c r="HD67"/>
      <c r="HE67"/>
      <c r="HF67"/>
      <c r="HG67"/>
      <c r="HH67"/>
      <c r="HI67"/>
      <c r="HJ67"/>
      <c r="HK67"/>
      <c r="HL67"/>
      <c r="HM67"/>
      <c r="HN67"/>
      <c r="HO67"/>
      <c r="HP67"/>
      <c r="HQ67"/>
      <c r="HR67"/>
      <c r="HS67"/>
      <c r="HT67"/>
      <c r="HU67"/>
      <c r="HV67"/>
      <c r="HW67"/>
      <c r="HX67"/>
      <c r="HY67"/>
      <c r="HZ67"/>
      <c r="IA67"/>
      <c r="IB67"/>
      <c r="IC67"/>
      <c r="ID67"/>
      <c r="IE67"/>
      <c r="IF67"/>
      <c r="IG67"/>
      <c r="IH67"/>
      <c r="II67"/>
      <c r="IJ67"/>
      <c r="IK67"/>
      <c r="IL67"/>
      <c r="IM67"/>
      <c r="IN67"/>
      <c r="IO67"/>
      <c r="IP67"/>
      <c r="IQ67"/>
      <c r="IR67"/>
      <c r="IS67"/>
      <c r="IT67"/>
      <c r="IU67"/>
      <c r="IV67"/>
      <c r="IW67"/>
      <c r="IX67"/>
      <c r="IY67"/>
      <c r="IZ67"/>
      <c r="JA67"/>
      <c r="JB67"/>
      <c r="JC67"/>
      <c r="JD67"/>
      <c r="JE67"/>
      <c r="JF67"/>
      <c r="JG67"/>
      <c r="JH67"/>
      <c r="JI67"/>
      <c r="JJ67"/>
      <c r="JK67"/>
      <c r="JL67"/>
      <c r="JM67"/>
      <c r="JN67"/>
      <c r="JO67"/>
      <c r="JP67"/>
      <c r="JQ67"/>
      <c r="JR67"/>
      <c r="JS67"/>
      <c r="JT67"/>
      <c r="JU67"/>
      <c r="JV67"/>
      <c r="JW67"/>
      <c r="JX67"/>
      <c r="JY67"/>
      <c r="JZ67"/>
      <c r="KA67"/>
      <c r="KB67"/>
      <c r="KC67"/>
      <c r="KD67"/>
      <c r="KE67"/>
      <c r="KF67"/>
      <c r="KG67"/>
      <c r="KH67"/>
      <c r="KI67"/>
      <c r="KJ67"/>
      <c r="KK67"/>
      <c r="KL67"/>
      <c r="KM67"/>
      <c r="KN67"/>
      <c r="KO67"/>
      <c r="KP67"/>
      <c r="KQ67"/>
      <c r="KR67"/>
      <c r="KS67"/>
      <c r="KT67"/>
      <c r="KU67"/>
      <c r="KV67"/>
      <c r="KW67"/>
      <c r="KX67"/>
      <c r="KY67"/>
      <c r="KZ67"/>
      <c r="LA67"/>
      <c r="LB67"/>
      <c r="LC67"/>
      <c r="LD67"/>
      <c r="LE67"/>
      <c r="LF67"/>
      <c r="LG67"/>
      <c r="LH67"/>
      <c r="LI67"/>
      <c r="LJ67"/>
      <c r="LK67"/>
      <c r="LL67"/>
      <c r="LM67"/>
      <c r="LN67"/>
      <c r="LO67"/>
      <c r="LP67"/>
      <c r="LQ67"/>
      <c r="LR67"/>
      <c r="LS67"/>
      <c r="LT67"/>
      <c r="LU67"/>
      <c r="LV67"/>
      <c r="LW67"/>
      <c r="LX67"/>
      <c r="LY67"/>
      <c r="LZ67"/>
      <c r="MA67"/>
      <c r="MB67"/>
      <c r="MC67"/>
      <c r="MD67"/>
      <c r="ME67"/>
      <c r="MF67"/>
      <c r="MG67"/>
      <c r="MH67"/>
      <c r="MI67"/>
      <c r="MJ67"/>
      <c r="MK67"/>
      <c r="ML67"/>
      <c r="MM67"/>
      <c r="MN67"/>
      <c r="MO67"/>
      <c r="MP67"/>
      <c r="MQ67"/>
      <c r="MR67"/>
      <c r="MS67"/>
      <c r="MT67"/>
      <c r="MU67"/>
      <c r="MV67"/>
      <c r="MW67"/>
      <c r="MX67"/>
      <c r="MY67"/>
      <c r="MZ67"/>
      <c r="NA67"/>
      <c r="NB67"/>
      <c r="NC67"/>
      <c r="ND67"/>
      <c r="NE67"/>
      <c r="NF67"/>
      <c r="NG67"/>
      <c r="NH67"/>
      <c r="NI67"/>
      <c r="NJ67"/>
      <c r="NK67"/>
      <c r="NL67"/>
      <c r="NM67"/>
      <c r="NN67"/>
      <c r="NO67"/>
      <c r="NP67"/>
      <c r="NQ67"/>
      <c r="NR67"/>
      <c r="NS67"/>
      <c r="NT67"/>
      <c r="NU67"/>
      <c r="NV67"/>
      <c r="NW67"/>
      <c r="NX67"/>
      <c r="NY67"/>
      <c r="NZ67"/>
      <c r="OA67"/>
      <c r="OB67"/>
      <c r="OC67"/>
      <c r="OD67"/>
      <c r="OE67"/>
      <c r="OF67"/>
      <c r="OG67"/>
      <c r="OH67"/>
      <c r="OI67"/>
      <c r="OJ67"/>
      <c r="OK67"/>
      <c r="OL67"/>
      <c r="OM67"/>
      <c r="ON67"/>
      <c r="OO67"/>
      <c r="OP67"/>
      <c r="OQ67"/>
      <c r="OR67"/>
      <c r="OS67"/>
      <c r="OT67"/>
      <c r="OU67"/>
      <c r="OV67"/>
      <c r="OW67"/>
      <c r="OX67"/>
      <c r="OY67"/>
      <c r="OZ67"/>
      <c r="PA67"/>
      <c r="PB67"/>
      <c r="PC67"/>
      <c r="PD67"/>
      <c r="PE67"/>
      <c r="PF67"/>
      <c r="PG67"/>
      <c r="PH67"/>
      <c r="PI67"/>
      <c r="PJ67"/>
      <c r="PK67"/>
      <c r="PL67"/>
      <c r="PM67"/>
      <c r="PN67"/>
      <c r="PO67"/>
      <c r="PP67"/>
      <c r="PQ67"/>
      <c r="PR67"/>
      <c r="PS67"/>
      <c r="PT67"/>
      <c r="PU67"/>
      <c r="PV67"/>
      <c r="PW67"/>
      <c r="PX67"/>
      <c r="PY67"/>
      <c r="PZ67"/>
      <c r="QA67"/>
      <c r="QB67"/>
      <c r="QC67"/>
      <c r="QD67"/>
      <c r="QE67"/>
      <c r="QF67"/>
      <c r="QG67"/>
      <c r="QH67"/>
      <c r="QI67"/>
      <c r="QJ67"/>
      <c r="QK67"/>
      <c r="QL67"/>
      <c r="QM67"/>
      <c r="QN67"/>
      <c r="QO67"/>
      <c r="QP67"/>
      <c r="QQ67"/>
      <c r="QR67"/>
      <c r="QS67"/>
      <c r="QT67"/>
      <c r="QU67"/>
      <c r="QV67"/>
      <c r="QW67"/>
      <c r="QX67"/>
      <c r="QY67"/>
      <c r="QZ67"/>
      <c r="RA67"/>
      <c r="RB67"/>
      <c r="RC67"/>
      <c r="RD67"/>
      <c r="RE67"/>
      <c r="RF67"/>
      <c r="RG67"/>
      <c r="RH67"/>
      <c r="RI67"/>
      <c r="RJ67"/>
      <c r="RK67"/>
      <c r="RL67"/>
      <c r="RM67"/>
      <c r="RN67"/>
      <c r="RO67"/>
      <c r="RP67"/>
      <c r="RQ67"/>
      <c r="RR67"/>
      <c r="RS67"/>
      <c r="RT67"/>
      <c r="RU67"/>
      <c r="RV67"/>
      <c r="RW67"/>
      <c r="RX67"/>
      <c r="RY67"/>
      <c r="RZ67"/>
      <c r="SA67"/>
      <c r="SB67"/>
      <c r="SC67"/>
      <c r="SD67"/>
      <c r="SE67"/>
      <c r="SF67"/>
      <c r="SG67"/>
      <c r="SH67"/>
      <c r="SI67"/>
      <c r="SJ67"/>
      <c r="SK67"/>
      <c r="SL67"/>
      <c r="SM67"/>
      <c r="SN67"/>
      <c r="SO67"/>
      <c r="SP67"/>
      <c r="SQ67"/>
      <c r="SR67"/>
      <c r="SS67"/>
      <c r="ST67"/>
      <c r="SU67"/>
      <c r="SV67"/>
      <c r="SW67"/>
      <c r="SX67"/>
      <c r="SY67"/>
      <c r="SZ67"/>
      <c r="TA67"/>
      <c r="TB67"/>
      <c r="TC67"/>
      <c r="TD67"/>
      <c r="TE67"/>
      <c r="TF67"/>
      <c r="TG67"/>
      <c r="TH67"/>
      <c r="TI67"/>
      <c r="TJ67"/>
      <c r="TK67"/>
      <c r="TL67"/>
      <c r="TM67"/>
      <c r="TN67"/>
      <c r="TO67"/>
      <c r="TP67"/>
      <c r="TQ67"/>
      <c r="TR67"/>
      <c r="TS67"/>
      <c r="TT67"/>
      <c r="TU67"/>
      <c r="TV67"/>
      <c r="TW67"/>
      <c r="TX67"/>
      <c r="TY67"/>
      <c r="TZ67"/>
      <c r="UA67"/>
      <c r="UB67"/>
      <c r="UC67"/>
      <c r="UD67"/>
      <c r="UE67"/>
      <c r="UF67"/>
      <c r="UG67"/>
      <c r="UH67"/>
      <c r="UI67"/>
      <c r="UJ67"/>
      <c r="UK67"/>
      <c r="UL67"/>
      <c r="UM67"/>
      <c r="UN67"/>
      <c r="UO67"/>
      <c r="UP67"/>
      <c r="UQ67"/>
      <c r="UR67"/>
      <c r="US67"/>
      <c r="UT67"/>
      <c r="UU67"/>
      <c r="UV67"/>
      <c r="UW67"/>
      <c r="UX67"/>
      <c r="UY67"/>
      <c r="UZ67"/>
      <c r="VA67"/>
      <c r="VB67"/>
      <c r="VC67"/>
      <c r="VD67"/>
      <c r="VE67"/>
      <c r="VF67"/>
      <c r="VG67"/>
      <c r="VH67"/>
      <c r="VI67"/>
      <c r="VJ67"/>
      <c r="VK67"/>
      <c r="VL67"/>
      <c r="VM67"/>
      <c r="VN67"/>
      <c r="VO67"/>
      <c r="VP67"/>
      <c r="VQ67"/>
      <c r="VR67"/>
      <c r="VS67"/>
      <c r="VT67"/>
      <c r="VU67"/>
      <c r="VV67"/>
      <c r="VW67"/>
      <c r="VX67"/>
      <c r="VY67"/>
      <c r="VZ67"/>
      <c r="WA67"/>
      <c r="WB67"/>
      <c r="WC67"/>
      <c r="WD67"/>
      <c r="WE67"/>
      <c r="WF67"/>
      <c r="WG67"/>
      <c r="WH67"/>
      <c r="WI67"/>
      <c r="WJ67"/>
      <c r="WK67"/>
      <c r="WL67"/>
      <c r="WM67"/>
      <c r="WN67"/>
      <c r="WO67"/>
      <c r="WP67"/>
      <c r="WQ67"/>
      <c r="WR67"/>
      <c r="WS67"/>
      <c r="WT67"/>
      <c r="WU67"/>
      <c r="WV67"/>
      <c r="WW67"/>
      <c r="WX67"/>
      <c r="WY67"/>
      <c r="WZ67"/>
      <c r="XA67"/>
      <c r="XB67"/>
      <c r="XC67"/>
      <c r="XD67"/>
      <c r="XE67"/>
      <c r="XF67"/>
      <c r="XG67"/>
      <c r="XH67"/>
      <c r="XI67"/>
      <c r="XJ67"/>
      <c r="XK67"/>
      <c r="XL67"/>
      <c r="XM67"/>
      <c r="XN67"/>
      <c r="XO67"/>
      <c r="XP67"/>
      <c r="XQ67"/>
      <c r="XR67"/>
      <c r="XS67"/>
      <c r="XT67"/>
      <c r="XU67"/>
      <c r="XV67"/>
      <c r="XW67"/>
      <c r="XX67"/>
      <c r="XY67"/>
      <c r="XZ67"/>
      <c r="YA67"/>
      <c r="YB67"/>
      <c r="YC67"/>
      <c r="YD67"/>
      <c r="YE67"/>
      <c r="YF67"/>
      <c r="YG67"/>
      <c r="YH67"/>
      <c r="YI67"/>
      <c r="YJ67"/>
      <c r="YK67"/>
      <c r="YL67"/>
      <c r="YM67"/>
      <c r="YN67"/>
      <c r="YO67"/>
      <c r="YP67"/>
      <c r="YQ67"/>
      <c r="YR67"/>
      <c r="YS67"/>
      <c r="YT67"/>
      <c r="YU67"/>
      <c r="YV67"/>
      <c r="YW67"/>
      <c r="YX67"/>
      <c r="YY67"/>
      <c r="YZ67"/>
      <c r="ZA67"/>
      <c r="ZB67"/>
      <c r="ZC67"/>
      <c r="ZD67"/>
      <c r="ZE67"/>
      <c r="ZF67"/>
      <c r="ZG67"/>
      <c r="ZH67"/>
      <c r="ZI67"/>
      <c r="ZJ67"/>
      <c r="ZK67"/>
      <c r="ZL67"/>
      <c r="ZM67"/>
      <c r="ZN67"/>
      <c r="ZO67"/>
      <c r="ZP67"/>
      <c r="ZQ67"/>
      <c r="ZR67"/>
      <c r="ZS67"/>
      <c r="ZT67"/>
      <c r="ZU67"/>
      <c r="ZV67"/>
      <c r="ZW67"/>
      <c r="ZX67"/>
      <c r="ZY67"/>
      <c r="ZZ67"/>
      <c r="AAA67"/>
      <c r="AAB67"/>
      <c r="AAC67"/>
      <c r="AAD67"/>
      <c r="AAE67"/>
      <c r="AAF67"/>
      <c r="AAG67"/>
      <c r="AAH67"/>
      <c r="AAI67"/>
      <c r="AAJ67"/>
      <c r="AAK67"/>
      <c r="AAL67"/>
      <c r="AAM67"/>
      <c r="AAN67"/>
      <c r="AAO67"/>
      <c r="AAP67"/>
      <c r="AAQ67"/>
      <c r="AAR67"/>
      <c r="AAS67"/>
      <c r="AAT67"/>
      <c r="AAU67"/>
      <c r="AAV67"/>
      <c r="AAW67"/>
      <c r="AAX67"/>
      <c r="AAY67"/>
      <c r="AAZ67"/>
      <c r="ABA67"/>
      <c r="ABB67"/>
      <c r="ABC67"/>
      <c r="ABD67"/>
      <c r="ABE67"/>
      <c r="ABF67"/>
      <c r="ABG67"/>
      <c r="ABH67"/>
      <c r="ABI67"/>
      <c r="ABJ67"/>
      <c r="ABK67"/>
      <c r="ABL67"/>
      <c r="ABM67"/>
      <c r="ABN67"/>
      <c r="ABO67"/>
      <c r="ABP67"/>
      <c r="ABQ67"/>
      <c r="ABR67"/>
      <c r="ABS67"/>
      <c r="ABT67"/>
      <c r="ABU67"/>
      <c r="ABV67"/>
      <c r="ABW67"/>
      <c r="ABX67"/>
      <c r="ABY67"/>
      <c r="ABZ67"/>
      <c r="ACA67"/>
      <c r="ACB67"/>
      <c r="ACC67"/>
      <c r="ACD67"/>
      <c r="ACE67"/>
      <c r="ACF67"/>
      <c r="ACG67"/>
      <c r="ACH67"/>
      <c r="ACI67"/>
      <c r="ACJ67"/>
      <c r="ACK67"/>
      <c r="ACL67"/>
      <c r="ACM67"/>
      <c r="ACN67"/>
      <c r="ACO67"/>
      <c r="ACP67"/>
      <c r="ACQ67"/>
      <c r="ACR67"/>
      <c r="ACS67"/>
      <c r="ACT67"/>
      <c r="ACU67"/>
      <c r="ACV67"/>
      <c r="ACW67"/>
      <c r="ACX67"/>
      <c r="ACY67"/>
      <c r="ACZ67"/>
      <c r="ADA67"/>
      <c r="ADB67"/>
      <c r="ADC67"/>
      <c r="ADD67"/>
      <c r="ADE67"/>
      <c r="ADF67"/>
      <c r="ADG67"/>
      <c r="ADH67"/>
      <c r="ADI67"/>
      <c r="ADJ67"/>
      <c r="ADK67"/>
      <c r="ADL67"/>
      <c r="ADM67"/>
      <c r="ADN67"/>
      <c r="ADO67"/>
      <c r="ADP67"/>
      <c r="ADQ67"/>
      <c r="ADR67"/>
      <c r="ADS67"/>
      <c r="ADT67"/>
      <c r="ADU67"/>
      <c r="ADV67"/>
      <c r="ADW67"/>
      <c r="ADX67"/>
      <c r="ADY67"/>
      <c r="ADZ67"/>
      <c r="AEA67"/>
      <c r="AEB67"/>
      <c r="AEC67"/>
      <c r="AED67"/>
      <c r="AEE67"/>
      <c r="AEF67"/>
      <c r="AEG67"/>
      <c r="AEH67"/>
      <c r="AEI67"/>
      <c r="AEJ67"/>
      <c r="AEK67"/>
      <c r="AEL67"/>
      <c r="AEM67"/>
      <c r="AEN67"/>
      <c r="AEO67"/>
      <c r="AEP67"/>
      <c r="AEQ67"/>
      <c r="AER67"/>
      <c r="AES67"/>
      <c r="AET67"/>
      <c r="AEU67"/>
      <c r="AEV67"/>
      <c r="AEW67"/>
      <c r="AEX67"/>
      <c r="AEY67"/>
      <c r="AEZ67"/>
      <c r="AFA67"/>
      <c r="AFB67"/>
      <c r="AFC67"/>
      <c r="AFD67"/>
      <c r="AFE67"/>
      <c r="AFF67"/>
      <c r="AFG67"/>
      <c r="AFH67"/>
      <c r="AFI67"/>
      <c r="AFJ67"/>
      <c r="AFK67"/>
      <c r="AFL67"/>
      <c r="AFM67"/>
      <c r="AFN67"/>
      <c r="AFO67"/>
      <c r="AFP67"/>
      <c r="AFQ67"/>
      <c r="AFR67"/>
      <c r="AFS67"/>
      <c r="AFT67"/>
      <c r="AFU67"/>
      <c r="AFV67"/>
      <c r="AFW67"/>
      <c r="AFX67"/>
      <c r="AFY67"/>
      <c r="AFZ67"/>
      <c r="AGA67"/>
      <c r="AGB67"/>
      <c r="AGC67"/>
      <c r="AGD67"/>
      <c r="AGE67"/>
      <c r="AGF67"/>
      <c r="AGG67"/>
      <c r="AGH67"/>
      <c r="AGI67"/>
      <c r="AGJ67"/>
      <c r="AGK67"/>
      <c r="AGL67"/>
      <c r="AGM67"/>
      <c r="AGN67"/>
      <c r="AGO67"/>
      <c r="AGP67"/>
      <c r="AGQ67"/>
      <c r="AGR67"/>
      <c r="AGS67"/>
      <c r="AGT67"/>
      <c r="AGU67"/>
      <c r="AGV67"/>
      <c r="AGW67"/>
      <c r="AGX67"/>
      <c r="AGY67"/>
      <c r="AGZ67"/>
      <c r="AHA67"/>
      <c r="AHB67"/>
      <c r="AHC67"/>
      <c r="AHD67"/>
      <c r="AHE67"/>
      <c r="AHF67"/>
      <c r="AHG67"/>
      <c r="AHH67"/>
      <c r="AHI67"/>
      <c r="AHJ67"/>
      <c r="AHK67"/>
      <c r="AHL67"/>
      <c r="AHM67"/>
      <c r="AHN67"/>
      <c r="AHO67"/>
      <c r="AHP67"/>
      <c r="AHQ67"/>
      <c r="AHR67"/>
      <c r="AHS67"/>
      <c r="AHT67"/>
      <c r="AHU67"/>
      <c r="AHV67"/>
      <c r="AHW67"/>
      <c r="AHX67"/>
      <c r="AHY67"/>
      <c r="AHZ67"/>
      <c r="AIA67"/>
      <c r="AIB67"/>
      <c r="AIC67"/>
      <c r="AID67"/>
      <c r="AIE67"/>
      <c r="AIF67"/>
      <c r="AIG67"/>
      <c r="AIH67"/>
      <c r="AII67"/>
      <c r="AIJ67"/>
      <c r="AIK67"/>
      <c r="AIL67"/>
      <c r="AIM67"/>
      <c r="AIN67"/>
      <c r="AIO67"/>
      <c r="AIP67"/>
      <c r="AIQ67"/>
      <c r="AIR67"/>
      <c r="AIS67"/>
      <c r="AIT67"/>
      <c r="AIU67"/>
      <c r="AIV67"/>
      <c r="AIW67"/>
      <c r="AIX67"/>
      <c r="AIY67"/>
      <c r="AIZ67"/>
      <c r="AJA67"/>
      <c r="AJB67"/>
      <c r="AJC67"/>
      <c r="AJD67"/>
      <c r="AJE67"/>
      <c r="AJF67"/>
      <c r="AJG67"/>
      <c r="AJH67"/>
      <c r="AJI67"/>
      <c r="AJJ67"/>
      <c r="AJK67"/>
      <c r="AJL67"/>
      <c r="AJM67"/>
      <c r="AJN67"/>
      <c r="AJO67"/>
      <c r="AJP67"/>
      <c r="AJQ67"/>
      <c r="AJR67"/>
      <c r="AJS67"/>
      <c r="AJT67"/>
      <c r="AJU67"/>
      <c r="AJV67"/>
      <c r="AJW67"/>
      <c r="AJX67"/>
      <c r="AJY67"/>
      <c r="AJZ67"/>
      <c r="AKA67"/>
      <c r="AKB67"/>
      <c r="AKC67"/>
      <c r="AKD67"/>
      <c r="AKE67"/>
      <c r="AKF67"/>
      <c r="AKG67"/>
      <c r="AKH67"/>
      <c r="AKI67"/>
      <c r="AKJ67"/>
      <c r="AKK67"/>
      <c r="AKL67"/>
      <c r="AKM67"/>
      <c r="AKN67"/>
      <c r="AKO67"/>
      <c r="AKP67"/>
      <c r="AKQ67"/>
      <c r="AKR67"/>
      <c r="AKS67"/>
      <c r="AKT67"/>
      <c r="AKU67"/>
      <c r="AKV67"/>
      <c r="AKW67"/>
      <c r="AKX67"/>
      <c r="AKY67"/>
      <c r="AKZ67"/>
      <c r="ALA67"/>
      <c r="ALB67"/>
      <c r="ALC67"/>
      <c r="ALD67"/>
      <c r="ALE67"/>
      <c r="ALF67"/>
      <c r="ALG67"/>
      <c r="ALH67"/>
      <c r="ALI67"/>
      <c r="ALJ67"/>
      <c r="ALK67"/>
      <c r="ALL67"/>
      <c r="ALM67"/>
      <c r="ALN67"/>
      <c r="ALO67"/>
      <c r="ALP67"/>
      <c r="ALQ67"/>
      <c r="ALR67"/>
      <c r="ALS67"/>
      <c r="ALT67"/>
      <c r="ALU67"/>
      <c r="ALV67"/>
      <c r="ALW67"/>
      <c r="ALX67"/>
      <c r="ALY67"/>
      <c r="ALZ67"/>
      <c r="AMA67"/>
      <c r="AMB67"/>
      <c r="AMC67"/>
      <c r="AMD67"/>
      <c r="AME67"/>
      <c r="AMF67"/>
      <c r="AMG67"/>
      <c r="AMH67"/>
      <c r="AMI67"/>
      <c r="AMJ67"/>
      <c r="AMK67"/>
      <c r="AML67"/>
      <c r="AMM67"/>
      <c r="AMN67"/>
      <c r="AMO67"/>
      <c r="AMP67"/>
      <c r="AMQ67"/>
      <c r="AMR67"/>
      <c r="AMS67"/>
      <c r="AMT67"/>
      <c r="AMU67"/>
      <c r="AMV67"/>
      <c r="AMW67"/>
      <c r="AMX67"/>
      <c r="AMY67"/>
      <c r="AMZ67"/>
      <c r="ANA67"/>
      <c r="ANB67"/>
      <c r="ANC67"/>
      <c r="AND67"/>
      <c r="ANE67"/>
      <c r="ANF67"/>
      <c r="ANG67"/>
      <c r="ANH67"/>
      <c r="ANI67"/>
      <c r="ANJ67"/>
      <c r="ANK67"/>
      <c r="ANL67"/>
      <c r="ANM67"/>
      <c r="ANN67"/>
      <c r="ANO67"/>
      <c r="ANP67"/>
      <c r="ANQ67"/>
      <c r="ANR67"/>
      <c r="ANS67"/>
      <c r="ANT67"/>
      <c r="ANU67"/>
      <c r="ANV67"/>
      <c r="ANW67"/>
      <c r="ANX67"/>
      <c r="ANY67"/>
      <c r="ANZ67"/>
      <c r="AOA67"/>
      <c r="AOB67"/>
      <c r="AOC67"/>
      <c r="AOD67"/>
      <c r="AOE67"/>
      <c r="AOF67"/>
      <c r="AOG67"/>
      <c r="AOH67"/>
      <c r="AOI67"/>
      <c r="AOJ67"/>
      <c r="AOK67"/>
      <c r="AOL67"/>
      <c r="AOM67"/>
      <c r="AON67"/>
      <c r="AOO67"/>
      <c r="AOP67"/>
      <c r="AOQ67"/>
      <c r="AOR67"/>
      <c r="AOS67"/>
      <c r="AOT67"/>
      <c r="AOU67"/>
      <c r="AOV67"/>
      <c r="AOW67"/>
      <c r="AOX67"/>
      <c r="AOY67"/>
      <c r="AOZ67"/>
      <c r="APA67"/>
      <c r="APB67"/>
      <c r="APC67"/>
      <c r="APD67"/>
      <c r="APE67"/>
      <c r="APF67"/>
      <c r="APG67"/>
      <c r="APH67"/>
      <c r="API67"/>
      <c r="APJ67"/>
      <c r="APK67"/>
      <c r="APL67"/>
      <c r="APM67"/>
      <c r="APN67"/>
      <c r="APO67"/>
      <c r="APP67"/>
      <c r="APQ67"/>
      <c r="APR67"/>
      <c r="APS67"/>
      <c r="APT67"/>
      <c r="APU67"/>
      <c r="APV67"/>
      <c r="APW67"/>
      <c r="APX67"/>
      <c r="APY67"/>
      <c r="APZ67"/>
      <c r="AQA67"/>
      <c r="AQB67"/>
      <c r="AQC67"/>
      <c r="AQD67"/>
      <c r="AQE67"/>
      <c r="AQF67"/>
      <c r="AQG67"/>
      <c r="AQH67"/>
      <c r="AQI67"/>
      <c r="AQJ67"/>
      <c r="AQK67"/>
      <c r="AQL67"/>
      <c r="AQM67"/>
      <c r="AQN67"/>
      <c r="AQO67"/>
      <c r="AQP67"/>
      <c r="AQQ67"/>
      <c r="AQR67"/>
      <c r="AQS67"/>
      <c r="AQT67"/>
      <c r="AQU67"/>
      <c r="AQV67"/>
      <c r="AQW67"/>
      <c r="AQX67"/>
      <c r="AQY67"/>
      <c r="AQZ67"/>
      <c r="ARA67"/>
      <c r="ARB67"/>
      <c r="ARC67"/>
      <c r="ARD67"/>
      <c r="ARE67"/>
      <c r="ARF67"/>
      <c r="ARG67"/>
      <c r="ARH67"/>
      <c r="ARI67"/>
      <c r="ARJ67"/>
      <c r="ARK67"/>
      <c r="ARL67"/>
      <c r="ARM67"/>
      <c r="ARN67"/>
      <c r="ARO67"/>
      <c r="ARP67"/>
      <c r="ARQ67"/>
      <c r="ARR67"/>
      <c r="ARS67"/>
      <c r="ART67"/>
      <c r="ARU67"/>
      <c r="ARV67"/>
      <c r="ARW67"/>
      <c r="ARX67"/>
      <c r="ARY67"/>
      <c r="ARZ67"/>
      <c r="ASA67"/>
      <c r="ASB67"/>
      <c r="ASC67"/>
      <c r="ASD67"/>
      <c r="ASE67"/>
      <c r="ASF67"/>
      <c r="ASG67"/>
      <c r="ASH67"/>
      <c r="ASI67"/>
      <c r="ASJ67"/>
      <c r="ASK67"/>
      <c r="ASL67"/>
      <c r="ASM67"/>
      <c r="ASN67"/>
      <c r="ASO67"/>
      <c r="ASP67"/>
      <c r="ASQ67"/>
      <c r="ASR67"/>
      <c r="ASS67"/>
      <c r="AST67"/>
      <c r="ASU67"/>
      <c r="ASV67"/>
      <c r="ASW67"/>
      <c r="ASX67"/>
      <c r="ASY67"/>
      <c r="ASZ67"/>
      <c r="ATA67"/>
      <c r="ATB67"/>
      <c r="ATC67"/>
      <c r="ATD67"/>
      <c r="ATE67"/>
      <c r="ATF67"/>
      <c r="ATG67"/>
      <c r="ATH67"/>
      <c r="ATI67"/>
      <c r="ATJ67"/>
      <c r="ATK67"/>
      <c r="ATL67"/>
      <c r="ATM67"/>
      <c r="ATN67"/>
      <c r="ATO67"/>
      <c r="ATP67"/>
      <c r="ATQ67"/>
      <c r="ATR67"/>
      <c r="ATS67"/>
      <c r="ATT67"/>
      <c r="ATU67"/>
      <c r="ATV67"/>
      <c r="ATW67"/>
      <c r="ATX67"/>
      <c r="ATY67"/>
      <c r="ATZ67"/>
      <c r="AUA67"/>
      <c r="AUB67"/>
      <c r="AUC67"/>
      <c r="AUD67"/>
      <c r="AUE67"/>
      <c r="AUF67"/>
      <c r="AUG67"/>
      <c r="AUH67"/>
      <c r="AUI67"/>
      <c r="AUJ67"/>
      <c r="AUK67"/>
      <c r="AUL67"/>
      <c r="AUM67"/>
      <c r="AUN67"/>
      <c r="AUO67"/>
      <c r="AUP67"/>
      <c r="AUQ67"/>
      <c r="AUR67"/>
      <c r="AUS67"/>
      <c r="AUT67"/>
      <c r="AUU67"/>
      <c r="AUV67"/>
      <c r="AUW67"/>
      <c r="AUX67"/>
      <c r="AUY67"/>
      <c r="AUZ67"/>
      <c r="AVA67"/>
      <c r="AVB67"/>
      <c r="AVC67"/>
      <c r="AVD67"/>
      <c r="AVE67"/>
      <c r="AVF67"/>
      <c r="AVG67"/>
      <c r="AVH67"/>
      <c r="AVI67"/>
      <c r="AVJ67"/>
      <c r="AVK67"/>
      <c r="AVL67"/>
      <c r="AVM67"/>
      <c r="AVN67"/>
      <c r="AVO67"/>
      <c r="AVP67"/>
      <c r="AVQ67"/>
      <c r="AVR67"/>
      <c r="AVS67"/>
      <c r="AVT67"/>
      <c r="AVU67"/>
      <c r="AVV67"/>
      <c r="AVW67"/>
      <c r="AVX67"/>
      <c r="AVY67"/>
      <c r="AVZ67"/>
      <c r="AWA67"/>
      <c r="AWB67"/>
      <c r="AWC67"/>
      <c r="AWD67"/>
      <c r="AWE67"/>
      <c r="AWF67"/>
      <c r="AWG67"/>
      <c r="AWH67"/>
      <c r="AWI67"/>
      <c r="AWJ67"/>
      <c r="AWK67"/>
      <c r="AWL67"/>
      <c r="AWM67"/>
      <c r="AWN67"/>
      <c r="AWO67"/>
      <c r="AWP67"/>
      <c r="AWQ67"/>
      <c r="AWR67"/>
      <c r="AWS67"/>
      <c r="AWT67"/>
      <c r="AWU67"/>
      <c r="AWV67"/>
      <c r="AWW67"/>
      <c r="AWX67"/>
      <c r="AWY67"/>
      <c r="AWZ67"/>
      <c r="AXA67"/>
      <c r="AXB67"/>
      <c r="AXC67"/>
      <c r="AXD67"/>
      <c r="AXE67"/>
      <c r="AXF67"/>
      <c r="AXG67"/>
      <c r="AXH67"/>
      <c r="AXI67"/>
      <c r="AXJ67"/>
      <c r="AXK67"/>
      <c r="AXL67"/>
      <c r="AXM67"/>
      <c r="AXN67"/>
      <c r="AXO67"/>
      <c r="AXP67"/>
      <c r="AXQ67"/>
      <c r="AXR67"/>
      <c r="AXS67"/>
      <c r="AXT67"/>
      <c r="AXU67"/>
      <c r="AXV67"/>
      <c r="AXW67"/>
      <c r="AXX67"/>
      <c r="AXY67"/>
      <c r="AXZ67"/>
      <c r="AYA67"/>
      <c r="AYB67"/>
      <c r="AYC67"/>
      <c r="AYD67"/>
      <c r="AYE67"/>
      <c r="AYF67"/>
      <c r="AYG67"/>
      <c r="AYH67"/>
      <c r="AYI67"/>
      <c r="AYJ67"/>
      <c r="AYK67"/>
      <c r="AYL67"/>
      <c r="AYM67"/>
      <c r="AYN67"/>
      <c r="AYO67"/>
      <c r="AYP67"/>
      <c r="AYQ67"/>
      <c r="AYR67"/>
      <c r="AYS67"/>
      <c r="AYT67"/>
      <c r="AYU67"/>
      <c r="AYV67"/>
      <c r="AYW67"/>
      <c r="AYX67"/>
      <c r="AYY67"/>
      <c r="AYZ67"/>
      <c r="AZA67"/>
      <c r="AZB67"/>
      <c r="AZC67"/>
      <c r="AZD67"/>
      <c r="AZE67"/>
      <c r="AZF67"/>
      <c r="AZG67"/>
      <c r="AZH67"/>
      <c r="AZI67"/>
      <c r="AZJ67"/>
      <c r="AZK67"/>
      <c r="AZL67"/>
      <c r="AZM67"/>
      <c r="AZN67"/>
      <c r="AZO67"/>
      <c r="AZP67"/>
      <c r="AZQ67"/>
      <c r="AZR67"/>
      <c r="AZS67"/>
      <c r="AZT67"/>
      <c r="AZU67"/>
      <c r="AZV67"/>
      <c r="AZW67"/>
      <c r="AZX67"/>
      <c r="AZY67"/>
      <c r="AZZ67"/>
      <c r="BAA67"/>
      <c r="BAB67"/>
      <c r="BAC67"/>
      <c r="BAD67"/>
      <c r="BAE67"/>
      <c r="BAF67"/>
      <c r="BAG67"/>
      <c r="BAH67"/>
      <c r="BAI67"/>
      <c r="BAJ67"/>
      <c r="BAK67"/>
      <c r="BAL67"/>
      <c r="BAM67"/>
      <c r="BAN67"/>
      <c r="BAO67"/>
      <c r="BAP67"/>
      <c r="BAQ67"/>
      <c r="BAR67"/>
      <c r="BAS67"/>
      <c r="BAT67"/>
      <c r="BAU67"/>
      <c r="BAV67"/>
      <c r="BAW67"/>
      <c r="BAX67"/>
      <c r="BAY67"/>
      <c r="BAZ67"/>
      <c r="BBA67"/>
      <c r="BBB67"/>
      <c r="BBC67"/>
      <c r="BBD67"/>
      <c r="BBE67"/>
      <c r="BBF67"/>
      <c r="BBG67"/>
      <c r="BBH67"/>
      <c r="BBI67"/>
      <c r="BBJ67"/>
      <c r="BBK67"/>
      <c r="BBL67"/>
      <c r="BBM67"/>
      <c r="BBN67"/>
      <c r="BBO67"/>
      <c r="BBP67"/>
      <c r="BBQ67"/>
      <c r="BBR67"/>
      <c r="BBS67"/>
      <c r="BBT67"/>
      <c r="BBU67"/>
      <c r="BBV67"/>
      <c r="BBW67"/>
      <c r="BBX67"/>
      <c r="BBY67"/>
      <c r="BBZ67"/>
      <c r="BCA67"/>
      <c r="BCB67"/>
      <c r="BCC67"/>
      <c r="BCD67"/>
      <c r="BCE67"/>
      <c r="BCF67"/>
      <c r="BCG67"/>
      <c r="BCH67"/>
      <c r="BCI67"/>
      <c r="BCJ67"/>
      <c r="BCK67"/>
      <c r="BCL67"/>
      <c r="BCM67"/>
      <c r="BCN67"/>
      <c r="BCO67"/>
      <c r="BCP67"/>
      <c r="BCQ67"/>
      <c r="BCR67"/>
      <c r="BCS67"/>
      <c r="BCT67"/>
      <c r="BCU67"/>
      <c r="BCV67"/>
      <c r="BCW67"/>
      <c r="BCX67"/>
      <c r="BCY67"/>
      <c r="BCZ67"/>
      <c r="BDA67"/>
      <c r="BDB67"/>
      <c r="BDC67"/>
      <c r="BDD67"/>
      <c r="BDE67"/>
      <c r="BDF67"/>
      <c r="BDG67"/>
      <c r="BDH67"/>
      <c r="BDI67"/>
      <c r="BDJ67"/>
      <c r="BDK67"/>
      <c r="BDL67"/>
      <c r="BDM67"/>
      <c r="BDN67"/>
      <c r="BDO67"/>
      <c r="BDP67"/>
      <c r="BDQ67"/>
      <c r="BDR67"/>
      <c r="BDS67"/>
      <c r="BDT67"/>
      <c r="BDU67"/>
      <c r="BDV67"/>
      <c r="BDW67"/>
      <c r="BDX67"/>
      <c r="BDY67"/>
      <c r="BDZ67"/>
      <c r="BEA67"/>
      <c r="BEB67"/>
      <c r="BEC67"/>
      <c r="BED67"/>
      <c r="BEE67"/>
      <c r="BEF67"/>
      <c r="BEG67"/>
      <c r="BEH67"/>
      <c r="BEI67"/>
      <c r="BEJ67"/>
      <c r="BEK67"/>
      <c r="BEL67"/>
      <c r="BEM67"/>
      <c r="BEN67"/>
      <c r="BEO67"/>
      <c r="BEP67"/>
      <c r="BEQ67"/>
      <c r="BER67"/>
      <c r="BES67"/>
      <c r="BET67"/>
      <c r="BEU67"/>
      <c r="BEV67"/>
      <c r="BEW67"/>
      <c r="BEX67"/>
      <c r="BEY67"/>
      <c r="BEZ67"/>
      <c r="BFA67"/>
      <c r="BFB67"/>
      <c r="BFC67"/>
      <c r="BFD67"/>
      <c r="BFE67"/>
      <c r="BFF67"/>
      <c r="BFG67"/>
      <c r="BFH67"/>
      <c r="BFI67"/>
      <c r="BFJ67"/>
      <c r="BFK67"/>
      <c r="BFL67"/>
      <c r="BFM67"/>
      <c r="BFN67"/>
      <c r="BFO67"/>
      <c r="BFP67"/>
      <c r="BFQ67"/>
      <c r="BFR67"/>
      <c r="BFS67"/>
      <c r="BFT67"/>
      <c r="BFU67"/>
      <c r="BFV67"/>
      <c r="BFW67"/>
      <c r="BFX67"/>
      <c r="BFY67"/>
      <c r="BFZ67"/>
      <c r="BGA67"/>
      <c r="BGB67"/>
      <c r="BGC67"/>
      <c r="BGD67"/>
      <c r="BGE67"/>
      <c r="BGF67"/>
      <c r="BGG67"/>
      <c r="BGH67"/>
      <c r="BGI67"/>
      <c r="BGJ67"/>
      <c r="BGK67"/>
      <c r="BGL67"/>
      <c r="BGM67"/>
      <c r="BGN67"/>
      <c r="BGO67"/>
      <c r="BGP67"/>
      <c r="BGQ67"/>
      <c r="BGR67"/>
      <c r="BGS67"/>
      <c r="BGT67"/>
      <c r="BGU67"/>
      <c r="BGV67"/>
      <c r="BGW67"/>
      <c r="BGX67"/>
      <c r="BGY67"/>
      <c r="BGZ67"/>
      <c r="BHA67"/>
      <c r="BHB67"/>
      <c r="BHC67"/>
      <c r="BHD67"/>
      <c r="BHE67"/>
      <c r="BHF67"/>
      <c r="BHG67"/>
      <c r="BHH67"/>
      <c r="BHI67"/>
      <c r="BHJ67"/>
      <c r="BHK67"/>
      <c r="BHL67"/>
      <c r="BHM67"/>
      <c r="BHN67"/>
      <c r="BHO67"/>
      <c r="BHP67"/>
      <c r="BHQ67"/>
      <c r="BHR67"/>
      <c r="BHS67"/>
      <c r="BHT67"/>
      <c r="BHU67"/>
      <c r="BHV67"/>
      <c r="BHW67"/>
      <c r="BHX67"/>
      <c r="BHY67"/>
      <c r="BHZ67"/>
      <c r="BIA67"/>
      <c r="BIB67"/>
      <c r="BIC67"/>
      <c r="BID67"/>
      <c r="BIE67"/>
      <c r="BIF67"/>
      <c r="BIG67"/>
      <c r="BIH67"/>
      <c r="BII67"/>
      <c r="BIJ67"/>
      <c r="BIK67"/>
      <c r="BIL67"/>
      <c r="BIM67"/>
      <c r="BIN67"/>
      <c r="BIO67"/>
      <c r="BIP67"/>
      <c r="BIQ67"/>
      <c r="BIR67"/>
      <c r="BIS67"/>
      <c r="BIT67"/>
      <c r="BIU67"/>
      <c r="BIV67"/>
      <c r="BIW67"/>
      <c r="BIX67"/>
      <c r="BIY67"/>
      <c r="BIZ67"/>
      <c r="BJA67"/>
      <c r="BJB67"/>
      <c r="BJC67"/>
      <c r="BJD67"/>
      <c r="BJE67"/>
      <c r="BJF67"/>
      <c r="BJG67"/>
      <c r="BJH67"/>
      <c r="BJI67"/>
      <c r="BJJ67"/>
      <c r="BJK67"/>
      <c r="BJL67"/>
      <c r="BJM67"/>
      <c r="BJN67"/>
      <c r="BJO67"/>
      <c r="BJP67"/>
      <c r="BJQ67"/>
      <c r="BJR67"/>
      <c r="BJS67"/>
      <c r="BJT67"/>
      <c r="BJU67"/>
      <c r="BJV67"/>
      <c r="BJW67"/>
      <c r="BJX67"/>
      <c r="BJY67"/>
      <c r="BJZ67"/>
      <c r="BKA67"/>
      <c r="BKB67"/>
      <c r="BKC67"/>
      <c r="BKD67"/>
      <c r="BKE67"/>
      <c r="BKF67"/>
      <c r="BKG67"/>
      <c r="BKH67"/>
      <c r="BKI67"/>
      <c r="BKJ67"/>
      <c r="BKK67"/>
      <c r="BKL67"/>
      <c r="BKM67"/>
      <c r="BKN67"/>
      <c r="BKO67"/>
      <c r="BKP67"/>
      <c r="BKQ67"/>
      <c r="BKR67"/>
      <c r="BKS67"/>
      <c r="BKT67"/>
      <c r="BKU67"/>
      <c r="BKV67"/>
      <c r="BKW67"/>
      <c r="BKX67"/>
      <c r="BKY67"/>
      <c r="BKZ67"/>
      <c r="BLA67"/>
      <c r="BLB67"/>
      <c r="BLC67"/>
      <c r="BLD67"/>
      <c r="BLE67"/>
      <c r="BLF67"/>
      <c r="BLG67"/>
      <c r="BLH67"/>
      <c r="BLI67"/>
      <c r="BLJ67"/>
      <c r="BLK67"/>
      <c r="BLL67"/>
      <c r="BLM67"/>
      <c r="BLN67"/>
      <c r="BLO67"/>
      <c r="BLP67"/>
      <c r="BLQ67"/>
      <c r="BLR67"/>
      <c r="BLS67"/>
      <c r="BLT67"/>
      <c r="BLU67"/>
      <c r="BLV67"/>
      <c r="BLW67"/>
      <c r="BLX67"/>
      <c r="BLY67"/>
      <c r="BLZ67"/>
      <c r="BMA67"/>
      <c r="BMB67"/>
      <c r="BMC67"/>
      <c r="BMD67"/>
      <c r="BME67"/>
      <c r="BMF67"/>
      <c r="BMG67"/>
      <c r="BMH67"/>
      <c r="BMI67"/>
      <c r="BMJ67"/>
      <c r="BMK67"/>
      <c r="BML67"/>
      <c r="BMM67"/>
      <c r="BMN67"/>
      <c r="BMO67"/>
      <c r="BMP67"/>
      <c r="BMQ67"/>
      <c r="BMR67"/>
      <c r="BMS67"/>
      <c r="BMT67"/>
      <c r="BMU67"/>
      <c r="BMV67"/>
      <c r="BMW67"/>
      <c r="BMX67"/>
      <c r="BMY67"/>
      <c r="BMZ67"/>
      <c r="BNA67"/>
      <c r="BNB67"/>
      <c r="BNC67"/>
      <c r="BND67"/>
      <c r="BNE67"/>
      <c r="BNF67"/>
      <c r="BNG67"/>
      <c r="BNH67"/>
      <c r="BNI67"/>
      <c r="BNJ67"/>
      <c r="BNK67"/>
      <c r="BNL67"/>
      <c r="BNM67"/>
      <c r="BNN67"/>
      <c r="BNO67"/>
      <c r="BNP67"/>
      <c r="BNQ67"/>
      <c r="BNR67"/>
      <c r="BNS67"/>
      <c r="BNT67"/>
      <c r="BNU67"/>
      <c r="BNV67"/>
      <c r="BNW67"/>
      <c r="BNX67"/>
      <c r="BNY67"/>
      <c r="BNZ67"/>
      <c r="BOA67"/>
      <c r="BOB67"/>
      <c r="BOC67"/>
      <c r="BOD67"/>
      <c r="BOE67"/>
      <c r="BOF67"/>
      <c r="BOG67"/>
      <c r="BOH67"/>
      <c r="BOI67"/>
      <c r="BOJ67"/>
      <c r="BOK67"/>
      <c r="BOL67"/>
      <c r="BOM67"/>
      <c r="BON67"/>
      <c r="BOO67"/>
      <c r="BOP67"/>
      <c r="BOQ67"/>
      <c r="BOR67"/>
      <c r="BOS67"/>
      <c r="BOT67"/>
      <c r="BOU67"/>
      <c r="BOV67"/>
      <c r="BOW67"/>
      <c r="BOX67"/>
      <c r="BOY67"/>
      <c r="BOZ67"/>
      <c r="BPA67"/>
      <c r="BPB67"/>
      <c r="BPC67"/>
      <c r="BPD67"/>
      <c r="BPE67"/>
      <c r="BPF67"/>
      <c r="BPG67"/>
      <c r="BPH67"/>
      <c r="BPI67"/>
      <c r="BPJ67"/>
      <c r="BPK67"/>
      <c r="BPL67"/>
      <c r="BPM67"/>
      <c r="BPN67"/>
      <c r="BPO67"/>
      <c r="BPP67"/>
      <c r="BPQ67"/>
      <c r="BPR67"/>
      <c r="BPS67"/>
      <c r="BPT67"/>
      <c r="BPU67"/>
      <c r="BPV67"/>
      <c r="BPW67"/>
      <c r="BPX67"/>
      <c r="BPY67"/>
      <c r="BPZ67"/>
      <c r="BQA67"/>
      <c r="BQB67"/>
      <c r="BQC67"/>
      <c r="BQD67"/>
      <c r="BQE67"/>
      <c r="BQF67"/>
      <c r="BQG67"/>
      <c r="BQH67"/>
      <c r="BQI67"/>
      <c r="BQJ67"/>
      <c r="BQK67"/>
      <c r="BQL67"/>
      <c r="BQM67"/>
      <c r="BQN67"/>
      <c r="BQO67"/>
      <c r="BQP67"/>
      <c r="BQQ67"/>
      <c r="BQR67"/>
      <c r="BQS67"/>
      <c r="BQT67"/>
      <c r="BQU67"/>
      <c r="BQV67"/>
      <c r="BQW67"/>
      <c r="BQX67"/>
      <c r="BQY67"/>
      <c r="BQZ67"/>
      <c r="BRA67"/>
      <c r="BRB67"/>
      <c r="BRC67"/>
      <c r="BRD67"/>
      <c r="BRE67"/>
      <c r="BRF67"/>
      <c r="BRG67"/>
      <c r="BRH67"/>
      <c r="BRI67"/>
      <c r="BRJ67"/>
      <c r="BRK67"/>
      <c r="BRL67"/>
      <c r="BRM67"/>
      <c r="BRN67"/>
      <c r="BRO67"/>
      <c r="BRP67"/>
      <c r="BRQ67"/>
      <c r="BRR67"/>
      <c r="BRS67"/>
      <c r="BRT67"/>
      <c r="BRU67"/>
      <c r="BRV67"/>
      <c r="BRW67"/>
      <c r="BRX67"/>
      <c r="BRY67"/>
      <c r="BRZ67"/>
      <c r="BSA67"/>
      <c r="BSB67"/>
      <c r="BSC67"/>
      <c r="BSD67"/>
      <c r="BSE67"/>
      <c r="BSF67"/>
      <c r="BSG67"/>
      <c r="BSH67"/>
      <c r="BSI67"/>
      <c r="BSJ67"/>
      <c r="BSK67"/>
      <c r="BSL67"/>
      <c r="BSM67"/>
      <c r="BSN67"/>
      <c r="BSO67"/>
      <c r="BSP67"/>
      <c r="BSQ67"/>
      <c r="BSR67"/>
      <c r="BSS67"/>
      <c r="BST67"/>
      <c r="BSU67"/>
      <c r="BSV67"/>
      <c r="BSW67"/>
      <c r="BSX67"/>
      <c r="BSY67"/>
      <c r="BSZ67"/>
      <c r="BTA67"/>
      <c r="BTB67"/>
      <c r="BTC67"/>
      <c r="BTD67"/>
      <c r="BTE67"/>
      <c r="BTF67"/>
      <c r="BTG67"/>
      <c r="BTH67"/>
      <c r="BTI67"/>
      <c r="BTJ67"/>
      <c r="BTK67"/>
      <c r="BTL67"/>
      <c r="BTM67"/>
      <c r="BTN67"/>
      <c r="BTO67"/>
      <c r="BTP67"/>
      <c r="BTQ67"/>
      <c r="BTR67"/>
      <c r="BTS67"/>
      <c r="BTT67"/>
      <c r="BTU67"/>
      <c r="BTV67"/>
      <c r="BTW67"/>
      <c r="BTX67"/>
      <c r="BTY67"/>
      <c r="BTZ67"/>
      <c r="BUA67"/>
      <c r="BUB67"/>
      <c r="BUC67"/>
      <c r="BUD67"/>
      <c r="BUE67"/>
      <c r="BUF67"/>
      <c r="BUG67"/>
      <c r="BUH67"/>
      <c r="BUI67"/>
      <c r="BUJ67"/>
      <c r="BUK67"/>
      <c r="BUL67"/>
      <c r="BUM67"/>
      <c r="BUN67"/>
      <c r="BUO67"/>
      <c r="BUP67"/>
      <c r="BUQ67"/>
      <c r="BUR67"/>
      <c r="BUS67"/>
      <c r="BUT67"/>
      <c r="BUU67"/>
      <c r="BUV67"/>
      <c r="BUW67"/>
      <c r="BUX67"/>
      <c r="BUY67"/>
      <c r="BUZ67"/>
      <c r="BVA67"/>
      <c r="BVB67"/>
      <c r="BVC67"/>
      <c r="BVD67"/>
      <c r="BVE67"/>
      <c r="BVF67"/>
      <c r="BVG67"/>
      <c r="BVH67"/>
      <c r="BVI67"/>
      <c r="BVJ67"/>
      <c r="BVK67"/>
      <c r="BVL67"/>
      <c r="BVM67"/>
      <c r="BVN67"/>
      <c r="BVO67"/>
      <c r="BVP67"/>
      <c r="BVQ67"/>
      <c r="BVR67"/>
      <c r="BVS67"/>
      <c r="BVT67"/>
      <c r="BVU67"/>
      <c r="BVV67"/>
      <c r="BVW67"/>
      <c r="BVX67"/>
      <c r="BVY67"/>
      <c r="BVZ67"/>
      <c r="BWA67"/>
      <c r="BWB67"/>
      <c r="BWC67"/>
      <c r="BWD67"/>
      <c r="BWE67"/>
      <c r="BWF67"/>
      <c r="BWG67"/>
      <c r="BWH67"/>
      <c r="BWI67"/>
      <c r="BWJ67"/>
      <c r="BWK67"/>
      <c r="BWL67"/>
      <c r="BWM67"/>
      <c r="BWN67"/>
      <c r="BWO67"/>
      <c r="BWP67"/>
      <c r="BWQ67"/>
      <c r="BWR67"/>
      <c r="BWS67"/>
      <c r="BWT67"/>
      <c r="BWU67"/>
      <c r="BWV67"/>
      <c r="BWW67"/>
      <c r="BWX67"/>
      <c r="BWY67"/>
      <c r="BWZ67"/>
      <c r="BXA67"/>
      <c r="BXB67"/>
      <c r="BXC67"/>
      <c r="BXD67"/>
      <c r="BXE67"/>
      <c r="BXF67"/>
      <c r="BXG67"/>
      <c r="BXH67"/>
      <c r="BXI67"/>
      <c r="BXJ67"/>
      <c r="BXK67"/>
      <c r="BXL67"/>
      <c r="BXM67"/>
      <c r="BXN67"/>
      <c r="BXO67"/>
      <c r="BXP67"/>
      <c r="BXQ67"/>
      <c r="BXR67"/>
      <c r="BXS67"/>
      <c r="BXT67"/>
      <c r="BXU67"/>
      <c r="BXV67"/>
      <c r="BXW67"/>
      <c r="BXX67"/>
      <c r="BXY67"/>
      <c r="BXZ67"/>
      <c r="BYA67"/>
      <c r="BYB67"/>
      <c r="BYC67"/>
      <c r="BYD67"/>
      <c r="BYE67"/>
      <c r="BYF67"/>
      <c r="BYG67"/>
      <c r="BYH67"/>
      <c r="BYI67"/>
      <c r="BYJ67"/>
      <c r="BYK67"/>
      <c r="BYL67"/>
      <c r="BYM67"/>
      <c r="BYN67"/>
      <c r="BYO67"/>
      <c r="BYP67"/>
      <c r="BYQ67"/>
      <c r="BYR67"/>
      <c r="BYS67"/>
      <c r="BYT67"/>
      <c r="BYU67"/>
      <c r="BYV67"/>
      <c r="BYW67"/>
      <c r="BYX67"/>
      <c r="BYY67"/>
      <c r="BYZ67"/>
      <c r="BZA67"/>
      <c r="BZB67"/>
      <c r="BZC67"/>
      <c r="BZD67"/>
      <c r="BZE67"/>
      <c r="BZF67"/>
      <c r="BZG67"/>
      <c r="BZH67"/>
      <c r="BZI67"/>
      <c r="BZJ67"/>
      <c r="BZK67"/>
      <c r="BZL67"/>
      <c r="BZM67"/>
      <c r="BZN67"/>
      <c r="BZO67"/>
      <c r="BZP67"/>
      <c r="BZQ67"/>
      <c r="BZR67"/>
      <c r="BZS67"/>
      <c r="BZT67"/>
      <c r="BZU67"/>
      <c r="BZV67"/>
      <c r="BZW67"/>
      <c r="BZX67"/>
      <c r="BZY67"/>
      <c r="BZZ67"/>
      <c r="CAA67"/>
      <c r="CAB67"/>
      <c r="CAC67"/>
      <c r="CAD67"/>
      <c r="CAE67"/>
      <c r="CAF67"/>
      <c r="CAG67"/>
      <c r="CAH67"/>
      <c r="CAI67"/>
      <c r="CAJ67"/>
      <c r="CAK67"/>
      <c r="CAL67"/>
      <c r="CAM67"/>
      <c r="CAN67"/>
      <c r="CAO67"/>
      <c r="CAP67"/>
      <c r="CAQ67"/>
      <c r="CAR67"/>
      <c r="CAS67"/>
      <c r="CAT67"/>
      <c r="CAU67"/>
      <c r="CAV67"/>
      <c r="CAW67"/>
      <c r="CAX67"/>
      <c r="CAY67"/>
      <c r="CAZ67"/>
      <c r="CBA67"/>
      <c r="CBB67"/>
      <c r="CBC67"/>
      <c r="CBD67"/>
      <c r="CBE67"/>
      <c r="CBF67"/>
      <c r="CBG67"/>
      <c r="CBH67"/>
      <c r="CBI67"/>
      <c r="CBJ67"/>
      <c r="CBK67"/>
      <c r="CBL67"/>
      <c r="CBM67"/>
      <c r="CBN67"/>
      <c r="CBO67"/>
      <c r="CBP67"/>
      <c r="CBQ67"/>
      <c r="CBR67"/>
      <c r="CBS67"/>
      <c r="CBT67"/>
      <c r="CBU67"/>
      <c r="CBV67"/>
      <c r="CBW67"/>
      <c r="CBX67"/>
      <c r="CBY67"/>
      <c r="CBZ67"/>
      <c r="CCA67"/>
      <c r="CCB67"/>
      <c r="CCC67"/>
      <c r="CCD67"/>
      <c r="CCE67"/>
      <c r="CCF67"/>
      <c r="CCG67"/>
      <c r="CCH67"/>
      <c r="CCI67"/>
      <c r="CCJ67"/>
      <c r="CCK67"/>
      <c r="CCL67"/>
      <c r="CCM67"/>
      <c r="CCN67"/>
      <c r="CCO67"/>
      <c r="CCP67"/>
      <c r="CCQ67"/>
      <c r="CCR67"/>
      <c r="CCS67"/>
      <c r="CCT67"/>
      <c r="CCU67"/>
      <c r="CCV67"/>
      <c r="CCW67"/>
      <c r="CCX67"/>
      <c r="CCY67"/>
      <c r="CCZ67"/>
      <c r="CDA67"/>
      <c r="CDB67"/>
      <c r="CDC67"/>
      <c r="CDD67"/>
      <c r="CDE67"/>
      <c r="CDF67"/>
      <c r="CDG67"/>
      <c r="CDH67"/>
      <c r="CDI67"/>
      <c r="CDJ67"/>
      <c r="CDK67"/>
      <c r="CDL67"/>
      <c r="CDM67"/>
      <c r="CDN67"/>
      <c r="CDO67"/>
      <c r="CDP67"/>
      <c r="CDQ67"/>
      <c r="CDR67"/>
      <c r="CDS67"/>
      <c r="CDT67"/>
      <c r="CDU67"/>
      <c r="CDV67"/>
      <c r="CDW67"/>
      <c r="CDX67"/>
      <c r="CDY67"/>
      <c r="CDZ67"/>
      <c r="CEA67"/>
      <c r="CEB67"/>
      <c r="CEC67"/>
      <c r="CED67"/>
      <c r="CEE67"/>
      <c r="CEF67"/>
      <c r="CEG67"/>
      <c r="CEH67"/>
      <c r="CEI67"/>
      <c r="CEJ67"/>
      <c r="CEK67"/>
      <c r="CEL67"/>
      <c r="CEM67"/>
      <c r="CEN67"/>
      <c r="CEO67"/>
      <c r="CEP67"/>
      <c r="CEQ67"/>
      <c r="CER67"/>
      <c r="CES67"/>
      <c r="CET67"/>
      <c r="CEU67"/>
      <c r="CEV67"/>
      <c r="CEW67"/>
      <c r="CEX67"/>
      <c r="CEY67"/>
      <c r="CEZ67"/>
      <c r="CFA67"/>
      <c r="CFB67"/>
      <c r="CFC67"/>
      <c r="CFD67"/>
      <c r="CFE67"/>
      <c r="CFF67"/>
      <c r="CFG67"/>
      <c r="CFH67"/>
      <c r="CFI67"/>
      <c r="CFJ67"/>
      <c r="CFK67"/>
      <c r="CFL67"/>
      <c r="CFM67"/>
      <c r="CFN67"/>
      <c r="CFO67"/>
      <c r="CFP67"/>
      <c r="CFQ67"/>
      <c r="CFR67"/>
      <c r="CFS67"/>
      <c r="CFT67"/>
      <c r="CFU67"/>
      <c r="CFV67"/>
      <c r="CFW67"/>
      <c r="CFX67"/>
      <c r="CFY67"/>
      <c r="CFZ67"/>
      <c r="CGA67"/>
      <c r="CGB67"/>
      <c r="CGC67"/>
      <c r="CGD67"/>
      <c r="CGE67"/>
      <c r="CGF67"/>
      <c r="CGG67"/>
      <c r="CGH67"/>
      <c r="CGI67"/>
      <c r="CGJ67"/>
      <c r="CGK67"/>
      <c r="CGL67"/>
      <c r="CGM67"/>
      <c r="CGN67"/>
      <c r="CGO67"/>
      <c r="CGP67"/>
      <c r="CGQ67"/>
      <c r="CGR67"/>
      <c r="CGS67"/>
      <c r="CGT67"/>
      <c r="CGU67"/>
      <c r="CGV67"/>
      <c r="CGW67"/>
      <c r="CGX67"/>
      <c r="CGY67"/>
      <c r="CGZ67"/>
      <c r="CHA67"/>
      <c r="CHB67"/>
      <c r="CHC67"/>
      <c r="CHD67"/>
      <c r="CHE67"/>
      <c r="CHF67"/>
      <c r="CHG67"/>
      <c r="CHH67"/>
      <c r="CHI67"/>
      <c r="CHJ67"/>
      <c r="CHK67"/>
      <c r="CHL67"/>
      <c r="CHM67"/>
      <c r="CHN67"/>
      <c r="CHO67"/>
      <c r="CHP67"/>
      <c r="CHQ67"/>
      <c r="CHR67"/>
      <c r="CHS67"/>
      <c r="CHT67"/>
      <c r="CHU67"/>
      <c r="CHV67"/>
      <c r="CHW67"/>
      <c r="CHX67"/>
      <c r="CHY67"/>
      <c r="CHZ67"/>
      <c r="CIA67"/>
      <c r="CIB67"/>
      <c r="CIC67"/>
      <c r="CID67"/>
      <c r="CIE67"/>
      <c r="CIF67"/>
      <c r="CIG67"/>
      <c r="CIH67"/>
      <c r="CII67"/>
      <c r="CIJ67"/>
      <c r="CIK67"/>
      <c r="CIL67"/>
      <c r="CIM67"/>
      <c r="CIN67"/>
      <c r="CIO67"/>
      <c r="CIP67"/>
      <c r="CIQ67"/>
      <c r="CIR67"/>
      <c r="CIS67"/>
      <c r="CIT67"/>
      <c r="CIU67"/>
      <c r="CIV67"/>
      <c r="CIW67"/>
      <c r="CIX67"/>
      <c r="CIY67"/>
      <c r="CIZ67"/>
      <c r="CJA67"/>
      <c r="CJB67"/>
      <c r="CJC67"/>
      <c r="CJD67"/>
      <c r="CJE67"/>
      <c r="CJF67"/>
      <c r="CJG67"/>
      <c r="CJH67"/>
      <c r="CJI67"/>
      <c r="CJJ67"/>
      <c r="CJK67"/>
      <c r="CJL67"/>
      <c r="CJM67"/>
      <c r="CJN67"/>
      <c r="CJO67"/>
      <c r="CJP67"/>
      <c r="CJQ67"/>
      <c r="CJR67"/>
      <c r="CJS67"/>
      <c r="CJT67"/>
      <c r="CJU67"/>
      <c r="CJV67"/>
      <c r="CJW67"/>
      <c r="CJX67"/>
      <c r="CJY67"/>
      <c r="CJZ67"/>
      <c r="CKA67"/>
      <c r="CKB67"/>
      <c r="CKC67"/>
      <c r="CKD67"/>
      <c r="CKE67"/>
      <c r="CKF67"/>
      <c r="CKG67"/>
      <c r="CKH67"/>
      <c r="CKI67"/>
      <c r="CKJ67"/>
      <c r="CKK67"/>
      <c r="CKL67"/>
      <c r="CKM67"/>
      <c r="CKN67"/>
      <c r="CKO67"/>
      <c r="CKP67"/>
      <c r="CKQ67"/>
      <c r="CKR67"/>
      <c r="CKS67"/>
      <c r="CKT67"/>
      <c r="CKU67"/>
      <c r="CKV67"/>
      <c r="CKW67"/>
      <c r="CKX67"/>
      <c r="CKY67"/>
      <c r="CKZ67"/>
      <c r="CLA67"/>
      <c r="CLB67"/>
      <c r="CLC67"/>
      <c r="CLD67"/>
      <c r="CLE67"/>
      <c r="CLF67"/>
      <c r="CLG67"/>
      <c r="CLH67"/>
      <c r="CLI67"/>
      <c r="CLJ67"/>
      <c r="CLK67"/>
      <c r="CLL67"/>
      <c r="CLM67"/>
      <c r="CLN67"/>
      <c r="CLO67"/>
      <c r="CLP67"/>
      <c r="CLQ67"/>
      <c r="CLR67"/>
      <c r="CLS67"/>
      <c r="CLT67"/>
      <c r="CLU67"/>
      <c r="CLV67"/>
      <c r="CLW67"/>
      <c r="CLX67"/>
      <c r="CLY67"/>
      <c r="CLZ67"/>
      <c r="CMA67"/>
      <c r="CMB67"/>
      <c r="CMC67"/>
      <c r="CMD67"/>
      <c r="CME67"/>
      <c r="CMF67"/>
      <c r="CMG67"/>
      <c r="CMH67"/>
      <c r="CMI67"/>
      <c r="CMJ67"/>
      <c r="CMK67"/>
      <c r="CML67"/>
      <c r="CMM67"/>
      <c r="CMN67"/>
      <c r="CMO67"/>
      <c r="CMP67"/>
      <c r="CMQ67"/>
      <c r="CMR67"/>
      <c r="CMS67"/>
      <c r="CMT67"/>
      <c r="CMU67"/>
      <c r="CMV67"/>
      <c r="CMW67"/>
      <c r="CMX67"/>
      <c r="CMY67"/>
      <c r="CMZ67"/>
      <c r="CNA67"/>
      <c r="CNB67"/>
      <c r="CNC67"/>
      <c r="CND67"/>
      <c r="CNE67"/>
      <c r="CNF67"/>
      <c r="CNG67"/>
      <c r="CNH67"/>
      <c r="CNI67"/>
      <c r="CNJ67"/>
      <c r="CNK67"/>
      <c r="CNL67"/>
      <c r="CNM67"/>
      <c r="CNN67"/>
      <c r="CNO67"/>
      <c r="CNP67"/>
      <c r="CNQ67"/>
      <c r="CNR67"/>
      <c r="CNS67"/>
      <c r="CNT67"/>
      <c r="CNU67"/>
      <c r="CNV67"/>
      <c r="CNW67"/>
      <c r="CNX67"/>
      <c r="CNY67"/>
      <c r="CNZ67"/>
      <c r="COA67"/>
      <c r="COB67"/>
      <c r="COC67"/>
      <c r="COD67"/>
      <c r="COE67"/>
      <c r="COF67"/>
      <c r="COG67"/>
      <c r="COH67"/>
      <c r="COI67"/>
      <c r="COJ67"/>
      <c r="COK67"/>
      <c r="COL67"/>
      <c r="COM67"/>
      <c r="CON67"/>
      <c r="COO67"/>
      <c r="COP67"/>
      <c r="COQ67"/>
      <c r="COR67"/>
      <c r="COS67"/>
      <c r="COT67"/>
      <c r="COU67"/>
      <c r="COV67"/>
      <c r="COW67"/>
      <c r="COX67"/>
      <c r="COY67"/>
      <c r="COZ67"/>
      <c r="CPA67"/>
      <c r="CPB67"/>
      <c r="CPC67"/>
      <c r="CPD67"/>
      <c r="CPE67"/>
      <c r="CPF67"/>
      <c r="CPG67"/>
      <c r="CPH67"/>
      <c r="CPI67"/>
      <c r="CPJ67"/>
      <c r="CPK67"/>
      <c r="CPL67"/>
      <c r="CPM67"/>
      <c r="CPN67"/>
      <c r="CPO67"/>
      <c r="CPP67"/>
      <c r="CPQ67"/>
      <c r="CPR67"/>
      <c r="CPS67"/>
      <c r="CPT67"/>
      <c r="CPU67"/>
      <c r="CPV67"/>
      <c r="CPW67"/>
      <c r="CPX67"/>
      <c r="CPY67"/>
      <c r="CPZ67"/>
      <c r="CQA67"/>
      <c r="CQB67"/>
      <c r="CQC67"/>
      <c r="CQD67"/>
      <c r="CQE67"/>
      <c r="CQF67"/>
      <c r="CQG67"/>
      <c r="CQH67"/>
      <c r="CQI67"/>
      <c r="CQJ67"/>
      <c r="CQK67"/>
      <c r="CQL67"/>
      <c r="CQM67"/>
      <c r="CQN67"/>
      <c r="CQO67"/>
      <c r="CQP67"/>
      <c r="CQQ67"/>
      <c r="CQR67"/>
      <c r="CQS67"/>
      <c r="CQT67"/>
      <c r="CQU67"/>
      <c r="CQV67"/>
      <c r="CQW67"/>
      <c r="CQX67"/>
      <c r="CQY67"/>
      <c r="CQZ67"/>
      <c r="CRA67"/>
      <c r="CRB67"/>
      <c r="CRC67"/>
      <c r="CRD67"/>
      <c r="CRE67"/>
      <c r="CRF67"/>
      <c r="CRG67"/>
      <c r="CRH67"/>
      <c r="CRI67"/>
      <c r="CRJ67"/>
      <c r="CRK67"/>
      <c r="CRL67"/>
      <c r="CRM67"/>
      <c r="CRN67"/>
      <c r="CRO67"/>
      <c r="CRP67"/>
      <c r="CRQ67"/>
      <c r="CRR67"/>
      <c r="CRS67"/>
      <c r="CRT67"/>
      <c r="CRU67"/>
      <c r="CRV67"/>
      <c r="CRW67"/>
      <c r="CRX67"/>
      <c r="CRY67"/>
      <c r="CRZ67"/>
      <c r="CSA67"/>
      <c r="CSB67"/>
      <c r="CSC67"/>
      <c r="CSD67"/>
      <c r="CSE67"/>
      <c r="CSF67"/>
      <c r="CSG67"/>
      <c r="CSH67"/>
      <c r="CSI67"/>
      <c r="CSJ67"/>
      <c r="CSK67"/>
      <c r="CSL67"/>
      <c r="CSM67"/>
      <c r="CSN67"/>
      <c r="CSO67"/>
      <c r="CSP67"/>
      <c r="CSQ67"/>
      <c r="CSR67"/>
      <c r="CSS67"/>
      <c r="CST67"/>
      <c r="CSU67"/>
      <c r="CSV67"/>
      <c r="CSW67"/>
      <c r="CSX67"/>
      <c r="CSY67"/>
      <c r="CSZ67"/>
      <c r="CTA67"/>
      <c r="CTB67"/>
      <c r="CTC67"/>
      <c r="CTD67"/>
      <c r="CTE67"/>
      <c r="CTF67"/>
      <c r="CTG67"/>
      <c r="CTH67"/>
      <c r="CTI67"/>
      <c r="CTJ67"/>
      <c r="CTK67"/>
      <c r="CTL67"/>
      <c r="CTM67"/>
      <c r="CTN67"/>
      <c r="CTO67"/>
      <c r="CTP67"/>
      <c r="CTQ67"/>
      <c r="CTR67"/>
      <c r="CTS67"/>
      <c r="CTT67"/>
      <c r="CTU67"/>
      <c r="CTV67"/>
      <c r="CTW67"/>
      <c r="CTX67"/>
      <c r="CTY67"/>
      <c r="CTZ67"/>
      <c r="CUA67"/>
      <c r="CUB67"/>
      <c r="CUC67"/>
      <c r="CUD67"/>
      <c r="CUE67"/>
      <c r="CUF67"/>
      <c r="CUG67"/>
      <c r="CUH67"/>
      <c r="CUI67"/>
      <c r="CUJ67"/>
      <c r="CUK67"/>
      <c r="CUL67"/>
      <c r="CUM67"/>
      <c r="CUN67"/>
      <c r="CUO67"/>
      <c r="CUP67"/>
      <c r="CUQ67"/>
      <c r="CUR67"/>
      <c r="CUS67"/>
      <c r="CUT67"/>
      <c r="CUU67"/>
      <c r="CUV67"/>
      <c r="CUW67"/>
      <c r="CUX67"/>
      <c r="CUY67"/>
      <c r="CUZ67"/>
      <c r="CVA67"/>
      <c r="CVB67"/>
      <c r="CVC67"/>
      <c r="CVD67"/>
      <c r="CVE67"/>
      <c r="CVF67"/>
      <c r="CVG67"/>
      <c r="CVH67"/>
      <c r="CVI67"/>
      <c r="CVJ67"/>
      <c r="CVK67"/>
      <c r="CVL67"/>
      <c r="CVM67"/>
      <c r="CVN67"/>
      <c r="CVO67"/>
      <c r="CVP67"/>
      <c r="CVQ67"/>
      <c r="CVR67"/>
      <c r="CVS67"/>
      <c r="CVT67"/>
      <c r="CVU67"/>
      <c r="CVV67"/>
      <c r="CVW67"/>
      <c r="CVX67"/>
      <c r="CVY67"/>
      <c r="CVZ67"/>
      <c r="CWA67"/>
      <c r="CWB67"/>
      <c r="CWC67"/>
      <c r="CWD67"/>
      <c r="CWE67"/>
      <c r="CWF67"/>
      <c r="CWG67"/>
      <c r="CWH67"/>
      <c r="CWI67"/>
      <c r="CWJ67"/>
      <c r="CWK67"/>
      <c r="CWL67"/>
      <c r="CWM67"/>
      <c r="CWN67"/>
      <c r="CWO67"/>
      <c r="CWP67"/>
      <c r="CWQ67"/>
      <c r="CWR67"/>
      <c r="CWS67"/>
      <c r="CWT67"/>
      <c r="CWU67"/>
      <c r="CWV67"/>
      <c r="CWW67"/>
      <c r="CWX67"/>
      <c r="CWY67"/>
      <c r="CWZ67"/>
      <c r="CXA67"/>
      <c r="CXB67"/>
      <c r="CXC67"/>
      <c r="CXD67"/>
      <c r="CXE67"/>
      <c r="CXF67"/>
      <c r="CXG67"/>
      <c r="CXH67"/>
      <c r="CXI67"/>
      <c r="CXJ67"/>
      <c r="CXK67"/>
      <c r="CXL67"/>
      <c r="CXM67"/>
      <c r="CXN67"/>
      <c r="CXO67"/>
      <c r="CXP67"/>
      <c r="CXQ67"/>
      <c r="CXR67"/>
      <c r="CXS67"/>
      <c r="CXT67"/>
      <c r="CXU67"/>
      <c r="CXV67"/>
      <c r="CXW67"/>
      <c r="CXX67"/>
      <c r="CXY67"/>
      <c r="CXZ67"/>
      <c r="CYA67"/>
      <c r="CYB67"/>
      <c r="CYC67"/>
      <c r="CYD67"/>
      <c r="CYE67"/>
      <c r="CYF67"/>
      <c r="CYG67"/>
      <c r="CYH67"/>
      <c r="CYI67"/>
      <c r="CYJ67"/>
      <c r="CYK67"/>
      <c r="CYL67"/>
      <c r="CYM67"/>
      <c r="CYN67"/>
      <c r="CYO67"/>
      <c r="CYP67"/>
      <c r="CYQ67"/>
      <c r="CYR67"/>
      <c r="CYS67"/>
      <c r="CYT67"/>
      <c r="CYU67"/>
      <c r="CYV67"/>
      <c r="CYW67"/>
      <c r="CYX67"/>
      <c r="CYY67"/>
      <c r="CYZ67"/>
      <c r="CZA67"/>
      <c r="CZB67"/>
      <c r="CZC67"/>
      <c r="CZD67"/>
      <c r="CZE67"/>
      <c r="CZF67"/>
      <c r="CZG67"/>
      <c r="CZH67"/>
      <c r="CZI67"/>
      <c r="CZJ67"/>
      <c r="CZK67"/>
      <c r="CZL67"/>
      <c r="CZM67"/>
      <c r="CZN67"/>
      <c r="CZO67"/>
      <c r="CZP67"/>
      <c r="CZQ67"/>
      <c r="CZR67"/>
      <c r="CZS67"/>
      <c r="CZT67"/>
      <c r="CZU67"/>
      <c r="CZV67"/>
      <c r="CZW67"/>
      <c r="CZX67"/>
      <c r="CZY67"/>
      <c r="CZZ67"/>
      <c r="DAA67"/>
      <c r="DAB67"/>
      <c r="DAC67"/>
      <c r="DAD67"/>
      <c r="DAE67"/>
      <c r="DAF67"/>
      <c r="DAG67"/>
      <c r="DAH67"/>
      <c r="DAI67"/>
      <c r="DAJ67"/>
      <c r="DAK67"/>
      <c r="DAL67"/>
      <c r="DAM67"/>
      <c r="DAN67"/>
      <c r="DAO67"/>
      <c r="DAP67"/>
      <c r="DAQ67"/>
      <c r="DAR67"/>
      <c r="DAS67"/>
      <c r="DAT67"/>
      <c r="DAU67"/>
      <c r="DAV67"/>
      <c r="DAW67"/>
      <c r="DAX67"/>
      <c r="DAY67"/>
      <c r="DAZ67"/>
      <c r="DBA67"/>
      <c r="DBB67"/>
      <c r="DBC67"/>
      <c r="DBD67"/>
      <c r="DBE67"/>
      <c r="DBF67"/>
      <c r="DBG67"/>
      <c r="DBH67"/>
      <c r="DBI67"/>
      <c r="DBJ67"/>
      <c r="DBK67"/>
      <c r="DBL67"/>
      <c r="DBM67"/>
      <c r="DBN67"/>
      <c r="DBO67"/>
      <c r="DBP67"/>
      <c r="DBQ67"/>
      <c r="DBR67"/>
      <c r="DBS67"/>
      <c r="DBT67"/>
      <c r="DBU67"/>
      <c r="DBV67"/>
      <c r="DBW67"/>
      <c r="DBX67"/>
      <c r="DBY67"/>
      <c r="DBZ67"/>
      <c r="DCA67"/>
      <c r="DCB67"/>
      <c r="DCC67"/>
      <c r="DCD67"/>
      <c r="DCE67"/>
      <c r="DCF67"/>
      <c r="DCG67"/>
      <c r="DCH67"/>
      <c r="DCI67"/>
      <c r="DCJ67"/>
      <c r="DCK67"/>
      <c r="DCL67"/>
      <c r="DCM67"/>
      <c r="DCN67"/>
      <c r="DCO67"/>
      <c r="DCP67"/>
      <c r="DCQ67"/>
      <c r="DCR67"/>
      <c r="DCS67"/>
      <c r="DCT67"/>
      <c r="DCU67"/>
      <c r="DCV67"/>
      <c r="DCW67"/>
      <c r="DCX67"/>
      <c r="DCY67"/>
      <c r="DCZ67"/>
      <c r="DDA67"/>
      <c r="DDB67"/>
      <c r="DDC67"/>
      <c r="DDD67"/>
      <c r="DDE67"/>
      <c r="DDF67"/>
      <c r="DDG67"/>
      <c r="DDH67"/>
      <c r="DDI67"/>
      <c r="DDJ67"/>
      <c r="DDK67"/>
      <c r="DDL67"/>
      <c r="DDM67"/>
      <c r="DDN67"/>
      <c r="DDO67"/>
      <c r="DDP67"/>
      <c r="DDQ67"/>
      <c r="DDR67"/>
      <c r="DDS67"/>
      <c r="DDT67"/>
      <c r="DDU67"/>
      <c r="DDV67"/>
      <c r="DDW67"/>
      <c r="DDX67"/>
      <c r="DDY67"/>
      <c r="DDZ67"/>
      <c r="DEA67"/>
      <c r="DEB67"/>
      <c r="DEC67"/>
      <c r="DED67"/>
      <c r="DEE67"/>
      <c r="DEF67"/>
      <c r="DEG67"/>
      <c r="DEH67"/>
      <c r="DEI67"/>
      <c r="DEJ67"/>
      <c r="DEK67"/>
      <c r="DEL67"/>
      <c r="DEM67"/>
      <c r="DEN67"/>
      <c r="DEO67"/>
      <c r="DEP67"/>
      <c r="DEQ67"/>
      <c r="DER67"/>
      <c r="DES67"/>
      <c r="DET67"/>
      <c r="DEU67"/>
      <c r="DEV67"/>
      <c r="DEW67"/>
      <c r="DEX67"/>
      <c r="DEY67"/>
      <c r="DEZ67"/>
      <c r="DFA67"/>
      <c r="DFB67"/>
      <c r="DFC67"/>
      <c r="DFD67"/>
      <c r="DFE67"/>
      <c r="DFF67"/>
      <c r="DFG67"/>
      <c r="DFH67"/>
      <c r="DFI67"/>
      <c r="DFJ67"/>
      <c r="DFK67"/>
      <c r="DFL67"/>
      <c r="DFM67"/>
      <c r="DFN67"/>
      <c r="DFO67"/>
      <c r="DFP67"/>
      <c r="DFQ67"/>
      <c r="DFR67"/>
      <c r="DFS67"/>
      <c r="DFT67"/>
      <c r="DFU67"/>
      <c r="DFV67"/>
      <c r="DFW67"/>
      <c r="DFX67"/>
      <c r="DFY67"/>
      <c r="DFZ67"/>
      <c r="DGA67"/>
      <c r="DGB67"/>
      <c r="DGC67"/>
      <c r="DGD67"/>
      <c r="DGE67"/>
      <c r="DGF67"/>
      <c r="DGG67"/>
      <c r="DGH67"/>
      <c r="DGI67"/>
      <c r="DGJ67"/>
      <c r="DGK67"/>
      <c r="DGL67"/>
      <c r="DGM67"/>
      <c r="DGN67"/>
      <c r="DGO67"/>
      <c r="DGP67"/>
      <c r="DGQ67"/>
      <c r="DGR67"/>
      <c r="DGS67"/>
      <c r="DGT67"/>
      <c r="DGU67"/>
      <c r="DGV67"/>
      <c r="DGW67"/>
      <c r="DGX67"/>
      <c r="DGY67"/>
      <c r="DGZ67"/>
      <c r="DHA67"/>
      <c r="DHB67"/>
      <c r="DHC67"/>
      <c r="DHD67"/>
      <c r="DHE67"/>
      <c r="DHF67"/>
      <c r="DHG67"/>
      <c r="DHH67"/>
      <c r="DHI67"/>
      <c r="DHJ67"/>
      <c r="DHK67"/>
      <c r="DHL67"/>
      <c r="DHM67"/>
      <c r="DHN67"/>
      <c r="DHO67"/>
      <c r="DHP67"/>
      <c r="DHQ67"/>
      <c r="DHR67"/>
      <c r="DHS67"/>
      <c r="DHT67"/>
      <c r="DHU67"/>
      <c r="DHV67"/>
      <c r="DHW67"/>
      <c r="DHX67"/>
      <c r="DHY67"/>
      <c r="DHZ67"/>
      <c r="DIA67"/>
      <c r="DIB67"/>
      <c r="DIC67"/>
      <c r="DID67"/>
      <c r="DIE67"/>
      <c r="DIF67"/>
      <c r="DIG67"/>
      <c r="DIH67"/>
      <c r="DII67"/>
      <c r="DIJ67"/>
      <c r="DIK67"/>
      <c r="DIL67"/>
      <c r="DIM67"/>
      <c r="DIN67"/>
      <c r="DIO67"/>
      <c r="DIP67"/>
      <c r="DIQ67"/>
      <c r="DIR67"/>
      <c r="DIS67"/>
      <c r="DIT67"/>
      <c r="DIU67"/>
      <c r="DIV67"/>
      <c r="DIW67"/>
      <c r="DIX67"/>
      <c r="DIY67"/>
      <c r="DIZ67"/>
      <c r="DJA67"/>
      <c r="DJB67"/>
      <c r="DJC67"/>
      <c r="DJD67"/>
      <c r="DJE67"/>
      <c r="DJF67"/>
      <c r="DJG67"/>
      <c r="DJH67"/>
      <c r="DJI67"/>
      <c r="DJJ67"/>
      <c r="DJK67"/>
      <c r="DJL67"/>
      <c r="DJM67"/>
      <c r="DJN67"/>
      <c r="DJO67"/>
      <c r="DJP67"/>
      <c r="DJQ67"/>
      <c r="DJR67"/>
      <c r="DJS67"/>
      <c r="DJT67"/>
      <c r="DJU67"/>
      <c r="DJV67"/>
      <c r="DJW67"/>
      <c r="DJX67"/>
      <c r="DJY67"/>
      <c r="DJZ67"/>
      <c r="DKA67"/>
      <c r="DKB67"/>
      <c r="DKC67"/>
      <c r="DKD67"/>
      <c r="DKE67"/>
      <c r="DKF67"/>
      <c r="DKG67"/>
      <c r="DKH67"/>
      <c r="DKI67"/>
      <c r="DKJ67"/>
      <c r="DKK67"/>
      <c r="DKL67"/>
      <c r="DKM67"/>
      <c r="DKN67"/>
      <c r="DKO67"/>
      <c r="DKP67"/>
      <c r="DKQ67"/>
      <c r="DKR67"/>
      <c r="DKS67"/>
      <c r="DKT67"/>
      <c r="DKU67"/>
      <c r="DKV67"/>
      <c r="DKW67"/>
      <c r="DKX67"/>
      <c r="DKY67"/>
      <c r="DKZ67"/>
      <c r="DLA67"/>
      <c r="DLB67"/>
      <c r="DLC67"/>
      <c r="DLD67"/>
      <c r="DLE67"/>
      <c r="DLF67"/>
      <c r="DLG67"/>
      <c r="DLH67"/>
      <c r="DLI67"/>
      <c r="DLJ67"/>
      <c r="DLK67"/>
      <c r="DLL67"/>
      <c r="DLM67"/>
      <c r="DLN67"/>
      <c r="DLO67"/>
      <c r="DLP67"/>
      <c r="DLQ67"/>
      <c r="DLR67"/>
      <c r="DLS67"/>
      <c r="DLT67"/>
      <c r="DLU67"/>
      <c r="DLV67"/>
      <c r="DLW67"/>
      <c r="DLX67"/>
      <c r="DLY67"/>
      <c r="DLZ67"/>
      <c r="DMA67"/>
      <c r="DMB67"/>
      <c r="DMC67"/>
      <c r="DMD67"/>
      <c r="DME67"/>
      <c r="DMF67"/>
      <c r="DMG67"/>
      <c r="DMH67"/>
      <c r="DMI67"/>
      <c r="DMJ67"/>
      <c r="DMK67"/>
      <c r="DML67"/>
      <c r="DMM67"/>
      <c r="DMN67"/>
      <c r="DMO67"/>
      <c r="DMP67"/>
      <c r="DMQ67"/>
      <c r="DMR67"/>
      <c r="DMS67"/>
      <c r="DMT67"/>
      <c r="DMU67"/>
      <c r="DMV67"/>
      <c r="DMW67"/>
      <c r="DMX67"/>
      <c r="DMY67"/>
      <c r="DMZ67"/>
      <c r="DNA67"/>
      <c r="DNB67"/>
      <c r="DNC67"/>
      <c r="DND67"/>
      <c r="DNE67"/>
      <c r="DNF67"/>
      <c r="DNG67"/>
      <c r="DNH67"/>
      <c r="DNI67"/>
      <c r="DNJ67"/>
      <c r="DNK67"/>
      <c r="DNL67"/>
      <c r="DNM67"/>
      <c r="DNN67"/>
      <c r="DNO67"/>
      <c r="DNP67"/>
      <c r="DNQ67"/>
      <c r="DNR67"/>
      <c r="DNS67"/>
      <c r="DNT67"/>
      <c r="DNU67"/>
      <c r="DNV67"/>
      <c r="DNW67"/>
      <c r="DNX67"/>
      <c r="DNY67"/>
      <c r="DNZ67"/>
      <c r="DOA67"/>
      <c r="DOB67"/>
      <c r="DOC67"/>
      <c r="DOD67"/>
      <c r="DOE67"/>
      <c r="DOF67"/>
      <c r="DOG67"/>
      <c r="DOH67"/>
      <c r="DOI67"/>
      <c r="DOJ67"/>
      <c r="DOK67"/>
      <c r="DOL67"/>
      <c r="DOM67"/>
      <c r="DON67"/>
      <c r="DOO67"/>
      <c r="DOP67"/>
      <c r="DOQ67"/>
      <c r="DOR67"/>
      <c r="DOS67"/>
      <c r="DOT67"/>
      <c r="DOU67"/>
      <c r="DOV67"/>
      <c r="DOW67"/>
      <c r="DOX67"/>
      <c r="DOY67"/>
      <c r="DOZ67"/>
      <c r="DPA67"/>
      <c r="DPB67"/>
      <c r="DPC67"/>
      <c r="DPD67"/>
      <c r="DPE67"/>
      <c r="DPF67"/>
      <c r="DPG67"/>
      <c r="DPH67"/>
      <c r="DPI67"/>
      <c r="DPJ67"/>
      <c r="DPK67"/>
      <c r="DPL67"/>
      <c r="DPM67"/>
      <c r="DPN67"/>
      <c r="DPO67"/>
      <c r="DPP67"/>
      <c r="DPQ67"/>
      <c r="DPR67"/>
      <c r="DPS67"/>
      <c r="DPT67"/>
      <c r="DPU67"/>
      <c r="DPV67"/>
      <c r="DPW67"/>
      <c r="DPX67"/>
      <c r="DPY67"/>
      <c r="DPZ67"/>
      <c r="DQA67"/>
      <c r="DQB67"/>
      <c r="DQC67"/>
      <c r="DQD67"/>
      <c r="DQE67"/>
      <c r="DQF67"/>
      <c r="DQG67"/>
      <c r="DQH67"/>
      <c r="DQI67"/>
      <c r="DQJ67"/>
      <c r="DQK67"/>
      <c r="DQL67"/>
      <c r="DQM67"/>
      <c r="DQN67"/>
      <c r="DQO67"/>
      <c r="DQP67"/>
      <c r="DQQ67"/>
      <c r="DQR67"/>
      <c r="DQS67"/>
      <c r="DQT67"/>
      <c r="DQU67"/>
      <c r="DQV67"/>
      <c r="DQW67"/>
      <c r="DQX67"/>
      <c r="DQY67"/>
      <c r="DQZ67"/>
      <c r="DRA67"/>
      <c r="DRB67"/>
      <c r="DRC67"/>
      <c r="DRD67"/>
      <c r="DRE67"/>
      <c r="DRF67"/>
      <c r="DRG67"/>
      <c r="DRH67"/>
      <c r="DRI67"/>
      <c r="DRJ67"/>
      <c r="DRK67"/>
      <c r="DRL67"/>
      <c r="DRM67"/>
      <c r="DRN67"/>
      <c r="DRO67"/>
      <c r="DRP67"/>
      <c r="DRQ67"/>
      <c r="DRR67"/>
      <c r="DRS67"/>
      <c r="DRT67"/>
      <c r="DRU67"/>
      <c r="DRV67"/>
      <c r="DRW67"/>
      <c r="DRX67"/>
      <c r="DRY67"/>
      <c r="DRZ67"/>
      <c r="DSA67"/>
      <c r="DSB67"/>
      <c r="DSC67"/>
      <c r="DSD67"/>
      <c r="DSE67"/>
      <c r="DSF67"/>
      <c r="DSG67"/>
      <c r="DSH67"/>
      <c r="DSI67"/>
      <c r="DSJ67"/>
      <c r="DSK67"/>
      <c r="DSL67"/>
      <c r="DSM67"/>
      <c r="DSN67"/>
      <c r="DSO67"/>
      <c r="DSP67"/>
      <c r="DSQ67"/>
      <c r="DSR67"/>
      <c r="DSS67"/>
      <c r="DST67"/>
      <c r="DSU67"/>
      <c r="DSV67"/>
      <c r="DSW67"/>
      <c r="DSX67"/>
      <c r="DSY67"/>
      <c r="DSZ67"/>
      <c r="DTA67"/>
      <c r="DTB67"/>
      <c r="DTC67"/>
      <c r="DTD67"/>
      <c r="DTE67"/>
      <c r="DTF67"/>
      <c r="DTG67"/>
      <c r="DTH67"/>
      <c r="DTI67"/>
      <c r="DTJ67"/>
      <c r="DTK67"/>
      <c r="DTL67"/>
      <c r="DTM67"/>
      <c r="DTN67"/>
      <c r="DTO67"/>
      <c r="DTP67"/>
      <c r="DTQ67"/>
      <c r="DTR67"/>
      <c r="DTS67"/>
      <c r="DTT67"/>
      <c r="DTU67"/>
      <c r="DTV67"/>
      <c r="DTW67"/>
      <c r="DTX67"/>
      <c r="DTY67"/>
      <c r="DTZ67"/>
      <c r="DUA67"/>
      <c r="DUB67"/>
      <c r="DUC67"/>
      <c r="DUD67"/>
      <c r="DUE67"/>
      <c r="DUF67"/>
      <c r="DUG67"/>
      <c r="DUH67"/>
      <c r="DUI67"/>
      <c r="DUJ67"/>
      <c r="DUK67"/>
      <c r="DUL67"/>
      <c r="DUM67"/>
      <c r="DUN67"/>
      <c r="DUO67"/>
      <c r="DUP67"/>
      <c r="DUQ67"/>
      <c r="DUR67"/>
      <c r="DUS67"/>
      <c r="DUT67"/>
      <c r="DUU67"/>
      <c r="DUV67"/>
      <c r="DUW67"/>
      <c r="DUX67"/>
      <c r="DUY67"/>
      <c r="DUZ67"/>
      <c r="DVA67"/>
      <c r="DVB67"/>
      <c r="DVC67"/>
      <c r="DVD67"/>
      <c r="DVE67"/>
      <c r="DVF67"/>
      <c r="DVG67"/>
      <c r="DVH67"/>
      <c r="DVI67"/>
      <c r="DVJ67"/>
      <c r="DVK67"/>
      <c r="DVL67"/>
      <c r="DVM67"/>
      <c r="DVN67"/>
      <c r="DVO67"/>
      <c r="DVP67"/>
      <c r="DVQ67"/>
      <c r="DVR67"/>
      <c r="DVS67"/>
      <c r="DVT67"/>
      <c r="DVU67"/>
      <c r="DVV67"/>
      <c r="DVW67"/>
      <c r="DVX67"/>
      <c r="DVY67"/>
      <c r="DVZ67"/>
      <c r="DWA67"/>
      <c r="DWB67"/>
      <c r="DWC67"/>
      <c r="DWD67"/>
      <c r="DWE67"/>
      <c r="DWF67"/>
      <c r="DWG67"/>
      <c r="DWH67"/>
      <c r="DWI67"/>
      <c r="DWJ67"/>
      <c r="DWK67"/>
      <c r="DWL67"/>
      <c r="DWM67"/>
      <c r="DWN67"/>
      <c r="DWO67"/>
      <c r="DWP67"/>
      <c r="DWQ67"/>
      <c r="DWR67"/>
      <c r="DWS67"/>
      <c r="DWT67"/>
      <c r="DWU67"/>
      <c r="DWV67"/>
      <c r="DWW67"/>
      <c r="DWX67"/>
      <c r="DWY67"/>
      <c r="DWZ67"/>
      <c r="DXA67"/>
      <c r="DXB67"/>
      <c r="DXC67"/>
      <c r="DXD67"/>
      <c r="DXE67"/>
      <c r="DXF67"/>
      <c r="DXG67"/>
      <c r="DXH67"/>
      <c r="DXI67"/>
      <c r="DXJ67"/>
      <c r="DXK67"/>
      <c r="DXL67"/>
      <c r="DXM67"/>
      <c r="DXN67"/>
      <c r="DXO67"/>
      <c r="DXP67"/>
      <c r="DXQ67"/>
      <c r="DXR67"/>
      <c r="DXS67"/>
      <c r="DXT67"/>
      <c r="DXU67"/>
      <c r="DXV67"/>
      <c r="DXW67"/>
      <c r="DXX67"/>
      <c r="DXY67"/>
      <c r="DXZ67"/>
      <c r="DYA67"/>
      <c r="DYB67"/>
      <c r="DYC67"/>
      <c r="DYD67"/>
      <c r="DYE67"/>
      <c r="DYF67"/>
      <c r="DYG67"/>
      <c r="DYH67"/>
      <c r="DYI67"/>
      <c r="DYJ67"/>
      <c r="DYK67"/>
      <c r="DYL67"/>
      <c r="DYM67"/>
      <c r="DYN67"/>
      <c r="DYO67"/>
      <c r="DYP67"/>
      <c r="DYQ67"/>
      <c r="DYR67"/>
      <c r="DYS67"/>
      <c r="DYT67"/>
      <c r="DYU67"/>
      <c r="DYV67"/>
      <c r="DYW67"/>
      <c r="DYX67"/>
      <c r="DYY67"/>
      <c r="DYZ67"/>
      <c r="DZA67"/>
      <c r="DZB67"/>
      <c r="DZC67"/>
      <c r="DZD67"/>
      <c r="DZE67"/>
      <c r="DZF67"/>
      <c r="DZG67"/>
      <c r="DZH67"/>
      <c r="DZI67"/>
      <c r="DZJ67"/>
      <c r="DZK67"/>
      <c r="DZL67"/>
      <c r="DZM67"/>
      <c r="DZN67"/>
      <c r="DZO67"/>
      <c r="DZP67"/>
      <c r="DZQ67"/>
      <c r="DZR67"/>
      <c r="DZS67"/>
      <c r="DZT67"/>
      <c r="DZU67"/>
      <c r="DZV67"/>
      <c r="DZW67"/>
      <c r="DZX67"/>
      <c r="DZY67"/>
      <c r="DZZ67"/>
      <c r="EAA67"/>
      <c r="EAB67"/>
      <c r="EAC67"/>
      <c r="EAD67"/>
      <c r="EAE67"/>
      <c r="EAF67"/>
      <c r="EAG67"/>
      <c r="EAH67"/>
      <c r="EAI67"/>
      <c r="EAJ67"/>
      <c r="EAK67"/>
      <c r="EAL67"/>
      <c r="EAM67"/>
      <c r="EAN67"/>
      <c r="EAO67"/>
      <c r="EAP67"/>
      <c r="EAQ67"/>
      <c r="EAR67"/>
      <c r="EAS67"/>
      <c r="EAT67"/>
      <c r="EAU67"/>
      <c r="EAV67"/>
      <c r="EAW67"/>
      <c r="EAX67"/>
      <c r="EAY67"/>
      <c r="EAZ67"/>
      <c r="EBA67"/>
      <c r="EBB67"/>
      <c r="EBC67"/>
      <c r="EBD67"/>
      <c r="EBE67"/>
      <c r="EBF67"/>
      <c r="EBG67"/>
      <c r="EBH67"/>
      <c r="EBI67"/>
      <c r="EBJ67"/>
      <c r="EBK67"/>
      <c r="EBL67"/>
      <c r="EBM67"/>
      <c r="EBN67"/>
      <c r="EBO67"/>
      <c r="EBP67"/>
      <c r="EBQ67"/>
      <c r="EBR67"/>
      <c r="EBS67"/>
      <c r="EBT67"/>
      <c r="EBU67"/>
      <c r="EBV67"/>
      <c r="EBW67"/>
      <c r="EBX67"/>
      <c r="EBY67"/>
      <c r="EBZ67"/>
      <c r="ECA67"/>
      <c r="ECB67"/>
      <c r="ECC67"/>
      <c r="ECD67"/>
      <c r="ECE67"/>
      <c r="ECF67"/>
      <c r="ECG67"/>
      <c r="ECH67"/>
      <c r="ECI67"/>
      <c r="ECJ67"/>
      <c r="ECK67"/>
      <c r="ECL67"/>
      <c r="ECM67"/>
      <c r="ECN67"/>
      <c r="ECO67"/>
      <c r="ECP67"/>
      <c r="ECQ67"/>
      <c r="ECR67"/>
      <c r="ECS67"/>
      <c r="ECT67"/>
      <c r="ECU67"/>
      <c r="ECV67"/>
      <c r="ECW67"/>
      <c r="ECX67"/>
      <c r="ECY67"/>
      <c r="ECZ67"/>
      <c r="EDA67"/>
      <c r="EDB67"/>
      <c r="EDC67"/>
      <c r="EDD67"/>
      <c r="EDE67"/>
      <c r="EDF67"/>
      <c r="EDG67"/>
      <c r="EDH67"/>
      <c r="EDI67"/>
      <c r="EDJ67"/>
      <c r="EDK67"/>
      <c r="EDL67"/>
      <c r="EDM67"/>
      <c r="EDN67"/>
      <c r="EDO67"/>
      <c r="EDP67"/>
      <c r="EDQ67"/>
      <c r="EDR67"/>
      <c r="EDS67"/>
      <c r="EDT67"/>
      <c r="EDU67"/>
      <c r="EDV67"/>
      <c r="EDW67"/>
      <c r="EDX67"/>
      <c r="EDY67"/>
      <c r="EDZ67"/>
      <c r="EEA67"/>
      <c r="EEB67"/>
      <c r="EEC67"/>
      <c r="EED67"/>
      <c r="EEE67"/>
      <c r="EEF67"/>
      <c r="EEG67"/>
      <c r="EEH67"/>
      <c r="EEI67"/>
      <c r="EEJ67"/>
      <c r="EEK67"/>
      <c r="EEL67"/>
      <c r="EEM67"/>
      <c r="EEN67"/>
      <c r="EEO67"/>
      <c r="EEP67"/>
      <c r="EEQ67"/>
      <c r="EER67"/>
      <c r="EES67"/>
      <c r="EET67"/>
      <c r="EEU67"/>
      <c r="EEV67"/>
      <c r="EEW67"/>
      <c r="EEX67"/>
      <c r="EEY67"/>
      <c r="EEZ67"/>
      <c r="EFA67"/>
      <c r="EFB67"/>
      <c r="EFC67"/>
      <c r="EFD67"/>
      <c r="EFE67"/>
      <c r="EFF67"/>
      <c r="EFG67"/>
      <c r="EFH67"/>
      <c r="EFI67"/>
      <c r="EFJ67"/>
      <c r="EFK67"/>
      <c r="EFL67"/>
      <c r="EFM67"/>
      <c r="EFN67"/>
      <c r="EFO67"/>
      <c r="EFP67"/>
      <c r="EFQ67"/>
      <c r="EFR67"/>
      <c r="EFS67"/>
      <c r="EFT67"/>
      <c r="EFU67"/>
      <c r="EFV67"/>
      <c r="EFW67"/>
      <c r="EFX67"/>
      <c r="EFY67"/>
      <c r="EFZ67"/>
      <c r="EGA67"/>
      <c r="EGB67"/>
      <c r="EGC67"/>
      <c r="EGD67"/>
      <c r="EGE67"/>
      <c r="EGF67"/>
      <c r="EGG67"/>
      <c r="EGH67"/>
      <c r="EGI67"/>
      <c r="EGJ67"/>
      <c r="EGK67"/>
      <c r="EGL67"/>
      <c r="EGM67"/>
      <c r="EGN67"/>
      <c r="EGO67"/>
      <c r="EGP67"/>
      <c r="EGQ67"/>
      <c r="EGR67"/>
      <c r="EGS67"/>
      <c r="EGT67"/>
      <c r="EGU67"/>
      <c r="EGV67"/>
      <c r="EGW67"/>
      <c r="EGX67"/>
      <c r="EGY67"/>
      <c r="EGZ67"/>
      <c r="EHA67"/>
      <c r="EHB67"/>
      <c r="EHC67"/>
      <c r="EHD67"/>
      <c r="EHE67"/>
      <c r="EHF67"/>
      <c r="EHG67"/>
      <c r="EHH67"/>
      <c r="EHI67"/>
      <c r="EHJ67"/>
      <c r="EHK67"/>
      <c r="EHL67"/>
      <c r="EHM67"/>
      <c r="EHN67"/>
      <c r="EHO67"/>
      <c r="EHP67"/>
      <c r="EHQ67"/>
      <c r="EHR67"/>
      <c r="EHS67"/>
      <c r="EHT67"/>
      <c r="EHU67"/>
      <c r="EHV67"/>
      <c r="EHW67"/>
      <c r="EHX67"/>
      <c r="EHY67"/>
      <c r="EHZ67"/>
      <c r="EIA67"/>
      <c r="EIB67"/>
      <c r="EIC67"/>
      <c r="EID67"/>
      <c r="EIE67"/>
      <c r="EIF67"/>
      <c r="EIG67"/>
      <c r="EIH67"/>
      <c r="EII67"/>
      <c r="EIJ67"/>
      <c r="EIK67"/>
      <c r="EIL67"/>
      <c r="EIM67"/>
      <c r="EIN67"/>
      <c r="EIO67"/>
      <c r="EIP67"/>
      <c r="EIQ67"/>
      <c r="EIR67"/>
      <c r="EIS67"/>
      <c r="EIT67"/>
      <c r="EIU67"/>
      <c r="EIV67"/>
      <c r="EIW67"/>
      <c r="EIX67"/>
      <c r="EIY67"/>
      <c r="EIZ67"/>
      <c r="EJA67"/>
      <c r="EJB67"/>
      <c r="EJC67"/>
      <c r="EJD67"/>
      <c r="EJE67"/>
      <c r="EJF67"/>
      <c r="EJG67"/>
      <c r="EJH67"/>
      <c r="EJI67"/>
      <c r="EJJ67"/>
      <c r="EJK67"/>
      <c r="EJL67"/>
      <c r="EJM67"/>
      <c r="EJN67"/>
      <c r="EJO67"/>
      <c r="EJP67"/>
      <c r="EJQ67"/>
      <c r="EJR67"/>
      <c r="EJS67"/>
      <c r="EJT67"/>
      <c r="EJU67"/>
      <c r="EJV67"/>
      <c r="EJW67"/>
      <c r="EJX67"/>
      <c r="EJY67"/>
      <c r="EJZ67"/>
      <c r="EKA67"/>
      <c r="EKB67"/>
      <c r="EKC67"/>
      <c r="EKD67"/>
      <c r="EKE67"/>
      <c r="EKF67"/>
      <c r="EKG67"/>
      <c r="EKH67"/>
      <c r="EKI67"/>
      <c r="EKJ67"/>
      <c r="EKK67"/>
      <c r="EKL67"/>
      <c r="EKM67"/>
      <c r="EKN67"/>
      <c r="EKO67"/>
      <c r="EKP67"/>
      <c r="EKQ67"/>
      <c r="EKR67"/>
      <c r="EKS67"/>
      <c r="EKT67"/>
      <c r="EKU67"/>
      <c r="EKV67"/>
      <c r="EKW67"/>
      <c r="EKX67"/>
      <c r="EKY67"/>
      <c r="EKZ67"/>
      <c r="ELA67"/>
      <c r="ELB67"/>
      <c r="ELC67"/>
      <c r="ELD67"/>
      <c r="ELE67"/>
      <c r="ELF67"/>
      <c r="ELG67"/>
      <c r="ELH67"/>
      <c r="ELI67"/>
      <c r="ELJ67"/>
      <c r="ELK67"/>
      <c r="ELL67"/>
      <c r="ELM67"/>
      <c r="ELN67"/>
      <c r="ELO67"/>
      <c r="ELP67"/>
      <c r="ELQ67"/>
      <c r="ELR67"/>
      <c r="ELS67"/>
      <c r="ELT67"/>
      <c r="ELU67"/>
      <c r="ELV67"/>
      <c r="ELW67"/>
      <c r="ELX67"/>
      <c r="ELY67"/>
      <c r="ELZ67"/>
      <c r="EMA67"/>
      <c r="EMB67"/>
      <c r="EMC67"/>
      <c r="EMD67"/>
      <c r="EME67"/>
      <c r="EMF67"/>
      <c r="EMG67"/>
      <c r="EMH67"/>
      <c r="EMI67"/>
      <c r="EMJ67"/>
      <c r="EMK67"/>
      <c r="EML67"/>
      <c r="EMM67"/>
      <c r="EMN67"/>
      <c r="EMO67"/>
      <c r="EMP67"/>
      <c r="EMQ67"/>
      <c r="EMR67"/>
      <c r="EMS67"/>
      <c r="EMT67"/>
      <c r="EMU67"/>
      <c r="EMV67"/>
      <c r="EMW67"/>
      <c r="EMX67"/>
      <c r="EMY67"/>
      <c r="EMZ67"/>
      <c r="ENA67"/>
      <c r="ENB67"/>
      <c r="ENC67"/>
      <c r="END67"/>
      <c r="ENE67"/>
      <c r="ENF67"/>
      <c r="ENG67"/>
      <c r="ENH67"/>
      <c r="ENI67"/>
      <c r="ENJ67"/>
      <c r="ENK67"/>
      <c r="ENL67"/>
      <c r="ENM67"/>
      <c r="ENN67"/>
      <c r="ENO67"/>
      <c r="ENP67"/>
      <c r="ENQ67"/>
      <c r="ENR67"/>
      <c r="ENS67"/>
      <c r="ENT67"/>
      <c r="ENU67"/>
      <c r="ENV67"/>
      <c r="ENW67"/>
      <c r="ENX67"/>
      <c r="ENY67"/>
      <c r="ENZ67"/>
      <c r="EOA67"/>
      <c r="EOB67"/>
      <c r="EOC67"/>
      <c r="EOD67"/>
      <c r="EOE67"/>
      <c r="EOF67"/>
      <c r="EOG67"/>
      <c r="EOH67"/>
      <c r="EOI67"/>
      <c r="EOJ67"/>
      <c r="EOK67"/>
      <c r="EOL67"/>
      <c r="EOM67"/>
      <c r="EON67"/>
      <c r="EOO67"/>
      <c r="EOP67"/>
      <c r="EOQ67"/>
      <c r="EOR67"/>
      <c r="EOS67"/>
      <c r="EOT67"/>
      <c r="EOU67"/>
      <c r="EOV67"/>
      <c r="EOW67"/>
      <c r="EOX67"/>
      <c r="EOY67"/>
      <c r="EOZ67"/>
      <c r="EPA67"/>
      <c r="EPB67"/>
      <c r="EPC67"/>
      <c r="EPD67"/>
      <c r="EPE67"/>
      <c r="EPF67"/>
      <c r="EPG67"/>
      <c r="EPH67"/>
      <c r="EPI67"/>
      <c r="EPJ67"/>
      <c r="EPK67"/>
      <c r="EPL67"/>
      <c r="EPM67"/>
      <c r="EPN67"/>
      <c r="EPO67"/>
      <c r="EPP67"/>
      <c r="EPQ67"/>
      <c r="EPR67"/>
      <c r="EPS67"/>
      <c r="EPT67"/>
      <c r="EPU67"/>
      <c r="EPV67"/>
      <c r="EPW67"/>
      <c r="EPX67"/>
      <c r="EPY67"/>
      <c r="EPZ67"/>
      <c r="EQA67"/>
      <c r="EQB67"/>
      <c r="EQC67"/>
      <c r="EQD67"/>
      <c r="EQE67"/>
      <c r="EQF67"/>
      <c r="EQG67"/>
      <c r="EQH67"/>
      <c r="EQI67"/>
      <c r="EQJ67"/>
      <c r="EQK67"/>
      <c r="EQL67"/>
      <c r="EQM67"/>
      <c r="EQN67"/>
      <c r="EQO67"/>
      <c r="EQP67"/>
      <c r="EQQ67"/>
      <c r="EQR67"/>
      <c r="EQS67"/>
      <c r="EQT67"/>
      <c r="EQU67"/>
      <c r="EQV67"/>
      <c r="EQW67"/>
      <c r="EQX67"/>
      <c r="EQY67"/>
      <c r="EQZ67"/>
      <c r="ERA67"/>
      <c r="ERB67"/>
      <c r="ERC67"/>
      <c r="ERD67"/>
      <c r="ERE67"/>
      <c r="ERF67"/>
      <c r="ERG67"/>
      <c r="ERH67"/>
      <c r="ERI67"/>
      <c r="ERJ67"/>
      <c r="ERK67"/>
      <c r="ERL67"/>
      <c r="ERM67"/>
      <c r="ERN67"/>
      <c r="ERO67"/>
      <c r="ERP67"/>
      <c r="ERQ67"/>
      <c r="ERR67"/>
      <c r="ERS67"/>
      <c r="ERT67"/>
      <c r="ERU67"/>
      <c r="ERV67"/>
      <c r="ERW67"/>
      <c r="ERX67"/>
      <c r="ERY67"/>
      <c r="ERZ67"/>
      <c r="ESA67"/>
      <c r="ESB67"/>
      <c r="ESC67"/>
      <c r="ESD67"/>
      <c r="ESE67"/>
      <c r="ESF67"/>
      <c r="ESG67"/>
      <c r="ESH67"/>
      <c r="ESI67"/>
      <c r="ESJ67"/>
      <c r="ESK67"/>
      <c r="ESL67"/>
      <c r="ESM67"/>
      <c r="ESN67"/>
      <c r="ESO67"/>
      <c r="ESP67"/>
      <c r="ESQ67"/>
      <c r="ESR67"/>
      <c r="ESS67"/>
      <c r="EST67"/>
      <c r="ESU67"/>
      <c r="ESV67"/>
      <c r="ESW67"/>
      <c r="ESX67"/>
      <c r="ESY67"/>
      <c r="ESZ67"/>
      <c r="ETA67"/>
      <c r="ETB67"/>
      <c r="ETC67"/>
      <c r="ETD67"/>
      <c r="ETE67"/>
      <c r="ETF67"/>
      <c r="ETG67"/>
      <c r="ETH67"/>
      <c r="ETI67"/>
      <c r="ETJ67"/>
      <c r="ETK67"/>
      <c r="ETL67"/>
      <c r="ETM67"/>
      <c r="ETN67"/>
      <c r="ETO67"/>
      <c r="ETP67"/>
      <c r="ETQ67"/>
      <c r="ETR67"/>
      <c r="ETS67"/>
      <c r="ETT67"/>
      <c r="ETU67"/>
      <c r="ETV67"/>
      <c r="ETW67"/>
      <c r="ETX67"/>
      <c r="ETY67"/>
      <c r="ETZ67"/>
      <c r="EUA67"/>
      <c r="EUB67"/>
      <c r="EUC67"/>
      <c r="EUD67"/>
      <c r="EUE67"/>
      <c r="EUF67"/>
      <c r="EUG67"/>
      <c r="EUH67"/>
      <c r="EUI67"/>
      <c r="EUJ67"/>
      <c r="EUK67"/>
      <c r="EUL67"/>
      <c r="EUM67"/>
      <c r="EUN67"/>
      <c r="EUO67"/>
      <c r="EUP67"/>
      <c r="EUQ67"/>
      <c r="EUR67"/>
      <c r="EUS67"/>
      <c r="EUT67"/>
      <c r="EUU67"/>
      <c r="EUV67"/>
      <c r="EUW67"/>
      <c r="EUX67"/>
      <c r="EUY67"/>
      <c r="EUZ67"/>
      <c r="EVA67"/>
      <c r="EVB67"/>
      <c r="EVC67"/>
      <c r="EVD67"/>
      <c r="EVE67"/>
      <c r="EVF67"/>
      <c r="EVG67"/>
      <c r="EVH67"/>
      <c r="EVI67"/>
      <c r="EVJ67"/>
      <c r="EVK67"/>
      <c r="EVL67"/>
      <c r="EVM67"/>
      <c r="EVN67"/>
      <c r="EVO67"/>
      <c r="EVP67"/>
      <c r="EVQ67"/>
      <c r="EVR67"/>
      <c r="EVS67"/>
      <c r="EVT67"/>
      <c r="EVU67"/>
      <c r="EVV67"/>
      <c r="EVW67"/>
      <c r="EVX67"/>
      <c r="EVY67"/>
      <c r="EVZ67"/>
      <c r="EWA67"/>
      <c r="EWB67"/>
      <c r="EWC67"/>
      <c r="EWD67"/>
      <c r="EWE67"/>
      <c r="EWF67"/>
      <c r="EWG67"/>
      <c r="EWH67"/>
      <c r="EWI67"/>
      <c r="EWJ67"/>
      <c r="EWK67"/>
      <c r="EWL67"/>
      <c r="EWM67"/>
      <c r="EWN67"/>
      <c r="EWO67"/>
      <c r="EWP67"/>
      <c r="EWQ67"/>
      <c r="EWR67"/>
      <c r="EWS67"/>
      <c r="EWT67"/>
      <c r="EWU67"/>
      <c r="EWV67"/>
      <c r="EWW67"/>
      <c r="EWX67"/>
      <c r="EWY67"/>
      <c r="EWZ67"/>
      <c r="EXA67"/>
      <c r="EXB67"/>
      <c r="EXC67"/>
      <c r="EXD67"/>
      <c r="EXE67"/>
      <c r="EXF67"/>
      <c r="EXG67"/>
      <c r="EXH67"/>
      <c r="EXI67"/>
      <c r="EXJ67"/>
      <c r="EXK67"/>
      <c r="EXL67"/>
      <c r="EXM67"/>
      <c r="EXN67"/>
      <c r="EXO67"/>
      <c r="EXP67"/>
      <c r="EXQ67"/>
      <c r="EXR67"/>
      <c r="EXS67"/>
      <c r="EXT67"/>
      <c r="EXU67"/>
      <c r="EXV67"/>
      <c r="EXW67"/>
      <c r="EXX67"/>
      <c r="EXY67"/>
      <c r="EXZ67"/>
      <c r="EYA67"/>
      <c r="EYB67"/>
      <c r="EYC67"/>
      <c r="EYD67"/>
      <c r="EYE67"/>
      <c r="EYF67"/>
      <c r="EYG67"/>
      <c r="EYH67"/>
      <c r="EYI67"/>
      <c r="EYJ67"/>
      <c r="EYK67"/>
      <c r="EYL67"/>
      <c r="EYM67"/>
      <c r="EYN67"/>
      <c r="EYO67"/>
      <c r="EYP67"/>
      <c r="EYQ67"/>
      <c r="EYR67"/>
      <c r="EYS67"/>
      <c r="EYT67"/>
      <c r="EYU67"/>
      <c r="EYV67"/>
      <c r="EYW67"/>
      <c r="EYX67"/>
      <c r="EYY67"/>
      <c r="EYZ67"/>
      <c r="EZA67"/>
      <c r="EZB67"/>
      <c r="EZC67"/>
      <c r="EZD67"/>
      <c r="EZE67"/>
      <c r="EZF67"/>
      <c r="EZG67"/>
      <c r="EZH67"/>
      <c r="EZI67"/>
      <c r="EZJ67"/>
      <c r="EZK67"/>
      <c r="EZL67"/>
      <c r="EZM67"/>
      <c r="EZN67"/>
      <c r="EZO67"/>
      <c r="EZP67"/>
      <c r="EZQ67"/>
      <c r="EZR67"/>
      <c r="EZS67"/>
      <c r="EZT67"/>
      <c r="EZU67"/>
      <c r="EZV67"/>
      <c r="EZW67"/>
      <c r="EZX67"/>
      <c r="EZY67"/>
      <c r="EZZ67"/>
      <c r="FAA67"/>
      <c r="FAB67"/>
      <c r="FAC67"/>
      <c r="FAD67"/>
      <c r="FAE67"/>
      <c r="FAF67"/>
      <c r="FAG67"/>
      <c r="FAH67"/>
      <c r="FAI67"/>
      <c r="FAJ67"/>
      <c r="FAK67"/>
      <c r="FAL67"/>
      <c r="FAM67"/>
      <c r="FAN67"/>
      <c r="FAO67"/>
      <c r="FAP67"/>
      <c r="FAQ67"/>
      <c r="FAR67"/>
      <c r="FAS67"/>
      <c r="FAT67"/>
      <c r="FAU67"/>
      <c r="FAV67"/>
      <c r="FAW67"/>
      <c r="FAX67"/>
      <c r="FAY67"/>
      <c r="FAZ67"/>
      <c r="FBA67"/>
      <c r="FBB67"/>
      <c r="FBC67"/>
      <c r="FBD67"/>
      <c r="FBE67"/>
      <c r="FBF67"/>
      <c r="FBG67"/>
      <c r="FBH67"/>
      <c r="FBI67"/>
      <c r="FBJ67"/>
      <c r="FBK67"/>
      <c r="FBL67"/>
      <c r="FBM67"/>
      <c r="FBN67"/>
      <c r="FBO67"/>
      <c r="FBP67"/>
      <c r="FBQ67"/>
      <c r="FBR67"/>
      <c r="FBS67"/>
      <c r="FBT67"/>
      <c r="FBU67"/>
      <c r="FBV67"/>
      <c r="FBW67"/>
      <c r="FBX67"/>
      <c r="FBY67"/>
      <c r="FBZ67"/>
      <c r="FCA67"/>
      <c r="FCB67"/>
      <c r="FCC67"/>
      <c r="FCD67"/>
      <c r="FCE67"/>
      <c r="FCF67"/>
      <c r="FCG67"/>
      <c r="FCH67"/>
      <c r="FCI67"/>
      <c r="FCJ67"/>
      <c r="FCK67"/>
      <c r="FCL67"/>
      <c r="FCM67"/>
      <c r="FCN67"/>
      <c r="FCO67"/>
      <c r="FCP67"/>
      <c r="FCQ67"/>
      <c r="FCR67"/>
      <c r="FCS67"/>
      <c r="FCT67"/>
      <c r="FCU67"/>
      <c r="FCV67"/>
      <c r="FCW67"/>
      <c r="FCX67"/>
      <c r="FCY67"/>
      <c r="FCZ67"/>
      <c r="FDA67"/>
      <c r="FDB67"/>
      <c r="FDC67"/>
      <c r="FDD67"/>
      <c r="FDE67"/>
      <c r="FDF67"/>
      <c r="FDG67"/>
      <c r="FDH67"/>
      <c r="FDI67"/>
      <c r="FDJ67"/>
      <c r="FDK67"/>
      <c r="FDL67"/>
      <c r="FDM67"/>
      <c r="FDN67"/>
      <c r="FDO67"/>
      <c r="FDP67"/>
      <c r="FDQ67"/>
      <c r="FDR67"/>
      <c r="FDS67"/>
      <c r="FDT67"/>
      <c r="FDU67"/>
      <c r="FDV67"/>
      <c r="FDW67"/>
      <c r="FDX67"/>
      <c r="FDY67"/>
      <c r="FDZ67"/>
      <c r="FEA67"/>
      <c r="FEB67"/>
      <c r="FEC67"/>
      <c r="FED67"/>
      <c r="FEE67"/>
      <c r="FEF67"/>
      <c r="FEG67"/>
      <c r="FEH67"/>
      <c r="FEI67"/>
      <c r="FEJ67"/>
      <c r="FEK67"/>
      <c r="FEL67"/>
      <c r="FEM67"/>
      <c r="FEN67"/>
      <c r="FEO67"/>
      <c r="FEP67"/>
      <c r="FEQ67"/>
      <c r="FER67"/>
      <c r="FES67"/>
      <c r="FET67"/>
      <c r="FEU67"/>
      <c r="FEV67"/>
      <c r="FEW67"/>
      <c r="FEX67"/>
      <c r="FEY67"/>
      <c r="FEZ67"/>
      <c r="FFA67"/>
      <c r="FFB67"/>
      <c r="FFC67"/>
      <c r="FFD67"/>
      <c r="FFE67"/>
      <c r="FFF67"/>
      <c r="FFG67"/>
      <c r="FFH67"/>
      <c r="FFI67"/>
      <c r="FFJ67"/>
      <c r="FFK67"/>
      <c r="FFL67"/>
      <c r="FFM67"/>
      <c r="FFN67"/>
      <c r="FFO67"/>
      <c r="FFP67"/>
      <c r="FFQ67"/>
      <c r="FFR67"/>
      <c r="FFS67"/>
      <c r="FFT67"/>
      <c r="FFU67"/>
      <c r="FFV67"/>
      <c r="FFW67"/>
      <c r="FFX67"/>
      <c r="FFY67"/>
      <c r="FFZ67"/>
      <c r="FGA67"/>
      <c r="FGB67"/>
      <c r="FGC67"/>
      <c r="FGD67"/>
      <c r="FGE67"/>
      <c r="FGF67"/>
      <c r="FGG67"/>
      <c r="FGH67"/>
      <c r="FGI67"/>
      <c r="FGJ67"/>
      <c r="FGK67"/>
      <c r="FGL67"/>
      <c r="FGM67"/>
      <c r="FGN67"/>
      <c r="FGO67"/>
      <c r="FGP67"/>
      <c r="FGQ67"/>
      <c r="FGR67"/>
      <c r="FGS67"/>
      <c r="FGT67"/>
      <c r="FGU67"/>
      <c r="FGV67"/>
      <c r="FGW67"/>
      <c r="FGX67"/>
      <c r="FGY67"/>
      <c r="FGZ67"/>
      <c r="FHA67"/>
      <c r="FHB67"/>
      <c r="FHC67"/>
      <c r="FHD67"/>
      <c r="FHE67"/>
      <c r="FHF67"/>
      <c r="FHG67"/>
      <c r="FHH67"/>
      <c r="FHI67"/>
      <c r="FHJ67"/>
      <c r="FHK67"/>
      <c r="FHL67"/>
      <c r="FHM67"/>
      <c r="FHN67"/>
      <c r="FHO67"/>
      <c r="FHP67"/>
      <c r="FHQ67"/>
      <c r="FHR67"/>
      <c r="FHS67"/>
      <c r="FHT67"/>
      <c r="FHU67"/>
      <c r="FHV67"/>
      <c r="FHW67"/>
      <c r="FHX67"/>
      <c r="FHY67"/>
      <c r="FHZ67"/>
      <c r="FIA67"/>
      <c r="FIB67"/>
      <c r="FIC67"/>
      <c r="FID67"/>
      <c r="FIE67"/>
      <c r="FIF67"/>
      <c r="FIG67"/>
      <c r="FIH67"/>
      <c r="FII67"/>
      <c r="FIJ67"/>
      <c r="FIK67"/>
      <c r="FIL67"/>
      <c r="FIM67"/>
      <c r="FIN67"/>
      <c r="FIO67"/>
      <c r="FIP67"/>
      <c r="FIQ67"/>
      <c r="FIR67"/>
      <c r="FIS67"/>
      <c r="FIT67"/>
      <c r="FIU67"/>
      <c r="FIV67"/>
      <c r="FIW67"/>
      <c r="FIX67"/>
      <c r="FIY67"/>
      <c r="FIZ67"/>
      <c r="FJA67"/>
      <c r="FJB67"/>
      <c r="FJC67"/>
      <c r="FJD67"/>
      <c r="FJE67"/>
      <c r="FJF67"/>
      <c r="FJG67"/>
      <c r="FJH67"/>
      <c r="FJI67"/>
      <c r="FJJ67"/>
      <c r="FJK67"/>
      <c r="FJL67"/>
      <c r="FJM67"/>
      <c r="FJN67"/>
      <c r="FJO67"/>
      <c r="FJP67"/>
      <c r="FJQ67"/>
      <c r="FJR67"/>
      <c r="FJS67"/>
      <c r="FJT67"/>
      <c r="FJU67"/>
      <c r="FJV67"/>
      <c r="FJW67"/>
      <c r="FJX67"/>
      <c r="FJY67"/>
      <c r="FJZ67"/>
      <c r="FKA67"/>
      <c r="FKB67"/>
      <c r="FKC67"/>
      <c r="FKD67"/>
      <c r="FKE67"/>
      <c r="FKF67"/>
      <c r="FKG67"/>
      <c r="FKH67"/>
      <c r="FKI67"/>
      <c r="FKJ67"/>
      <c r="FKK67"/>
      <c r="FKL67"/>
      <c r="FKM67"/>
      <c r="FKN67"/>
      <c r="FKO67"/>
      <c r="FKP67"/>
      <c r="FKQ67"/>
      <c r="FKR67"/>
      <c r="FKS67"/>
      <c r="FKT67"/>
      <c r="FKU67"/>
      <c r="FKV67"/>
      <c r="FKW67"/>
      <c r="FKX67"/>
      <c r="FKY67"/>
      <c r="FKZ67"/>
      <c r="FLA67"/>
      <c r="FLB67"/>
      <c r="FLC67"/>
      <c r="FLD67"/>
      <c r="FLE67"/>
      <c r="FLF67"/>
      <c r="FLG67"/>
      <c r="FLH67"/>
      <c r="FLI67"/>
      <c r="FLJ67"/>
      <c r="FLK67"/>
      <c r="FLL67"/>
      <c r="FLM67"/>
      <c r="FLN67"/>
      <c r="FLO67"/>
      <c r="FLP67"/>
      <c r="FLQ67"/>
      <c r="FLR67"/>
      <c r="FLS67"/>
      <c r="FLT67"/>
      <c r="FLU67"/>
      <c r="FLV67"/>
      <c r="FLW67"/>
      <c r="FLX67"/>
      <c r="FLY67"/>
      <c r="FLZ67"/>
      <c r="FMA67"/>
      <c r="FMB67"/>
      <c r="FMC67"/>
      <c r="FMD67"/>
      <c r="FME67"/>
      <c r="FMF67"/>
      <c r="FMG67"/>
      <c r="FMH67"/>
      <c r="FMI67"/>
      <c r="FMJ67"/>
      <c r="FMK67"/>
      <c r="FML67"/>
      <c r="FMM67"/>
      <c r="FMN67"/>
      <c r="FMO67"/>
      <c r="FMP67"/>
      <c r="FMQ67"/>
      <c r="FMR67"/>
      <c r="FMS67"/>
      <c r="FMT67"/>
      <c r="FMU67"/>
      <c r="FMV67"/>
      <c r="FMW67"/>
      <c r="FMX67"/>
      <c r="FMY67"/>
      <c r="FMZ67"/>
      <c r="FNA67"/>
      <c r="FNB67"/>
      <c r="FNC67"/>
      <c r="FND67"/>
      <c r="FNE67"/>
      <c r="FNF67"/>
      <c r="FNG67"/>
      <c r="FNH67"/>
      <c r="FNI67"/>
      <c r="FNJ67"/>
      <c r="FNK67"/>
      <c r="FNL67"/>
      <c r="FNM67"/>
      <c r="FNN67"/>
      <c r="FNO67"/>
      <c r="FNP67"/>
      <c r="FNQ67"/>
      <c r="FNR67"/>
      <c r="FNS67"/>
      <c r="FNT67"/>
      <c r="FNU67"/>
      <c r="FNV67"/>
      <c r="FNW67"/>
      <c r="FNX67"/>
      <c r="FNY67"/>
      <c r="FNZ67"/>
      <c r="FOA67"/>
      <c r="FOB67"/>
      <c r="FOC67"/>
      <c r="FOD67"/>
      <c r="FOE67"/>
      <c r="FOF67"/>
      <c r="FOG67"/>
      <c r="FOH67"/>
      <c r="FOI67"/>
      <c r="FOJ67"/>
      <c r="FOK67"/>
      <c r="FOL67"/>
      <c r="FOM67"/>
      <c r="FON67"/>
      <c r="FOO67"/>
      <c r="FOP67"/>
      <c r="FOQ67"/>
      <c r="FOR67"/>
      <c r="FOS67"/>
      <c r="FOT67"/>
      <c r="FOU67"/>
      <c r="FOV67"/>
      <c r="FOW67"/>
      <c r="FOX67"/>
      <c r="FOY67"/>
      <c r="FOZ67"/>
      <c r="FPA67"/>
      <c r="FPB67"/>
      <c r="FPC67"/>
      <c r="FPD67"/>
      <c r="FPE67"/>
      <c r="FPF67"/>
      <c r="FPG67"/>
      <c r="FPH67"/>
      <c r="FPI67"/>
      <c r="FPJ67"/>
      <c r="FPK67"/>
      <c r="FPL67"/>
      <c r="FPM67"/>
      <c r="FPN67"/>
      <c r="FPO67"/>
      <c r="FPP67"/>
      <c r="FPQ67"/>
      <c r="FPR67"/>
      <c r="FPS67"/>
      <c r="FPT67"/>
      <c r="FPU67"/>
      <c r="FPV67"/>
      <c r="FPW67"/>
      <c r="FPX67"/>
      <c r="FPY67"/>
      <c r="FPZ67"/>
      <c r="FQA67"/>
      <c r="FQB67"/>
      <c r="FQC67"/>
      <c r="FQD67"/>
      <c r="FQE67"/>
      <c r="FQF67"/>
      <c r="FQG67"/>
      <c r="FQH67"/>
      <c r="FQI67"/>
      <c r="FQJ67"/>
      <c r="FQK67"/>
      <c r="FQL67"/>
      <c r="FQM67"/>
      <c r="FQN67"/>
      <c r="FQO67"/>
      <c r="FQP67"/>
      <c r="FQQ67"/>
      <c r="FQR67"/>
      <c r="FQS67"/>
      <c r="FQT67"/>
      <c r="FQU67"/>
      <c r="FQV67"/>
      <c r="FQW67"/>
      <c r="FQX67"/>
      <c r="FQY67"/>
      <c r="FQZ67"/>
      <c r="FRA67"/>
      <c r="FRB67"/>
      <c r="FRC67"/>
      <c r="FRD67"/>
      <c r="FRE67"/>
      <c r="FRF67"/>
      <c r="FRG67"/>
      <c r="FRH67"/>
      <c r="FRI67"/>
      <c r="FRJ67"/>
      <c r="FRK67"/>
      <c r="FRL67"/>
      <c r="FRM67"/>
      <c r="FRN67"/>
      <c r="FRO67"/>
      <c r="FRP67"/>
      <c r="FRQ67"/>
      <c r="FRR67"/>
      <c r="FRS67"/>
      <c r="FRT67"/>
      <c r="FRU67"/>
      <c r="FRV67"/>
      <c r="FRW67"/>
      <c r="FRX67"/>
      <c r="FRY67"/>
      <c r="FRZ67"/>
      <c r="FSA67"/>
      <c r="FSB67"/>
      <c r="FSC67"/>
      <c r="FSD67"/>
      <c r="FSE67"/>
      <c r="FSF67"/>
      <c r="FSG67"/>
      <c r="FSH67"/>
      <c r="FSI67"/>
      <c r="FSJ67"/>
      <c r="FSK67"/>
      <c r="FSL67"/>
      <c r="FSM67"/>
      <c r="FSN67"/>
      <c r="FSO67"/>
      <c r="FSP67"/>
      <c r="FSQ67"/>
      <c r="FSR67"/>
      <c r="FSS67"/>
      <c r="FST67"/>
      <c r="FSU67"/>
      <c r="FSV67"/>
      <c r="FSW67"/>
      <c r="FSX67"/>
      <c r="FSY67"/>
      <c r="FSZ67"/>
      <c r="FTA67"/>
      <c r="FTB67"/>
      <c r="FTC67"/>
      <c r="FTD67"/>
      <c r="FTE67"/>
      <c r="FTF67"/>
      <c r="FTG67"/>
      <c r="FTH67"/>
      <c r="FTI67"/>
      <c r="FTJ67"/>
      <c r="FTK67"/>
      <c r="FTL67"/>
      <c r="FTM67"/>
      <c r="FTN67"/>
      <c r="FTO67"/>
      <c r="FTP67"/>
      <c r="FTQ67"/>
      <c r="FTR67"/>
      <c r="FTS67"/>
      <c r="FTT67"/>
      <c r="FTU67"/>
      <c r="FTV67"/>
      <c r="FTW67"/>
      <c r="FTX67"/>
      <c r="FTY67"/>
      <c r="FTZ67"/>
      <c r="FUA67"/>
      <c r="FUB67"/>
      <c r="FUC67"/>
      <c r="FUD67"/>
      <c r="FUE67"/>
      <c r="FUF67"/>
      <c r="FUG67"/>
      <c r="FUH67"/>
      <c r="FUI67"/>
      <c r="FUJ67"/>
      <c r="FUK67"/>
      <c r="FUL67"/>
      <c r="FUM67"/>
      <c r="FUN67"/>
      <c r="FUO67"/>
      <c r="FUP67"/>
      <c r="FUQ67"/>
      <c r="FUR67"/>
      <c r="FUS67"/>
      <c r="FUT67"/>
      <c r="FUU67"/>
      <c r="FUV67"/>
      <c r="FUW67"/>
      <c r="FUX67"/>
      <c r="FUY67"/>
      <c r="FUZ67"/>
      <c r="FVA67"/>
      <c r="FVB67"/>
      <c r="FVC67"/>
      <c r="FVD67"/>
      <c r="FVE67"/>
      <c r="FVF67"/>
      <c r="FVG67"/>
      <c r="FVH67"/>
      <c r="FVI67"/>
      <c r="FVJ67"/>
      <c r="FVK67"/>
      <c r="FVL67"/>
      <c r="FVM67"/>
      <c r="FVN67"/>
      <c r="FVO67"/>
      <c r="FVP67"/>
      <c r="FVQ67"/>
      <c r="FVR67"/>
      <c r="FVS67"/>
      <c r="FVT67"/>
      <c r="FVU67"/>
      <c r="FVV67"/>
      <c r="FVW67"/>
      <c r="FVX67"/>
      <c r="FVY67"/>
      <c r="FVZ67"/>
      <c r="FWA67"/>
      <c r="FWB67"/>
      <c r="FWC67"/>
      <c r="FWD67"/>
      <c r="FWE67"/>
      <c r="FWF67"/>
      <c r="FWG67"/>
      <c r="FWH67"/>
      <c r="FWI67"/>
      <c r="FWJ67"/>
      <c r="FWK67"/>
      <c r="FWL67"/>
      <c r="FWM67"/>
      <c r="FWN67"/>
      <c r="FWO67"/>
      <c r="FWP67"/>
      <c r="FWQ67"/>
      <c r="FWR67"/>
      <c r="FWS67"/>
      <c r="FWT67"/>
      <c r="FWU67"/>
      <c r="FWV67"/>
      <c r="FWW67"/>
      <c r="FWX67"/>
      <c r="FWY67"/>
      <c r="FWZ67"/>
      <c r="FXA67"/>
      <c r="FXB67"/>
      <c r="FXC67"/>
      <c r="FXD67"/>
      <c r="FXE67"/>
      <c r="FXF67"/>
      <c r="FXG67"/>
      <c r="FXH67"/>
      <c r="FXI67"/>
      <c r="FXJ67"/>
      <c r="FXK67"/>
      <c r="FXL67"/>
      <c r="FXM67"/>
      <c r="FXN67"/>
      <c r="FXO67"/>
      <c r="FXP67"/>
      <c r="FXQ67"/>
      <c r="FXR67"/>
      <c r="FXS67"/>
      <c r="FXT67"/>
      <c r="FXU67"/>
      <c r="FXV67"/>
      <c r="FXW67"/>
      <c r="FXX67"/>
      <c r="FXY67"/>
      <c r="FXZ67"/>
      <c r="FYA67"/>
      <c r="FYB67"/>
      <c r="FYC67"/>
      <c r="FYD67"/>
      <c r="FYE67"/>
      <c r="FYF67"/>
      <c r="FYG67"/>
      <c r="FYH67"/>
      <c r="FYI67"/>
      <c r="FYJ67"/>
      <c r="FYK67"/>
      <c r="FYL67"/>
      <c r="FYM67"/>
      <c r="FYN67"/>
      <c r="FYO67"/>
      <c r="FYP67"/>
      <c r="FYQ67"/>
      <c r="FYR67"/>
      <c r="FYS67"/>
      <c r="FYT67"/>
      <c r="FYU67"/>
      <c r="FYV67"/>
      <c r="FYW67"/>
      <c r="FYX67"/>
      <c r="FYY67"/>
      <c r="FYZ67"/>
      <c r="FZA67"/>
      <c r="FZB67"/>
      <c r="FZC67"/>
      <c r="FZD67"/>
      <c r="FZE67"/>
      <c r="FZF67"/>
      <c r="FZG67"/>
      <c r="FZH67"/>
      <c r="FZI67"/>
      <c r="FZJ67"/>
      <c r="FZK67"/>
      <c r="FZL67"/>
      <c r="FZM67"/>
      <c r="FZN67"/>
      <c r="FZO67"/>
      <c r="FZP67"/>
      <c r="FZQ67"/>
      <c r="FZR67"/>
      <c r="FZS67"/>
      <c r="FZT67"/>
      <c r="FZU67"/>
      <c r="FZV67"/>
      <c r="FZW67"/>
      <c r="FZX67"/>
      <c r="FZY67"/>
      <c r="FZZ67"/>
      <c r="GAA67"/>
      <c r="GAB67"/>
      <c r="GAC67"/>
      <c r="GAD67"/>
      <c r="GAE67"/>
      <c r="GAF67"/>
      <c r="GAG67"/>
      <c r="GAH67"/>
      <c r="GAI67"/>
      <c r="GAJ67"/>
      <c r="GAK67"/>
      <c r="GAL67"/>
      <c r="GAM67"/>
      <c r="GAN67"/>
      <c r="GAO67"/>
      <c r="GAP67"/>
      <c r="GAQ67"/>
      <c r="GAR67"/>
      <c r="GAS67"/>
      <c r="GAT67"/>
      <c r="GAU67"/>
      <c r="GAV67"/>
      <c r="GAW67"/>
      <c r="GAX67"/>
      <c r="GAY67"/>
      <c r="GAZ67"/>
      <c r="GBA67"/>
      <c r="GBB67"/>
      <c r="GBC67"/>
      <c r="GBD67"/>
      <c r="GBE67"/>
      <c r="GBF67"/>
      <c r="GBG67"/>
      <c r="GBH67"/>
      <c r="GBI67"/>
      <c r="GBJ67"/>
      <c r="GBK67"/>
      <c r="GBL67"/>
      <c r="GBM67"/>
      <c r="GBN67"/>
      <c r="GBO67"/>
      <c r="GBP67"/>
      <c r="GBQ67"/>
      <c r="GBR67"/>
      <c r="GBS67"/>
      <c r="GBT67"/>
      <c r="GBU67"/>
      <c r="GBV67"/>
      <c r="GBW67"/>
      <c r="GBX67"/>
      <c r="GBY67"/>
      <c r="GBZ67"/>
      <c r="GCA67"/>
      <c r="GCB67"/>
      <c r="GCC67"/>
      <c r="GCD67"/>
      <c r="GCE67"/>
      <c r="GCF67"/>
      <c r="GCG67"/>
      <c r="GCH67"/>
      <c r="GCI67"/>
      <c r="GCJ67"/>
      <c r="GCK67"/>
      <c r="GCL67"/>
      <c r="GCM67"/>
      <c r="GCN67"/>
      <c r="GCO67"/>
      <c r="GCP67"/>
      <c r="GCQ67"/>
      <c r="GCR67"/>
      <c r="GCS67"/>
      <c r="GCT67"/>
      <c r="GCU67"/>
      <c r="GCV67"/>
      <c r="GCW67"/>
      <c r="GCX67"/>
      <c r="GCY67"/>
      <c r="GCZ67"/>
      <c r="GDA67"/>
      <c r="GDB67"/>
      <c r="GDC67"/>
      <c r="GDD67"/>
      <c r="GDE67"/>
      <c r="GDF67"/>
      <c r="GDG67"/>
      <c r="GDH67"/>
      <c r="GDI67"/>
      <c r="GDJ67"/>
      <c r="GDK67"/>
      <c r="GDL67"/>
      <c r="GDM67"/>
      <c r="GDN67"/>
      <c r="GDO67"/>
      <c r="GDP67"/>
      <c r="GDQ67"/>
      <c r="GDR67"/>
      <c r="GDS67"/>
      <c r="GDT67"/>
      <c r="GDU67"/>
      <c r="GDV67"/>
      <c r="GDW67"/>
      <c r="GDX67"/>
      <c r="GDY67"/>
      <c r="GDZ67"/>
      <c r="GEA67"/>
      <c r="GEB67"/>
      <c r="GEC67"/>
      <c r="GED67"/>
      <c r="GEE67"/>
      <c r="GEF67"/>
      <c r="GEG67"/>
      <c r="GEH67"/>
      <c r="GEI67"/>
      <c r="GEJ67"/>
      <c r="GEK67"/>
      <c r="GEL67"/>
      <c r="GEM67"/>
      <c r="GEN67"/>
      <c r="GEO67"/>
      <c r="GEP67"/>
      <c r="GEQ67"/>
      <c r="GER67"/>
      <c r="GES67"/>
      <c r="GET67"/>
      <c r="GEU67"/>
      <c r="GEV67"/>
      <c r="GEW67"/>
      <c r="GEX67"/>
      <c r="GEY67"/>
      <c r="GEZ67"/>
      <c r="GFA67"/>
      <c r="GFB67"/>
      <c r="GFC67"/>
      <c r="GFD67"/>
      <c r="GFE67"/>
      <c r="GFF67"/>
      <c r="GFG67"/>
      <c r="GFH67"/>
      <c r="GFI67"/>
      <c r="GFJ67"/>
      <c r="GFK67"/>
      <c r="GFL67"/>
      <c r="GFM67"/>
      <c r="GFN67"/>
      <c r="GFO67"/>
      <c r="GFP67"/>
      <c r="GFQ67"/>
      <c r="GFR67"/>
      <c r="GFS67"/>
      <c r="GFT67"/>
      <c r="GFU67"/>
      <c r="GFV67"/>
      <c r="GFW67"/>
      <c r="GFX67"/>
      <c r="GFY67"/>
      <c r="GFZ67"/>
      <c r="GGA67"/>
      <c r="GGB67"/>
      <c r="GGC67"/>
      <c r="GGD67"/>
      <c r="GGE67"/>
      <c r="GGF67"/>
      <c r="GGG67"/>
      <c r="GGH67"/>
      <c r="GGI67"/>
      <c r="GGJ67"/>
      <c r="GGK67"/>
      <c r="GGL67"/>
      <c r="GGM67"/>
      <c r="GGN67"/>
      <c r="GGO67"/>
      <c r="GGP67"/>
      <c r="GGQ67"/>
      <c r="GGR67"/>
      <c r="GGS67"/>
      <c r="GGT67"/>
      <c r="GGU67"/>
      <c r="GGV67"/>
      <c r="GGW67"/>
      <c r="GGX67"/>
      <c r="GGY67"/>
      <c r="GGZ67"/>
      <c r="GHA67"/>
      <c r="GHB67"/>
      <c r="GHC67"/>
      <c r="GHD67"/>
      <c r="GHE67"/>
      <c r="GHF67"/>
      <c r="GHG67"/>
      <c r="GHH67"/>
      <c r="GHI67"/>
      <c r="GHJ67"/>
      <c r="GHK67"/>
      <c r="GHL67"/>
      <c r="GHM67"/>
      <c r="GHN67"/>
      <c r="GHO67"/>
      <c r="GHP67"/>
      <c r="GHQ67"/>
      <c r="GHR67"/>
      <c r="GHS67"/>
      <c r="GHT67"/>
      <c r="GHU67"/>
      <c r="GHV67"/>
      <c r="GHW67"/>
      <c r="GHX67"/>
      <c r="GHY67"/>
      <c r="GHZ67"/>
      <c r="GIA67"/>
      <c r="GIB67"/>
      <c r="GIC67"/>
      <c r="GID67"/>
      <c r="GIE67"/>
      <c r="GIF67"/>
      <c r="GIG67"/>
      <c r="GIH67"/>
      <c r="GII67"/>
      <c r="GIJ67"/>
      <c r="GIK67"/>
      <c r="GIL67"/>
      <c r="GIM67"/>
      <c r="GIN67"/>
      <c r="GIO67"/>
      <c r="GIP67"/>
      <c r="GIQ67"/>
      <c r="GIR67"/>
      <c r="GIS67"/>
      <c r="GIT67"/>
      <c r="GIU67"/>
      <c r="GIV67"/>
      <c r="GIW67"/>
      <c r="GIX67"/>
      <c r="GIY67"/>
      <c r="GIZ67"/>
      <c r="GJA67"/>
      <c r="GJB67"/>
      <c r="GJC67"/>
      <c r="GJD67"/>
      <c r="GJE67"/>
      <c r="GJF67"/>
      <c r="GJG67"/>
      <c r="GJH67"/>
      <c r="GJI67"/>
      <c r="GJJ67"/>
      <c r="GJK67"/>
      <c r="GJL67"/>
      <c r="GJM67"/>
      <c r="GJN67"/>
      <c r="GJO67"/>
      <c r="GJP67"/>
      <c r="GJQ67"/>
      <c r="GJR67"/>
      <c r="GJS67"/>
      <c r="GJT67"/>
      <c r="GJU67"/>
      <c r="GJV67"/>
      <c r="GJW67"/>
      <c r="GJX67"/>
      <c r="GJY67"/>
      <c r="GJZ67"/>
      <c r="GKA67"/>
      <c r="GKB67"/>
      <c r="GKC67"/>
      <c r="GKD67"/>
      <c r="GKE67"/>
      <c r="GKF67"/>
      <c r="GKG67"/>
      <c r="GKH67"/>
      <c r="GKI67"/>
      <c r="GKJ67"/>
      <c r="GKK67"/>
      <c r="GKL67"/>
      <c r="GKM67"/>
      <c r="GKN67"/>
      <c r="GKO67"/>
      <c r="GKP67"/>
      <c r="GKQ67"/>
      <c r="GKR67"/>
      <c r="GKS67"/>
      <c r="GKT67"/>
      <c r="GKU67"/>
      <c r="GKV67"/>
      <c r="GKW67"/>
      <c r="GKX67"/>
      <c r="GKY67"/>
      <c r="GKZ67"/>
      <c r="GLA67"/>
      <c r="GLB67"/>
      <c r="GLC67"/>
      <c r="GLD67"/>
      <c r="GLE67"/>
      <c r="GLF67"/>
      <c r="GLG67"/>
      <c r="GLH67"/>
      <c r="GLI67"/>
      <c r="GLJ67"/>
      <c r="GLK67"/>
      <c r="GLL67"/>
      <c r="GLM67"/>
      <c r="GLN67"/>
      <c r="GLO67"/>
      <c r="GLP67"/>
      <c r="GLQ67"/>
      <c r="GLR67"/>
      <c r="GLS67"/>
      <c r="GLT67"/>
      <c r="GLU67"/>
      <c r="GLV67"/>
      <c r="GLW67"/>
      <c r="GLX67"/>
      <c r="GLY67"/>
      <c r="GLZ67"/>
      <c r="GMA67"/>
      <c r="GMB67"/>
      <c r="GMC67"/>
      <c r="GMD67"/>
      <c r="GME67"/>
      <c r="GMF67"/>
      <c r="GMG67"/>
      <c r="GMH67"/>
      <c r="GMI67"/>
      <c r="GMJ67"/>
      <c r="GMK67"/>
      <c r="GML67"/>
      <c r="GMM67"/>
      <c r="GMN67"/>
      <c r="GMO67"/>
      <c r="GMP67"/>
      <c r="GMQ67"/>
      <c r="GMR67"/>
      <c r="GMS67"/>
      <c r="GMT67"/>
      <c r="GMU67"/>
      <c r="GMV67"/>
      <c r="GMW67"/>
      <c r="GMX67"/>
      <c r="GMY67"/>
      <c r="GMZ67"/>
      <c r="GNA67"/>
      <c r="GNB67"/>
      <c r="GNC67"/>
      <c r="GND67"/>
      <c r="GNE67"/>
      <c r="GNF67"/>
      <c r="GNG67"/>
      <c r="GNH67"/>
      <c r="GNI67"/>
      <c r="GNJ67"/>
      <c r="GNK67"/>
      <c r="GNL67"/>
      <c r="GNM67"/>
      <c r="GNN67"/>
      <c r="GNO67"/>
      <c r="GNP67"/>
      <c r="GNQ67"/>
      <c r="GNR67"/>
      <c r="GNS67"/>
      <c r="GNT67"/>
      <c r="GNU67"/>
      <c r="GNV67"/>
      <c r="GNW67"/>
      <c r="GNX67"/>
      <c r="GNY67"/>
      <c r="GNZ67"/>
      <c r="GOA67"/>
      <c r="GOB67"/>
      <c r="GOC67"/>
      <c r="GOD67"/>
      <c r="GOE67"/>
      <c r="GOF67"/>
      <c r="GOG67"/>
      <c r="GOH67"/>
      <c r="GOI67"/>
      <c r="GOJ67"/>
      <c r="GOK67"/>
      <c r="GOL67"/>
      <c r="GOM67"/>
      <c r="GON67"/>
      <c r="GOO67"/>
      <c r="GOP67"/>
      <c r="GOQ67"/>
      <c r="GOR67"/>
      <c r="GOS67"/>
      <c r="GOT67"/>
      <c r="GOU67"/>
      <c r="GOV67"/>
      <c r="GOW67"/>
      <c r="GOX67"/>
      <c r="GOY67"/>
      <c r="GOZ67"/>
      <c r="GPA67"/>
      <c r="GPB67"/>
      <c r="GPC67"/>
      <c r="GPD67"/>
      <c r="GPE67"/>
      <c r="GPF67"/>
      <c r="GPG67"/>
      <c r="GPH67"/>
      <c r="GPI67"/>
      <c r="GPJ67"/>
      <c r="GPK67"/>
      <c r="GPL67"/>
      <c r="GPM67"/>
      <c r="GPN67"/>
      <c r="GPO67"/>
      <c r="GPP67"/>
      <c r="GPQ67"/>
      <c r="GPR67"/>
      <c r="GPS67"/>
      <c r="GPT67"/>
      <c r="GPU67"/>
      <c r="GPV67"/>
      <c r="GPW67"/>
      <c r="GPX67"/>
      <c r="GPY67"/>
      <c r="GPZ67"/>
      <c r="GQA67"/>
      <c r="GQB67"/>
      <c r="GQC67"/>
      <c r="GQD67"/>
      <c r="GQE67"/>
      <c r="GQF67"/>
      <c r="GQG67"/>
      <c r="GQH67"/>
      <c r="GQI67"/>
      <c r="GQJ67"/>
      <c r="GQK67"/>
      <c r="GQL67"/>
      <c r="GQM67"/>
      <c r="GQN67"/>
      <c r="GQO67"/>
      <c r="GQP67"/>
      <c r="GQQ67"/>
      <c r="GQR67"/>
      <c r="GQS67"/>
      <c r="GQT67"/>
      <c r="GQU67"/>
      <c r="GQV67"/>
      <c r="GQW67"/>
      <c r="GQX67"/>
      <c r="GQY67"/>
      <c r="GQZ67"/>
      <c r="GRA67"/>
      <c r="GRB67"/>
      <c r="GRC67"/>
      <c r="GRD67"/>
      <c r="GRE67"/>
      <c r="GRF67"/>
      <c r="GRG67"/>
      <c r="GRH67"/>
      <c r="GRI67"/>
      <c r="GRJ67"/>
      <c r="GRK67"/>
      <c r="GRL67"/>
      <c r="GRM67"/>
      <c r="GRN67"/>
      <c r="GRO67"/>
      <c r="GRP67"/>
      <c r="GRQ67"/>
      <c r="GRR67"/>
      <c r="GRS67"/>
      <c r="GRT67"/>
      <c r="GRU67"/>
      <c r="GRV67"/>
      <c r="GRW67"/>
      <c r="GRX67"/>
      <c r="GRY67"/>
      <c r="GRZ67"/>
      <c r="GSA67"/>
      <c r="GSB67"/>
      <c r="GSC67"/>
      <c r="GSD67"/>
      <c r="GSE67"/>
      <c r="GSF67"/>
      <c r="GSG67"/>
      <c r="GSH67"/>
      <c r="GSI67"/>
      <c r="GSJ67"/>
      <c r="GSK67"/>
      <c r="GSL67"/>
      <c r="GSM67"/>
      <c r="GSN67"/>
      <c r="GSO67"/>
      <c r="GSP67"/>
      <c r="GSQ67"/>
      <c r="GSR67"/>
      <c r="GSS67"/>
      <c r="GST67"/>
      <c r="GSU67"/>
      <c r="GSV67"/>
      <c r="GSW67"/>
      <c r="GSX67"/>
      <c r="GSY67"/>
      <c r="GSZ67"/>
      <c r="GTA67"/>
      <c r="GTB67"/>
      <c r="GTC67"/>
      <c r="GTD67"/>
      <c r="GTE67"/>
      <c r="GTF67"/>
      <c r="GTG67"/>
      <c r="GTH67"/>
      <c r="GTI67"/>
      <c r="GTJ67"/>
      <c r="GTK67"/>
      <c r="GTL67"/>
      <c r="GTM67"/>
      <c r="GTN67"/>
      <c r="GTO67"/>
      <c r="GTP67"/>
      <c r="GTQ67"/>
      <c r="GTR67"/>
      <c r="GTS67"/>
      <c r="GTT67"/>
      <c r="GTU67"/>
      <c r="GTV67"/>
      <c r="GTW67"/>
      <c r="GTX67"/>
      <c r="GTY67"/>
      <c r="GTZ67"/>
      <c r="GUA67"/>
      <c r="GUB67"/>
      <c r="GUC67"/>
      <c r="GUD67"/>
      <c r="GUE67"/>
      <c r="GUF67"/>
      <c r="GUG67"/>
      <c r="GUH67"/>
      <c r="GUI67"/>
      <c r="GUJ67"/>
      <c r="GUK67"/>
      <c r="GUL67"/>
      <c r="GUM67"/>
      <c r="GUN67"/>
      <c r="GUO67"/>
      <c r="GUP67"/>
      <c r="GUQ67"/>
      <c r="GUR67"/>
      <c r="GUS67"/>
      <c r="GUT67"/>
      <c r="GUU67"/>
      <c r="GUV67"/>
      <c r="GUW67"/>
      <c r="GUX67"/>
      <c r="GUY67"/>
      <c r="GUZ67"/>
      <c r="GVA67"/>
      <c r="GVB67"/>
      <c r="GVC67"/>
      <c r="GVD67"/>
      <c r="GVE67"/>
      <c r="GVF67"/>
      <c r="GVG67"/>
      <c r="GVH67"/>
      <c r="GVI67"/>
      <c r="GVJ67"/>
      <c r="GVK67"/>
      <c r="GVL67"/>
      <c r="GVM67"/>
      <c r="GVN67"/>
      <c r="GVO67"/>
      <c r="GVP67"/>
      <c r="GVQ67"/>
      <c r="GVR67"/>
      <c r="GVS67"/>
      <c r="GVT67"/>
      <c r="GVU67"/>
      <c r="GVV67"/>
      <c r="GVW67"/>
      <c r="GVX67"/>
      <c r="GVY67"/>
      <c r="GVZ67"/>
      <c r="GWA67"/>
      <c r="GWB67"/>
      <c r="GWC67"/>
      <c r="GWD67"/>
      <c r="GWE67"/>
      <c r="GWF67"/>
      <c r="GWG67"/>
      <c r="GWH67"/>
      <c r="GWI67"/>
      <c r="GWJ67"/>
      <c r="GWK67"/>
      <c r="GWL67"/>
      <c r="GWM67"/>
      <c r="GWN67"/>
      <c r="GWO67"/>
      <c r="GWP67"/>
      <c r="GWQ67"/>
      <c r="GWR67"/>
      <c r="GWS67"/>
      <c r="GWT67"/>
      <c r="GWU67"/>
      <c r="GWV67"/>
      <c r="GWW67"/>
      <c r="GWX67"/>
      <c r="GWY67"/>
      <c r="GWZ67"/>
      <c r="GXA67"/>
      <c r="GXB67"/>
      <c r="GXC67"/>
      <c r="GXD67"/>
      <c r="GXE67"/>
      <c r="GXF67"/>
      <c r="GXG67"/>
      <c r="GXH67"/>
      <c r="GXI67"/>
      <c r="GXJ67"/>
      <c r="GXK67"/>
      <c r="GXL67"/>
      <c r="GXM67"/>
      <c r="GXN67"/>
      <c r="GXO67"/>
      <c r="GXP67"/>
      <c r="GXQ67"/>
      <c r="GXR67"/>
      <c r="GXS67"/>
      <c r="GXT67"/>
      <c r="GXU67"/>
      <c r="GXV67"/>
      <c r="GXW67"/>
      <c r="GXX67"/>
      <c r="GXY67"/>
      <c r="GXZ67"/>
      <c r="GYA67"/>
      <c r="GYB67"/>
      <c r="GYC67"/>
      <c r="GYD67"/>
      <c r="GYE67"/>
      <c r="GYF67"/>
      <c r="GYG67"/>
      <c r="GYH67"/>
      <c r="GYI67"/>
      <c r="GYJ67"/>
      <c r="GYK67"/>
      <c r="GYL67"/>
      <c r="GYM67"/>
      <c r="GYN67"/>
      <c r="GYO67"/>
      <c r="GYP67"/>
      <c r="GYQ67"/>
      <c r="GYR67"/>
      <c r="GYS67"/>
      <c r="GYT67"/>
      <c r="GYU67"/>
      <c r="GYV67"/>
      <c r="GYW67"/>
      <c r="GYX67"/>
      <c r="GYY67"/>
      <c r="GYZ67"/>
      <c r="GZA67"/>
      <c r="GZB67"/>
      <c r="GZC67"/>
      <c r="GZD67"/>
      <c r="GZE67"/>
      <c r="GZF67"/>
      <c r="GZG67"/>
      <c r="GZH67"/>
      <c r="GZI67"/>
      <c r="GZJ67"/>
      <c r="GZK67"/>
      <c r="GZL67"/>
      <c r="GZM67"/>
      <c r="GZN67"/>
      <c r="GZO67"/>
      <c r="GZP67"/>
      <c r="GZQ67"/>
      <c r="GZR67"/>
      <c r="GZS67"/>
      <c r="GZT67"/>
      <c r="GZU67"/>
      <c r="GZV67"/>
      <c r="GZW67"/>
      <c r="GZX67"/>
      <c r="GZY67"/>
      <c r="GZZ67"/>
      <c r="HAA67"/>
      <c r="HAB67"/>
      <c r="HAC67"/>
      <c r="HAD67"/>
      <c r="HAE67"/>
      <c r="HAF67"/>
      <c r="HAG67"/>
      <c r="HAH67"/>
      <c r="HAI67"/>
      <c r="HAJ67"/>
      <c r="HAK67"/>
      <c r="HAL67"/>
      <c r="HAM67"/>
      <c r="HAN67"/>
      <c r="HAO67"/>
      <c r="HAP67"/>
      <c r="HAQ67"/>
      <c r="HAR67"/>
      <c r="HAS67"/>
      <c r="HAT67"/>
      <c r="HAU67"/>
      <c r="HAV67"/>
      <c r="HAW67"/>
      <c r="HAX67"/>
      <c r="HAY67"/>
      <c r="HAZ67"/>
      <c r="HBA67"/>
      <c r="HBB67"/>
      <c r="HBC67"/>
      <c r="HBD67"/>
      <c r="HBE67"/>
      <c r="HBF67"/>
      <c r="HBG67"/>
      <c r="HBH67"/>
      <c r="HBI67"/>
      <c r="HBJ67"/>
      <c r="HBK67"/>
      <c r="HBL67"/>
      <c r="HBM67"/>
      <c r="HBN67"/>
      <c r="HBO67"/>
      <c r="HBP67"/>
      <c r="HBQ67"/>
      <c r="HBR67"/>
      <c r="HBS67"/>
      <c r="HBT67"/>
      <c r="HBU67"/>
      <c r="HBV67"/>
      <c r="HBW67"/>
      <c r="HBX67"/>
      <c r="HBY67"/>
      <c r="HBZ67"/>
      <c r="HCA67"/>
      <c r="HCB67"/>
      <c r="HCC67"/>
      <c r="HCD67"/>
      <c r="HCE67"/>
      <c r="HCF67"/>
      <c r="HCG67"/>
      <c r="HCH67"/>
      <c r="HCI67"/>
      <c r="HCJ67"/>
      <c r="HCK67"/>
      <c r="HCL67"/>
      <c r="HCM67"/>
      <c r="HCN67"/>
      <c r="HCO67"/>
      <c r="HCP67"/>
      <c r="HCQ67"/>
      <c r="HCR67"/>
      <c r="HCS67"/>
      <c r="HCT67"/>
      <c r="HCU67"/>
      <c r="HCV67"/>
      <c r="HCW67"/>
      <c r="HCX67"/>
      <c r="HCY67"/>
      <c r="HCZ67"/>
      <c r="HDA67"/>
      <c r="HDB67"/>
      <c r="HDC67"/>
      <c r="HDD67"/>
      <c r="HDE67"/>
      <c r="HDF67"/>
      <c r="HDG67"/>
      <c r="HDH67"/>
      <c r="HDI67"/>
      <c r="HDJ67"/>
      <c r="HDK67"/>
      <c r="HDL67"/>
      <c r="HDM67"/>
      <c r="HDN67"/>
      <c r="HDO67"/>
      <c r="HDP67"/>
      <c r="HDQ67"/>
      <c r="HDR67"/>
      <c r="HDS67"/>
      <c r="HDT67"/>
      <c r="HDU67"/>
      <c r="HDV67"/>
      <c r="HDW67"/>
      <c r="HDX67"/>
      <c r="HDY67"/>
      <c r="HDZ67"/>
      <c r="HEA67"/>
      <c r="HEB67"/>
      <c r="HEC67"/>
      <c r="HED67"/>
      <c r="HEE67"/>
      <c r="HEF67"/>
      <c r="HEG67"/>
      <c r="HEH67"/>
      <c r="HEI67"/>
      <c r="HEJ67"/>
      <c r="HEK67"/>
      <c r="HEL67"/>
      <c r="HEM67"/>
      <c r="HEN67"/>
      <c r="HEO67"/>
      <c r="HEP67"/>
      <c r="HEQ67"/>
      <c r="HER67"/>
      <c r="HES67"/>
      <c r="HET67"/>
      <c r="HEU67"/>
      <c r="HEV67"/>
      <c r="HEW67"/>
      <c r="HEX67"/>
      <c r="HEY67"/>
      <c r="HEZ67"/>
      <c r="HFA67"/>
      <c r="HFB67"/>
      <c r="HFC67"/>
      <c r="HFD67"/>
      <c r="HFE67"/>
      <c r="HFF67"/>
      <c r="HFG67"/>
      <c r="HFH67"/>
      <c r="HFI67"/>
      <c r="HFJ67"/>
      <c r="HFK67"/>
      <c r="HFL67"/>
      <c r="HFM67"/>
      <c r="HFN67"/>
      <c r="HFO67"/>
      <c r="HFP67"/>
      <c r="HFQ67"/>
      <c r="HFR67"/>
      <c r="HFS67"/>
      <c r="HFT67"/>
      <c r="HFU67"/>
      <c r="HFV67"/>
      <c r="HFW67"/>
      <c r="HFX67"/>
      <c r="HFY67"/>
      <c r="HFZ67"/>
      <c r="HGA67"/>
      <c r="HGB67"/>
      <c r="HGC67"/>
      <c r="HGD67"/>
      <c r="HGE67"/>
      <c r="HGF67"/>
      <c r="HGG67"/>
      <c r="HGH67"/>
      <c r="HGI67"/>
      <c r="HGJ67"/>
      <c r="HGK67"/>
      <c r="HGL67"/>
      <c r="HGM67"/>
      <c r="HGN67"/>
      <c r="HGO67"/>
      <c r="HGP67"/>
      <c r="HGQ67"/>
      <c r="HGR67"/>
      <c r="HGS67"/>
      <c r="HGT67"/>
      <c r="HGU67"/>
      <c r="HGV67"/>
      <c r="HGW67"/>
      <c r="HGX67"/>
      <c r="HGY67"/>
      <c r="HGZ67"/>
      <c r="HHA67"/>
      <c r="HHB67"/>
      <c r="HHC67"/>
      <c r="HHD67"/>
      <c r="HHE67"/>
      <c r="HHF67"/>
      <c r="HHG67"/>
      <c r="HHH67"/>
      <c r="HHI67"/>
      <c r="HHJ67"/>
      <c r="HHK67"/>
      <c r="HHL67"/>
      <c r="HHM67"/>
      <c r="HHN67"/>
      <c r="HHO67"/>
      <c r="HHP67"/>
      <c r="HHQ67"/>
      <c r="HHR67"/>
      <c r="HHS67"/>
      <c r="HHT67"/>
      <c r="HHU67"/>
      <c r="HHV67"/>
      <c r="HHW67"/>
      <c r="HHX67"/>
      <c r="HHY67"/>
      <c r="HHZ67"/>
      <c r="HIA67"/>
      <c r="HIB67"/>
      <c r="HIC67"/>
      <c r="HID67"/>
      <c r="HIE67"/>
      <c r="HIF67"/>
      <c r="HIG67"/>
      <c r="HIH67"/>
      <c r="HII67"/>
      <c r="HIJ67"/>
      <c r="HIK67"/>
      <c r="HIL67"/>
      <c r="HIM67"/>
      <c r="HIN67"/>
      <c r="HIO67"/>
      <c r="HIP67"/>
      <c r="HIQ67"/>
      <c r="HIR67"/>
      <c r="HIS67"/>
      <c r="HIT67"/>
      <c r="HIU67"/>
      <c r="HIV67"/>
      <c r="HIW67"/>
      <c r="HIX67"/>
      <c r="HIY67"/>
      <c r="HIZ67"/>
      <c r="HJA67"/>
      <c r="HJB67"/>
      <c r="HJC67"/>
      <c r="HJD67"/>
      <c r="HJE67"/>
      <c r="HJF67"/>
      <c r="HJG67"/>
      <c r="HJH67"/>
      <c r="HJI67"/>
      <c r="HJJ67"/>
      <c r="HJK67"/>
      <c r="HJL67"/>
      <c r="HJM67"/>
      <c r="HJN67"/>
      <c r="HJO67"/>
      <c r="HJP67"/>
      <c r="HJQ67"/>
      <c r="HJR67"/>
      <c r="HJS67"/>
      <c r="HJT67"/>
      <c r="HJU67"/>
      <c r="HJV67"/>
      <c r="HJW67"/>
      <c r="HJX67"/>
      <c r="HJY67"/>
      <c r="HJZ67"/>
      <c r="HKA67"/>
      <c r="HKB67"/>
      <c r="HKC67"/>
      <c r="HKD67"/>
      <c r="HKE67"/>
      <c r="HKF67"/>
      <c r="HKG67"/>
      <c r="HKH67"/>
      <c r="HKI67"/>
      <c r="HKJ67"/>
      <c r="HKK67"/>
      <c r="HKL67"/>
      <c r="HKM67"/>
      <c r="HKN67"/>
      <c r="HKO67"/>
      <c r="HKP67"/>
      <c r="HKQ67"/>
      <c r="HKR67"/>
      <c r="HKS67"/>
      <c r="HKT67"/>
      <c r="HKU67"/>
      <c r="HKV67"/>
      <c r="HKW67"/>
      <c r="HKX67"/>
      <c r="HKY67"/>
      <c r="HKZ67"/>
      <c r="HLA67"/>
      <c r="HLB67"/>
      <c r="HLC67"/>
      <c r="HLD67"/>
      <c r="HLE67"/>
      <c r="HLF67"/>
      <c r="HLG67"/>
      <c r="HLH67"/>
      <c r="HLI67"/>
      <c r="HLJ67"/>
      <c r="HLK67"/>
      <c r="HLL67"/>
      <c r="HLM67"/>
      <c r="HLN67"/>
      <c r="HLO67"/>
      <c r="HLP67"/>
      <c r="HLQ67"/>
      <c r="HLR67"/>
      <c r="HLS67"/>
      <c r="HLT67"/>
      <c r="HLU67"/>
      <c r="HLV67"/>
      <c r="HLW67"/>
      <c r="HLX67"/>
      <c r="HLY67"/>
      <c r="HLZ67"/>
      <c r="HMA67"/>
      <c r="HMB67"/>
      <c r="HMC67"/>
      <c r="HMD67"/>
      <c r="HME67"/>
      <c r="HMF67"/>
      <c r="HMG67"/>
      <c r="HMH67"/>
      <c r="HMI67"/>
      <c r="HMJ67"/>
      <c r="HMK67"/>
      <c r="HML67"/>
      <c r="HMM67"/>
      <c r="HMN67"/>
      <c r="HMO67"/>
      <c r="HMP67"/>
      <c r="HMQ67"/>
      <c r="HMR67"/>
      <c r="HMS67"/>
      <c r="HMT67"/>
      <c r="HMU67"/>
      <c r="HMV67"/>
      <c r="HMW67"/>
      <c r="HMX67"/>
      <c r="HMY67"/>
      <c r="HMZ67"/>
      <c r="HNA67"/>
      <c r="HNB67"/>
      <c r="HNC67"/>
      <c r="HND67"/>
      <c r="HNE67"/>
      <c r="HNF67"/>
      <c r="HNG67"/>
      <c r="HNH67"/>
      <c r="HNI67"/>
      <c r="HNJ67"/>
      <c r="HNK67"/>
      <c r="HNL67"/>
      <c r="HNM67"/>
      <c r="HNN67"/>
      <c r="HNO67"/>
      <c r="HNP67"/>
      <c r="HNQ67"/>
      <c r="HNR67"/>
      <c r="HNS67"/>
      <c r="HNT67"/>
      <c r="HNU67"/>
      <c r="HNV67"/>
      <c r="HNW67"/>
      <c r="HNX67"/>
      <c r="HNY67"/>
      <c r="HNZ67"/>
      <c r="HOA67"/>
      <c r="HOB67"/>
      <c r="HOC67"/>
      <c r="HOD67"/>
      <c r="HOE67"/>
      <c r="HOF67"/>
      <c r="HOG67"/>
      <c r="HOH67"/>
      <c r="HOI67"/>
      <c r="HOJ67"/>
      <c r="HOK67"/>
      <c r="HOL67"/>
      <c r="HOM67"/>
      <c r="HON67"/>
      <c r="HOO67"/>
      <c r="HOP67"/>
      <c r="HOQ67"/>
      <c r="HOR67"/>
      <c r="HOS67"/>
      <c r="HOT67"/>
      <c r="HOU67"/>
      <c r="HOV67"/>
      <c r="HOW67"/>
      <c r="HOX67"/>
      <c r="HOY67"/>
      <c r="HOZ67"/>
      <c r="HPA67"/>
      <c r="HPB67"/>
      <c r="HPC67"/>
      <c r="HPD67"/>
      <c r="HPE67"/>
      <c r="HPF67"/>
      <c r="HPG67"/>
      <c r="HPH67"/>
      <c r="HPI67"/>
      <c r="HPJ67"/>
      <c r="HPK67"/>
      <c r="HPL67"/>
      <c r="HPM67"/>
      <c r="HPN67"/>
      <c r="HPO67"/>
      <c r="HPP67"/>
      <c r="HPQ67"/>
      <c r="HPR67"/>
      <c r="HPS67"/>
      <c r="HPT67"/>
      <c r="HPU67"/>
      <c r="HPV67"/>
      <c r="HPW67"/>
      <c r="HPX67"/>
      <c r="HPY67"/>
      <c r="HPZ67"/>
      <c r="HQA67"/>
      <c r="HQB67"/>
      <c r="HQC67"/>
      <c r="HQD67"/>
      <c r="HQE67"/>
      <c r="HQF67"/>
      <c r="HQG67"/>
      <c r="HQH67"/>
      <c r="HQI67"/>
      <c r="HQJ67"/>
      <c r="HQK67"/>
      <c r="HQL67"/>
      <c r="HQM67"/>
      <c r="HQN67"/>
      <c r="HQO67"/>
      <c r="HQP67"/>
      <c r="HQQ67"/>
      <c r="HQR67"/>
      <c r="HQS67"/>
      <c r="HQT67"/>
      <c r="HQU67"/>
      <c r="HQV67"/>
      <c r="HQW67"/>
      <c r="HQX67"/>
      <c r="HQY67"/>
      <c r="HQZ67"/>
      <c r="HRA67"/>
      <c r="HRB67"/>
      <c r="HRC67"/>
      <c r="HRD67"/>
      <c r="HRE67"/>
      <c r="HRF67"/>
      <c r="HRG67"/>
      <c r="HRH67"/>
      <c r="HRI67"/>
      <c r="HRJ67"/>
      <c r="HRK67"/>
      <c r="HRL67"/>
      <c r="HRM67"/>
      <c r="HRN67"/>
      <c r="HRO67"/>
      <c r="HRP67"/>
      <c r="HRQ67"/>
      <c r="HRR67"/>
      <c r="HRS67"/>
      <c r="HRT67"/>
      <c r="HRU67"/>
      <c r="HRV67"/>
      <c r="HRW67"/>
      <c r="HRX67"/>
      <c r="HRY67"/>
      <c r="HRZ67"/>
      <c r="HSA67"/>
      <c r="HSB67"/>
      <c r="HSC67"/>
      <c r="HSD67"/>
      <c r="HSE67"/>
      <c r="HSF67"/>
      <c r="HSG67"/>
      <c r="HSH67"/>
      <c r="HSI67"/>
      <c r="HSJ67"/>
      <c r="HSK67"/>
      <c r="HSL67"/>
      <c r="HSM67"/>
      <c r="HSN67"/>
      <c r="HSO67"/>
      <c r="HSP67"/>
      <c r="HSQ67"/>
      <c r="HSR67"/>
      <c r="HSS67"/>
      <c r="HST67"/>
      <c r="HSU67"/>
      <c r="HSV67"/>
      <c r="HSW67"/>
      <c r="HSX67"/>
      <c r="HSY67"/>
      <c r="HSZ67"/>
      <c r="HTA67"/>
      <c r="HTB67"/>
      <c r="HTC67"/>
      <c r="HTD67"/>
      <c r="HTE67"/>
      <c r="HTF67"/>
      <c r="HTG67"/>
      <c r="HTH67"/>
      <c r="HTI67"/>
      <c r="HTJ67"/>
      <c r="HTK67"/>
      <c r="HTL67"/>
      <c r="HTM67"/>
      <c r="HTN67"/>
      <c r="HTO67"/>
      <c r="HTP67"/>
      <c r="HTQ67"/>
      <c r="HTR67"/>
      <c r="HTS67"/>
      <c r="HTT67"/>
      <c r="HTU67"/>
      <c r="HTV67"/>
      <c r="HTW67"/>
      <c r="HTX67"/>
      <c r="HTY67"/>
      <c r="HTZ67"/>
      <c r="HUA67"/>
      <c r="HUB67"/>
      <c r="HUC67"/>
      <c r="HUD67"/>
      <c r="HUE67"/>
      <c r="HUF67"/>
      <c r="HUG67"/>
      <c r="HUH67"/>
      <c r="HUI67"/>
      <c r="HUJ67"/>
      <c r="HUK67"/>
      <c r="HUL67"/>
      <c r="HUM67"/>
      <c r="HUN67"/>
      <c r="HUO67"/>
      <c r="HUP67"/>
      <c r="HUQ67"/>
      <c r="HUR67"/>
      <c r="HUS67"/>
      <c r="HUT67"/>
      <c r="HUU67"/>
      <c r="HUV67"/>
      <c r="HUW67"/>
      <c r="HUX67"/>
      <c r="HUY67"/>
      <c r="HUZ67"/>
      <c r="HVA67"/>
      <c r="HVB67"/>
      <c r="HVC67"/>
      <c r="HVD67"/>
      <c r="HVE67"/>
      <c r="HVF67"/>
      <c r="HVG67"/>
      <c r="HVH67"/>
      <c r="HVI67"/>
      <c r="HVJ67"/>
      <c r="HVK67"/>
      <c r="HVL67"/>
      <c r="HVM67"/>
      <c r="HVN67"/>
      <c r="HVO67"/>
      <c r="HVP67"/>
      <c r="HVQ67"/>
      <c r="HVR67"/>
      <c r="HVS67"/>
      <c r="HVT67"/>
      <c r="HVU67"/>
      <c r="HVV67"/>
      <c r="HVW67"/>
      <c r="HVX67"/>
      <c r="HVY67"/>
      <c r="HVZ67"/>
      <c r="HWA67"/>
      <c r="HWB67"/>
      <c r="HWC67"/>
      <c r="HWD67"/>
      <c r="HWE67"/>
      <c r="HWF67"/>
      <c r="HWG67"/>
      <c r="HWH67"/>
      <c r="HWI67"/>
      <c r="HWJ67"/>
      <c r="HWK67"/>
      <c r="HWL67"/>
      <c r="HWM67"/>
      <c r="HWN67"/>
      <c r="HWO67"/>
      <c r="HWP67"/>
      <c r="HWQ67"/>
      <c r="HWR67"/>
      <c r="HWS67"/>
      <c r="HWT67"/>
      <c r="HWU67"/>
      <c r="HWV67"/>
      <c r="HWW67"/>
      <c r="HWX67"/>
      <c r="HWY67"/>
      <c r="HWZ67"/>
      <c r="HXA67"/>
      <c r="HXB67"/>
      <c r="HXC67"/>
      <c r="HXD67"/>
      <c r="HXE67"/>
      <c r="HXF67"/>
      <c r="HXG67"/>
      <c r="HXH67"/>
      <c r="HXI67"/>
      <c r="HXJ67"/>
      <c r="HXK67"/>
      <c r="HXL67"/>
      <c r="HXM67"/>
      <c r="HXN67"/>
      <c r="HXO67"/>
      <c r="HXP67"/>
      <c r="HXQ67"/>
      <c r="HXR67"/>
      <c r="HXS67"/>
      <c r="HXT67"/>
      <c r="HXU67"/>
      <c r="HXV67"/>
      <c r="HXW67"/>
      <c r="HXX67"/>
      <c r="HXY67"/>
      <c r="HXZ67"/>
      <c r="HYA67"/>
      <c r="HYB67"/>
      <c r="HYC67"/>
      <c r="HYD67"/>
      <c r="HYE67"/>
      <c r="HYF67"/>
      <c r="HYG67"/>
      <c r="HYH67"/>
      <c r="HYI67"/>
      <c r="HYJ67"/>
      <c r="HYK67"/>
      <c r="HYL67"/>
      <c r="HYM67"/>
      <c r="HYN67"/>
      <c r="HYO67"/>
      <c r="HYP67"/>
      <c r="HYQ67"/>
      <c r="HYR67"/>
      <c r="HYS67"/>
      <c r="HYT67"/>
      <c r="HYU67"/>
      <c r="HYV67"/>
      <c r="HYW67"/>
      <c r="HYX67"/>
      <c r="HYY67"/>
      <c r="HYZ67"/>
      <c r="HZA67"/>
      <c r="HZB67"/>
      <c r="HZC67"/>
      <c r="HZD67"/>
      <c r="HZE67"/>
      <c r="HZF67"/>
      <c r="HZG67"/>
      <c r="HZH67"/>
      <c r="HZI67"/>
      <c r="HZJ67"/>
      <c r="HZK67"/>
      <c r="HZL67"/>
      <c r="HZM67"/>
      <c r="HZN67"/>
      <c r="HZO67"/>
      <c r="HZP67"/>
      <c r="HZQ67"/>
      <c r="HZR67"/>
      <c r="HZS67"/>
      <c r="HZT67"/>
      <c r="HZU67"/>
      <c r="HZV67"/>
      <c r="HZW67"/>
      <c r="HZX67"/>
      <c r="HZY67"/>
      <c r="HZZ67"/>
      <c r="IAA67"/>
      <c r="IAB67"/>
      <c r="IAC67"/>
      <c r="IAD67"/>
      <c r="IAE67"/>
      <c r="IAF67"/>
      <c r="IAG67"/>
      <c r="IAH67"/>
      <c r="IAI67"/>
      <c r="IAJ67"/>
      <c r="IAK67"/>
      <c r="IAL67"/>
      <c r="IAM67"/>
      <c r="IAN67"/>
      <c r="IAO67"/>
      <c r="IAP67"/>
      <c r="IAQ67"/>
      <c r="IAR67"/>
      <c r="IAS67"/>
      <c r="IAT67"/>
      <c r="IAU67"/>
      <c r="IAV67"/>
      <c r="IAW67"/>
      <c r="IAX67"/>
      <c r="IAY67"/>
      <c r="IAZ67"/>
      <c r="IBA67"/>
      <c r="IBB67"/>
      <c r="IBC67"/>
      <c r="IBD67"/>
      <c r="IBE67"/>
      <c r="IBF67"/>
      <c r="IBG67"/>
      <c r="IBH67"/>
      <c r="IBI67"/>
      <c r="IBJ67"/>
      <c r="IBK67"/>
      <c r="IBL67"/>
      <c r="IBM67"/>
      <c r="IBN67"/>
      <c r="IBO67"/>
      <c r="IBP67"/>
      <c r="IBQ67"/>
      <c r="IBR67"/>
      <c r="IBS67"/>
      <c r="IBT67"/>
      <c r="IBU67"/>
      <c r="IBV67"/>
      <c r="IBW67"/>
      <c r="IBX67"/>
      <c r="IBY67"/>
      <c r="IBZ67"/>
      <c r="ICA67"/>
      <c r="ICB67"/>
      <c r="ICC67"/>
      <c r="ICD67"/>
      <c r="ICE67"/>
      <c r="ICF67"/>
      <c r="ICG67"/>
      <c r="ICH67"/>
      <c r="ICI67"/>
      <c r="ICJ67"/>
      <c r="ICK67"/>
      <c r="ICL67"/>
      <c r="ICM67"/>
      <c r="ICN67"/>
      <c r="ICO67"/>
      <c r="ICP67"/>
      <c r="ICQ67"/>
      <c r="ICR67"/>
      <c r="ICS67"/>
      <c r="ICT67"/>
      <c r="ICU67"/>
      <c r="ICV67"/>
      <c r="ICW67"/>
      <c r="ICX67"/>
      <c r="ICY67"/>
      <c r="ICZ67"/>
      <c r="IDA67"/>
      <c r="IDB67"/>
      <c r="IDC67"/>
      <c r="IDD67"/>
      <c r="IDE67"/>
      <c r="IDF67"/>
      <c r="IDG67"/>
      <c r="IDH67"/>
      <c r="IDI67"/>
      <c r="IDJ67"/>
      <c r="IDK67"/>
      <c r="IDL67"/>
      <c r="IDM67"/>
      <c r="IDN67"/>
      <c r="IDO67"/>
      <c r="IDP67"/>
      <c r="IDQ67"/>
      <c r="IDR67"/>
      <c r="IDS67"/>
      <c r="IDT67"/>
      <c r="IDU67"/>
      <c r="IDV67"/>
      <c r="IDW67"/>
      <c r="IDX67"/>
      <c r="IDY67"/>
      <c r="IDZ67"/>
      <c r="IEA67"/>
      <c r="IEB67"/>
      <c r="IEC67"/>
      <c r="IED67"/>
      <c r="IEE67"/>
      <c r="IEF67"/>
      <c r="IEG67"/>
      <c r="IEH67"/>
      <c r="IEI67"/>
      <c r="IEJ67"/>
      <c r="IEK67"/>
      <c r="IEL67"/>
      <c r="IEM67"/>
      <c r="IEN67"/>
      <c r="IEO67"/>
      <c r="IEP67"/>
      <c r="IEQ67"/>
      <c r="IER67"/>
      <c r="IES67"/>
      <c r="IET67"/>
      <c r="IEU67"/>
      <c r="IEV67"/>
      <c r="IEW67"/>
      <c r="IEX67"/>
      <c r="IEY67"/>
      <c r="IEZ67"/>
      <c r="IFA67"/>
      <c r="IFB67"/>
      <c r="IFC67"/>
      <c r="IFD67"/>
      <c r="IFE67"/>
      <c r="IFF67"/>
      <c r="IFG67"/>
      <c r="IFH67"/>
      <c r="IFI67"/>
      <c r="IFJ67"/>
      <c r="IFK67"/>
      <c r="IFL67"/>
      <c r="IFM67"/>
      <c r="IFN67"/>
      <c r="IFO67"/>
      <c r="IFP67"/>
      <c r="IFQ67"/>
      <c r="IFR67"/>
      <c r="IFS67"/>
      <c r="IFT67"/>
      <c r="IFU67"/>
      <c r="IFV67"/>
      <c r="IFW67"/>
      <c r="IFX67"/>
      <c r="IFY67"/>
      <c r="IFZ67"/>
      <c r="IGA67"/>
      <c r="IGB67"/>
      <c r="IGC67"/>
      <c r="IGD67"/>
      <c r="IGE67"/>
      <c r="IGF67"/>
      <c r="IGG67"/>
      <c r="IGH67"/>
      <c r="IGI67"/>
      <c r="IGJ67"/>
      <c r="IGK67"/>
      <c r="IGL67"/>
      <c r="IGM67"/>
      <c r="IGN67"/>
      <c r="IGO67"/>
      <c r="IGP67"/>
      <c r="IGQ67"/>
      <c r="IGR67"/>
      <c r="IGS67"/>
      <c r="IGT67"/>
      <c r="IGU67"/>
      <c r="IGV67"/>
      <c r="IGW67"/>
      <c r="IGX67"/>
      <c r="IGY67"/>
      <c r="IGZ67"/>
      <c r="IHA67"/>
      <c r="IHB67"/>
      <c r="IHC67"/>
      <c r="IHD67"/>
      <c r="IHE67"/>
      <c r="IHF67"/>
      <c r="IHG67"/>
      <c r="IHH67"/>
      <c r="IHI67"/>
      <c r="IHJ67"/>
      <c r="IHK67"/>
      <c r="IHL67"/>
      <c r="IHM67"/>
      <c r="IHN67"/>
      <c r="IHO67"/>
      <c r="IHP67"/>
      <c r="IHQ67"/>
      <c r="IHR67"/>
      <c r="IHS67"/>
      <c r="IHT67"/>
      <c r="IHU67"/>
      <c r="IHV67"/>
      <c r="IHW67"/>
      <c r="IHX67"/>
      <c r="IHY67"/>
      <c r="IHZ67"/>
      <c r="IIA67"/>
      <c r="IIB67"/>
      <c r="IIC67"/>
      <c r="IID67"/>
      <c r="IIE67"/>
      <c r="IIF67"/>
      <c r="IIG67"/>
      <c r="IIH67"/>
      <c r="III67"/>
      <c r="IIJ67"/>
      <c r="IIK67"/>
      <c r="IIL67"/>
      <c r="IIM67"/>
      <c r="IIN67"/>
      <c r="IIO67"/>
      <c r="IIP67"/>
      <c r="IIQ67"/>
      <c r="IIR67"/>
      <c r="IIS67"/>
      <c r="IIT67"/>
      <c r="IIU67"/>
      <c r="IIV67"/>
      <c r="IIW67"/>
      <c r="IIX67"/>
      <c r="IIY67"/>
      <c r="IIZ67"/>
      <c r="IJA67"/>
      <c r="IJB67"/>
      <c r="IJC67"/>
      <c r="IJD67"/>
      <c r="IJE67"/>
      <c r="IJF67"/>
      <c r="IJG67"/>
      <c r="IJH67"/>
      <c r="IJI67"/>
      <c r="IJJ67"/>
      <c r="IJK67"/>
      <c r="IJL67"/>
      <c r="IJM67"/>
      <c r="IJN67"/>
      <c r="IJO67"/>
      <c r="IJP67"/>
      <c r="IJQ67"/>
      <c r="IJR67"/>
      <c r="IJS67"/>
      <c r="IJT67"/>
      <c r="IJU67"/>
      <c r="IJV67"/>
      <c r="IJW67"/>
      <c r="IJX67"/>
      <c r="IJY67"/>
      <c r="IJZ67"/>
      <c r="IKA67"/>
      <c r="IKB67"/>
      <c r="IKC67"/>
      <c r="IKD67"/>
      <c r="IKE67"/>
      <c r="IKF67"/>
      <c r="IKG67"/>
      <c r="IKH67"/>
      <c r="IKI67"/>
      <c r="IKJ67"/>
      <c r="IKK67"/>
      <c r="IKL67"/>
      <c r="IKM67"/>
      <c r="IKN67"/>
      <c r="IKO67"/>
      <c r="IKP67"/>
      <c r="IKQ67"/>
      <c r="IKR67"/>
      <c r="IKS67"/>
      <c r="IKT67"/>
      <c r="IKU67"/>
      <c r="IKV67"/>
      <c r="IKW67"/>
      <c r="IKX67"/>
      <c r="IKY67"/>
      <c r="IKZ67"/>
      <c r="ILA67"/>
      <c r="ILB67"/>
      <c r="ILC67"/>
      <c r="ILD67"/>
      <c r="ILE67"/>
      <c r="ILF67"/>
      <c r="ILG67"/>
      <c r="ILH67"/>
      <c r="ILI67"/>
      <c r="ILJ67"/>
      <c r="ILK67"/>
      <c r="ILL67"/>
      <c r="ILM67"/>
      <c r="ILN67"/>
      <c r="ILO67"/>
      <c r="ILP67"/>
      <c r="ILQ67"/>
      <c r="ILR67"/>
      <c r="ILS67"/>
      <c r="ILT67"/>
      <c r="ILU67"/>
      <c r="ILV67"/>
      <c r="ILW67"/>
      <c r="ILX67"/>
      <c r="ILY67"/>
      <c r="ILZ67"/>
      <c r="IMA67"/>
      <c r="IMB67"/>
      <c r="IMC67"/>
      <c r="IMD67"/>
      <c r="IME67"/>
      <c r="IMF67"/>
      <c r="IMG67"/>
      <c r="IMH67"/>
      <c r="IMI67"/>
      <c r="IMJ67"/>
      <c r="IMK67"/>
      <c r="IML67"/>
      <c r="IMM67"/>
      <c r="IMN67"/>
      <c r="IMO67"/>
      <c r="IMP67"/>
      <c r="IMQ67"/>
      <c r="IMR67"/>
      <c r="IMS67"/>
      <c r="IMT67"/>
      <c r="IMU67"/>
      <c r="IMV67"/>
      <c r="IMW67"/>
      <c r="IMX67"/>
      <c r="IMY67"/>
      <c r="IMZ67"/>
      <c r="INA67"/>
      <c r="INB67"/>
      <c r="INC67"/>
      <c r="IND67"/>
      <c r="INE67"/>
      <c r="INF67"/>
      <c r="ING67"/>
      <c r="INH67"/>
      <c r="INI67"/>
      <c r="INJ67"/>
      <c r="INK67"/>
      <c r="INL67"/>
      <c r="INM67"/>
      <c r="INN67"/>
      <c r="INO67"/>
      <c r="INP67"/>
      <c r="INQ67"/>
      <c r="INR67"/>
      <c r="INS67"/>
      <c r="INT67"/>
      <c r="INU67"/>
      <c r="INV67"/>
      <c r="INW67"/>
      <c r="INX67"/>
      <c r="INY67"/>
      <c r="INZ67"/>
      <c r="IOA67"/>
      <c r="IOB67"/>
      <c r="IOC67"/>
      <c r="IOD67"/>
      <c r="IOE67"/>
      <c r="IOF67"/>
      <c r="IOG67"/>
      <c r="IOH67"/>
      <c r="IOI67"/>
      <c r="IOJ67"/>
      <c r="IOK67"/>
      <c r="IOL67"/>
      <c r="IOM67"/>
      <c r="ION67"/>
      <c r="IOO67"/>
      <c r="IOP67"/>
      <c r="IOQ67"/>
      <c r="IOR67"/>
      <c r="IOS67"/>
      <c r="IOT67"/>
      <c r="IOU67"/>
      <c r="IOV67"/>
      <c r="IOW67"/>
      <c r="IOX67"/>
      <c r="IOY67"/>
      <c r="IOZ67"/>
      <c r="IPA67"/>
      <c r="IPB67"/>
      <c r="IPC67"/>
      <c r="IPD67"/>
      <c r="IPE67"/>
      <c r="IPF67"/>
      <c r="IPG67"/>
      <c r="IPH67"/>
      <c r="IPI67"/>
      <c r="IPJ67"/>
      <c r="IPK67"/>
      <c r="IPL67"/>
      <c r="IPM67"/>
      <c r="IPN67"/>
      <c r="IPO67"/>
      <c r="IPP67"/>
      <c r="IPQ67"/>
      <c r="IPR67"/>
      <c r="IPS67"/>
      <c r="IPT67"/>
      <c r="IPU67"/>
      <c r="IPV67"/>
      <c r="IPW67"/>
      <c r="IPX67"/>
      <c r="IPY67"/>
      <c r="IPZ67"/>
      <c r="IQA67"/>
      <c r="IQB67"/>
      <c r="IQC67"/>
      <c r="IQD67"/>
      <c r="IQE67"/>
      <c r="IQF67"/>
      <c r="IQG67"/>
      <c r="IQH67"/>
      <c r="IQI67"/>
      <c r="IQJ67"/>
      <c r="IQK67"/>
      <c r="IQL67"/>
      <c r="IQM67"/>
      <c r="IQN67"/>
      <c r="IQO67"/>
      <c r="IQP67"/>
      <c r="IQQ67"/>
      <c r="IQR67"/>
      <c r="IQS67"/>
      <c r="IQT67"/>
      <c r="IQU67"/>
      <c r="IQV67"/>
      <c r="IQW67"/>
      <c r="IQX67"/>
      <c r="IQY67"/>
      <c r="IQZ67"/>
      <c r="IRA67"/>
      <c r="IRB67"/>
      <c r="IRC67"/>
      <c r="IRD67"/>
      <c r="IRE67"/>
      <c r="IRF67"/>
      <c r="IRG67"/>
      <c r="IRH67"/>
      <c r="IRI67"/>
      <c r="IRJ67"/>
      <c r="IRK67"/>
      <c r="IRL67"/>
      <c r="IRM67"/>
      <c r="IRN67"/>
      <c r="IRO67"/>
      <c r="IRP67"/>
      <c r="IRQ67"/>
      <c r="IRR67"/>
      <c r="IRS67"/>
      <c r="IRT67"/>
      <c r="IRU67"/>
      <c r="IRV67"/>
      <c r="IRW67"/>
      <c r="IRX67"/>
      <c r="IRY67"/>
      <c r="IRZ67"/>
      <c r="ISA67"/>
      <c r="ISB67"/>
      <c r="ISC67"/>
      <c r="ISD67"/>
      <c r="ISE67"/>
      <c r="ISF67"/>
      <c r="ISG67"/>
      <c r="ISH67"/>
      <c r="ISI67"/>
      <c r="ISJ67"/>
      <c r="ISK67"/>
      <c r="ISL67"/>
      <c r="ISM67"/>
      <c r="ISN67"/>
      <c r="ISO67"/>
      <c r="ISP67"/>
      <c r="ISQ67"/>
      <c r="ISR67"/>
      <c r="ISS67"/>
      <c r="IST67"/>
      <c r="ISU67"/>
      <c r="ISV67"/>
      <c r="ISW67"/>
      <c r="ISX67"/>
      <c r="ISY67"/>
      <c r="ISZ67"/>
      <c r="ITA67"/>
      <c r="ITB67"/>
      <c r="ITC67"/>
      <c r="ITD67"/>
      <c r="ITE67"/>
      <c r="ITF67"/>
      <c r="ITG67"/>
      <c r="ITH67"/>
      <c r="ITI67"/>
      <c r="ITJ67"/>
      <c r="ITK67"/>
      <c r="ITL67"/>
      <c r="ITM67"/>
      <c r="ITN67"/>
      <c r="ITO67"/>
      <c r="ITP67"/>
      <c r="ITQ67"/>
      <c r="ITR67"/>
      <c r="ITS67"/>
      <c r="ITT67"/>
      <c r="ITU67"/>
      <c r="ITV67"/>
      <c r="ITW67"/>
      <c r="ITX67"/>
      <c r="ITY67"/>
      <c r="ITZ67"/>
      <c r="IUA67"/>
      <c r="IUB67"/>
      <c r="IUC67"/>
      <c r="IUD67"/>
      <c r="IUE67"/>
      <c r="IUF67"/>
      <c r="IUG67"/>
      <c r="IUH67"/>
      <c r="IUI67"/>
      <c r="IUJ67"/>
      <c r="IUK67"/>
      <c r="IUL67"/>
      <c r="IUM67"/>
      <c r="IUN67"/>
      <c r="IUO67"/>
      <c r="IUP67"/>
      <c r="IUQ67"/>
      <c r="IUR67"/>
      <c r="IUS67"/>
      <c r="IUT67"/>
      <c r="IUU67"/>
      <c r="IUV67"/>
      <c r="IUW67"/>
      <c r="IUX67"/>
      <c r="IUY67"/>
      <c r="IUZ67"/>
      <c r="IVA67"/>
      <c r="IVB67"/>
      <c r="IVC67"/>
      <c r="IVD67"/>
      <c r="IVE67"/>
      <c r="IVF67"/>
      <c r="IVG67"/>
      <c r="IVH67"/>
      <c r="IVI67"/>
      <c r="IVJ67"/>
      <c r="IVK67"/>
      <c r="IVL67"/>
      <c r="IVM67"/>
      <c r="IVN67"/>
      <c r="IVO67"/>
      <c r="IVP67"/>
      <c r="IVQ67"/>
      <c r="IVR67"/>
      <c r="IVS67"/>
      <c r="IVT67"/>
      <c r="IVU67"/>
      <c r="IVV67"/>
      <c r="IVW67"/>
      <c r="IVX67"/>
      <c r="IVY67"/>
      <c r="IVZ67"/>
      <c r="IWA67"/>
      <c r="IWB67"/>
      <c r="IWC67"/>
      <c r="IWD67"/>
      <c r="IWE67"/>
      <c r="IWF67"/>
      <c r="IWG67"/>
      <c r="IWH67"/>
      <c r="IWI67"/>
      <c r="IWJ67"/>
      <c r="IWK67"/>
      <c r="IWL67"/>
      <c r="IWM67"/>
      <c r="IWN67"/>
      <c r="IWO67"/>
      <c r="IWP67"/>
      <c r="IWQ67"/>
      <c r="IWR67"/>
      <c r="IWS67"/>
      <c r="IWT67"/>
      <c r="IWU67"/>
      <c r="IWV67"/>
      <c r="IWW67"/>
      <c r="IWX67"/>
      <c r="IWY67"/>
      <c r="IWZ67"/>
      <c r="IXA67"/>
      <c r="IXB67"/>
      <c r="IXC67"/>
      <c r="IXD67"/>
      <c r="IXE67"/>
      <c r="IXF67"/>
      <c r="IXG67"/>
      <c r="IXH67"/>
      <c r="IXI67"/>
      <c r="IXJ67"/>
      <c r="IXK67"/>
      <c r="IXL67"/>
      <c r="IXM67"/>
      <c r="IXN67"/>
      <c r="IXO67"/>
      <c r="IXP67"/>
      <c r="IXQ67"/>
      <c r="IXR67"/>
      <c r="IXS67"/>
      <c r="IXT67"/>
      <c r="IXU67"/>
      <c r="IXV67"/>
      <c r="IXW67"/>
      <c r="IXX67"/>
      <c r="IXY67"/>
      <c r="IXZ67"/>
      <c r="IYA67"/>
      <c r="IYB67"/>
      <c r="IYC67"/>
      <c r="IYD67"/>
      <c r="IYE67"/>
      <c r="IYF67"/>
      <c r="IYG67"/>
      <c r="IYH67"/>
      <c r="IYI67"/>
      <c r="IYJ67"/>
      <c r="IYK67"/>
      <c r="IYL67"/>
      <c r="IYM67"/>
      <c r="IYN67"/>
      <c r="IYO67"/>
      <c r="IYP67"/>
      <c r="IYQ67"/>
      <c r="IYR67"/>
      <c r="IYS67"/>
      <c r="IYT67"/>
      <c r="IYU67"/>
      <c r="IYV67"/>
      <c r="IYW67"/>
      <c r="IYX67"/>
      <c r="IYY67"/>
      <c r="IYZ67"/>
      <c r="IZA67"/>
      <c r="IZB67"/>
      <c r="IZC67"/>
      <c r="IZD67"/>
      <c r="IZE67"/>
      <c r="IZF67"/>
      <c r="IZG67"/>
      <c r="IZH67"/>
      <c r="IZI67"/>
      <c r="IZJ67"/>
      <c r="IZK67"/>
      <c r="IZL67"/>
      <c r="IZM67"/>
      <c r="IZN67"/>
      <c r="IZO67"/>
      <c r="IZP67"/>
      <c r="IZQ67"/>
      <c r="IZR67"/>
      <c r="IZS67"/>
      <c r="IZT67"/>
      <c r="IZU67"/>
      <c r="IZV67"/>
      <c r="IZW67"/>
      <c r="IZX67"/>
      <c r="IZY67"/>
      <c r="IZZ67"/>
      <c r="JAA67"/>
      <c r="JAB67"/>
      <c r="JAC67"/>
      <c r="JAD67"/>
      <c r="JAE67"/>
      <c r="JAF67"/>
      <c r="JAG67"/>
      <c r="JAH67"/>
      <c r="JAI67"/>
      <c r="JAJ67"/>
      <c r="JAK67"/>
      <c r="JAL67"/>
      <c r="JAM67"/>
      <c r="JAN67"/>
      <c r="JAO67"/>
      <c r="JAP67"/>
      <c r="JAQ67"/>
      <c r="JAR67"/>
      <c r="JAS67"/>
      <c r="JAT67"/>
      <c r="JAU67"/>
      <c r="JAV67"/>
      <c r="JAW67"/>
      <c r="JAX67"/>
      <c r="JAY67"/>
      <c r="JAZ67"/>
      <c r="JBA67"/>
      <c r="JBB67"/>
      <c r="JBC67"/>
      <c r="JBD67"/>
      <c r="JBE67"/>
      <c r="JBF67"/>
      <c r="JBG67"/>
      <c r="JBH67"/>
      <c r="JBI67"/>
      <c r="JBJ67"/>
      <c r="JBK67"/>
      <c r="JBL67"/>
      <c r="JBM67"/>
      <c r="JBN67"/>
      <c r="JBO67"/>
      <c r="JBP67"/>
      <c r="JBQ67"/>
      <c r="JBR67"/>
      <c r="JBS67"/>
      <c r="JBT67"/>
      <c r="JBU67"/>
      <c r="JBV67"/>
      <c r="JBW67"/>
      <c r="JBX67"/>
      <c r="JBY67"/>
      <c r="JBZ67"/>
      <c r="JCA67"/>
      <c r="JCB67"/>
      <c r="JCC67"/>
      <c r="JCD67"/>
      <c r="JCE67"/>
      <c r="JCF67"/>
      <c r="JCG67"/>
      <c r="JCH67"/>
      <c r="JCI67"/>
      <c r="JCJ67"/>
      <c r="JCK67"/>
      <c r="JCL67"/>
      <c r="JCM67"/>
      <c r="JCN67"/>
      <c r="JCO67"/>
      <c r="JCP67"/>
      <c r="JCQ67"/>
      <c r="JCR67"/>
      <c r="JCS67"/>
      <c r="JCT67"/>
      <c r="JCU67"/>
      <c r="JCV67"/>
      <c r="JCW67"/>
      <c r="JCX67"/>
      <c r="JCY67"/>
      <c r="JCZ67"/>
      <c r="JDA67"/>
      <c r="JDB67"/>
      <c r="JDC67"/>
      <c r="JDD67"/>
      <c r="JDE67"/>
      <c r="JDF67"/>
      <c r="JDG67"/>
      <c r="JDH67"/>
      <c r="JDI67"/>
      <c r="JDJ67"/>
      <c r="JDK67"/>
      <c r="JDL67"/>
      <c r="JDM67"/>
      <c r="JDN67"/>
      <c r="JDO67"/>
      <c r="JDP67"/>
      <c r="JDQ67"/>
      <c r="JDR67"/>
      <c r="JDS67"/>
      <c r="JDT67"/>
      <c r="JDU67"/>
      <c r="JDV67"/>
      <c r="JDW67"/>
      <c r="JDX67"/>
      <c r="JDY67"/>
      <c r="JDZ67"/>
      <c r="JEA67"/>
      <c r="JEB67"/>
      <c r="JEC67"/>
      <c r="JED67"/>
      <c r="JEE67"/>
      <c r="JEF67"/>
      <c r="JEG67"/>
      <c r="JEH67"/>
      <c r="JEI67"/>
      <c r="JEJ67"/>
      <c r="JEK67"/>
      <c r="JEL67"/>
      <c r="JEM67"/>
      <c r="JEN67"/>
      <c r="JEO67"/>
      <c r="JEP67"/>
      <c r="JEQ67"/>
      <c r="JER67"/>
      <c r="JES67"/>
      <c r="JET67"/>
      <c r="JEU67"/>
      <c r="JEV67"/>
      <c r="JEW67"/>
      <c r="JEX67"/>
      <c r="JEY67"/>
      <c r="JEZ67"/>
      <c r="JFA67"/>
      <c r="JFB67"/>
      <c r="JFC67"/>
      <c r="JFD67"/>
      <c r="JFE67"/>
      <c r="JFF67"/>
      <c r="JFG67"/>
      <c r="JFH67"/>
      <c r="JFI67"/>
      <c r="JFJ67"/>
      <c r="JFK67"/>
      <c r="JFL67"/>
      <c r="JFM67"/>
      <c r="JFN67"/>
      <c r="JFO67"/>
      <c r="JFP67"/>
      <c r="JFQ67"/>
      <c r="JFR67"/>
      <c r="JFS67"/>
      <c r="JFT67"/>
      <c r="JFU67"/>
      <c r="JFV67"/>
      <c r="JFW67"/>
      <c r="JFX67"/>
      <c r="JFY67"/>
      <c r="JFZ67"/>
      <c r="JGA67"/>
      <c r="JGB67"/>
      <c r="JGC67"/>
      <c r="JGD67"/>
      <c r="JGE67"/>
      <c r="JGF67"/>
      <c r="JGG67"/>
      <c r="JGH67"/>
      <c r="JGI67"/>
      <c r="JGJ67"/>
      <c r="JGK67"/>
      <c r="JGL67"/>
      <c r="JGM67"/>
      <c r="JGN67"/>
      <c r="JGO67"/>
      <c r="JGP67"/>
      <c r="JGQ67"/>
      <c r="JGR67"/>
      <c r="JGS67"/>
      <c r="JGT67"/>
      <c r="JGU67"/>
      <c r="JGV67"/>
      <c r="JGW67"/>
      <c r="JGX67"/>
      <c r="JGY67"/>
      <c r="JGZ67"/>
      <c r="JHA67"/>
      <c r="JHB67"/>
      <c r="JHC67"/>
      <c r="JHD67"/>
      <c r="JHE67"/>
      <c r="JHF67"/>
      <c r="JHG67"/>
      <c r="JHH67"/>
      <c r="JHI67"/>
      <c r="JHJ67"/>
      <c r="JHK67"/>
      <c r="JHL67"/>
      <c r="JHM67"/>
      <c r="JHN67"/>
      <c r="JHO67"/>
      <c r="JHP67"/>
      <c r="JHQ67"/>
      <c r="JHR67"/>
      <c r="JHS67"/>
      <c r="JHT67"/>
      <c r="JHU67"/>
      <c r="JHV67"/>
      <c r="JHW67"/>
      <c r="JHX67"/>
      <c r="JHY67"/>
      <c r="JHZ67"/>
      <c r="JIA67"/>
      <c r="JIB67"/>
      <c r="JIC67"/>
      <c r="JID67"/>
      <c r="JIE67"/>
      <c r="JIF67"/>
      <c r="JIG67"/>
      <c r="JIH67"/>
      <c r="JII67"/>
      <c r="JIJ67"/>
      <c r="JIK67"/>
      <c r="JIL67"/>
      <c r="JIM67"/>
      <c r="JIN67"/>
      <c r="JIO67"/>
      <c r="JIP67"/>
      <c r="JIQ67"/>
      <c r="JIR67"/>
      <c r="JIS67"/>
      <c r="JIT67"/>
      <c r="JIU67"/>
      <c r="JIV67"/>
      <c r="JIW67"/>
      <c r="JIX67"/>
      <c r="JIY67"/>
      <c r="JIZ67"/>
      <c r="JJA67"/>
      <c r="JJB67"/>
      <c r="JJC67"/>
      <c r="JJD67"/>
      <c r="JJE67"/>
      <c r="JJF67"/>
      <c r="JJG67"/>
      <c r="JJH67"/>
      <c r="JJI67"/>
      <c r="JJJ67"/>
      <c r="JJK67"/>
      <c r="JJL67"/>
      <c r="JJM67"/>
      <c r="JJN67"/>
      <c r="JJO67"/>
      <c r="JJP67"/>
      <c r="JJQ67"/>
      <c r="JJR67"/>
      <c r="JJS67"/>
      <c r="JJT67"/>
      <c r="JJU67"/>
      <c r="JJV67"/>
      <c r="JJW67"/>
      <c r="JJX67"/>
      <c r="JJY67"/>
      <c r="JJZ67"/>
      <c r="JKA67"/>
      <c r="JKB67"/>
      <c r="JKC67"/>
      <c r="JKD67"/>
      <c r="JKE67"/>
      <c r="JKF67"/>
      <c r="JKG67"/>
      <c r="JKH67"/>
      <c r="JKI67"/>
      <c r="JKJ67"/>
      <c r="JKK67"/>
      <c r="JKL67"/>
      <c r="JKM67"/>
      <c r="JKN67"/>
      <c r="JKO67"/>
      <c r="JKP67"/>
      <c r="JKQ67"/>
      <c r="JKR67"/>
      <c r="JKS67"/>
      <c r="JKT67"/>
      <c r="JKU67"/>
      <c r="JKV67"/>
      <c r="JKW67"/>
      <c r="JKX67"/>
      <c r="JKY67"/>
      <c r="JKZ67"/>
      <c r="JLA67"/>
      <c r="JLB67"/>
      <c r="JLC67"/>
      <c r="JLD67"/>
      <c r="JLE67"/>
      <c r="JLF67"/>
      <c r="JLG67"/>
      <c r="JLH67"/>
      <c r="JLI67"/>
      <c r="JLJ67"/>
      <c r="JLK67"/>
      <c r="JLL67"/>
      <c r="JLM67"/>
      <c r="JLN67"/>
      <c r="JLO67"/>
      <c r="JLP67"/>
      <c r="JLQ67"/>
      <c r="JLR67"/>
      <c r="JLS67"/>
      <c r="JLT67"/>
      <c r="JLU67"/>
      <c r="JLV67"/>
      <c r="JLW67"/>
      <c r="JLX67"/>
      <c r="JLY67"/>
      <c r="JLZ67"/>
      <c r="JMA67"/>
      <c r="JMB67"/>
      <c r="JMC67"/>
      <c r="JMD67"/>
      <c r="JME67"/>
      <c r="JMF67"/>
      <c r="JMG67"/>
      <c r="JMH67"/>
      <c r="JMI67"/>
      <c r="JMJ67"/>
      <c r="JMK67"/>
      <c r="JML67"/>
      <c r="JMM67"/>
      <c r="JMN67"/>
      <c r="JMO67"/>
      <c r="JMP67"/>
      <c r="JMQ67"/>
      <c r="JMR67"/>
      <c r="JMS67"/>
      <c r="JMT67"/>
      <c r="JMU67"/>
      <c r="JMV67"/>
      <c r="JMW67"/>
      <c r="JMX67"/>
      <c r="JMY67"/>
      <c r="JMZ67"/>
      <c r="JNA67"/>
      <c r="JNB67"/>
      <c r="JNC67"/>
      <c r="JND67"/>
      <c r="JNE67"/>
      <c r="JNF67"/>
      <c r="JNG67"/>
      <c r="JNH67"/>
      <c r="JNI67"/>
      <c r="JNJ67"/>
      <c r="JNK67"/>
      <c r="JNL67"/>
      <c r="JNM67"/>
      <c r="JNN67"/>
      <c r="JNO67"/>
      <c r="JNP67"/>
      <c r="JNQ67"/>
      <c r="JNR67"/>
      <c r="JNS67"/>
      <c r="JNT67"/>
      <c r="JNU67"/>
      <c r="JNV67"/>
      <c r="JNW67"/>
      <c r="JNX67"/>
      <c r="JNY67"/>
      <c r="JNZ67"/>
      <c r="JOA67"/>
      <c r="JOB67"/>
      <c r="JOC67"/>
      <c r="JOD67"/>
      <c r="JOE67"/>
      <c r="JOF67"/>
      <c r="JOG67"/>
      <c r="JOH67"/>
      <c r="JOI67"/>
      <c r="JOJ67"/>
      <c r="JOK67"/>
      <c r="JOL67"/>
      <c r="JOM67"/>
      <c r="JON67"/>
      <c r="JOO67"/>
      <c r="JOP67"/>
      <c r="JOQ67"/>
      <c r="JOR67"/>
      <c r="JOS67"/>
      <c r="JOT67"/>
      <c r="JOU67"/>
      <c r="JOV67"/>
      <c r="JOW67"/>
      <c r="JOX67"/>
      <c r="JOY67"/>
      <c r="JOZ67"/>
      <c r="JPA67"/>
      <c r="JPB67"/>
      <c r="JPC67"/>
      <c r="JPD67"/>
      <c r="JPE67"/>
      <c r="JPF67"/>
      <c r="JPG67"/>
      <c r="JPH67"/>
      <c r="JPI67"/>
      <c r="JPJ67"/>
      <c r="JPK67"/>
      <c r="JPL67"/>
      <c r="JPM67"/>
      <c r="JPN67"/>
      <c r="JPO67"/>
      <c r="JPP67"/>
      <c r="JPQ67"/>
      <c r="JPR67"/>
      <c r="JPS67"/>
      <c r="JPT67"/>
      <c r="JPU67"/>
      <c r="JPV67"/>
      <c r="JPW67"/>
      <c r="JPX67"/>
      <c r="JPY67"/>
      <c r="JPZ67"/>
      <c r="JQA67"/>
      <c r="JQB67"/>
      <c r="JQC67"/>
      <c r="JQD67"/>
      <c r="JQE67"/>
      <c r="JQF67"/>
      <c r="JQG67"/>
      <c r="JQH67"/>
      <c r="JQI67"/>
      <c r="JQJ67"/>
      <c r="JQK67"/>
      <c r="JQL67"/>
      <c r="JQM67"/>
      <c r="JQN67"/>
      <c r="JQO67"/>
      <c r="JQP67"/>
      <c r="JQQ67"/>
      <c r="JQR67"/>
      <c r="JQS67"/>
      <c r="JQT67"/>
      <c r="JQU67"/>
      <c r="JQV67"/>
      <c r="JQW67"/>
      <c r="JQX67"/>
      <c r="JQY67"/>
      <c r="JQZ67"/>
      <c r="JRA67"/>
      <c r="JRB67"/>
      <c r="JRC67"/>
      <c r="JRD67"/>
      <c r="JRE67"/>
      <c r="JRF67"/>
      <c r="JRG67"/>
      <c r="JRH67"/>
      <c r="JRI67"/>
      <c r="JRJ67"/>
      <c r="JRK67"/>
      <c r="JRL67"/>
      <c r="JRM67"/>
      <c r="JRN67"/>
      <c r="JRO67"/>
      <c r="JRP67"/>
      <c r="JRQ67"/>
      <c r="JRR67"/>
      <c r="JRS67"/>
      <c r="JRT67"/>
      <c r="JRU67"/>
      <c r="JRV67"/>
      <c r="JRW67"/>
      <c r="JRX67"/>
      <c r="JRY67"/>
      <c r="JRZ67"/>
      <c r="JSA67"/>
      <c r="JSB67"/>
      <c r="JSC67"/>
      <c r="JSD67"/>
      <c r="JSE67"/>
      <c r="JSF67"/>
      <c r="JSG67"/>
      <c r="JSH67"/>
      <c r="JSI67"/>
      <c r="JSJ67"/>
      <c r="JSK67"/>
      <c r="JSL67"/>
      <c r="JSM67"/>
      <c r="JSN67"/>
      <c r="JSO67"/>
      <c r="JSP67"/>
      <c r="JSQ67"/>
      <c r="JSR67"/>
      <c r="JSS67"/>
      <c r="JST67"/>
      <c r="JSU67"/>
      <c r="JSV67"/>
      <c r="JSW67"/>
      <c r="JSX67"/>
      <c r="JSY67"/>
      <c r="JSZ67"/>
      <c r="JTA67"/>
      <c r="JTB67"/>
      <c r="JTC67"/>
      <c r="JTD67"/>
      <c r="JTE67"/>
      <c r="JTF67"/>
      <c r="JTG67"/>
      <c r="JTH67"/>
      <c r="JTI67"/>
      <c r="JTJ67"/>
      <c r="JTK67"/>
      <c r="JTL67"/>
      <c r="JTM67"/>
      <c r="JTN67"/>
      <c r="JTO67"/>
      <c r="JTP67"/>
      <c r="JTQ67"/>
      <c r="JTR67"/>
      <c r="JTS67"/>
      <c r="JTT67"/>
      <c r="JTU67"/>
      <c r="JTV67"/>
      <c r="JTW67"/>
      <c r="JTX67"/>
      <c r="JTY67"/>
      <c r="JTZ67"/>
      <c r="JUA67"/>
      <c r="JUB67"/>
      <c r="JUC67"/>
      <c r="JUD67"/>
      <c r="JUE67"/>
      <c r="JUF67"/>
      <c r="JUG67"/>
      <c r="JUH67"/>
      <c r="JUI67"/>
      <c r="JUJ67"/>
      <c r="JUK67"/>
      <c r="JUL67"/>
      <c r="JUM67"/>
      <c r="JUN67"/>
      <c r="JUO67"/>
      <c r="JUP67"/>
      <c r="JUQ67"/>
      <c r="JUR67"/>
      <c r="JUS67"/>
      <c r="JUT67"/>
      <c r="JUU67"/>
      <c r="JUV67"/>
      <c r="JUW67"/>
      <c r="JUX67"/>
      <c r="JUY67"/>
      <c r="JUZ67"/>
      <c r="JVA67"/>
      <c r="JVB67"/>
      <c r="JVC67"/>
      <c r="JVD67"/>
      <c r="JVE67"/>
      <c r="JVF67"/>
      <c r="JVG67"/>
      <c r="JVH67"/>
      <c r="JVI67"/>
      <c r="JVJ67"/>
      <c r="JVK67"/>
      <c r="JVL67"/>
      <c r="JVM67"/>
      <c r="JVN67"/>
      <c r="JVO67"/>
      <c r="JVP67"/>
      <c r="JVQ67"/>
      <c r="JVR67"/>
      <c r="JVS67"/>
      <c r="JVT67"/>
      <c r="JVU67"/>
      <c r="JVV67"/>
      <c r="JVW67"/>
      <c r="JVX67"/>
      <c r="JVY67"/>
      <c r="JVZ67"/>
      <c r="JWA67"/>
      <c r="JWB67"/>
      <c r="JWC67"/>
      <c r="JWD67"/>
      <c r="JWE67"/>
      <c r="JWF67"/>
      <c r="JWG67"/>
      <c r="JWH67"/>
      <c r="JWI67"/>
      <c r="JWJ67"/>
      <c r="JWK67"/>
      <c r="JWL67"/>
      <c r="JWM67"/>
      <c r="JWN67"/>
      <c r="JWO67"/>
      <c r="JWP67"/>
      <c r="JWQ67"/>
      <c r="JWR67"/>
      <c r="JWS67"/>
      <c r="JWT67"/>
      <c r="JWU67"/>
      <c r="JWV67"/>
      <c r="JWW67"/>
      <c r="JWX67"/>
      <c r="JWY67"/>
      <c r="JWZ67"/>
      <c r="JXA67"/>
      <c r="JXB67"/>
      <c r="JXC67"/>
      <c r="JXD67"/>
      <c r="JXE67"/>
      <c r="JXF67"/>
      <c r="JXG67"/>
      <c r="JXH67"/>
      <c r="JXI67"/>
      <c r="JXJ67"/>
      <c r="JXK67"/>
      <c r="JXL67"/>
      <c r="JXM67"/>
      <c r="JXN67"/>
      <c r="JXO67"/>
      <c r="JXP67"/>
      <c r="JXQ67"/>
      <c r="JXR67"/>
      <c r="JXS67"/>
      <c r="JXT67"/>
      <c r="JXU67"/>
      <c r="JXV67"/>
      <c r="JXW67"/>
      <c r="JXX67"/>
      <c r="JXY67"/>
      <c r="JXZ67"/>
      <c r="JYA67"/>
      <c r="JYB67"/>
      <c r="JYC67"/>
      <c r="JYD67"/>
      <c r="JYE67"/>
      <c r="JYF67"/>
      <c r="JYG67"/>
      <c r="JYH67"/>
      <c r="JYI67"/>
      <c r="JYJ67"/>
      <c r="JYK67"/>
      <c r="JYL67"/>
      <c r="JYM67"/>
      <c r="JYN67"/>
      <c r="JYO67"/>
      <c r="JYP67"/>
      <c r="JYQ67"/>
      <c r="JYR67"/>
      <c r="JYS67"/>
      <c r="JYT67"/>
      <c r="JYU67"/>
      <c r="JYV67"/>
      <c r="JYW67"/>
      <c r="JYX67"/>
      <c r="JYY67"/>
      <c r="JYZ67"/>
      <c r="JZA67"/>
      <c r="JZB67"/>
      <c r="JZC67"/>
      <c r="JZD67"/>
      <c r="JZE67"/>
      <c r="JZF67"/>
      <c r="JZG67"/>
      <c r="JZH67"/>
      <c r="JZI67"/>
      <c r="JZJ67"/>
      <c r="JZK67"/>
      <c r="JZL67"/>
      <c r="JZM67"/>
      <c r="JZN67"/>
      <c r="JZO67"/>
      <c r="JZP67"/>
      <c r="JZQ67"/>
      <c r="JZR67"/>
      <c r="JZS67"/>
      <c r="JZT67"/>
      <c r="JZU67"/>
      <c r="JZV67"/>
      <c r="JZW67"/>
      <c r="JZX67"/>
      <c r="JZY67"/>
      <c r="JZZ67"/>
      <c r="KAA67"/>
      <c r="KAB67"/>
      <c r="KAC67"/>
      <c r="KAD67"/>
      <c r="KAE67"/>
      <c r="KAF67"/>
      <c r="KAG67"/>
      <c r="KAH67"/>
      <c r="KAI67"/>
      <c r="KAJ67"/>
      <c r="KAK67"/>
      <c r="KAL67"/>
      <c r="KAM67"/>
      <c r="KAN67"/>
      <c r="KAO67"/>
      <c r="KAP67"/>
      <c r="KAQ67"/>
      <c r="KAR67"/>
      <c r="KAS67"/>
      <c r="KAT67"/>
      <c r="KAU67"/>
      <c r="KAV67"/>
      <c r="KAW67"/>
      <c r="KAX67"/>
      <c r="KAY67"/>
      <c r="KAZ67"/>
      <c r="KBA67"/>
      <c r="KBB67"/>
      <c r="KBC67"/>
      <c r="KBD67"/>
      <c r="KBE67"/>
      <c r="KBF67"/>
      <c r="KBG67"/>
      <c r="KBH67"/>
      <c r="KBI67"/>
      <c r="KBJ67"/>
      <c r="KBK67"/>
      <c r="KBL67"/>
      <c r="KBM67"/>
      <c r="KBN67"/>
      <c r="KBO67"/>
      <c r="KBP67"/>
      <c r="KBQ67"/>
      <c r="KBR67"/>
      <c r="KBS67"/>
      <c r="KBT67"/>
      <c r="KBU67"/>
      <c r="KBV67"/>
      <c r="KBW67"/>
      <c r="KBX67"/>
      <c r="KBY67"/>
      <c r="KBZ67"/>
      <c r="KCA67"/>
      <c r="KCB67"/>
      <c r="KCC67"/>
      <c r="KCD67"/>
      <c r="KCE67"/>
      <c r="KCF67"/>
      <c r="KCG67"/>
      <c r="KCH67"/>
      <c r="KCI67"/>
      <c r="KCJ67"/>
      <c r="KCK67"/>
      <c r="KCL67"/>
      <c r="KCM67"/>
      <c r="KCN67"/>
      <c r="KCO67"/>
      <c r="KCP67"/>
      <c r="KCQ67"/>
      <c r="KCR67"/>
      <c r="KCS67"/>
      <c r="KCT67"/>
      <c r="KCU67"/>
      <c r="KCV67"/>
      <c r="KCW67"/>
      <c r="KCX67"/>
      <c r="KCY67"/>
      <c r="KCZ67"/>
      <c r="KDA67"/>
      <c r="KDB67"/>
      <c r="KDC67"/>
      <c r="KDD67"/>
      <c r="KDE67"/>
      <c r="KDF67"/>
      <c r="KDG67"/>
      <c r="KDH67"/>
      <c r="KDI67"/>
      <c r="KDJ67"/>
      <c r="KDK67"/>
      <c r="KDL67"/>
      <c r="KDM67"/>
      <c r="KDN67"/>
      <c r="KDO67"/>
      <c r="KDP67"/>
      <c r="KDQ67"/>
      <c r="KDR67"/>
      <c r="KDS67"/>
      <c r="KDT67"/>
      <c r="KDU67"/>
      <c r="KDV67"/>
      <c r="KDW67"/>
      <c r="KDX67"/>
      <c r="KDY67"/>
      <c r="KDZ67"/>
      <c r="KEA67"/>
      <c r="KEB67"/>
      <c r="KEC67"/>
      <c r="KED67"/>
      <c r="KEE67"/>
      <c r="KEF67"/>
      <c r="KEG67"/>
      <c r="KEH67"/>
      <c r="KEI67"/>
      <c r="KEJ67"/>
      <c r="KEK67"/>
      <c r="KEL67"/>
      <c r="KEM67"/>
      <c r="KEN67"/>
      <c r="KEO67"/>
      <c r="KEP67"/>
      <c r="KEQ67"/>
      <c r="KER67"/>
      <c r="KES67"/>
      <c r="KET67"/>
      <c r="KEU67"/>
      <c r="KEV67"/>
      <c r="KEW67"/>
      <c r="KEX67"/>
      <c r="KEY67"/>
      <c r="KEZ67"/>
      <c r="KFA67"/>
      <c r="KFB67"/>
      <c r="KFC67"/>
      <c r="KFD67"/>
      <c r="KFE67"/>
      <c r="KFF67"/>
      <c r="KFG67"/>
      <c r="KFH67"/>
      <c r="KFI67"/>
      <c r="KFJ67"/>
      <c r="KFK67"/>
      <c r="KFL67"/>
      <c r="KFM67"/>
      <c r="KFN67"/>
      <c r="KFO67"/>
      <c r="KFP67"/>
      <c r="KFQ67"/>
      <c r="KFR67"/>
      <c r="KFS67"/>
      <c r="KFT67"/>
      <c r="KFU67"/>
      <c r="KFV67"/>
      <c r="KFW67"/>
      <c r="KFX67"/>
      <c r="KFY67"/>
      <c r="KFZ67"/>
      <c r="KGA67"/>
      <c r="KGB67"/>
      <c r="KGC67"/>
      <c r="KGD67"/>
      <c r="KGE67"/>
      <c r="KGF67"/>
      <c r="KGG67"/>
      <c r="KGH67"/>
      <c r="KGI67"/>
      <c r="KGJ67"/>
      <c r="KGK67"/>
      <c r="KGL67"/>
      <c r="KGM67"/>
      <c r="KGN67"/>
      <c r="KGO67"/>
      <c r="KGP67"/>
      <c r="KGQ67"/>
      <c r="KGR67"/>
      <c r="KGS67"/>
      <c r="KGT67"/>
      <c r="KGU67"/>
      <c r="KGV67"/>
      <c r="KGW67"/>
      <c r="KGX67"/>
      <c r="KGY67"/>
      <c r="KGZ67"/>
      <c r="KHA67"/>
      <c r="KHB67"/>
      <c r="KHC67"/>
      <c r="KHD67"/>
      <c r="KHE67"/>
      <c r="KHF67"/>
      <c r="KHG67"/>
      <c r="KHH67"/>
      <c r="KHI67"/>
      <c r="KHJ67"/>
      <c r="KHK67"/>
      <c r="KHL67"/>
      <c r="KHM67"/>
      <c r="KHN67"/>
      <c r="KHO67"/>
      <c r="KHP67"/>
      <c r="KHQ67"/>
      <c r="KHR67"/>
      <c r="KHS67"/>
      <c r="KHT67"/>
      <c r="KHU67"/>
      <c r="KHV67"/>
      <c r="KHW67"/>
      <c r="KHX67"/>
      <c r="KHY67"/>
      <c r="KHZ67"/>
      <c r="KIA67"/>
      <c r="KIB67"/>
      <c r="KIC67"/>
      <c r="KID67"/>
      <c r="KIE67"/>
      <c r="KIF67"/>
      <c r="KIG67"/>
      <c r="KIH67"/>
      <c r="KII67"/>
      <c r="KIJ67"/>
      <c r="KIK67"/>
      <c r="KIL67"/>
      <c r="KIM67"/>
      <c r="KIN67"/>
      <c r="KIO67"/>
      <c r="KIP67"/>
      <c r="KIQ67"/>
      <c r="KIR67"/>
      <c r="KIS67"/>
      <c r="KIT67"/>
      <c r="KIU67"/>
      <c r="KIV67"/>
      <c r="KIW67"/>
      <c r="KIX67"/>
      <c r="KIY67"/>
      <c r="KIZ67"/>
      <c r="KJA67"/>
      <c r="KJB67"/>
      <c r="KJC67"/>
      <c r="KJD67"/>
      <c r="KJE67"/>
      <c r="KJF67"/>
      <c r="KJG67"/>
      <c r="KJH67"/>
      <c r="KJI67"/>
      <c r="KJJ67"/>
      <c r="KJK67"/>
      <c r="KJL67"/>
      <c r="KJM67"/>
      <c r="KJN67"/>
      <c r="KJO67"/>
      <c r="KJP67"/>
      <c r="KJQ67"/>
      <c r="KJR67"/>
      <c r="KJS67"/>
      <c r="KJT67"/>
      <c r="KJU67"/>
      <c r="KJV67"/>
      <c r="KJW67"/>
      <c r="KJX67"/>
      <c r="KJY67"/>
      <c r="KJZ67"/>
      <c r="KKA67"/>
      <c r="KKB67"/>
      <c r="KKC67"/>
      <c r="KKD67"/>
      <c r="KKE67"/>
      <c r="KKF67"/>
      <c r="KKG67"/>
      <c r="KKH67"/>
      <c r="KKI67"/>
      <c r="KKJ67"/>
      <c r="KKK67"/>
      <c r="KKL67"/>
      <c r="KKM67"/>
      <c r="KKN67"/>
      <c r="KKO67"/>
      <c r="KKP67"/>
      <c r="KKQ67"/>
      <c r="KKR67"/>
      <c r="KKS67"/>
      <c r="KKT67"/>
      <c r="KKU67"/>
      <c r="KKV67"/>
      <c r="KKW67"/>
      <c r="KKX67"/>
      <c r="KKY67"/>
      <c r="KKZ67"/>
      <c r="KLA67"/>
      <c r="KLB67"/>
      <c r="KLC67"/>
      <c r="KLD67"/>
      <c r="KLE67"/>
      <c r="KLF67"/>
      <c r="KLG67"/>
      <c r="KLH67"/>
      <c r="KLI67"/>
      <c r="KLJ67"/>
      <c r="KLK67"/>
      <c r="KLL67"/>
      <c r="KLM67"/>
      <c r="KLN67"/>
      <c r="KLO67"/>
      <c r="KLP67"/>
      <c r="KLQ67"/>
      <c r="KLR67"/>
      <c r="KLS67"/>
      <c r="KLT67"/>
      <c r="KLU67"/>
      <c r="KLV67"/>
      <c r="KLW67"/>
      <c r="KLX67"/>
      <c r="KLY67"/>
      <c r="KLZ67"/>
      <c r="KMA67"/>
      <c r="KMB67"/>
      <c r="KMC67"/>
      <c r="KMD67"/>
      <c r="KME67"/>
      <c r="KMF67"/>
      <c r="KMG67"/>
      <c r="KMH67"/>
      <c r="KMI67"/>
      <c r="KMJ67"/>
      <c r="KMK67"/>
      <c r="KML67"/>
      <c r="KMM67"/>
      <c r="KMN67"/>
      <c r="KMO67"/>
      <c r="KMP67"/>
      <c r="KMQ67"/>
      <c r="KMR67"/>
      <c r="KMS67"/>
      <c r="KMT67"/>
      <c r="KMU67"/>
      <c r="KMV67"/>
      <c r="KMW67"/>
      <c r="KMX67"/>
      <c r="KMY67"/>
      <c r="KMZ67"/>
      <c r="KNA67"/>
      <c r="KNB67"/>
      <c r="KNC67"/>
      <c r="KND67"/>
      <c r="KNE67"/>
      <c r="KNF67"/>
      <c r="KNG67"/>
      <c r="KNH67"/>
      <c r="KNI67"/>
      <c r="KNJ67"/>
      <c r="KNK67"/>
      <c r="KNL67"/>
      <c r="KNM67"/>
      <c r="KNN67"/>
      <c r="KNO67"/>
      <c r="KNP67"/>
      <c r="KNQ67"/>
      <c r="KNR67"/>
      <c r="KNS67"/>
      <c r="KNT67"/>
      <c r="KNU67"/>
      <c r="KNV67"/>
      <c r="KNW67"/>
      <c r="KNX67"/>
      <c r="KNY67"/>
      <c r="KNZ67"/>
      <c r="KOA67"/>
      <c r="KOB67"/>
      <c r="KOC67"/>
      <c r="KOD67"/>
      <c r="KOE67"/>
      <c r="KOF67"/>
      <c r="KOG67"/>
      <c r="KOH67"/>
      <c r="KOI67"/>
      <c r="KOJ67"/>
      <c r="KOK67"/>
      <c r="KOL67"/>
      <c r="KOM67"/>
      <c r="KON67"/>
      <c r="KOO67"/>
      <c r="KOP67"/>
      <c r="KOQ67"/>
      <c r="KOR67"/>
      <c r="KOS67"/>
      <c r="KOT67"/>
      <c r="KOU67"/>
      <c r="KOV67"/>
      <c r="KOW67"/>
      <c r="KOX67"/>
      <c r="KOY67"/>
      <c r="KOZ67"/>
      <c r="KPA67"/>
      <c r="KPB67"/>
      <c r="KPC67"/>
      <c r="KPD67"/>
      <c r="KPE67"/>
      <c r="KPF67"/>
      <c r="KPG67"/>
      <c r="KPH67"/>
      <c r="KPI67"/>
      <c r="KPJ67"/>
      <c r="KPK67"/>
      <c r="KPL67"/>
      <c r="KPM67"/>
      <c r="KPN67"/>
      <c r="KPO67"/>
      <c r="KPP67"/>
      <c r="KPQ67"/>
      <c r="KPR67"/>
      <c r="KPS67"/>
      <c r="KPT67"/>
      <c r="KPU67"/>
      <c r="KPV67"/>
      <c r="KPW67"/>
      <c r="KPX67"/>
      <c r="KPY67"/>
      <c r="KPZ67"/>
      <c r="KQA67"/>
      <c r="KQB67"/>
      <c r="KQC67"/>
      <c r="KQD67"/>
      <c r="KQE67"/>
      <c r="KQF67"/>
      <c r="KQG67"/>
      <c r="KQH67"/>
      <c r="KQI67"/>
      <c r="KQJ67"/>
      <c r="KQK67"/>
      <c r="KQL67"/>
      <c r="KQM67"/>
      <c r="KQN67"/>
      <c r="KQO67"/>
      <c r="KQP67"/>
      <c r="KQQ67"/>
      <c r="KQR67"/>
      <c r="KQS67"/>
      <c r="KQT67"/>
      <c r="KQU67"/>
      <c r="KQV67"/>
      <c r="KQW67"/>
      <c r="KQX67"/>
      <c r="KQY67"/>
      <c r="KQZ67"/>
      <c r="KRA67"/>
      <c r="KRB67"/>
      <c r="KRC67"/>
      <c r="KRD67"/>
      <c r="KRE67"/>
      <c r="KRF67"/>
      <c r="KRG67"/>
      <c r="KRH67"/>
      <c r="KRI67"/>
      <c r="KRJ67"/>
      <c r="KRK67"/>
      <c r="KRL67"/>
      <c r="KRM67"/>
      <c r="KRN67"/>
      <c r="KRO67"/>
      <c r="KRP67"/>
      <c r="KRQ67"/>
      <c r="KRR67"/>
      <c r="KRS67"/>
      <c r="KRT67"/>
      <c r="KRU67"/>
      <c r="KRV67"/>
      <c r="KRW67"/>
      <c r="KRX67"/>
      <c r="KRY67"/>
      <c r="KRZ67"/>
      <c r="KSA67"/>
      <c r="KSB67"/>
      <c r="KSC67"/>
      <c r="KSD67"/>
      <c r="KSE67"/>
      <c r="KSF67"/>
      <c r="KSG67"/>
      <c r="KSH67"/>
      <c r="KSI67"/>
      <c r="KSJ67"/>
      <c r="KSK67"/>
      <c r="KSL67"/>
      <c r="KSM67"/>
      <c r="KSN67"/>
      <c r="KSO67"/>
      <c r="KSP67"/>
      <c r="KSQ67"/>
      <c r="KSR67"/>
      <c r="KSS67"/>
      <c r="KST67"/>
      <c r="KSU67"/>
      <c r="KSV67"/>
      <c r="KSW67"/>
      <c r="KSX67"/>
      <c r="KSY67"/>
      <c r="KSZ67"/>
      <c r="KTA67"/>
      <c r="KTB67"/>
      <c r="KTC67"/>
      <c r="KTD67"/>
      <c r="KTE67"/>
      <c r="KTF67"/>
      <c r="KTG67"/>
      <c r="KTH67"/>
      <c r="KTI67"/>
      <c r="KTJ67"/>
      <c r="KTK67"/>
      <c r="KTL67"/>
      <c r="KTM67"/>
      <c r="KTN67"/>
      <c r="KTO67"/>
      <c r="KTP67"/>
      <c r="KTQ67"/>
      <c r="KTR67"/>
      <c r="KTS67"/>
      <c r="KTT67"/>
      <c r="KTU67"/>
      <c r="KTV67"/>
      <c r="KTW67"/>
      <c r="KTX67"/>
      <c r="KTY67"/>
      <c r="KTZ67"/>
      <c r="KUA67"/>
      <c r="KUB67"/>
      <c r="KUC67"/>
      <c r="KUD67"/>
      <c r="KUE67"/>
      <c r="KUF67"/>
      <c r="KUG67"/>
      <c r="KUH67"/>
      <c r="KUI67"/>
      <c r="KUJ67"/>
      <c r="KUK67"/>
      <c r="KUL67"/>
      <c r="KUM67"/>
      <c r="KUN67"/>
      <c r="KUO67"/>
      <c r="KUP67"/>
      <c r="KUQ67"/>
      <c r="KUR67"/>
      <c r="KUS67"/>
      <c r="KUT67"/>
      <c r="KUU67"/>
      <c r="KUV67"/>
      <c r="KUW67"/>
      <c r="KUX67"/>
      <c r="KUY67"/>
      <c r="KUZ67"/>
      <c r="KVA67"/>
      <c r="KVB67"/>
      <c r="KVC67"/>
      <c r="KVD67"/>
      <c r="KVE67"/>
      <c r="KVF67"/>
      <c r="KVG67"/>
      <c r="KVH67"/>
      <c r="KVI67"/>
      <c r="KVJ67"/>
      <c r="KVK67"/>
      <c r="KVL67"/>
      <c r="KVM67"/>
      <c r="KVN67"/>
      <c r="KVO67"/>
      <c r="KVP67"/>
      <c r="KVQ67"/>
      <c r="KVR67"/>
      <c r="KVS67"/>
      <c r="KVT67"/>
      <c r="KVU67"/>
      <c r="KVV67"/>
      <c r="KVW67"/>
      <c r="KVX67"/>
      <c r="KVY67"/>
      <c r="KVZ67"/>
      <c r="KWA67"/>
      <c r="KWB67"/>
      <c r="KWC67"/>
      <c r="KWD67"/>
      <c r="KWE67"/>
      <c r="KWF67"/>
      <c r="KWG67"/>
      <c r="KWH67"/>
      <c r="KWI67"/>
      <c r="KWJ67"/>
      <c r="KWK67"/>
      <c r="KWL67"/>
      <c r="KWM67"/>
      <c r="KWN67"/>
      <c r="KWO67"/>
      <c r="KWP67"/>
      <c r="KWQ67"/>
      <c r="KWR67"/>
      <c r="KWS67"/>
      <c r="KWT67"/>
      <c r="KWU67"/>
      <c r="KWV67"/>
      <c r="KWW67"/>
      <c r="KWX67"/>
      <c r="KWY67"/>
      <c r="KWZ67"/>
      <c r="KXA67"/>
      <c r="KXB67"/>
      <c r="KXC67"/>
      <c r="KXD67"/>
      <c r="KXE67"/>
      <c r="KXF67"/>
      <c r="KXG67"/>
      <c r="KXH67"/>
      <c r="KXI67"/>
      <c r="KXJ67"/>
      <c r="KXK67"/>
      <c r="KXL67"/>
      <c r="KXM67"/>
      <c r="KXN67"/>
      <c r="KXO67"/>
      <c r="KXP67"/>
      <c r="KXQ67"/>
      <c r="KXR67"/>
      <c r="KXS67"/>
      <c r="KXT67"/>
      <c r="KXU67"/>
      <c r="KXV67"/>
      <c r="KXW67"/>
      <c r="KXX67"/>
      <c r="KXY67"/>
      <c r="KXZ67"/>
      <c r="KYA67"/>
      <c r="KYB67"/>
      <c r="KYC67"/>
      <c r="KYD67"/>
      <c r="KYE67"/>
      <c r="KYF67"/>
      <c r="KYG67"/>
      <c r="KYH67"/>
      <c r="KYI67"/>
      <c r="KYJ67"/>
      <c r="KYK67"/>
      <c r="KYL67"/>
      <c r="KYM67"/>
      <c r="KYN67"/>
      <c r="KYO67"/>
      <c r="KYP67"/>
      <c r="KYQ67"/>
      <c r="KYR67"/>
      <c r="KYS67"/>
      <c r="KYT67"/>
      <c r="KYU67"/>
      <c r="KYV67"/>
      <c r="KYW67"/>
      <c r="KYX67"/>
      <c r="KYY67"/>
      <c r="KYZ67"/>
      <c r="KZA67"/>
      <c r="KZB67"/>
      <c r="KZC67"/>
      <c r="KZD67"/>
      <c r="KZE67"/>
      <c r="KZF67"/>
      <c r="KZG67"/>
      <c r="KZH67"/>
      <c r="KZI67"/>
      <c r="KZJ67"/>
      <c r="KZK67"/>
      <c r="KZL67"/>
      <c r="KZM67"/>
      <c r="KZN67"/>
      <c r="KZO67"/>
      <c r="KZP67"/>
      <c r="KZQ67"/>
      <c r="KZR67"/>
      <c r="KZS67"/>
      <c r="KZT67"/>
      <c r="KZU67"/>
      <c r="KZV67"/>
      <c r="KZW67"/>
      <c r="KZX67"/>
      <c r="KZY67"/>
      <c r="KZZ67"/>
      <c r="LAA67"/>
      <c r="LAB67"/>
      <c r="LAC67"/>
      <c r="LAD67"/>
      <c r="LAE67"/>
      <c r="LAF67"/>
      <c r="LAG67"/>
      <c r="LAH67"/>
      <c r="LAI67"/>
      <c r="LAJ67"/>
      <c r="LAK67"/>
      <c r="LAL67"/>
      <c r="LAM67"/>
      <c r="LAN67"/>
      <c r="LAO67"/>
      <c r="LAP67"/>
      <c r="LAQ67"/>
      <c r="LAR67"/>
      <c r="LAS67"/>
      <c r="LAT67"/>
      <c r="LAU67"/>
      <c r="LAV67"/>
      <c r="LAW67"/>
      <c r="LAX67"/>
      <c r="LAY67"/>
      <c r="LAZ67"/>
      <c r="LBA67"/>
      <c r="LBB67"/>
      <c r="LBC67"/>
      <c r="LBD67"/>
      <c r="LBE67"/>
      <c r="LBF67"/>
      <c r="LBG67"/>
      <c r="LBH67"/>
      <c r="LBI67"/>
      <c r="LBJ67"/>
      <c r="LBK67"/>
      <c r="LBL67"/>
      <c r="LBM67"/>
      <c r="LBN67"/>
      <c r="LBO67"/>
      <c r="LBP67"/>
      <c r="LBQ67"/>
      <c r="LBR67"/>
      <c r="LBS67"/>
      <c r="LBT67"/>
      <c r="LBU67"/>
      <c r="LBV67"/>
      <c r="LBW67"/>
      <c r="LBX67"/>
      <c r="LBY67"/>
      <c r="LBZ67"/>
      <c r="LCA67"/>
      <c r="LCB67"/>
      <c r="LCC67"/>
      <c r="LCD67"/>
      <c r="LCE67"/>
      <c r="LCF67"/>
      <c r="LCG67"/>
      <c r="LCH67"/>
      <c r="LCI67"/>
      <c r="LCJ67"/>
      <c r="LCK67"/>
      <c r="LCL67"/>
      <c r="LCM67"/>
      <c r="LCN67"/>
      <c r="LCO67"/>
      <c r="LCP67"/>
      <c r="LCQ67"/>
      <c r="LCR67"/>
      <c r="LCS67"/>
      <c r="LCT67"/>
      <c r="LCU67"/>
      <c r="LCV67"/>
      <c r="LCW67"/>
      <c r="LCX67"/>
      <c r="LCY67"/>
      <c r="LCZ67"/>
      <c r="LDA67"/>
      <c r="LDB67"/>
      <c r="LDC67"/>
      <c r="LDD67"/>
      <c r="LDE67"/>
      <c r="LDF67"/>
      <c r="LDG67"/>
      <c r="LDH67"/>
      <c r="LDI67"/>
      <c r="LDJ67"/>
      <c r="LDK67"/>
      <c r="LDL67"/>
      <c r="LDM67"/>
      <c r="LDN67"/>
      <c r="LDO67"/>
      <c r="LDP67"/>
      <c r="LDQ67"/>
      <c r="LDR67"/>
      <c r="LDS67"/>
      <c r="LDT67"/>
      <c r="LDU67"/>
      <c r="LDV67"/>
      <c r="LDW67"/>
      <c r="LDX67"/>
      <c r="LDY67"/>
      <c r="LDZ67"/>
      <c r="LEA67"/>
      <c r="LEB67"/>
      <c r="LEC67"/>
      <c r="LED67"/>
      <c r="LEE67"/>
      <c r="LEF67"/>
      <c r="LEG67"/>
      <c r="LEH67"/>
      <c r="LEI67"/>
      <c r="LEJ67"/>
      <c r="LEK67"/>
      <c r="LEL67"/>
      <c r="LEM67"/>
      <c r="LEN67"/>
      <c r="LEO67"/>
      <c r="LEP67"/>
      <c r="LEQ67"/>
      <c r="LER67"/>
      <c r="LES67"/>
      <c r="LET67"/>
      <c r="LEU67"/>
      <c r="LEV67"/>
      <c r="LEW67"/>
      <c r="LEX67"/>
      <c r="LEY67"/>
      <c r="LEZ67"/>
      <c r="LFA67"/>
      <c r="LFB67"/>
      <c r="LFC67"/>
      <c r="LFD67"/>
      <c r="LFE67"/>
      <c r="LFF67"/>
      <c r="LFG67"/>
      <c r="LFH67"/>
      <c r="LFI67"/>
      <c r="LFJ67"/>
      <c r="LFK67"/>
      <c r="LFL67"/>
      <c r="LFM67"/>
      <c r="LFN67"/>
      <c r="LFO67"/>
      <c r="LFP67"/>
      <c r="LFQ67"/>
      <c r="LFR67"/>
      <c r="LFS67"/>
      <c r="LFT67"/>
      <c r="LFU67"/>
      <c r="LFV67"/>
      <c r="LFW67"/>
      <c r="LFX67"/>
      <c r="LFY67"/>
      <c r="LFZ67"/>
      <c r="LGA67"/>
      <c r="LGB67"/>
      <c r="LGC67"/>
      <c r="LGD67"/>
      <c r="LGE67"/>
      <c r="LGF67"/>
      <c r="LGG67"/>
      <c r="LGH67"/>
      <c r="LGI67"/>
      <c r="LGJ67"/>
      <c r="LGK67"/>
      <c r="LGL67"/>
      <c r="LGM67"/>
      <c r="LGN67"/>
      <c r="LGO67"/>
      <c r="LGP67"/>
      <c r="LGQ67"/>
      <c r="LGR67"/>
      <c r="LGS67"/>
      <c r="LGT67"/>
      <c r="LGU67"/>
      <c r="LGV67"/>
      <c r="LGW67"/>
      <c r="LGX67"/>
      <c r="LGY67"/>
      <c r="LGZ67"/>
      <c r="LHA67"/>
      <c r="LHB67"/>
      <c r="LHC67"/>
      <c r="LHD67"/>
      <c r="LHE67"/>
      <c r="LHF67"/>
      <c r="LHG67"/>
      <c r="LHH67"/>
      <c r="LHI67"/>
      <c r="LHJ67"/>
      <c r="LHK67"/>
      <c r="LHL67"/>
      <c r="LHM67"/>
      <c r="LHN67"/>
      <c r="LHO67"/>
      <c r="LHP67"/>
      <c r="LHQ67"/>
      <c r="LHR67"/>
      <c r="LHS67"/>
      <c r="LHT67"/>
      <c r="LHU67"/>
      <c r="LHV67"/>
      <c r="LHW67"/>
      <c r="LHX67"/>
      <c r="LHY67"/>
      <c r="LHZ67"/>
      <c r="LIA67"/>
      <c r="LIB67"/>
      <c r="LIC67"/>
      <c r="LID67"/>
      <c r="LIE67"/>
      <c r="LIF67"/>
      <c r="LIG67"/>
      <c r="LIH67"/>
      <c r="LII67"/>
      <c r="LIJ67"/>
      <c r="LIK67"/>
      <c r="LIL67"/>
      <c r="LIM67"/>
      <c r="LIN67"/>
      <c r="LIO67"/>
      <c r="LIP67"/>
      <c r="LIQ67"/>
      <c r="LIR67"/>
      <c r="LIS67"/>
      <c r="LIT67"/>
      <c r="LIU67"/>
      <c r="LIV67"/>
      <c r="LIW67"/>
      <c r="LIX67"/>
      <c r="LIY67"/>
      <c r="LIZ67"/>
      <c r="LJA67"/>
      <c r="LJB67"/>
      <c r="LJC67"/>
      <c r="LJD67"/>
      <c r="LJE67"/>
      <c r="LJF67"/>
      <c r="LJG67"/>
      <c r="LJH67"/>
      <c r="LJI67"/>
      <c r="LJJ67"/>
      <c r="LJK67"/>
      <c r="LJL67"/>
      <c r="LJM67"/>
      <c r="LJN67"/>
      <c r="LJO67"/>
      <c r="LJP67"/>
      <c r="LJQ67"/>
      <c r="LJR67"/>
      <c r="LJS67"/>
      <c r="LJT67"/>
      <c r="LJU67"/>
      <c r="LJV67"/>
      <c r="LJW67"/>
      <c r="LJX67"/>
      <c r="LJY67"/>
      <c r="LJZ67"/>
      <c r="LKA67"/>
      <c r="LKB67"/>
      <c r="LKC67"/>
      <c r="LKD67"/>
      <c r="LKE67"/>
      <c r="LKF67"/>
      <c r="LKG67"/>
      <c r="LKH67"/>
      <c r="LKI67"/>
      <c r="LKJ67"/>
      <c r="LKK67"/>
      <c r="LKL67"/>
      <c r="LKM67"/>
      <c r="LKN67"/>
      <c r="LKO67"/>
      <c r="LKP67"/>
      <c r="LKQ67"/>
      <c r="LKR67"/>
      <c r="LKS67"/>
      <c r="LKT67"/>
      <c r="LKU67"/>
      <c r="LKV67"/>
      <c r="LKW67"/>
      <c r="LKX67"/>
      <c r="LKY67"/>
      <c r="LKZ67"/>
      <c r="LLA67"/>
      <c r="LLB67"/>
      <c r="LLC67"/>
      <c r="LLD67"/>
      <c r="LLE67"/>
      <c r="LLF67"/>
      <c r="LLG67"/>
      <c r="LLH67"/>
      <c r="LLI67"/>
      <c r="LLJ67"/>
      <c r="LLK67"/>
      <c r="LLL67"/>
      <c r="LLM67"/>
      <c r="LLN67"/>
      <c r="LLO67"/>
      <c r="LLP67"/>
      <c r="LLQ67"/>
      <c r="LLR67"/>
      <c r="LLS67"/>
      <c r="LLT67"/>
      <c r="LLU67"/>
      <c r="LLV67"/>
      <c r="LLW67"/>
      <c r="LLX67"/>
      <c r="LLY67"/>
      <c r="LLZ67"/>
      <c r="LMA67"/>
      <c r="LMB67"/>
      <c r="LMC67"/>
      <c r="LMD67"/>
      <c r="LME67"/>
      <c r="LMF67"/>
      <c r="LMG67"/>
      <c r="LMH67"/>
      <c r="LMI67"/>
      <c r="LMJ67"/>
      <c r="LMK67"/>
      <c r="LML67"/>
      <c r="LMM67"/>
      <c r="LMN67"/>
      <c r="LMO67"/>
      <c r="LMP67"/>
      <c r="LMQ67"/>
      <c r="LMR67"/>
      <c r="LMS67"/>
      <c r="LMT67"/>
      <c r="LMU67"/>
      <c r="LMV67"/>
      <c r="LMW67"/>
      <c r="LMX67"/>
      <c r="LMY67"/>
      <c r="LMZ67"/>
      <c r="LNA67"/>
      <c r="LNB67"/>
      <c r="LNC67"/>
      <c r="LND67"/>
      <c r="LNE67"/>
      <c r="LNF67"/>
      <c r="LNG67"/>
      <c r="LNH67"/>
      <c r="LNI67"/>
      <c r="LNJ67"/>
      <c r="LNK67"/>
      <c r="LNL67"/>
      <c r="LNM67"/>
      <c r="LNN67"/>
      <c r="LNO67"/>
      <c r="LNP67"/>
      <c r="LNQ67"/>
      <c r="LNR67"/>
      <c r="LNS67"/>
      <c r="LNT67"/>
      <c r="LNU67"/>
      <c r="LNV67"/>
      <c r="LNW67"/>
      <c r="LNX67"/>
      <c r="LNY67"/>
      <c r="LNZ67"/>
      <c r="LOA67"/>
      <c r="LOB67"/>
      <c r="LOC67"/>
      <c r="LOD67"/>
      <c r="LOE67"/>
      <c r="LOF67"/>
      <c r="LOG67"/>
      <c r="LOH67"/>
      <c r="LOI67"/>
      <c r="LOJ67"/>
      <c r="LOK67"/>
      <c r="LOL67"/>
      <c r="LOM67"/>
      <c r="LON67"/>
      <c r="LOO67"/>
      <c r="LOP67"/>
      <c r="LOQ67"/>
      <c r="LOR67"/>
      <c r="LOS67"/>
      <c r="LOT67"/>
      <c r="LOU67"/>
      <c r="LOV67"/>
      <c r="LOW67"/>
      <c r="LOX67"/>
      <c r="LOY67"/>
      <c r="LOZ67"/>
      <c r="LPA67"/>
      <c r="LPB67"/>
      <c r="LPC67"/>
      <c r="LPD67"/>
      <c r="LPE67"/>
      <c r="LPF67"/>
      <c r="LPG67"/>
      <c r="LPH67"/>
      <c r="LPI67"/>
      <c r="LPJ67"/>
      <c r="LPK67"/>
      <c r="LPL67"/>
      <c r="LPM67"/>
      <c r="LPN67"/>
      <c r="LPO67"/>
      <c r="LPP67"/>
      <c r="LPQ67"/>
      <c r="LPR67"/>
      <c r="LPS67"/>
      <c r="LPT67"/>
      <c r="LPU67"/>
      <c r="LPV67"/>
      <c r="LPW67"/>
      <c r="LPX67"/>
      <c r="LPY67"/>
      <c r="LPZ67"/>
      <c r="LQA67"/>
      <c r="LQB67"/>
      <c r="LQC67"/>
      <c r="LQD67"/>
      <c r="LQE67"/>
      <c r="LQF67"/>
      <c r="LQG67"/>
      <c r="LQH67"/>
      <c r="LQI67"/>
      <c r="LQJ67"/>
      <c r="LQK67"/>
      <c r="LQL67"/>
      <c r="LQM67"/>
      <c r="LQN67"/>
      <c r="LQO67"/>
      <c r="LQP67"/>
      <c r="LQQ67"/>
      <c r="LQR67"/>
      <c r="LQS67"/>
      <c r="LQT67"/>
      <c r="LQU67"/>
      <c r="LQV67"/>
      <c r="LQW67"/>
      <c r="LQX67"/>
      <c r="LQY67"/>
      <c r="LQZ67"/>
      <c r="LRA67"/>
      <c r="LRB67"/>
      <c r="LRC67"/>
      <c r="LRD67"/>
      <c r="LRE67"/>
      <c r="LRF67"/>
      <c r="LRG67"/>
      <c r="LRH67"/>
      <c r="LRI67"/>
      <c r="LRJ67"/>
      <c r="LRK67"/>
      <c r="LRL67"/>
      <c r="LRM67"/>
      <c r="LRN67"/>
      <c r="LRO67"/>
      <c r="LRP67"/>
      <c r="LRQ67"/>
      <c r="LRR67"/>
      <c r="LRS67"/>
      <c r="LRT67"/>
      <c r="LRU67"/>
      <c r="LRV67"/>
      <c r="LRW67"/>
      <c r="LRX67"/>
      <c r="LRY67"/>
      <c r="LRZ67"/>
      <c r="LSA67"/>
      <c r="LSB67"/>
      <c r="LSC67"/>
      <c r="LSD67"/>
      <c r="LSE67"/>
      <c r="LSF67"/>
      <c r="LSG67"/>
      <c r="LSH67"/>
      <c r="LSI67"/>
      <c r="LSJ67"/>
      <c r="LSK67"/>
      <c r="LSL67"/>
      <c r="LSM67"/>
      <c r="LSN67"/>
      <c r="LSO67"/>
      <c r="LSP67"/>
      <c r="LSQ67"/>
      <c r="LSR67"/>
      <c r="LSS67"/>
      <c r="LST67"/>
      <c r="LSU67"/>
      <c r="LSV67"/>
      <c r="LSW67"/>
      <c r="LSX67"/>
      <c r="LSY67"/>
      <c r="LSZ67"/>
      <c r="LTA67"/>
      <c r="LTB67"/>
      <c r="LTC67"/>
      <c r="LTD67"/>
      <c r="LTE67"/>
      <c r="LTF67"/>
      <c r="LTG67"/>
      <c r="LTH67"/>
      <c r="LTI67"/>
      <c r="LTJ67"/>
      <c r="LTK67"/>
      <c r="LTL67"/>
      <c r="LTM67"/>
      <c r="LTN67"/>
      <c r="LTO67"/>
      <c r="LTP67"/>
      <c r="LTQ67"/>
      <c r="LTR67"/>
      <c r="LTS67"/>
      <c r="LTT67"/>
      <c r="LTU67"/>
      <c r="LTV67"/>
      <c r="LTW67"/>
      <c r="LTX67"/>
      <c r="LTY67"/>
      <c r="LTZ67"/>
      <c r="LUA67"/>
      <c r="LUB67"/>
      <c r="LUC67"/>
      <c r="LUD67"/>
      <c r="LUE67"/>
      <c r="LUF67"/>
      <c r="LUG67"/>
      <c r="LUH67"/>
      <c r="LUI67"/>
      <c r="LUJ67"/>
      <c r="LUK67"/>
      <c r="LUL67"/>
      <c r="LUM67"/>
      <c r="LUN67"/>
      <c r="LUO67"/>
      <c r="LUP67"/>
      <c r="LUQ67"/>
      <c r="LUR67"/>
      <c r="LUS67"/>
      <c r="LUT67"/>
      <c r="LUU67"/>
      <c r="LUV67"/>
      <c r="LUW67"/>
      <c r="LUX67"/>
      <c r="LUY67"/>
      <c r="LUZ67"/>
      <c r="LVA67"/>
      <c r="LVB67"/>
      <c r="LVC67"/>
      <c r="LVD67"/>
      <c r="LVE67"/>
      <c r="LVF67"/>
      <c r="LVG67"/>
      <c r="LVH67"/>
      <c r="LVI67"/>
      <c r="LVJ67"/>
      <c r="LVK67"/>
      <c r="LVL67"/>
      <c r="LVM67"/>
      <c r="LVN67"/>
      <c r="LVO67"/>
      <c r="LVP67"/>
      <c r="LVQ67"/>
      <c r="LVR67"/>
      <c r="LVS67"/>
      <c r="LVT67"/>
      <c r="LVU67"/>
      <c r="LVV67"/>
      <c r="LVW67"/>
      <c r="LVX67"/>
      <c r="LVY67"/>
      <c r="LVZ67"/>
      <c r="LWA67"/>
      <c r="LWB67"/>
      <c r="LWC67"/>
      <c r="LWD67"/>
      <c r="LWE67"/>
      <c r="LWF67"/>
      <c r="LWG67"/>
      <c r="LWH67"/>
      <c r="LWI67"/>
      <c r="LWJ67"/>
      <c r="LWK67"/>
      <c r="LWL67"/>
      <c r="LWM67"/>
      <c r="LWN67"/>
      <c r="LWO67"/>
      <c r="LWP67"/>
      <c r="LWQ67"/>
      <c r="LWR67"/>
      <c r="LWS67"/>
      <c r="LWT67"/>
      <c r="LWU67"/>
      <c r="LWV67"/>
      <c r="LWW67"/>
      <c r="LWX67"/>
      <c r="LWY67"/>
      <c r="LWZ67"/>
      <c r="LXA67"/>
      <c r="LXB67"/>
      <c r="LXC67"/>
      <c r="LXD67"/>
      <c r="LXE67"/>
      <c r="LXF67"/>
      <c r="LXG67"/>
      <c r="LXH67"/>
      <c r="LXI67"/>
      <c r="LXJ67"/>
      <c r="LXK67"/>
      <c r="LXL67"/>
      <c r="LXM67"/>
      <c r="LXN67"/>
      <c r="LXO67"/>
      <c r="LXP67"/>
      <c r="LXQ67"/>
      <c r="LXR67"/>
      <c r="LXS67"/>
      <c r="LXT67"/>
      <c r="LXU67"/>
      <c r="LXV67"/>
      <c r="LXW67"/>
      <c r="LXX67"/>
      <c r="LXY67"/>
      <c r="LXZ67"/>
      <c r="LYA67"/>
      <c r="LYB67"/>
      <c r="LYC67"/>
      <c r="LYD67"/>
      <c r="LYE67"/>
      <c r="LYF67"/>
      <c r="LYG67"/>
      <c r="LYH67"/>
      <c r="LYI67"/>
      <c r="LYJ67"/>
      <c r="LYK67"/>
      <c r="LYL67"/>
      <c r="LYM67"/>
      <c r="LYN67"/>
      <c r="LYO67"/>
      <c r="LYP67"/>
      <c r="LYQ67"/>
      <c r="LYR67"/>
      <c r="LYS67"/>
      <c r="LYT67"/>
      <c r="LYU67"/>
      <c r="LYV67"/>
      <c r="LYW67"/>
      <c r="LYX67"/>
      <c r="LYY67"/>
      <c r="LYZ67"/>
      <c r="LZA67"/>
      <c r="LZB67"/>
      <c r="LZC67"/>
      <c r="LZD67"/>
      <c r="LZE67"/>
      <c r="LZF67"/>
      <c r="LZG67"/>
      <c r="LZH67"/>
      <c r="LZI67"/>
      <c r="LZJ67"/>
      <c r="LZK67"/>
      <c r="LZL67"/>
      <c r="LZM67"/>
      <c r="LZN67"/>
      <c r="LZO67"/>
      <c r="LZP67"/>
      <c r="LZQ67"/>
      <c r="LZR67"/>
      <c r="LZS67"/>
      <c r="LZT67"/>
      <c r="LZU67"/>
      <c r="LZV67"/>
      <c r="LZW67"/>
      <c r="LZX67"/>
      <c r="LZY67"/>
      <c r="LZZ67"/>
      <c r="MAA67"/>
      <c r="MAB67"/>
      <c r="MAC67"/>
      <c r="MAD67"/>
      <c r="MAE67"/>
      <c r="MAF67"/>
      <c r="MAG67"/>
      <c r="MAH67"/>
      <c r="MAI67"/>
      <c r="MAJ67"/>
      <c r="MAK67"/>
      <c r="MAL67"/>
      <c r="MAM67"/>
      <c r="MAN67"/>
      <c r="MAO67"/>
      <c r="MAP67"/>
      <c r="MAQ67"/>
      <c r="MAR67"/>
      <c r="MAS67"/>
      <c r="MAT67"/>
      <c r="MAU67"/>
      <c r="MAV67"/>
      <c r="MAW67"/>
      <c r="MAX67"/>
      <c r="MAY67"/>
      <c r="MAZ67"/>
      <c r="MBA67"/>
      <c r="MBB67"/>
      <c r="MBC67"/>
      <c r="MBD67"/>
      <c r="MBE67"/>
      <c r="MBF67"/>
      <c r="MBG67"/>
      <c r="MBH67"/>
      <c r="MBI67"/>
      <c r="MBJ67"/>
      <c r="MBK67"/>
      <c r="MBL67"/>
      <c r="MBM67"/>
      <c r="MBN67"/>
      <c r="MBO67"/>
      <c r="MBP67"/>
      <c r="MBQ67"/>
      <c r="MBR67"/>
      <c r="MBS67"/>
      <c r="MBT67"/>
      <c r="MBU67"/>
      <c r="MBV67"/>
      <c r="MBW67"/>
      <c r="MBX67"/>
      <c r="MBY67"/>
      <c r="MBZ67"/>
      <c r="MCA67"/>
      <c r="MCB67"/>
      <c r="MCC67"/>
      <c r="MCD67"/>
      <c r="MCE67"/>
      <c r="MCF67"/>
      <c r="MCG67"/>
      <c r="MCH67"/>
      <c r="MCI67"/>
      <c r="MCJ67"/>
      <c r="MCK67"/>
      <c r="MCL67"/>
      <c r="MCM67"/>
      <c r="MCN67"/>
      <c r="MCO67"/>
      <c r="MCP67"/>
      <c r="MCQ67"/>
      <c r="MCR67"/>
      <c r="MCS67"/>
      <c r="MCT67"/>
      <c r="MCU67"/>
      <c r="MCV67"/>
      <c r="MCW67"/>
      <c r="MCX67"/>
      <c r="MCY67"/>
      <c r="MCZ67"/>
      <c r="MDA67"/>
      <c r="MDB67"/>
      <c r="MDC67"/>
      <c r="MDD67"/>
      <c r="MDE67"/>
      <c r="MDF67"/>
      <c r="MDG67"/>
      <c r="MDH67"/>
      <c r="MDI67"/>
      <c r="MDJ67"/>
      <c r="MDK67"/>
      <c r="MDL67"/>
      <c r="MDM67"/>
      <c r="MDN67"/>
      <c r="MDO67"/>
      <c r="MDP67"/>
      <c r="MDQ67"/>
      <c r="MDR67"/>
      <c r="MDS67"/>
      <c r="MDT67"/>
      <c r="MDU67"/>
      <c r="MDV67"/>
      <c r="MDW67"/>
      <c r="MDX67"/>
      <c r="MDY67"/>
      <c r="MDZ67"/>
      <c r="MEA67"/>
      <c r="MEB67"/>
      <c r="MEC67"/>
      <c r="MED67"/>
      <c r="MEE67"/>
      <c r="MEF67"/>
      <c r="MEG67"/>
      <c r="MEH67"/>
      <c r="MEI67"/>
      <c r="MEJ67"/>
      <c r="MEK67"/>
      <c r="MEL67"/>
      <c r="MEM67"/>
      <c r="MEN67"/>
      <c r="MEO67"/>
      <c r="MEP67"/>
      <c r="MEQ67"/>
      <c r="MER67"/>
      <c r="MES67"/>
      <c r="MET67"/>
      <c r="MEU67"/>
      <c r="MEV67"/>
      <c r="MEW67"/>
      <c r="MEX67"/>
      <c r="MEY67"/>
      <c r="MEZ67"/>
      <c r="MFA67"/>
      <c r="MFB67"/>
      <c r="MFC67"/>
      <c r="MFD67"/>
      <c r="MFE67"/>
      <c r="MFF67"/>
      <c r="MFG67"/>
      <c r="MFH67"/>
      <c r="MFI67"/>
      <c r="MFJ67"/>
      <c r="MFK67"/>
      <c r="MFL67"/>
      <c r="MFM67"/>
      <c r="MFN67"/>
      <c r="MFO67"/>
      <c r="MFP67"/>
      <c r="MFQ67"/>
      <c r="MFR67"/>
      <c r="MFS67"/>
      <c r="MFT67"/>
      <c r="MFU67"/>
      <c r="MFV67"/>
      <c r="MFW67"/>
      <c r="MFX67"/>
      <c r="MFY67"/>
      <c r="MFZ67"/>
      <c r="MGA67"/>
      <c r="MGB67"/>
      <c r="MGC67"/>
      <c r="MGD67"/>
      <c r="MGE67"/>
      <c r="MGF67"/>
      <c r="MGG67"/>
      <c r="MGH67"/>
      <c r="MGI67"/>
      <c r="MGJ67"/>
      <c r="MGK67"/>
      <c r="MGL67"/>
      <c r="MGM67"/>
      <c r="MGN67"/>
      <c r="MGO67"/>
      <c r="MGP67"/>
      <c r="MGQ67"/>
      <c r="MGR67"/>
      <c r="MGS67"/>
      <c r="MGT67"/>
      <c r="MGU67"/>
      <c r="MGV67"/>
      <c r="MGW67"/>
      <c r="MGX67"/>
      <c r="MGY67"/>
      <c r="MGZ67"/>
      <c r="MHA67"/>
      <c r="MHB67"/>
      <c r="MHC67"/>
      <c r="MHD67"/>
      <c r="MHE67"/>
      <c r="MHF67"/>
      <c r="MHG67"/>
      <c r="MHH67"/>
      <c r="MHI67"/>
      <c r="MHJ67"/>
      <c r="MHK67"/>
      <c r="MHL67"/>
      <c r="MHM67"/>
      <c r="MHN67"/>
      <c r="MHO67"/>
      <c r="MHP67"/>
      <c r="MHQ67"/>
      <c r="MHR67"/>
      <c r="MHS67"/>
      <c r="MHT67"/>
      <c r="MHU67"/>
      <c r="MHV67"/>
      <c r="MHW67"/>
      <c r="MHX67"/>
      <c r="MHY67"/>
      <c r="MHZ67"/>
      <c r="MIA67"/>
      <c r="MIB67"/>
      <c r="MIC67"/>
      <c r="MID67"/>
      <c r="MIE67"/>
      <c r="MIF67"/>
      <c r="MIG67"/>
      <c r="MIH67"/>
      <c r="MII67"/>
      <c r="MIJ67"/>
      <c r="MIK67"/>
      <c r="MIL67"/>
      <c r="MIM67"/>
      <c r="MIN67"/>
      <c r="MIO67"/>
      <c r="MIP67"/>
      <c r="MIQ67"/>
      <c r="MIR67"/>
      <c r="MIS67"/>
      <c r="MIT67"/>
      <c r="MIU67"/>
      <c r="MIV67"/>
      <c r="MIW67"/>
      <c r="MIX67"/>
      <c r="MIY67"/>
      <c r="MIZ67"/>
      <c r="MJA67"/>
      <c r="MJB67"/>
      <c r="MJC67"/>
      <c r="MJD67"/>
      <c r="MJE67"/>
      <c r="MJF67"/>
      <c r="MJG67"/>
      <c r="MJH67"/>
      <c r="MJI67"/>
      <c r="MJJ67"/>
      <c r="MJK67"/>
      <c r="MJL67"/>
      <c r="MJM67"/>
      <c r="MJN67"/>
      <c r="MJO67"/>
      <c r="MJP67"/>
      <c r="MJQ67"/>
      <c r="MJR67"/>
      <c r="MJS67"/>
      <c r="MJT67"/>
      <c r="MJU67"/>
      <c r="MJV67"/>
      <c r="MJW67"/>
      <c r="MJX67"/>
      <c r="MJY67"/>
      <c r="MJZ67"/>
      <c r="MKA67"/>
      <c r="MKB67"/>
      <c r="MKC67"/>
      <c r="MKD67"/>
      <c r="MKE67"/>
      <c r="MKF67"/>
      <c r="MKG67"/>
      <c r="MKH67"/>
      <c r="MKI67"/>
      <c r="MKJ67"/>
      <c r="MKK67"/>
      <c r="MKL67"/>
      <c r="MKM67"/>
      <c r="MKN67"/>
      <c r="MKO67"/>
      <c r="MKP67"/>
      <c r="MKQ67"/>
      <c r="MKR67"/>
      <c r="MKS67"/>
      <c r="MKT67"/>
      <c r="MKU67"/>
      <c r="MKV67"/>
      <c r="MKW67"/>
      <c r="MKX67"/>
      <c r="MKY67"/>
      <c r="MKZ67"/>
      <c r="MLA67"/>
      <c r="MLB67"/>
      <c r="MLC67"/>
      <c r="MLD67"/>
      <c r="MLE67"/>
      <c r="MLF67"/>
      <c r="MLG67"/>
      <c r="MLH67"/>
      <c r="MLI67"/>
      <c r="MLJ67"/>
      <c r="MLK67"/>
      <c r="MLL67"/>
      <c r="MLM67"/>
      <c r="MLN67"/>
      <c r="MLO67"/>
      <c r="MLP67"/>
      <c r="MLQ67"/>
      <c r="MLR67"/>
      <c r="MLS67"/>
      <c r="MLT67"/>
      <c r="MLU67"/>
      <c r="MLV67"/>
      <c r="MLW67"/>
      <c r="MLX67"/>
      <c r="MLY67"/>
      <c r="MLZ67"/>
      <c r="MMA67"/>
      <c r="MMB67"/>
      <c r="MMC67"/>
      <c r="MMD67"/>
      <c r="MME67"/>
      <c r="MMF67"/>
      <c r="MMG67"/>
      <c r="MMH67"/>
      <c r="MMI67"/>
      <c r="MMJ67"/>
      <c r="MMK67"/>
      <c r="MML67"/>
      <c r="MMM67"/>
      <c r="MMN67"/>
      <c r="MMO67"/>
      <c r="MMP67"/>
      <c r="MMQ67"/>
      <c r="MMR67"/>
      <c r="MMS67"/>
      <c r="MMT67"/>
      <c r="MMU67"/>
      <c r="MMV67"/>
      <c r="MMW67"/>
      <c r="MMX67"/>
      <c r="MMY67"/>
      <c r="MMZ67"/>
      <c r="MNA67"/>
      <c r="MNB67"/>
      <c r="MNC67"/>
      <c r="MND67"/>
      <c r="MNE67"/>
      <c r="MNF67"/>
      <c r="MNG67"/>
      <c r="MNH67"/>
      <c r="MNI67"/>
      <c r="MNJ67"/>
      <c r="MNK67"/>
      <c r="MNL67"/>
      <c r="MNM67"/>
      <c r="MNN67"/>
      <c r="MNO67"/>
      <c r="MNP67"/>
      <c r="MNQ67"/>
      <c r="MNR67"/>
      <c r="MNS67"/>
      <c r="MNT67"/>
      <c r="MNU67"/>
      <c r="MNV67"/>
      <c r="MNW67"/>
      <c r="MNX67"/>
      <c r="MNY67"/>
      <c r="MNZ67"/>
      <c r="MOA67"/>
      <c r="MOB67"/>
      <c r="MOC67"/>
      <c r="MOD67"/>
      <c r="MOE67"/>
      <c r="MOF67"/>
      <c r="MOG67"/>
      <c r="MOH67"/>
      <c r="MOI67"/>
      <c r="MOJ67"/>
      <c r="MOK67"/>
      <c r="MOL67"/>
      <c r="MOM67"/>
      <c r="MON67"/>
      <c r="MOO67"/>
      <c r="MOP67"/>
      <c r="MOQ67"/>
      <c r="MOR67"/>
      <c r="MOS67"/>
      <c r="MOT67"/>
      <c r="MOU67"/>
      <c r="MOV67"/>
      <c r="MOW67"/>
      <c r="MOX67"/>
      <c r="MOY67"/>
      <c r="MOZ67"/>
      <c r="MPA67"/>
      <c r="MPB67"/>
      <c r="MPC67"/>
      <c r="MPD67"/>
      <c r="MPE67"/>
      <c r="MPF67"/>
      <c r="MPG67"/>
      <c r="MPH67"/>
      <c r="MPI67"/>
      <c r="MPJ67"/>
      <c r="MPK67"/>
      <c r="MPL67"/>
      <c r="MPM67"/>
      <c r="MPN67"/>
      <c r="MPO67"/>
      <c r="MPP67"/>
      <c r="MPQ67"/>
      <c r="MPR67"/>
      <c r="MPS67"/>
      <c r="MPT67"/>
      <c r="MPU67"/>
      <c r="MPV67"/>
      <c r="MPW67"/>
      <c r="MPX67"/>
      <c r="MPY67"/>
      <c r="MPZ67"/>
      <c r="MQA67"/>
      <c r="MQB67"/>
      <c r="MQC67"/>
      <c r="MQD67"/>
      <c r="MQE67"/>
      <c r="MQF67"/>
      <c r="MQG67"/>
      <c r="MQH67"/>
      <c r="MQI67"/>
      <c r="MQJ67"/>
      <c r="MQK67"/>
      <c r="MQL67"/>
      <c r="MQM67"/>
      <c r="MQN67"/>
      <c r="MQO67"/>
      <c r="MQP67"/>
      <c r="MQQ67"/>
      <c r="MQR67"/>
      <c r="MQS67"/>
      <c r="MQT67"/>
      <c r="MQU67"/>
      <c r="MQV67"/>
      <c r="MQW67"/>
      <c r="MQX67"/>
      <c r="MQY67"/>
      <c r="MQZ67"/>
      <c r="MRA67"/>
      <c r="MRB67"/>
      <c r="MRC67"/>
      <c r="MRD67"/>
      <c r="MRE67"/>
      <c r="MRF67"/>
      <c r="MRG67"/>
      <c r="MRH67"/>
      <c r="MRI67"/>
      <c r="MRJ67"/>
      <c r="MRK67"/>
      <c r="MRL67"/>
      <c r="MRM67"/>
      <c r="MRN67"/>
      <c r="MRO67"/>
      <c r="MRP67"/>
      <c r="MRQ67"/>
      <c r="MRR67"/>
      <c r="MRS67"/>
      <c r="MRT67"/>
      <c r="MRU67"/>
      <c r="MRV67"/>
      <c r="MRW67"/>
      <c r="MRX67"/>
      <c r="MRY67"/>
      <c r="MRZ67"/>
      <c r="MSA67"/>
      <c r="MSB67"/>
      <c r="MSC67"/>
      <c r="MSD67"/>
      <c r="MSE67"/>
      <c r="MSF67"/>
      <c r="MSG67"/>
      <c r="MSH67"/>
      <c r="MSI67"/>
      <c r="MSJ67"/>
      <c r="MSK67"/>
      <c r="MSL67"/>
      <c r="MSM67"/>
      <c r="MSN67"/>
      <c r="MSO67"/>
      <c r="MSP67"/>
      <c r="MSQ67"/>
      <c r="MSR67"/>
      <c r="MSS67"/>
      <c r="MST67"/>
      <c r="MSU67"/>
      <c r="MSV67"/>
      <c r="MSW67"/>
      <c r="MSX67"/>
      <c r="MSY67"/>
      <c r="MSZ67"/>
      <c r="MTA67"/>
      <c r="MTB67"/>
      <c r="MTC67"/>
      <c r="MTD67"/>
      <c r="MTE67"/>
      <c r="MTF67"/>
      <c r="MTG67"/>
      <c r="MTH67"/>
      <c r="MTI67"/>
      <c r="MTJ67"/>
      <c r="MTK67"/>
      <c r="MTL67"/>
      <c r="MTM67"/>
      <c r="MTN67"/>
      <c r="MTO67"/>
      <c r="MTP67"/>
      <c r="MTQ67"/>
      <c r="MTR67"/>
      <c r="MTS67"/>
      <c r="MTT67"/>
      <c r="MTU67"/>
      <c r="MTV67"/>
      <c r="MTW67"/>
      <c r="MTX67"/>
      <c r="MTY67"/>
      <c r="MTZ67"/>
      <c r="MUA67"/>
      <c r="MUB67"/>
      <c r="MUC67"/>
      <c r="MUD67"/>
      <c r="MUE67"/>
      <c r="MUF67"/>
      <c r="MUG67"/>
      <c r="MUH67"/>
      <c r="MUI67"/>
      <c r="MUJ67"/>
      <c r="MUK67"/>
      <c r="MUL67"/>
      <c r="MUM67"/>
      <c r="MUN67"/>
      <c r="MUO67"/>
      <c r="MUP67"/>
      <c r="MUQ67"/>
      <c r="MUR67"/>
      <c r="MUS67"/>
      <c r="MUT67"/>
      <c r="MUU67"/>
      <c r="MUV67"/>
      <c r="MUW67"/>
      <c r="MUX67"/>
      <c r="MUY67"/>
      <c r="MUZ67"/>
      <c r="MVA67"/>
      <c r="MVB67"/>
      <c r="MVC67"/>
      <c r="MVD67"/>
      <c r="MVE67"/>
      <c r="MVF67"/>
      <c r="MVG67"/>
      <c r="MVH67"/>
      <c r="MVI67"/>
      <c r="MVJ67"/>
      <c r="MVK67"/>
      <c r="MVL67"/>
      <c r="MVM67"/>
      <c r="MVN67"/>
      <c r="MVO67"/>
      <c r="MVP67"/>
      <c r="MVQ67"/>
      <c r="MVR67"/>
      <c r="MVS67"/>
      <c r="MVT67"/>
      <c r="MVU67"/>
      <c r="MVV67"/>
      <c r="MVW67"/>
      <c r="MVX67"/>
      <c r="MVY67"/>
      <c r="MVZ67"/>
      <c r="MWA67"/>
      <c r="MWB67"/>
      <c r="MWC67"/>
      <c r="MWD67"/>
      <c r="MWE67"/>
      <c r="MWF67"/>
      <c r="MWG67"/>
      <c r="MWH67"/>
      <c r="MWI67"/>
      <c r="MWJ67"/>
      <c r="MWK67"/>
      <c r="MWL67"/>
      <c r="MWM67"/>
      <c r="MWN67"/>
      <c r="MWO67"/>
      <c r="MWP67"/>
      <c r="MWQ67"/>
      <c r="MWR67"/>
      <c r="MWS67"/>
      <c r="MWT67"/>
      <c r="MWU67"/>
      <c r="MWV67"/>
      <c r="MWW67"/>
      <c r="MWX67"/>
      <c r="MWY67"/>
      <c r="MWZ67"/>
      <c r="MXA67"/>
      <c r="MXB67"/>
      <c r="MXC67"/>
      <c r="MXD67"/>
      <c r="MXE67"/>
      <c r="MXF67"/>
      <c r="MXG67"/>
      <c r="MXH67"/>
      <c r="MXI67"/>
      <c r="MXJ67"/>
      <c r="MXK67"/>
      <c r="MXL67"/>
      <c r="MXM67"/>
      <c r="MXN67"/>
      <c r="MXO67"/>
      <c r="MXP67"/>
      <c r="MXQ67"/>
      <c r="MXR67"/>
      <c r="MXS67"/>
      <c r="MXT67"/>
      <c r="MXU67"/>
      <c r="MXV67"/>
      <c r="MXW67"/>
      <c r="MXX67"/>
      <c r="MXY67"/>
      <c r="MXZ67"/>
      <c r="MYA67"/>
      <c r="MYB67"/>
      <c r="MYC67"/>
      <c r="MYD67"/>
      <c r="MYE67"/>
      <c r="MYF67"/>
      <c r="MYG67"/>
      <c r="MYH67"/>
      <c r="MYI67"/>
      <c r="MYJ67"/>
      <c r="MYK67"/>
      <c r="MYL67"/>
      <c r="MYM67"/>
      <c r="MYN67"/>
      <c r="MYO67"/>
      <c r="MYP67"/>
      <c r="MYQ67"/>
      <c r="MYR67"/>
      <c r="MYS67"/>
      <c r="MYT67"/>
      <c r="MYU67"/>
      <c r="MYV67"/>
      <c r="MYW67"/>
      <c r="MYX67"/>
      <c r="MYY67"/>
      <c r="MYZ67"/>
      <c r="MZA67"/>
      <c r="MZB67"/>
      <c r="MZC67"/>
      <c r="MZD67"/>
      <c r="MZE67"/>
      <c r="MZF67"/>
      <c r="MZG67"/>
      <c r="MZH67"/>
      <c r="MZI67"/>
      <c r="MZJ67"/>
      <c r="MZK67"/>
      <c r="MZL67"/>
      <c r="MZM67"/>
      <c r="MZN67"/>
      <c r="MZO67"/>
      <c r="MZP67"/>
      <c r="MZQ67"/>
      <c r="MZR67"/>
      <c r="MZS67"/>
      <c r="MZT67"/>
      <c r="MZU67"/>
      <c r="MZV67"/>
      <c r="MZW67"/>
      <c r="MZX67"/>
      <c r="MZY67"/>
      <c r="MZZ67"/>
      <c r="NAA67"/>
      <c r="NAB67"/>
      <c r="NAC67"/>
      <c r="NAD67"/>
      <c r="NAE67"/>
      <c r="NAF67"/>
      <c r="NAG67"/>
      <c r="NAH67"/>
      <c r="NAI67"/>
      <c r="NAJ67"/>
      <c r="NAK67"/>
      <c r="NAL67"/>
      <c r="NAM67"/>
      <c r="NAN67"/>
      <c r="NAO67"/>
      <c r="NAP67"/>
      <c r="NAQ67"/>
      <c r="NAR67"/>
      <c r="NAS67"/>
      <c r="NAT67"/>
      <c r="NAU67"/>
      <c r="NAV67"/>
      <c r="NAW67"/>
      <c r="NAX67"/>
      <c r="NAY67"/>
      <c r="NAZ67"/>
      <c r="NBA67"/>
      <c r="NBB67"/>
      <c r="NBC67"/>
      <c r="NBD67"/>
      <c r="NBE67"/>
      <c r="NBF67"/>
      <c r="NBG67"/>
      <c r="NBH67"/>
      <c r="NBI67"/>
      <c r="NBJ67"/>
      <c r="NBK67"/>
      <c r="NBL67"/>
      <c r="NBM67"/>
      <c r="NBN67"/>
      <c r="NBO67"/>
      <c r="NBP67"/>
      <c r="NBQ67"/>
      <c r="NBR67"/>
      <c r="NBS67"/>
      <c r="NBT67"/>
      <c r="NBU67"/>
      <c r="NBV67"/>
      <c r="NBW67"/>
      <c r="NBX67"/>
      <c r="NBY67"/>
      <c r="NBZ67"/>
      <c r="NCA67"/>
      <c r="NCB67"/>
      <c r="NCC67"/>
      <c r="NCD67"/>
      <c r="NCE67"/>
      <c r="NCF67"/>
      <c r="NCG67"/>
      <c r="NCH67"/>
      <c r="NCI67"/>
      <c r="NCJ67"/>
      <c r="NCK67"/>
      <c r="NCL67"/>
      <c r="NCM67"/>
      <c r="NCN67"/>
      <c r="NCO67"/>
      <c r="NCP67"/>
      <c r="NCQ67"/>
      <c r="NCR67"/>
      <c r="NCS67"/>
      <c r="NCT67"/>
      <c r="NCU67"/>
      <c r="NCV67"/>
      <c r="NCW67"/>
      <c r="NCX67"/>
      <c r="NCY67"/>
      <c r="NCZ67"/>
      <c r="NDA67"/>
      <c r="NDB67"/>
      <c r="NDC67"/>
      <c r="NDD67"/>
      <c r="NDE67"/>
      <c r="NDF67"/>
      <c r="NDG67"/>
      <c r="NDH67"/>
      <c r="NDI67"/>
      <c r="NDJ67"/>
      <c r="NDK67"/>
      <c r="NDL67"/>
      <c r="NDM67"/>
      <c r="NDN67"/>
      <c r="NDO67"/>
      <c r="NDP67"/>
      <c r="NDQ67"/>
      <c r="NDR67"/>
      <c r="NDS67"/>
      <c r="NDT67"/>
      <c r="NDU67"/>
      <c r="NDV67"/>
      <c r="NDW67"/>
      <c r="NDX67"/>
      <c r="NDY67"/>
      <c r="NDZ67"/>
      <c r="NEA67"/>
      <c r="NEB67"/>
      <c r="NEC67"/>
      <c r="NED67"/>
      <c r="NEE67"/>
      <c r="NEF67"/>
      <c r="NEG67"/>
      <c r="NEH67"/>
      <c r="NEI67"/>
      <c r="NEJ67"/>
      <c r="NEK67"/>
      <c r="NEL67"/>
      <c r="NEM67"/>
      <c r="NEN67"/>
      <c r="NEO67"/>
      <c r="NEP67"/>
      <c r="NEQ67"/>
      <c r="NER67"/>
      <c r="NES67"/>
      <c r="NET67"/>
      <c r="NEU67"/>
      <c r="NEV67"/>
      <c r="NEW67"/>
      <c r="NEX67"/>
      <c r="NEY67"/>
      <c r="NEZ67"/>
      <c r="NFA67"/>
      <c r="NFB67"/>
      <c r="NFC67"/>
      <c r="NFD67"/>
      <c r="NFE67"/>
      <c r="NFF67"/>
      <c r="NFG67"/>
      <c r="NFH67"/>
      <c r="NFI67"/>
      <c r="NFJ67"/>
      <c r="NFK67"/>
      <c r="NFL67"/>
      <c r="NFM67"/>
      <c r="NFN67"/>
      <c r="NFO67"/>
      <c r="NFP67"/>
      <c r="NFQ67"/>
      <c r="NFR67"/>
      <c r="NFS67"/>
      <c r="NFT67"/>
      <c r="NFU67"/>
      <c r="NFV67"/>
      <c r="NFW67"/>
      <c r="NFX67"/>
      <c r="NFY67"/>
      <c r="NFZ67"/>
      <c r="NGA67"/>
      <c r="NGB67"/>
      <c r="NGC67"/>
      <c r="NGD67"/>
      <c r="NGE67"/>
      <c r="NGF67"/>
      <c r="NGG67"/>
      <c r="NGH67"/>
      <c r="NGI67"/>
      <c r="NGJ67"/>
      <c r="NGK67"/>
      <c r="NGL67"/>
      <c r="NGM67"/>
      <c r="NGN67"/>
      <c r="NGO67"/>
      <c r="NGP67"/>
      <c r="NGQ67"/>
      <c r="NGR67"/>
      <c r="NGS67"/>
      <c r="NGT67"/>
      <c r="NGU67"/>
      <c r="NGV67"/>
      <c r="NGW67"/>
      <c r="NGX67"/>
      <c r="NGY67"/>
      <c r="NGZ67"/>
      <c r="NHA67"/>
      <c r="NHB67"/>
      <c r="NHC67"/>
      <c r="NHD67"/>
      <c r="NHE67"/>
      <c r="NHF67"/>
      <c r="NHG67"/>
      <c r="NHH67"/>
      <c r="NHI67"/>
      <c r="NHJ67"/>
      <c r="NHK67"/>
      <c r="NHL67"/>
      <c r="NHM67"/>
      <c r="NHN67"/>
      <c r="NHO67"/>
      <c r="NHP67"/>
      <c r="NHQ67"/>
      <c r="NHR67"/>
      <c r="NHS67"/>
      <c r="NHT67"/>
      <c r="NHU67"/>
      <c r="NHV67"/>
      <c r="NHW67"/>
      <c r="NHX67"/>
      <c r="NHY67"/>
      <c r="NHZ67"/>
      <c r="NIA67"/>
      <c r="NIB67"/>
      <c r="NIC67"/>
      <c r="NID67"/>
      <c r="NIE67"/>
      <c r="NIF67"/>
      <c r="NIG67"/>
      <c r="NIH67"/>
      <c r="NII67"/>
      <c r="NIJ67"/>
      <c r="NIK67"/>
      <c r="NIL67"/>
      <c r="NIM67"/>
      <c r="NIN67"/>
      <c r="NIO67"/>
      <c r="NIP67"/>
      <c r="NIQ67"/>
      <c r="NIR67"/>
      <c r="NIS67"/>
      <c r="NIT67"/>
      <c r="NIU67"/>
      <c r="NIV67"/>
      <c r="NIW67"/>
      <c r="NIX67"/>
      <c r="NIY67"/>
      <c r="NIZ67"/>
      <c r="NJA67"/>
      <c r="NJB67"/>
      <c r="NJC67"/>
      <c r="NJD67"/>
      <c r="NJE67"/>
      <c r="NJF67"/>
      <c r="NJG67"/>
      <c r="NJH67"/>
      <c r="NJI67"/>
      <c r="NJJ67"/>
      <c r="NJK67"/>
      <c r="NJL67"/>
      <c r="NJM67"/>
      <c r="NJN67"/>
      <c r="NJO67"/>
      <c r="NJP67"/>
      <c r="NJQ67"/>
      <c r="NJR67"/>
      <c r="NJS67"/>
      <c r="NJT67"/>
      <c r="NJU67"/>
      <c r="NJV67"/>
      <c r="NJW67"/>
      <c r="NJX67"/>
      <c r="NJY67"/>
      <c r="NJZ67"/>
      <c r="NKA67"/>
      <c r="NKB67"/>
      <c r="NKC67"/>
      <c r="NKD67"/>
      <c r="NKE67"/>
      <c r="NKF67"/>
      <c r="NKG67"/>
      <c r="NKH67"/>
      <c r="NKI67"/>
      <c r="NKJ67"/>
      <c r="NKK67"/>
      <c r="NKL67"/>
      <c r="NKM67"/>
      <c r="NKN67"/>
      <c r="NKO67"/>
      <c r="NKP67"/>
      <c r="NKQ67"/>
      <c r="NKR67"/>
      <c r="NKS67"/>
      <c r="NKT67"/>
      <c r="NKU67"/>
      <c r="NKV67"/>
      <c r="NKW67"/>
      <c r="NKX67"/>
      <c r="NKY67"/>
      <c r="NKZ67"/>
      <c r="NLA67"/>
      <c r="NLB67"/>
      <c r="NLC67"/>
      <c r="NLD67"/>
      <c r="NLE67"/>
      <c r="NLF67"/>
      <c r="NLG67"/>
      <c r="NLH67"/>
      <c r="NLI67"/>
      <c r="NLJ67"/>
      <c r="NLK67"/>
      <c r="NLL67"/>
      <c r="NLM67"/>
      <c r="NLN67"/>
      <c r="NLO67"/>
      <c r="NLP67"/>
      <c r="NLQ67"/>
      <c r="NLR67"/>
      <c r="NLS67"/>
      <c r="NLT67"/>
      <c r="NLU67"/>
      <c r="NLV67"/>
      <c r="NLW67"/>
      <c r="NLX67"/>
      <c r="NLY67"/>
      <c r="NLZ67"/>
      <c r="NMA67"/>
      <c r="NMB67"/>
      <c r="NMC67"/>
      <c r="NMD67"/>
      <c r="NME67"/>
      <c r="NMF67"/>
      <c r="NMG67"/>
      <c r="NMH67"/>
      <c r="NMI67"/>
      <c r="NMJ67"/>
      <c r="NMK67"/>
      <c r="NML67"/>
      <c r="NMM67"/>
      <c r="NMN67"/>
      <c r="NMO67"/>
      <c r="NMP67"/>
      <c r="NMQ67"/>
      <c r="NMR67"/>
      <c r="NMS67"/>
      <c r="NMT67"/>
      <c r="NMU67"/>
      <c r="NMV67"/>
      <c r="NMW67"/>
      <c r="NMX67"/>
      <c r="NMY67"/>
      <c r="NMZ67"/>
      <c r="NNA67"/>
      <c r="NNB67"/>
      <c r="NNC67"/>
      <c r="NND67"/>
      <c r="NNE67"/>
      <c r="NNF67"/>
      <c r="NNG67"/>
      <c r="NNH67"/>
      <c r="NNI67"/>
      <c r="NNJ67"/>
      <c r="NNK67"/>
      <c r="NNL67"/>
      <c r="NNM67"/>
      <c r="NNN67"/>
      <c r="NNO67"/>
      <c r="NNP67"/>
      <c r="NNQ67"/>
      <c r="NNR67"/>
      <c r="NNS67"/>
      <c r="NNT67"/>
      <c r="NNU67"/>
      <c r="NNV67"/>
      <c r="NNW67"/>
      <c r="NNX67"/>
      <c r="NNY67"/>
      <c r="NNZ67"/>
      <c r="NOA67"/>
      <c r="NOB67"/>
      <c r="NOC67"/>
      <c r="NOD67"/>
      <c r="NOE67"/>
      <c r="NOF67"/>
      <c r="NOG67"/>
      <c r="NOH67"/>
      <c r="NOI67"/>
      <c r="NOJ67"/>
      <c r="NOK67"/>
      <c r="NOL67"/>
      <c r="NOM67"/>
      <c r="NON67"/>
      <c r="NOO67"/>
      <c r="NOP67"/>
      <c r="NOQ67"/>
      <c r="NOR67"/>
      <c r="NOS67"/>
      <c r="NOT67"/>
      <c r="NOU67"/>
      <c r="NOV67"/>
      <c r="NOW67"/>
      <c r="NOX67"/>
      <c r="NOY67"/>
      <c r="NOZ67"/>
      <c r="NPA67"/>
      <c r="NPB67"/>
      <c r="NPC67"/>
      <c r="NPD67"/>
      <c r="NPE67"/>
      <c r="NPF67"/>
      <c r="NPG67"/>
      <c r="NPH67"/>
      <c r="NPI67"/>
      <c r="NPJ67"/>
      <c r="NPK67"/>
      <c r="NPL67"/>
      <c r="NPM67"/>
      <c r="NPN67"/>
      <c r="NPO67"/>
      <c r="NPP67"/>
      <c r="NPQ67"/>
      <c r="NPR67"/>
      <c r="NPS67"/>
      <c r="NPT67"/>
      <c r="NPU67"/>
      <c r="NPV67"/>
      <c r="NPW67"/>
      <c r="NPX67"/>
      <c r="NPY67"/>
      <c r="NPZ67"/>
      <c r="NQA67"/>
      <c r="NQB67"/>
      <c r="NQC67"/>
      <c r="NQD67"/>
      <c r="NQE67"/>
      <c r="NQF67"/>
      <c r="NQG67"/>
      <c r="NQH67"/>
      <c r="NQI67"/>
      <c r="NQJ67"/>
      <c r="NQK67"/>
      <c r="NQL67"/>
      <c r="NQM67"/>
      <c r="NQN67"/>
      <c r="NQO67"/>
      <c r="NQP67"/>
      <c r="NQQ67"/>
      <c r="NQR67"/>
      <c r="NQS67"/>
      <c r="NQT67"/>
      <c r="NQU67"/>
      <c r="NQV67"/>
      <c r="NQW67"/>
      <c r="NQX67"/>
      <c r="NQY67"/>
      <c r="NQZ67"/>
      <c r="NRA67"/>
      <c r="NRB67"/>
      <c r="NRC67"/>
      <c r="NRD67"/>
      <c r="NRE67"/>
      <c r="NRF67"/>
      <c r="NRG67"/>
      <c r="NRH67"/>
      <c r="NRI67"/>
      <c r="NRJ67"/>
      <c r="NRK67"/>
      <c r="NRL67"/>
      <c r="NRM67"/>
      <c r="NRN67"/>
      <c r="NRO67"/>
      <c r="NRP67"/>
      <c r="NRQ67"/>
      <c r="NRR67"/>
      <c r="NRS67"/>
      <c r="NRT67"/>
      <c r="NRU67"/>
      <c r="NRV67"/>
      <c r="NRW67"/>
      <c r="NRX67"/>
      <c r="NRY67"/>
      <c r="NRZ67"/>
      <c r="NSA67"/>
      <c r="NSB67"/>
      <c r="NSC67"/>
      <c r="NSD67"/>
      <c r="NSE67"/>
      <c r="NSF67"/>
      <c r="NSG67"/>
      <c r="NSH67"/>
      <c r="NSI67"/>
      <c r="NSJ67"/>
      <c r="NSK67"/>
      <c r="NSL67"/>
      <c r="NSM67"/>
      <c r="NSN67"/>
      <c r="NSO67"/>
      <c r="NSP67"/>
      <c r="NSQ67"/>
      <c r="NSR67"/>
      <c r="NSS67"/>
      <c r="NST67"/>
      <c r="NSU67"/>
      <c r="NSV67"/>
      <c r="NSW67"/>
      <c r="NSX67"/>
      <c r="NSY67"/>
      <c r="NSZ67"/>
      <c r="NTA67"/>
      <c r="NTB67"/>
      <c r="NTC67"/>
      <c r="NTD67"/>
      <c r="NTE67"/>
      <c r="NTF67"/>
      <c r="NTG67"/>
      <c r="NTH67"/>
      <c r="NTI67"/>
      <c r="NTJ67"/>
      <c r="NTK67"/>
      <c r="NTL67"/>
      <c r="NTM67"/>
      <c r="NTN67"/>
      <c r="NTO67"/>
      <c r="NTP67"/>
      <c r="NTQ67"/>
      <c r="NTR67"/>
      <c r="NTS67"/>
      <c r="NTT67"/>
      <c r="NTU67"/>
      <c r="NTV67"/>
      <c r="NTW67"/>
      <c r="NTX67"/>
      <c r="NTY67"/>
      <c r="NTZ67"/>
      <c r="NUA67"/>
      <c r="NUB67"/>
      <c r="NUC67"/>
      <c r="NUD67"/>
      <c r="NUE67"/>
      <c r="NUF67"/>
      <c r="NUG67"/>
      <c r="NUH67"/>
      <c r="NUI67"/>
      <c r="NUJ67"/>
      <c r="NUK67"/>
      <c r="NUL67"/>
      <c r="NUM67"/>
      <c r="NUN67"/>
      <c r="NUO67"/>
      <c r="NUP67"/>
      <c r="NUQ67"/>
      <c r="NUR67"/>
      <c r="NUS67"/>
      <c r="NUT67"/>
      <c r="NUU67"/>
      <c r="NUV67"/>
      <c r="NUW67"/>
      <c r="NUX67"/>
      <c r="NUY67"/>
      <c r="NUZ67"/>
      <c r="NVA67"/>
      <c r="NVB67"/>
      <c r="NVC67"/>
      <c r="NVD67"/>
      <c r="NVE67"/>
      <c r="NVF67"/>
      <c r="NVG67"/>
      <c r="NVH67"/>
      <c r="NVI67"/>
      <c r="NVJ67"/>
      <c r="NVK67"/>
      <c r="NVL67"/>
      <c r="NVM67"/>
      <c r="NVN67"/>
      <c r="NVO67"/>
      <c r="NVP67"/>
      <c r="NVQ67"/>
      <c r="NVR67"/>
      <c r="NVS67"/>
      <c r="NVT67"/>
      <c r="NVU67"/>
      <c r="NVV67"/>
      <c r="NVW67"/>
      <c r="NVX67"/>
      <c r="NVY67"/>
      <c r="NVZ67"/>
      <c r="NWA67"/>
      <c r="NWB67"/>
      <c r="NWC67"/>
      <c r="NWD67"/>
      <c r="NWE67"/>
      <c r="NWF67"/>
      <c r="NWG67"/>
      <c r="NWH67"/>
      <c r="NWI67"/>
      <c r="NWJ67"/>
      <c r="NWK67"/>
      <c r="NWL67"/>
      <c r="NWM67"/>
      <c r="NWN67"/>
      <c r="NWO67"/>
      <c r="NWP67"/>
      <c r="NWQ67"/>
      <c r="NWR67"/>
      <c r="NWS67"/>
      <c r="NWT67"/>
      <c r="NWU67"/>
      <c r="NWV67"/>
      <c r="NWW67"/>
      <c r="NWX67"/>
      <c r="NWY67"/>
      <c r="NWZ67"/>
      <c r="NXA67"/>
      <c r="NXB67"/>
      <c r="NXC67"/>
      <c r="NXD67"/>
      <c r="NXE67"/>
      <c r="NXF67"/>
      <c r="NXG67"/>
      <c r="NXH67"/>
      <c r="NXI67"/>
      <c r="NXJ67"/>
      <c r="NXK67"/>
      <c r="NXL67"/>
      <c r="NXM67"/>
      <c r="NXN67"/>
      <c r="NXO67"/>
      <c r="NXP67"/>
      <c r="NXQ67"/>
      <c r="NXR67"/>
      <c r="NXS67"/>
      <c r="NXT67"/>
      <c r="NXU67"/>
      <c r="NXV67"/>
      <c r="NXW67"/>
      <c r="NXX67"/>
      <c r="NXY67"/>
      <c r="NXZ67"/>
      <c r="NYA67"/>
      <c r="NYB67"/>
      <c r="NYC67"/>
      <c r="NYD67"/>
      <c r="NYE67"/>
      <c r="NYF67"/>
      <c r="NYG67"/>
      <c r="NYH67"/>
      <c r="NYI67"/>
      <c r="NYJ67"/>
      <c r="NYK67"/>
      <c r="NYL67"/>
      <c r="NYM67"/>
      <c r="NYN67"/>
      <c r="NYO67"/>
      <c r="NYP67"/>
      <c r="NYQ67"/>
      <c r="NYR67"/>
      <c r="NYS67"/>
      <c r="NYT67"/>
      <c r="NYU67"/>
      <c r="NYV67"/>
      <c r="NYW67"/>
      <c r="NYX67"/>
      <c r="NYY67"/>
      <c r="NYZ67"/>
      <c r="NZA67"/>
      <c r="NZB67"/>
      <c r="NZC67"/>
      <c r="NZD67"/>
      <c r="NZE67"/>
      <c r="NZF67"/>
      <c r="NZG67"/>
      <c r="NZH67"/>
      <c r="NZI67"/>
      <c r="NZJ67"/>
      <c r="NZK67"/>
      <c r="NZL67"/>
      <c r="NZM67"/>
      <c r="NZN67"/>
      <c r="NZO67"/>
      <c r="NZP67"/>
      <c r="NZQ67"/>
      <c r="NZR67"/>
      <c r="NZS67"/>
      <c r="NZT67"/>
      <c r="NZU67"/>
      <c r="NZV67"/>
      <c r="NZW67"/>
      <c r="NZX67"/>
      <c r="NZY67"/>
      <c r="NZZ67"/>
      <c r="OAA67"/>
      <c r="OAB67"/>
      <c r="OAC67"/>
      <c r="OAD67"/>
      <c r="OAE67"/>
      <c r="OAF67"/>
      <c r="OAG67"/>
      <c r="OAH67"/>
      <c r="OAI67"/>
      <c r="OAJ67"/>
      <c r="OAK67"/>
      <c r="OAL67"/>
      <c r="OAM67"/>
      <c r="OAN67"/>
      <c r="OAO67"/>
      <c r="OAP67"/>
      <c r="OAQ67"/>
      <c r="OAR67"/>
      <c r="OAS67"/>
      <c r="OAT67"/>
      <c r="OAU67"/>
      <c r="OAV67"/>
      <c r="OAW67"/>
      <c r="OAX67"/>
      <c r="OAY67"/>
      <c r="OAZ67"/>
      <c r="OBA67"/>
      <c r="OBB67"/>
      <c r="OBC67"/>
      <c r="OBD67"/>
      <c r="OBE67"/>
      <c r="OBF67"/>
      <c r="OBG67"/>
      <c r="OBH67"/>
      <c r="OBI67"/>
      <c r="OBJ67"/>
      <c r="OBK67"/>
      <c r="OBL67"/>
      <c r="OBM67"/>
      <c r="OBN67"/>
      <c r="OBO67"/>
      <c r="OBP67"/>
      <c r="OBQ67"/>
      <c r="OBR67"/>
      <c r="OBS67"/>
      <c r="OBT67"/>
      <c r="OBU67"/>
      <c r="OBV67"/>
      <c r="OBW67"/>
      <c r="OBX67"/>
      <c r="OBY67"/>
      <c r="OBZ67"/>
      <c r="OCA67"/>
      <c r="OCB67"/>
      <c r="OCC67"/>
      <c r="OCD67"/>
      <c r="OCE67"/>
      <c r="OCF67"/>
      <c r="OCG67"/>
      <c r="OCH67"/>
      <c r="OCI67"/>
      <c r="OCJ67"/>
      <c r="OCK67"/>
      <c r="OCL67"/>
      <c r="OCM67"/>
      <c r="OCN67"/>
      <c r="OCO67"/>
      <c r="OCP67"/>
      <c r="OCQ67"/>
      <c r="OCR67"/>
      <c r="OCS67"/>
      <c r="OCT67"/>
      <c r="OCU67"/>
      <c r="OCV67"/>
      <c r="OCW67"/>
      <c r="OCX67"/>
      <c r="OCY67"/>
      <c r="OCZ67"/>
      <c r="ODA67"/>
      <c r="ODB67"/>
      <c r="ODC67"/>
      <c r="ODD67"/>
      <c r="ODE67"/>
      <c r="ODF67"/>
      <c r="ODG67"/>
      <c r="ODH67"/>
      <c r="ODI67"/>
      <c r="ODJ67"/>
      <c r="ODK67"/>
      <c r="ODL67"/>
      <c r="ODM67"/>
      <c r="ODN67"/>
      <c r="ODO67"/>
      <c r="ODP67"/>
      <c r="ODQ67"/>
      <c r="ODR67"/>
      <c r="ODS67"/>
      <c r="ODT67"/>
      <c r="ODU67"/>
      <c r="ODV67"/>
      <c r="ODW67"/>
      <c r="ODX67"/>
      <c r="ODY67"/>
      <c r="ODZ67"/>
      <c r="OEA67"/>
      <c r="OEB67"/>
      <c r="OEC67"/>
      <c r="OED67"/>
      <c r="OEE67"/>
      <c r="OEF67"/>
      <c r="OEG67"/>
      <c r="OEH67"/>
      <c r="OEI67"/>
      <c r="OEJ67"/>
      <c r="OEK67"/>
      <c r="OEL67"/>
      <c r="OEM67"/>
      <c r="OEN67"/>
      <c r="OEO67"/>
      <c r="OEP67"/>
      <c r="OEQ67"/>
      <c r="OER67"/>
      <c r="OES67"/>
      <c r="OET67"/>
      <c r="OEU67"/>
      <c r="OEV67"/>
      <c r="OEW67"/>
      <c r="OEX67"/>
      <c r="OEY67"/>
      <c r="OEZ67"/>
      <c r="OFA67"/>
      <c r="OFB67"/>
      <c r="OFC67"/>
      <c r="OFD67"/>
      <c r="OFE67"/>
      <c r="OFF67"/>
      <c r="OFG67"/>
      <c r="OFH67"/>
      <c r="OFI67"/>
      <c r="OFJ67"/>
      <c r="OFK67"/>
      <c r="OFL67"/>
      <c r="OFM67"/>
      <c r="OFN67"/>
      <c r="OFO67"/>
      <c r="OFP67"/>
      <c r="OFQ67"/>
      <c r="OFR67"/>
      <c r="OFS67"/>
      <c r="OFT67"/>
      <c r="OFU67"/>
      <c r="OFV67"/>
      <c r="OFW67"/>
      <c r="OFX67"/>
      <c r="OFY67"/>
      <c r="OFZ67"/>
      <c r="OGA67"/>
      <c r="OGB67"/>
      <c r="OGC67"/>
      <c r="OGD67"/>
      <c r="OGE67"/>
      <c r="OGF67"/>
      <c r="OGG67"/>
      <c r="OGH67"/>
      <c r="OGI67"/>
      <c r="OGJ67"/>
      <c r="OGK67"/>
      <c r="OGL67"/>
      <c r="OGM67"/>
      <c r="OGN67"/>
      <c r="OGO67"/>
      <c r="OGP67"/>
      <c r="OGQ67"/>
      <c r="OGR67"/>
      <c r="OGS67"/>
      <c r="OGT67"/>
      <c r="OGU67"/>
      <c r="OGV67"/>
      <c r="OGW67"/>
      <c r="OGX67"/>
      <c r="OGY67"/>
      <c r="OGZ67"/>
      <c r="OHA67"/>
      <c r="OHB67"/>
      <c r="OHC67"/>
      <c r="OHD67"/>
      <c r="OHE67"/>
      <c r="OHF67"/>
      <c r="OHG67"/>
      <c r="OHH67"/>
      <c r="OHI67"/>
      <c r="OHJ67"/>
      <c r="OHK67"/>
      <c r="OHL67"/>
      <c r="OHM67"/>
      <c r="OHN67"/>
      <c r="OHO67"/>
      <c r="OHP67"/>
      <c r="OHQ67"/>
      <c r="OHR67"/>
      <c r="OHS67"/>
      <c r="OHT67"/>
      <c r="OHU67"/>
      <c r="OHV67"/>
      <c r="OHW67"/>
      <c r="OHX67"/>
      <c r="OHY67"/>
      <c r="OHZ67"/>
      <c r="OIA67"/>
      <c r="OIB67"/>
      <c r="OIC67"/>
      <c r="OID67"/>
      <c r="OIE67"/>
      <c r="OIF67"/>
      <c r="OIG67"/>
      <c r="OIH67"/>
      <c r="OII67"/>
      <c r="OIJ67"/>
      <c r="OIK67"/>
      <c r="OIL67"/>
      <c r="OIM67"/>
      <c r="OIN67"/>
      <c r="OIO67"/>
      <c r="OIP67"/>
      <c r="OIQ67"/>
      <c r="OIR67"/>
      <c r="OIS67"/>
      <c r="OIT67"/>
      <c r="OIU67"/>
      <c r="OIV67"/>
      <c r="OIW67"/>
      <c r="OIX67"/>
      <c r="OIY67"/>
      <c r="OIZ67"/>
      <c r="OJA67"/>
      <c r="OJB67"/>
      <c r="OJC67"/>
      <c r="OJD67"/>
      <c r="OJE67"/>
      <c r="OJF67"/>
      <c r="OJG67"/>
      <c r="OJH67"/>
      <c r="OJI67"/>
      <c r="OJJ67"/>
      <c r="OJK67"/>
      <c r="OJL67"/>
      <c r="OJM67"/>
      <c r="OJN67"/>
      <c r="OJO67"/>
      <c r="OJP67"/>
      <c r="OJQ67"/>
      <c r="OJR67"/>
      <c r="OJS67"/>
      <c r="OJT67"/>
      <c r="OJU67"/>
      <c r="OJV67"/>
      <c r="OJW67"/>
      <c r="OJX67"/>
      <c r="OJY67"/>
      <c r="OJZ67"/>
      <c r="OKA67"/>
      <c r="OKB67"/>
      <c r="OKC67"/>
      <c r="OKD67"/>
      <c r="OKE67"/>
      <c r="OKF67"/>
      <c r="OKG67"/>
      <c r="OKH67"/>
      <c r="OKI67"/>
      <c r="OKJ67"/>
      <c r="OKK67"/>
      <c r="OKL67"/>
      <c r="OKM67"/>
      <c r="OKN67"/>
      <c r="OKO67"/>
      <c r="OKP67"/>
      <c r="OKQ67"/>
      <c r="OKR67"/>
      <c r="OKS67"/>
      <c r="OKT67"/>
      <c r="OKU67"/>
      <c r="OKV67"/>
      <c r="OKW67"/>
      <c r="OKX67"/>
      <c r="OKY67"/>
      <c r="OKZ67"/>
      <c r="OLA67"/>
      <c r="OLB67"/>
      <c r="OLC67"/>
      <c r="OLD67"/>
      <c r="OLE67"/>
      <c r="OLF67"/>
      <c r="OLG67"/>
      <c r="OLH67"/>
      <c r="OLI67"/>
      <c r="OLJ67"/>
      <c r="OLK67"/>
      <c r="OLL67"/>
      <c r="OLM67"/>
      <c r="OLN67"/>
      <c r="OLO67"/>
      <c r="OLP67"/>
      <c r="OLQ67"/>
      <c r="OLR67"/>
      <c r="OLS67"/>
      <c r="OLT67"/>
      <c r="OLU67"/>
      <c r="OLV67"/>
      <c r="OLW67"/>
      <c r="OLX67"/>
      <c r="OLY67"/>
      <c r="OLZ67"/>
      <c r="OMA67"/>
      <c r="OMB67"/>
      <c r="OMC67"/>
      <c r="OMD67"/>
      <c r="OME67"/>
      <c r="OMF67"/>
      <c r="OMG67"/>
      <c r="OMH67"/>
      <c r="OMI67"/>
      <c r="OMJ67"/>
      <c r="OMK67"/>
      <c r="OML67"/>
      <c r="OMM67"/>
      <c r="OMN67"/>
      <c r="OMO67"/>
      <c r="OMP67"/>
      <c r="OMQ67"/>
      <c r="OMR67"/>
      <c r="OMS67"/>
      <c r="OMT67"/>
      <c r="OMU67"/>
      <c r="OMV67"/>
      <c r="OMW67"/>
      <c r="OMX67"/>
      <c r="OMY67"/>
      <c r="OMZ67"/>
      <c r="ONA67"/>
      <c r="ONB67"/>
      <c r="ONC67"/>
      <c r="OND67"/>
      <c r="ONE67"/>
      <c r="ONF67"/>
      <c r="ONG67"/>
      <c r="ONH67"/>
      <c r="ONI67"/>
      <c r="ONJ67"/>
      <c r="ONK67"/>
      <c r="ONL67"/>
      <c r="ONM67"/>
      <c r="ONN67"/>
      <c r="ONO67"/>
      <c r="ONP67"/>
      <c r="ONQ67"/>
      <c r="ONR67"/>
      <c r="ONS67"/>
      <c r="ONT67"/>
      <c r="ONU67"/>
      <c r="ONV67"/>
      <c r="ONW67"/>
      <c r="ONX67"/>
      <c r="ONY67"/>
      <c r="ONZ67"/>
      <c r="OOA67"/>
      <c r="OOB67"/>
      <c r="OOC67"/>
      <c r="OOD67"/>
      <c r="OOE67"/>
      <c r="OOF67"/>
      <c r="OOG67"/>
      <c r="OOH67"/>
      <c r="OOI67"/>
      <c r="OOJ67"/>
      <c r="OOK67"/>
      <c r="OOL67"/>
      <c r="OOM67"/>
      <c r="OON67"/>
      <c r="OOO67"/>
      <c r="OOP67"/>
      <c r="OOQ67"/>
      <c r="OOR67"/>
      <c r="OOS67"/>
      <c r="OOT67"/>
      <c r="OOU67"/>
      <c r="OOV67"/>
      <c r="OOW67"/>
      <c r="OOX67"/>
      <c r="OOY67"/>
      <c r="OOZ67"/>
      <c r="OPA67"/>
      <c r="OPB67"/>
      <c r="OPC67"/>
      <c r="OPD67"/>
      <c r="OPE67"/>
      <c r="OPF67"/>
      <c r="OPG67"/>
      <c r="OPH67"/>
      <c r="OPI67"/>
      <c r="OPJ67"/>
      <c r="OPK67"/>
      <c r="OPL67"/>
      <c r="OPM67"/>
      <c r="OPN67"/>
      <c r="OPO67"/>
      <c r="OPP67"/>
      <c r="OPQ67"/>
      <c r="OPR67"/>
      <c r="OPS67"/>
      <c r="OPT67"/>
      <c r="OPU67"/>
      <c r="OPV67"/>
      <c r="OPW67"/>
      <c r="OPX67"/>
      <c r="OPY67"/>
      <c r="OPZ67"/>
      <c r="OQA67"/>
      <c r="OQB67"/>
      <c r="OQC67"/>
      <c r="OQD67"/>
      <c r="OQE67"/>
      <c r="OQF67"/>
      <c r="OQG67"/>
      <c r="OQH67"/>
      <c r="OQI67"/>
      <c r="OQJ67"/>
      <c r="OQK67"/>
      <c r="OQL67"/>
      <c r="OQM67"/>
      <c r="OQN67"/>
      <c r="OQO67"/>
      <c r="OQP67"/>
      <c r="OQQ67"/>
      <c r="OQR67"/>
      <c r="OQS67"/>
      <c r="OQT67"/>
      <c r="OQU67"/>
      <c r="OQV67"/>
      <c r="OQW67"/>
      <c r="OQX67"/>
      <c r="OQY67"/>
      <c r="OQZ67"/>
      <c r="ORA67"/>
      <c r="ORB67"/>
      <c r="ORC67"/>
      <c r="ORD67"/>
      <c r="ORE67"/>
      <c r="ORF67"/>
      <c r="ORG67"/>
      <c r="ORH67"/>
      <c r="ORI67"/>
      <c r="ORJ67"/>
      <c r="ORK67"/>
      <c r="ORL67"/>
      <c r="ORM67"/>
      <c r="ORN67"/>
      <c r="ORO67"/>
      <c r="ORP67"/>
      <c r="ORQ67"/>
      <c r="ORR67"/>
      <c r="ORS67"/>
      <c r="ORT67"/>
      <c r="ORU67"/>
      <c r="ORV67"/>
      <c r="ORW67"/>
      <c r="ORX67"/>
      <c r="ORY67"/>
      <c r="ORZ67"/>
      <c r="OSA67"/>
      <c r="OSB67"/>
      <c r="OSC67"/>
      <c r="OSD67"/>
      <c r="OSE67"/>
      <c r="OSF67"/>
      <c r="OSG67"/>
      <c r="OSH67"/>
      <c r="OSI67"/>
      <c r="OSJ67"/>
      <c r="OSK67"/>
      <c r="OSL67"/>
      <c r="OSM67"/>
      <c r="OSN67"/>
      <c r="OSO67"/>
      <c r="OSP67"/>
      <c r="OSQ67"/>
      <c r="OSR67"/>
      <c r="OSS67"/>
      <c r="OST67"/>
      <c r="OSU67"/>
      <c r="OSV67"/>
      <c r="OSW67"/>
      <c r="OSX67"/>
      <c r="OSY67"/>
      <c r="OSZ67"/>
      <c r="OTA67"/>
      <c r="OTB67"/>
      <c r="OTC67"/>
      <c r="OTD67"/>
      <c r="OTE67"/>
      <c r="OTF67"/>
      <c r="OTG67"/>
      <c r="OTH67"/>
      <c r="OTI67"/>
      <c r="OTJ67"/>
      <c r="OTK67"/>
      <c r="OTL67"/>
      <c r="OTM67"/>
      <c r="OTN67"/>
      <c r="OTO67"/>
      <c r="OTP67"/>
      <c r="OTQ67"/>
      <c r="OTR67"/>
      <c r="OTS67"/>
      <c r="OTT67"/>
      <c r="OTU67"/>
      <c r="OTV67"/>
      <c r="OTW67"/>
      <c r="OTX67"/>
      <c r="OTY67"/>
      <c r="OTZ67"/>
      <c r="OUA67"/>
      <c r="OUB67"/>
      <c r="OUC67"/>
      <c r="OUD67"/>
      <c r="OUE67"/>
      <c r="OUF67"/>
      <c r="OUG67"/>
      <c r="OUH67"/>
      <c r="OUI67"/>
      <c r="OUJ67"/>
      <c r="OUK67"/>
      <c r="OUL67"/>
      <c r="OUM67"/>
      <c r="OUN67"/>
      <c r="OUO67"/>
      <c r="OUP67"/>
      <c r="OUQ67"/>
      <c r="OUR67"/>
      <c r="OUS67"/>
      <c r="OUT67"/>
      <c r="OUU67"/>
      <c r="OUV67"/>
      <c r="OUW67"/>
      <c r="OUX67"/>
      <c r="OUY67"/>
      <c r="OUZ67"/>
      <c r="OVA67"/>
      <c r="OVB67"/>
      <c r="OVC67"/>
      <c r="OVD67"/>
      <c r="OVE67"/>
      <c r="OVF67"/>
      <c r="OVG67"/>
      <c r="OVH67"/>
      <c r="OVI67"/>
      <c r="OVJ67"/>
      <c r="OVK67"/>
      <c r="OVL67"/>
      <c r="OVM67"/>
      <c r="OVN67"/>
      <c r="OVO67"/>
      <c r="OVP67"/>
      <c r="OVQ67"/>
      <c r="OVR67"/>
      <c r="OVS67"/>
      <c r="OVT67"/>
      <c r="OVU67"/>
      <c r="OVV67"/>
      <c r="OVW67"/>
      <c r="OVX67"/>
      <c r="OVY67"/>
      <c r="OVZ67"/>
      <c r="OWA67"/>
      <c r="OWB67"/>
      <c r="OWC67"/>
      <c r="OWD67"/>
      <c r="OWE67"/>
      <c r="OWF67"/>
      <c r="OWG67"/>
      <c r="OWH67"/>
      <c r="OWI67"/>
      <c r="OWJ67"/>
      <c r="OWK67"/>
      <c r="OWL67"/>
      <c r="OWM67"/>
      <c r="OWN67"/>
      <c r="OWO67"/>
      <c r="OWP67"/>
      <c r="OWQ67"/>
      <c r="OWR67"/>
      <c r="OWS67"/>
      <c r="OWT67"/>
      <c r="OWU67"/>
      <c r="OWV67"/>
      <c r="OWW67"/>
      <c r="OWX67"/>
      <c r="OWY67"/>
      <c r="OWZ67"/>
      <c r="OXA67"/>
      <c r="OXB67"/>
      <c r="OXC67"/>
      <c r="OXD67"/>
      <c r="OXE67"/>
      <c r="OXF67"/>
      <c r="OXG67"/>
      <c r="OXH67"/>
      <c r="OXI67"/>
      <c r="OXJ67"/>
      <c r="OXK67"/>
      <c r="OXL67"/>
      <c r="OXM67"/>
      <c r="OXN67"/>
      <c r="OXO67"/>
      <c r="OXP67"/>
      <c r="OXQ67"/>
      <c r="OXR67"/>
      <c r="OXS67"/>
      <c r="OXT67"/>
      <c r="OXU67"/>
      <c r="OXV67"/>
      <c r="OXW67"/>
      <c r="OXX67"/>
      <c r="OXY67"/>
      <c r="OXZ67"/>
      <c r="OYA67"/>
      <c r="OYB67"/>
      <c r="OYC67"/>
      <c r="OYD67"/>
      <c r="OYE67"/>
      <c r="OYF67"/>
      <c r="OYG67"/>
      <c r="OYH67"/>
      <c r="OYI67"/>
      <c r="OYJ67"/>
      <c r="OYK67"/>
      <c r="OYL67"/>
      <c r="OYM67"/>
      <c r="OYN67"/>
      <c r="OYO67"/>
      <c r="OYP67"/>
      <c r="OYQ67"/>
      <c r="OYR67"/>
      <c r="OYS67"/>
      <c r="OYT67"/>
      <c r="OYU67"/>
      <c r="OYV67"/>
      <c r="OYW67"/>
      <c r="OYX67"/>
      <c r="OYY67"/>
      <c r="OYZ67"/>
      <c r="OZA67"/>
      <c r="OZB67"/>
      <c r="OZC67"/>
      <c r="OZD67"/>
      <c r="OZE67"/>
      <c r="OZF67"/>
      <c r="OZG67"/>
      <c r="OZH67"/>
      <c r="OZI67"/>
      <c r="OZJ67"/>
      <c r="OZK67"/>
      <c r="OZL67"/>
      <c r="OZM67"/>
      <c r="OZN67"/>
      <c r="OZO67"/>
      <c r="OZP67"/>
      <c r="OZQ67"/>
      <c r="OZR67"/>
      <c r="OZS67"/>
      <c r="OZT67"/>
      <c r="OZU67"/>
      <c r="OZV67"/>
      <c r="OZW67"/>
      <c r="OZX67"/>
      <c r="OZY67"/>
      <c r="OZZ67"/>
      <c r="PAA67"/>
      <c r="PAB67"/>
      <c r="PAC67"/>
      <c r="PAD67"/>
      <c r="PAE67"/>
      <c r="PAF67"/>
      <c r="PAG67"/>
      <c r="PAH67"/>
      <c r="PAI67"/>
      <c r="PAJ67"/>
      <c r="PAK67"/>
      <c r="PAL67"/>
      <c r="PAM67"/>
      <c r="PAN67"/>
      <c r="PAO67"/>
      <c r="PAP67"/>
      <c r="PAQ67"/>
      <c r="PAR67"/>
      <c r="PAS67"/>
      <c r="PAT67"/>
      <c r="PAU67"/>
      <c r="PAV67"/>
      <c r="PAW67"/>
      <c r="PAX67"/>
      <c r="PAY67"/>
      <c r="PAZ67"/>
      <c r="PBA67"/>
      <c r="PBB67"/>
      <c r="PBC67"/>
      <c r="PBD67"/>
      <c r="PBE67"/>
      <c r="PBF67"/>
      <c r="PBG67"/>
      <c r="PBH67"/>
      <c r="PBI67"/>
      <c r="PBJ67"/>
      <c r="PBK67"/>
      <c r="PBL67"/>
      <c r="PBM67"/>
      <c r="PBN67"/>
      <c r="PBO67"/>
      <c r="PBP67"/>
      <c r="PBQ67"/>
      <c r="PBR67"/>
      <c r="PBS67"/>
      <c r="PBT67"/>
      <c r="PBU67"/>
      <c r="PBV67"/>
      <c r="PBW67"/>
      <c r="PBX67"/>
      <c r="PBY67"/>
      <c r="PBZ67"/>
      <c r="PCA67"/>
      <c r="PCB67"/>
      <c r="PCC67"/>
      <c r="PCD67"/>
      <c r="PCE67"/>
      <c r="PCF67"/>
      <c r="PCG67"/>
      <c r="PCH67"/>
      <c r="PCI67"/>
      <c r="PCJ67"/>
      <c r="PCK67"/>
      <c r="PCL67"/>
      <c r="PCM67"/>
      <c r="PCN67"/>
      <c r="PCO67"/>
      <c r="PCP67"/>
      <c r="PCQ67"/>
      <c r="PCR67"/>
      <c r="PCS67"/>
      <c r="PCT67"/>
      <c r="PCU67"/>
      <c r="PCV67"/>
      <c r="PCW67"/>
      <c r="PCX67"/>
      <c r="PCY67"/>
      <c r="PCZ67"/>
      <c r="PDA67"/>
      <c r="PDB67"/>
      <c r="PDC67"/>
      <c r="PDD67"/>
      <c r="PDE67"/>
      <c r="PDF67"/>
      <c r="PDG67"/>
      <c r="PDH67"/>
      <c r="PDI67"/>
      <c r="PDJ67"/>
      <c r="PDK67"/>
      <c r="PDL67"/>
      <c r="PDM67"/>
      <c r="PDN67"/>
      <c r="PDO67"/>
      <c r="PDP67"/>
      <c r="PDQ67"/>
      <c r="PDR67"/>
      <c r="PDS67"/>
      <c r="PDT67"/>
      <c r="PDU67"/>
      <c r="PDV67"/>
      <c r="PDW67"/>
      <c r="PDX67"/>
      <c r="PDY67"/>
      <c r="PDZ67"/>
      <c r="PEA67"/>
      <c r="PEB67"/>
      <c r="PEC67"/>
      <c r="PED67"/>
      <c r="PEE67"/>
      <c r="PEF67"/>
      <c r="PEG67"/>
      <c r="PEH67"/>
      <c r="PEI67"/>
      <c r="PEJ67"/>
      <c r="PEK67"/>
      <c r="PEL67"/>
      <c r="PEM67"/>
      <c r="PEN67"/>
      <c r="PEO67"/>
      <c r="PEP67"/>
      <c r="PEQ67"/>
      <c r="PER67"/>
      <c r="PES67"/>
      <c r="PET67"/>
      <c r="PEU67"/>
      <c r="PEV67"/>
      <c r="PEW67"/>
      <c r="PEX67"/>
      <c r="PEY67"/>
      <c r="PEZ67"/>
      <c r="PFA67"/>
      <c r="PFB67"/>
      <c r="PFC67"/>
      <c r="PFD67"/>
      <c r="PFE67"/>
      <c r="PFF67"/>
      <c r="PFG67"/>
      <c r="PFH67"/>
      <c r="PFI67"/>
      <c r="PFJ67"/>
      <c r="PFK67"/>
      <c r="PFL67"/>
      <c r="PFM67"/>
      <c r="PFN67"/>
      <c r="PFO67"/>
      <c r="PFP67"/>
      <c r="PFQ67"/>
      <c r="PFR67"/>
      <c r="PFS67"/>
      <c r="PFT67"/>
      <c r="PFU67"/>
      <c r="PFV67"/>
      <c r="PFW67"/>
      <c r="PFX67"/>
      <c r="PFY67"/>
      <c r="PFZ67"/>
      <c r="PGA67"/>
      <c r="PGB67"/>
      <c r="PGC67"/>
      <c r="PGD67"/>
      <c r="PGE67"/>
      <c r="PGF67"/>
      <c r="PGG67"/>
      <c r="PGH67"/>
      <c r="PGI67"/>
      <c r="PGJ67"/>
      <c r="PGK67"/>
      <c r="PGL67"/>
      <c r="PGM67"/>
      <c r="PGN67"/>
      <c r="PGO67"/>
      <c r="PGP67"/>
      <c r="PGQ67"/>
      <c r="PGR67"/>
      <c r="PGS67"/>
      <c r="PGT67"/>
      <c r="PGU67"/>
      <c r="PGV67"/>
      <c r="PGW67"/>
      <c r="PGX67"/>
      <c r="PGY67"/>
      <c r="PGZ67"/>
      <c r="PHA67"/>
      <c r="PHB67"/>
      <c r="PHC67"/>
      <c r="PHD67"/>
      <c r="PHE67"/>
      <c r="PHF67"/>
      <c r="PHG67"/>
      <c r="PHH67"/>
      <c r="PHI67"/>
      <c r="PHJ67"/>
      <c r="PHK67"/>
      <c r="PHL67"/>
      <c r="PHM67"/>
      <c r="PHN67"/>
      <c r="PHO67"/>
      <c r="PHP67"/>
      <c r="PHQ67"/>
      <c r="PHR67"/>
      <c r="PHS67"/>
      <c r="PHT67"/>
      <c r="PHU67"/>
      <c r="PHV67"/>
      <c r="PHW67"/>
      <c r="PHX67"/>
      <c r="PHY67"/>
      <c r="PHZ67"/>
      <c r="PIA67"/>
      <c r="PIB67"/>
      <c r="PIC67"/>
      <c r="PID67"/>
      <c r="PIE67"/>
      <c r="PIF67"/>
      <c r="PIG67"/>
      <c r="PIH67"/>
      <c r="PII67"/>
      <c r="PIJ67"/>
      <c r="PIK67"/>
      <c r="PIL67"/>
      <c r="PIM67"/>
      <c r="PIN67"/>
      <c r="PIO67"/>
      <c r="PIP67"/>
      <c r="PIQ67"/>
      <c r="PIR67"/>
      <c r="PIS67"/>
      <c r="PIT67"/>
      <c r="PIU67"/>
      <c r="PIV67"/>
      <c r="PIW67"/>
      <c r="PIX67"/>
      <c r="PIY67"/>
      <c r="PIZ67"/>
      <c r="PJA67"/>
      <c r="PJB67"/>
      <c r="PJC67"/>
      <c r="PJD67"/>
      <c r="PJE67"/>
      <c r="PJF67"/>
      <c r="PJG67"/>
      <c r="PJH67"/>
      <c r="PJI67"/>
      <c r="PJJ67"/>
      <c r="PJK67"/>
      <c r="PJL67"/>
      <c r="PJM67"/>
      <c r="PJN67"/>
      <c r="PJO67"/>
      <c r="PJP67"/>
      <c r="PJQ67"/>
      <c r="PJR67"/>
      <c r="PJS67"/>
      <c r="PJT67"/>
      <c r="PJU67"/>
      <c r="PJV67"/>
      <c r="PJW67"/>
      <c r="PJX67"/>
      <c r="PJY67"/>
      <c r="PJZ67"/>
      <c r="PKA67"/>
      <c r="PKB67"/>
      <c r="PKC67"/>
      <c r="PKD67"/>
      <c r="PKE67"/>
      <c r="PKF67"/>
      <c r="PKG67"/>
      <c r="PKH67"/>
      <c r="PKI67"/>
      <c r="PKJ67"/>
      <c r="PKK67"/>
      <c r="PKL67"/>
      <c r="PKM67"/>
      <c r="PKN67"/>
      <c r="PKO67"/>
      <c r="PKP67"/>
      <c r="PKQ67"/>
      <c r="PKR67"/>
      <c r="PKS67"/>
      <c r="PKT67"/>
      <c r="PKU67"/>
      <c r="PKV67"/>
      <c r="PKW67"/>
      <c r="PKX67"/>
      <c r="PKY67"/>
      <c r="PKZ67"/>
      <c r="PLA67"/>
      <c r="PLB67"/>
      <c r="PLC67"/>
      <c r="PLD67"/>
      <c r="PLE67"/>
      <c r="PLF67"/>
      <c r="PLG67"/>
      <c r="PLH67"/>
      <c r="PLI67"/>
      <c r="PLJ67"/>
      <c r="PLK67"/>
      <c r="PLL67"/>
      <c r="PLM67"/>
      <c r="PLN67"/>
      <c r="PLO67"/>
      <c r="PLP67"/>
      <c r="PLQ67"/>
      <c r="PLR67"/>
      <c r="PLS67"/>
      <c r="PLT67"/>
      <c r="PLU67"/>
      <c r="PLV67"/>
      <c r="PLW67"/>
      <c r="PLX67"/>
      <c r="PLY67"/>
      <c r="PLZ67"/>
      <c r="PMA67"/>
      <c r="PMB67"/>
      <c r="PMC67"/>
      <c r="PMD67"/>
      <c r="PME67"/>
      <c r="PMF67"/>
      <c r="PMG67"/>
      <c r="PMH67"/>
      <c r="PMI67"/>
      <c r="PMJ67"/>
      <c r="PMK67"/>
      <c r="PML67"/>
      <c r="PMM67"/>
      <c r="PMN67"/>
      <c r="PMO67"/>
      <c r="PMP67"/>
      <c r="PMQ67"/>
      <c r="PMR67"/>
      <c r="PMS67"/>
      <c r="PMT67"/>
      <c r="PMU67"/>
      <c r="PMV67"/>
      <c r="PMW67"/>
      <c r="PMX67"/>
      <c r="PMY67"/>
      <c r="PMZ67"/>
      <c r="PNA67"/>
      <c r="PNB67"/>
      <c r="PNC67"/>
      <c r="PND67"/>
      <c r="PNE67"/>
      <c r="PNF67"/>
      <c r="PNG67"/>
      <c r="PNH67"/>
      <c r="PNI67"/>
      <c r="PNJ67"/>
      <c r="PNK67"/>
      <c r="PNL67"/>
      <c r="PNM67"/>
      <c r="PNN67"/>
      <c r="PNO67"/>
      <c r="PNP67"/>
      <c r="PNQ67"/>
      <c r="PNR67"/>
      <c r="PNS67"/>
      <c r="PNT67"/>
      <c r="PNU67"/>
      <c r="PNV67"/>
      <c r="PNW67"/>
      <c r="PNX67"/>
      <c r="PNY67"/>
      <c r="PNZ67"/>
      <c r="POA67"/>
      <c r="POB67"/>
      <c r="POC67"/>
      <c r="POD67"/>
      <c r="POE67"/>
      <c r="POF67"/>
      <c r="POG67"/>
      <c r="POH67"/>
      <c r="POI67"/>
      <c r="POJ67"/>
      <c r="POK67"/>
      <c r="POL67"/>
      <c r="POM67"/>
      <c r="PON67"/>
      <c r="POO67"/>
      <c r="POP67"/>
      <c r="POQ67"/>
      <c r="POR67"/>
      <c r="POS67"/>
      <c r="POT67"/>
      <c r="POU67"/>
      <c r="POV67"/>
      <c r="POW67"/>
      <c r="POX67"/>
      <c r="POY67"/>
      <c r="POZ67"/>
      <c r="PPA67"/>
      <c r="PPB67"/>
      <c r="PPC67"/>
      <c r="PPD67"/>
      <c r="PPE67"/>
      <c r="PPF67"/>
      <c r="PPG67"/>
      <c r="PPH67"/>
      <c r="PPI67"/>
      <c r="PPJ67"/>
      <c r="PPK67"/>
      <c r="PPL67"/>
      <c r="PPM67"/>
      <c r="PPN67"/>
      <c r="PPO67"/>
      <c r="PPP67"/>
      <c r="PPQ67"/>
      <c r="PPR67"/>
      <c r="PPS67"/>
      <c r="PPT67"/>
      <c r="PPU67"/>
      <c r="PPV67"/>
      <c r="PPW67"/>
      <c r="PPX67"/>
      <c r="PPY67"/>
      <c r="PPZ67"/>
      <c r="PQA67"/>
      <c r="PQB67"/>
      <c r="PQC67"/>
      <c r="PQD67"/>
      <c r="PQE67"/>
      <c r="PQF67"/>
      <c r="PQG67"/>
      <c r="PQH67"/>
      <c r="PQI67"/>
      <c r="PQJ67"/>
      <c r="PQK67"/>
      <c r="PQL67"/>
      <c r="PQM67"/>
      <c r="PQN67"/>
      <c r="PQO67"/>
      <c r="PQP67"/>
      <c r="PQQ67"/>
      <c r="PQR67"/>
      <c r="PQS67"/>
      <c r="PQT67"/>
      <c r="PQU67"/>
      <c r="PQV67"/>
      <c r="PQW67"/>
      <c r="PQX67"/>
      <c r="PQY67"/>
      <c r="PQZ67"/>
      <c r="PRA67"/>
      <c r="PRB67"/>
      <c r="PRC67"/>
      <c r="PRD67"/>
      <c r="PRE67"/>
      <c r="PRF67"/>
      <c r="PRG67"/>
      <c r="PRH67"/>
      <c r="PRI67"/>
      <c r="PRJ67"/>
      <c r="PRK67"/>
      <c r="PRL67"/>
      <c r="PRM67"/>
      <c r="PRN67"/>
      <c r="PRO67"/>
      <c r="PRP67"/>
      <c r="PRQ67"/>
      <c r="PRR67"/>
      <c r="PRS67"/>
      <c r="PRT67"/>
      <c r="PRU67"/>
      <c r="PRV67"/>
      <c r="PRW67"/>
      <c r="PRX67"/>
      <c r="PRY67"/>
      <c r="PRZ67"/>
      <c r="PSA67"/>
      <c r="PSB67"/>
      <c r="PSC67"/>
      <c r="PSD67"/>
      <c r="PSE67"/>
      <c r="PSF67"/>
      <c r="PSG67"/>
      <c r="PSH67"/>
      <c r="PSI67"/>
      <c r="PSJ67"/>
      <c r="PSK67"/>
      <c r="PSL67"/>
      <c r="PSM67"/>
      <c r="PSN67"/>
      <c r="PSO67"/>
      <c r="PSP67"/>
      <c r="PSQ67"/>
      <c r="PSR67"/>
      <c r="PSS67"/>
      <c r="PST67"/>
      <c r="PSU67"/>
      <c r="PSV67"/>
      <c r="PSW67"/>
      <c r="PSX67"/>
      <c r="PSY67"/>
      <c r="PSZ67"/>
      <c r="PTA67"/>
      <c r="PTB67"/>
      <c r="PTC67"/>
      <c r="PTD67"/>
      <c r="PTE67"/>
      <c r="PTF67"/>
      <c r="PTG67"/>
      <c r="PTH67"/>
      <c r="PTI67"/>
      <c r="PTJ67"/>
      <c r="PTK67"/>
      <c r="PTL67"/>
      <c r="PTM67"/>
      <c r="PTN67"/>
      <c r="PTO67"/>
      <c r="PTP67"/>
      <c r="PTQ67"/>
      <c r="PTR67"/>
      <c r="PTS67"/>
      <c r="PTT67"/>
      <c r="PTU67"/>
      <c r="PTV67"/>
      <c r="PTW67"/>
      <c r="PTX67"/>
      <c r="PTY67"/>
      <c r="PTZ67"/>
      <c r="PUA67"/>
      <c r="PUB67"/>
      <c r="PUC67"/>
      <c r="PUD67"/>
      <c r="PUE67"/>
      <c r="PUF67"/>
      <c r="PUG67"/>
      <c r="PUH67"/>
      <c r="PUI67"/>
      <c r="PUJ67"/>
      <c r="PUK67"/>
      <c r="PUL67"/>
      <c r="PUM67"/>
      <c r="PUN67"/>
      <c r="PUO67"/>
      <c r="PUP67"/>
      <c r="PUQ67"/>
      <c r="PUR67"/>
      <c r="PUS67"/>
      <c r="PUT67"/>
      <c r="PUU67"/>
      <c r="PUV67"/>
      <c r="PUW67"/>
      <c r="PUX67"/>
      <c r="PUY67"/>
      <c r="PUZ67"/>
      <c r="PVA67"/>
      <c r="PVB67"/>
      <c r="PVC67"/>
      <c r="PVD67"/>
      <c r="PVE67"/>
      <c r="PVF67"/>
      <c r="PVG67"/>
      <c r="PVH67"/>
      <c r="PVI67"/>
      <c r="PVJ67"/>
      <c r="PVK67"/>
      <c r="PVL67"/>
      <c r="PVM67"/>
      <c r="PVN67"/>
      <c r="PVO67"/>
      <c r="PVP67"/>
      <c r="PVQ67"/>
      <c r="PVR67"/>
      <c r="PVS67"/>
      <c r="PVT67"/>
      <c r="PVU67"/>
      <c r="PVV67"/>
      <c r="PVW67"/>
      <c r="PVX67"/>
      <c r="PVY67"/>
      <c r="PVZ67"/>
      <c r="PWA67"/>
      <c r="PWB67"/>
      <c r="PWC67"/>
      <c r="PWD67"/>
      <c r="PWE67"/>
      <c r="PWF67"/>
      <c r="PWG67"/>
      <c r="PWH67"/>
      <c r="PWI67"/>
      <c r="PWJ67"/>
      <c r="PWK67"/>
      <c r="PWL67"/>
      <c r="PWM67"/>
      <c r="PWN67"/>
      <c r="PWO67"/>
      <c r="PWP67"/>
      <c r="PWQ67"/>
      <c r="PWR67"/>
      <c r="PWS67"/>
      <c r="PWT67"/>
      <c r="PWU67"/>
      <c r="PWV67"/>
      <c r="PWW67"/>
      <c r="PWX67"/>
      <c r="PWY67"/>
      <c r="PWZ67"/>
      <c r="PXA67"/>
      <c r="PXB67"/>
      <c r="PXC67"/>
      <c r="PXD67"/>
      <c r="PXE67"/>
      <c r="PXF67"/>
      <c r="PXG67"/>
      <c r="PXH67"/>
      <c r="PXI67"/>
      <c r="PXJ67"/>
      <c r="PXK67"/>
      <c r="PXL67"/>
      <c r="PXM67"/>
      <c r="PXN67"/>
      <c r="PXO67"/>
      <c r="PXP67"/>
      <c r="PXQ67"/>
      <c r="PXR67"/>
      <c r="PXS67"/>
      <c r="PXT67"/>
      <c r="PXU67"/>
      <c r="PXV67"/>
      <c r="PXW67"/>
      <c r="PXX67"/>
      <c r="PXY67"/>
      <c r="PXZ67"/>
      <c r="PYA67"/>
      <c r="PYB67"/>
      <c r="PYC67"/>
      <c r="PYD67"/>
      <c r="PYE67"/>
      <c r="PYF67"/>
      <c r="PYG67"/>
      <c r="PYH67"/>
      <c r="PYI67"/>
      <c r="PYJ67"/>
      <c r="PYK67"/>
      <c r="PYL67"/>
      <c r="PYM67"/>
      <c r="PYN67"/>
      <c r="PYO67"/>
      <c r="PYP67"/>
      <c r="PYQ67"/>
      <c r="PYR67"/>
      <c r="PYS67"/>
      <c r="PYT67"/>
      <c r="PYU67"/>
      <c r="PYV67"/>
      <c r="PYW67"/>
      <c r="PYX67"/>
      <c r="PYY67"/>
      <c r="PYZ67"/>
      <c r="PZA67"/>
      <c r="PZB67"/>
      <c r="PZC67"/>
      <c r="PZD67"/>
      <c r="PZE67"/>
      <c r="PZF67"/>
      <c r="PZG67"/>
      <c r="PZH67"/>
      <c r="PZI67"/>
      <c r="PZJ67"/>
      <c r="PZK67"/>
      <c r="PZL67"/>
      <c r="PZM67"/>
      <c r="PZN67"/>
      <c r="PZO67"/>
      <c r="PZP67"/>
      <c r="PZQ67"/>
      <c r="PZR67"/>
      <c r="PZS67"/>
      <c r="PZT67"/>
      <c r="PZU67"/>
      <c r="PZV67"/>
      <c r="PZW67"/>
      <c r="PZX67"/>
      <c r="PZY67"/>
      <c r="PZZ67"/>
      <c r="QAA67"/>
      <c r="QAB67"/>
      <c r="QAC67"/>
      <c r="QAD67"/>
      <c r="QAE67"/>
      <c r="QAF67"/>
      <c r="QAG67"/>
      <c r="QAH67"/>
      <c r="QAI67"/>
      <c r="QAJ67"/>
      <c r="QAK67"/>
      <c r="QAL67"/>
      <c r="QAM67"/>
      <c r="QAN67"/>
      <c r="QAO67"/>
      <c r="QAP67"/>
      <c r="QAQ67"/>
      <c r="QAR67"/>
      <c r="QAS67"/>
      <c r="QAT67"/>
      <c r="QAU67"/>
      <c r="QAV67"/>
      <c r="QAW67"/>
      <c r="QAX67"/>
      <c r="QAY67"/>
      <c r="QAZ67"/>
      <c r="QBA67"/>
      <c r="QBB67"/>
      <c r="QBC67"/>
      <c r="QBD67"/>
      <c r="QBE67"/>
      <c r="QBF67"/>
      <c r="QBG67"/>
      <c r="QBH67"/>
      <c r="QBI67"/>
      <c r="QBJ67"/>
      <c r="QBK67"/>
      <c r="QBL67"/>
      <c r="QBM67"/>
      <c r="QBN67"/>
      <c r="QBO67"/>
      <c r="QBP67"/>
      <c r="QBQ67"/>
      <c r="QBR67"/>
      <c r="QBS67"/>
      <c r="QBT67"/>
      <c r="QBU67"/>
      <c r="QBV67"/>
      <c r="QBW67"/>
      <c r="QBX67"/>
      <c r="QBY67"/>
      <c r="QBZ67"/>
      <c r="QCA67"/>
      <c r="QCB67"/>
      <c r="QCC67"/>
      <c r="QCD67"/>
      <c r="QCE67"/>
      <c r="QCF67"/>
      <c r="QCG67"/>
      <c r="QCH67"/>
      <c r="QCI67"/>
      <c r="QCJ67"/>
      <c r="QCK67"/>
      <c r="QCL67"/>
      <c r="QCM67"/>
      <c r="QCN67"/>
      <c r="QCO67"/>
      <c r="QCP67"/>
      <c r="QCQ67"/>
      <c r="QCR67"/>
      <c r="QCS67"/>
      <c r="QCT67"/>
      <c r="QCU67"/>
      <c r="QCV67"/>
      <c r="QCW67"/>
      <c r="QCX67"/>
      <c r="QCY67"/>
      <c r="QCZ67"/>
      <c r="QDA67"/>
      <c r="QDB67"/>
      <c r="QDC67"/>
      <c r="QDD67"/>
      <c r="QDE67"/>
      <c r="QDF67"/>
      <c r="QDG67"/>
      <c r="QDH67"/>
      <c r="QDI67"/>
      <c r="QDJ67"/>
      <c r="QDK67"/>
      <c r="QDL67"/>
      <c r="QDM67"/>
      <c r="QDN67"/>
      <c r="QDO67"/>
      <c r="QDP67"/>
      <c r="QDQ67"/>
      <c r="QDR67"/>
      <c r="QDS67"/>
      <c r="QDT67"/>
      <c r="QDU67"/>
      <c r="QDV67"/>
      <c r="QDW67"/>
      <c r="QDX67"/>
      <c r="QDY67"/>
      <c r="QDZ67"/>
      <c r="QEA67"/>
      <c r="QEB67"/>
      <c r="QEC67"/>
      <c r="QED67"/>
      <c r="QEE67"/>
      <c r="QEF67"/>
      <c r="QEG67"/>
      <c r="QEH67"/>
      <c r="QEI67"/>
      <c r="QEJ67"/>
      <c r="QEK67"/>
      <c r="QEL67"/>
      <c r="QEM67"/>
      <c r="QEN67"/>
      <c r="QEO67"/>
      <c r="QEP67"/>
      <c r="QEQ67"/>
      <c r="QER67"/>
      <c r="QES67"/>
      <c r="QET67"/>
      <c r="QEU67"/>
      <c r="QEV67"/>
      <c r="QEW67"/>
      <c r="QEX67"/>
      <c r="QEY67"/>
      <c r="QEZ67"/>
      <c r="QFA67"/>
      <c r="QFB67"/>
      <c r="QFC67"/>
      <c r="QFD67"/>
      <c r="QFE67"/>
      <c r="QFF67"/>
      <c r="QFG67"/>
      <c r="QFH67"/>
      <c r="QFI67"/>
      <c r="QFJ67"/>
      <c r="QFK67"/>
      <c r="QFL67"/>
      <c r="QFM67"/>
      <c r="QFN67"/>
      <c r="QFO67"/>
      <c r="QFP67"/>
      <c r="QFQ67"/>
      <c r="QFR67"/>
      <c r="QFS67"/>
      <c r="QFT67"/>
      <c r="QFU67"/>
      <c r="QFV67"/>
      <c r="QFW67"/>
      <c r="QFX67"/>
      <c r="QFY67"/>
      <c r="QFZ67"/>
      <c r="QGA67"/>
      <c r="QGB67"/>
      <c r="QGC67"/>
      <c r="QGD67"/>
      <c r="QGE67"/>
      <c r="QGF67"/>
      <c r="QGG67"/>
      <c r="QGH67"/>
      <c r="QGI67"/>
      <c r="QGJ67"/>
      <c r="QGK67"/>
      <c r="QGL67"/>
      <c r="QGM67"/>
      <c r="QGN67"/>
      <c r="QGO67"/>
      <c r="QGP67"/>
      <c r="QGQ67"/>
      <c r="QGR67"/>
      <c r="QGS67"/>
      <c r="QGT67"/>
      <c r="QGU67"/>
      <c r="QGV67"/>
      <c r="QGW67"/>
      <c r="QGX67"/>
      <c r="QGY67"/>
      <c r="QGZ67"/>
      <c r="QHA67"/>
      <c r="QHB67"/>
      <c r="QHC67"/>
      <c r="QHD67"/>
      <c r="QHE67"/>
      <c r="QHF67"/>
      <c r="QHG67"/>
      <c r="QHH67"/>
      <c r="QHI67"/>
      <c r="QHJ67"/>
      <c r="QHK67"/>
      <c r="QHL67"/>
      <c r="QHM67"/>
      <c r="QHN67"/>
      <c r="QHO67"/>
      <c r="QHP67"/>
      <c r="QHQ67"/>
      <c r="QHR67"/>
      <c r="QHS67"/>
      <c r="QHT67"/>
      <c r="QHU67"/>
      <c r="QHV67"/>
      <c r="QHW67"/>
      <c r="QHX67"/>
      <c r="QHY67"/>
      <c r="QHZ67"/>
      <c r="QIA67"/>
      <c r="QIB67"/>
      <c r="QIC67"/>
      <c r="QID67"/>
      <c r="QIE67"/>
      <c r="QIF67"/>
      <c r="QIG67"/>
      <c r="QIH67"/>
      <c r="QII67"/>
      <c r="QIJ67"/>
      <c r="QIK67"/>
      <c r="QIL67"/>
      <c r="QIM67"/>
      <c r="QIN67"/>
      <c r="QIO67"/>
      <c r="QIP67"/>
      <c r="QIQ67"/>
      <c r="QIR67"/>
      <c r="QIS67"/>
      <c r="QIT67"/>
      <c r="QIU67"/>
      <c r="QIV67"/>
      <c r="QIW67"/>
      <c r="QIX67"/>
      <c r="QIY67"/>
      <c r="QIZ67"/>
      <c r="QJA67"/>
      <c r="QJB67"/>
      <c r="QJC67"/>
      <c r="QJD67"/>
      <c r="QJE67"/>
      <c r="QJF67"/>
      <c r="QJG67"/>
      <c r="QJH67"/>
      <c r="QJI67"/>
      <c r="QJJ67"/>
      <c r="QJK67"/>
      <c r="QJL67"/>
      <c r="QJM67"/>
      <c r="QJN67"/>
      <c r="QJO67"/>
      <c r="QJP67"/>
      <c r="QJQ67"/>
      <c r="QJR67"/>
      <c r="QJS67"/>
      <c r="QJT67"/>
      <c r="QJU67"/>
      <c r="QJV67"/>
      <c r="QJW67"/>
      <c r="QJX67"/>
      <c r="QJY67"/>
      <c r="QJZ67"/>
      <c r="QKA67"/>
      <c r="QKB67"/>
      <c r="QKC67"/>
      <c r="QKD67"/>
      <c r="QKE67"/>
      <c r="QKF67"/>
      <c r="QKG67"/>
      <c r="QKH67"/>
      <c r="QKI67"/>
      <c r="QKJ67"/>
      <c r="QKK67"/>
      <c r="QKL67"/>
      <c r="QKM67"/>
      <c r="QKN67"/>
      <c r="QKO67"/>
      <c r="QKP67"/>
      <c r="QKQ67"/>
      <c r="QKR67"/>
      <c r="QKS67"/>
      <c r="QKT67"/>
      <c r="QKU67"/>
      <c r="QKV67"/>
      <c r="QKW67"/>
      <c r="QKX67"/>
      <c r="QKY67"/>
      <c r="QKZ67"/>
      <c r="QLA67"/>
      <c r="QLB67"/>
      <c r="QLC67"/>
      <c r="QLD67"/>
      <c r="QLE67"/>
      <c r="QLF67"/>
      <c r="QLG67"/>
      <c r="QLH67"/>
      <c r="QLI67"/>
      <c r="QLJ67"/>
      <c r="QLK67"/>
      <c r="QLL67"/>
      <c r="QLM67"/>
      <c r="QLN67"/>
      <c r="QLO67"/>
      <c r="QLP67"/>
      <c r="QLQ67"/>
      <c r="QLR67"/>
      <c r="QLS67"/>
      <c r="QLT67"/>
      <c r="QLU67"/>
      <c r="QLV67"/>
      <c r="QLW67"/>
      <c r="QLX67"/>
      <c r="QLY67"/>
      <c r="QLZ67"/>
      <c r="QMA67"/>
      <c r="QMB67"/>
      <c r="QMC67"/>
      <c r="QMD67"/>
      <c r="QME67"/>
      <c r="QMF67"/>
      <c r="QMG67"/>
      <c r="QMH67"/>
      <c r="QMI67"/>
      <c r="QMJ67"/>
      <c r="QMK67"/>
      <c r="QML67"/>
      <c r="QMM67"/>
      <c r="QMN67"/>
      <c r="QMO67"/>
      <c r="QMP67"/>
      <c r="QMQ67"/>
      <c r="QMR67"/>
      <c r="QMS67"/>
      <c r="QMT67"/>
      <c r="QMU67"/>
      <c r="QMV67"/>
      <c r="QMW67"/>
      <c r="QMX67"/>
      <c r="QMY67"/>
      <c r="QMZ67"/>
      <c r="QNA67"/>
      <c r="QNB67"/>
      <c r="QNC67"/>
      <c r="QND67"/>
      <c r="QNE67"/>
      <c r="QNF67"/>
      <c r="QNG67"/>
      <c r="QNH67"/>
      <c r="QNI67"/>
      <c r="QNJ67"/>
      <c r="QNK67"/>
      <c r="QNL67"/>
      <c r="QNM67"/>
      <c r="QNN67"/>
      <c r="QNO67"/>
      <c r="QNP67"/>
      <c r="QNQ67"/>
      <c r="QNR67"/>
      <c r="QNS67"/>
      <c r="QNT67"/>
      <c r="QNU67"/>
      <c r="QNV67"/>
      <c r="QNW67"/>
      <c r="QNX67"/>
      <c r="QNY67"/>
      <c r="QNZ67"/>
      <c r="QOA67"/>
      <c r="QOB67"/>
      <c r="QOC67"/>
      <c r="QOD67"/>
      <c r="QOE67"/>
      <c r="QOF67"/>
      <c r="QOG67"/>
      <c r="QOH67"/>
      <c r="QOI67"/>
      <c r="QOJ67"/>
      <c r="QOK67"/>
      <c r="QOL67"/>
      <c r="QOM67"/>
      <c r="QON67"/>
      <c r="QOO67"/>
      <c r="QOP67"/>
      <c r="QOQ67"/>
      <c r="QOR67"/>
      <c r="QOS67"/>
      <c r="QOT67"/>
      <c r="QOU67"/>
      <c r="QOV67"/>
      <c r="QOW67"/>
      <c r="QOX67"/>
      <c r="QOY67"/>
      <c r="QOZ67"/>
      <c r="QPA67"/>
      <c r="QPB67"/>
      <c r="QPC67"/>
      <c r="QPD67"/>
      <c r="QPE67"/>
      <c r="QPF67"/>
      <c r="QPG67"/>
      <c r="QPH67"/>
      <c r="QPI67"/>
      <c r="QPJ67"/>
      <c r="QPK67"/>
      <c r="QPL67"/>
      <c r="QPM67"/>
      <c r="QPN67"/>
      <c r="QPO67"/>
      <c r="QPP67"/>
      <c r="QPQ67"/>
      <c r="QPR67"/>
      <c r="QPS67"/>
      <c r="QPT67"/>
      <c r="QPU67"/>
      <c r="QPV67"/>
      <c r="QPW67"/>
      <c r="QPX67"/>
      <c r="QPY67"/>
      <c r="QPZ67"/>
      <c r="QQA67"/>
      <c r="QQB67"/>
      <c r="QQC67"/>
      <c r="QQD67"/>
      <c r="QQE67"/>
      <c r="QQF67"/>
      <c r="QQG67"/>
      <c r="QQH67"/>
      <c r="QQI67"/>
      <c r="QQJ67"/>
      <c r="QQK67"/>
      <c r="QQL67"/>
      <c r="QQM67"/>
      <c r="QQN67"/>
      <c r="QQO67"/>
      <c r="QQP67"/>
      <c r="QQQ67"/>
      <c r="QQR67"/>
      <c r="QQS67"/>
      <c r="QQT67"/>
      <c r="QQU67"/>
      <c r="QQV67"/>
      <c r="QQW67"/>
      <c r="QQX67"/>
      <c r="QQY67"/>
      <c r="QQZ67"/>
      <c r="QRA67"/>
      <c r="QRB67"/>
      <c r="QRC67"/>
      <c r="QRD67"/>
      <c r="QRE67"/>
      <c r="QRF67"/>
      <c r="QRG67"/>
      <c r="QRH67"/>
      <c r="QRI67"/>
      <c r="QRJ67"/>
      <c r="QRK67"/>
      <c r="QRL67"/>
      <c r="QRM67"/>
      <c r="QRN67"/>
      <c r="QRO67"/>
      <c r="QRP67"/>
      <c r="QRQ67"/>
      <c r="QRR67"/>
      <c r="QRS67"/>
      <c r="QRT67"/>
      <c r="QRU67"/>
      <c r="QRV67"/>
      <c r="QRW67"/>
      <c r="QRX67"/>
      <c r="QRY67"/>
      <c r="QRZ67"/>
      <c r="QSA67"/>
      <c r="QSB67"/>
      <c r="QSC67"/>
      <c r="QSD67"/>
      <c r="QSE67"/>
      <c r="QSF67"/>
      <c r="QSG67"/>
      <c r="QSH67"/>
      <c r="QSI67"/>
      <c r="QSJ67"/>
      <c r="QSK67"/>
      <c r="QSL67"/>
      <c r="QSM67"/>
      <c r="QSN67"/>
      <c r="QSO67"/>
      <c r="QSP67"/>
      <c r="QSQ67"/>
      <c r="QSR67"/>
      <c r="QSS67"/>
      <c r="QST67"/>
      <c r="QSU67"/>
      <c r="QSV67"/>
      <c r="QSW67"/>
      <c r="QSX67"/>
      <c r="QSY67"/>
      <c r="QSZ67"/>
      <c r="QTA67"/>
      <c r="QTB67"/>
      <c r="QTC67"/>
      <c r="QTD67"/>
      <c r="QTE67"/>
      <c r="QTF67"/>
      <c r="QTG67"/>
      <c r="QTH67"/>
      <c r="QTI67"/>
      <c r="QTJ67"/>
      <c r="QTK67"/>
      <c r="QTL67"/>
      <c r="QTM67"/>
      <c r="QTN67"/>
      <c r="QTO67"/>
      <c r="QTP67"/>
      <c r="QTQ67"/>
      <c r="QTR67"/>
      <c r="QTS67"/>
      <c r="QTT67"/>
      <c r="QTU67"/>
      <c r="QTV67"/>
      <c r="QTW67"/>
      <c r="QTX67"/>
      <c r="QTY67"/>
      <c r="QTZ67"/>
      <c r="QUA67"/>
      <c r="QUB67"/>
      <c r="QUC67"/>
      <c r="QUD67"/>
      <c r="QUE67"/>
      <c r="QUF67"/>
      <c r="QUG67"/>
      <c r="QUH67"/>
      <c r="QUI67"/>
      <c r="QUJ67"/>
      <c r="QUK67"/>
      <c r="QUL67"/>
      <c r="QUM67"/>
      <c r="QUN67"/>
      <c r="QUO67"/>
      <c r="QUP67"/>
      <c r="QUQ67"/>
      <c r="QUR67"/>
      <c r="QUS67"/>
      <c r="QUT67"/>
      <c r="QUU67"/>
      <c r="QUV67"/>
      <c r="QUW67"/>
      <c r="QUX67"/>
      <c r="QUY67"/>
      <c r="QUZ67"/>
      <c r="QVA67"/>
      <c r="QVB67"/>
      <c r="QVC67"/>
      <c r="QVD67"/>
      <c r="QVE67"/>
      <c r="QVF67"/>
      <c r="QVG67"/>
      <c r="QVH67"/>
      <c r="QVI67"/>
      <c r="QVJ67"/>
      <c r="QVK67"/>
      <c r="QVL67"/>
      <c r="QVM67"/>
      <c r="QVN67"/>
      <c r="QVO67"/>
      <c r="QVP67"/>
      <c r="QVQ67"/>
      <c r="QVR67"/>
      <c r="QVS67"/>
      <c r="QVT67"/>
      <c r="QVU67"/>
      <c r="QVV67"/>
      <c r="QVW67"/>
      <c r="QVX67"/>
      <c r="QVY67"/>
      <c r="QVZ67"/>
      <c r="QWA67"/>
      <c r="QWB67"/>
      <c r="QWC67"/>
      <c r="QWD67"/>
      <c r="QWE67"/>
      <c r="QWF67"/>
      <c r="QWG67"/>
      <c r="QWH67"/>
      <c r="QWI67"/>
      <c r="QWJ67"/>
      <c r="QWK67"/>
      <c r="QWL67"/>
      <c r="QWM67"/>
      <c r="QWN67"/>
      <c r="QWO67"/>
      <c r="QWP67"/>
      <c r="QWQ67"/>
      <c r="QWR67"/>
      <c r="QWS67"/>
      <c r="QWT67"/>
      <c r="QWU67"/>
      <c r="QWV67"/>
      <c r="QWW67"/>
      <c r="QWX67"/>
      <c r="QWY67"/>
      <c r="QWZ67"/>
      <c r="QXA67"/>
      <c r="QXB67"/>
      <c r="QXC67"/>
      <c r="QXD67"/>
      <c r="QXE67"/>
      <c r="QXF67"/>
      <c r="QXG67"/>
      <c r="QXH67"/>
      <c r="QXI67"/>
      <c r="QXJ67"/>
      <c r="QXK67"/>
      <c r="QXL67"/>
      <c r="QXM67"/>
      <c r="QXN67"/>
      <c r="QXO67"/>
      <c r="QXP67"/>
      <c r="QXQ67"/>
      <c r="QXR67"/>
      <c r="QXS67"/>
      <c r="QXT67"/>
      <c r="QXU67"/>
      <c r="QXV67"/>
      <c r="QXW67"/>
      <c r="QXX67"/>
      <c r="QXY67"/>
      <c r="QXZ67"/>
      <c r="QYA67"/>
      <c r="QYB67"/>
      <c r="QYC67"/>
      <c r="QYD67"/>
      <c r="QYE67"/>
      <c r="QYF67"/>
      <c r="QYG67"/>
      <c r="QYH67"/>
      <c r="QYI67"/>
      <c r="QYJ67"/>
      <c r="QYK67"/>
      <c r="QYL67"/>
      <c r="QYM67"/>
      <c r="QYN67"/>
      <c r="QYO67"/>
      <c r="QYP67"/>
      <c r="QYQ67"/>
      <c r="QYR67"/>
      <c r="QYS67"/>
      <c r="QYT67"/>
      <c r="QYU67"/>
      <c r="QYV67"/>
      <c r="QYW67"/>
      <c r="QYX67"/>
      <c r="QYY67"/>
      <c r="QYZ67"/>
      <c r="QZA67"/>
      <c r="QZB67"/>
      <c r="QZC67"/>
      <c r="QZD67"/>
      <c r="QZE67"/>
      <c r="QZF67"/>
      <c r="QZG67"/>
      <c r="QZH67"/>
      <c r="QZI67"/>
      <c r="QZJ67"/>
      <c r="QZK67"/>
      <c r="QZL67"/>
      <c r="QZM67"/>
      <c r="QZN67"/>
      <c r="QZO67"/>
      <c r="QZP67"/>
      <c r="QZQ67"/>
      <c r="QZR67"/>
      <c r="QZS67"/>
      <c r="QZT67"/>
      <c r="QZU67"/>
      <c r="QZV67"/>
      <c r="QZW67"/>
      <c r="QZX67"/>
      <c r="QZY67"/>
      <c r="QZZ67"/>
      <c r="RAA67"/>
      <c r="RAB67"/>
      <c r="RAC67"/>
      <c r="RAD67"/>
      <c r="RAE67"/>
      <c r="RAF67"/>
      <c r="RAG67"/>
      <c r="RAH67"/>
      <c r="RAI67"/>
      <c r="RAJ67"/>
      <c r="RAK67"/>
      <c r="RAL67"/>
      <c r="RAM67"/>
      <c r="RAN67"/>
      <c r="RAO67"/>
      <c r="RAP67"/>
      <c r="RAQ67"/>
      <c r="RAR67"/>
      <c r="RAS67"/>
      <c r="RAT67"/>
      <c r="RAU67"/>
      <c r="RAV67"/>
      <c r="RAW67"/>
      <c r="RAX67"/>
      <c r="RAY67"/>
      <c r="RAZ67"/>
      <c r="RBA67"/>
      <c r="RBB67"/>
      <c r="RBC67"/>
      <c r="RBD67"/>
      <c r="RBE67"/>
      <c r="RBF67"/>
      <c r="RBG67"/>
      <c r="RBH67"/>
      <c r="RBI67"/>
      <c r="RBJ67"/>
      <c r="RBK67"/>
      <c r="RBL67"/>
      <c r="RBM67"/>
      <c r="RBN67"/>
      <c r="RBO67"/>
      <c r="RBP67"/>
      <c r="RBQ67"/>
      <c r="RBR67"/>
      <c r="RBS67"/>
      <c r="RBT67"/>
      <c r="RBU67"/>
      <c r="RBV67"/>
      <c r="RBW67"/>
      <c r="RBX67"/>
      <c r="RBY67"/>
      <c r="RBZ67"/>
      <c r="RCA67"/>
      <c r="RCB67"/>
      <c r="RCC67"/>
      <c r="RCD67"/>
      <c r="RCE67"/>
      <c r="RCF67"/>
      <c r="RCG67"/>
      <c r="RCH67"/>
      <c r="RCI67"/>
      <c r="RCJ67"/>
      <c r="RCK67"/>
      <c r="RCL67"/>
      <c r="RCM67"/>
      <c r="RCN67"/>
      <c r="RCO67"/>
      <c r="RCP67"/>
      <c r="RCQ67"/>
      <c r="RCR67"/>
      <c r="RCS67"/>
      <c r="RCT67"/>
      <c r="RCU67"/>
      <c r="RCV67"/>
      <c r="RCW67"/>
      <c r="RCX67"/>
      <c r="RCY67"/>
      <c r="RCZ67"/>
      <c r="RDA67"/>
      <c r="RDB67"/>
      <c r="RDC67"/>
      <c r="RDD67"/>
      <c r="RDE67"/>
      <c r="RDF67"/>
      <c r="RDG67"/>
      <c r="RDH67"/>
      <c r="RDI67"/>
      <c r="RDJ67"/>
      <c r="RDK67"/>
      <c r="RDL67"/>
      <c r="RDM67"/>
      <c r="RDN67"/>
      <c r="RDO67"/>
      <c r="RDP67"/>
      <c r="RDQ67"/>
      <c r="RDR67"/>
      <c r="RDS67"/>
      <c r="RDT67"/>
      <c r="RDU67"/>
      <c r="RDV67"/>
      <c r="RDW67"/>
      <c r="RDX67"/>
      <c r="RDY67"/>
      <c r="RDZ67"/>
      <c r="REA67"/>
      <c r="REB67"/>
      <c r="REC67"/>
      <c r="RED67"/>
      <c r="REE67"/>
      <c r="REF67"/>
      <c r="REG67"/>
      <c r="REH67"/>
      <c r="REI67"/>
      <c r="REJ67"/>
      <c r="REK67"/>
      <c r="REL67"/>
      <c r="REM67"/>
      <c r="REN67"/>
      <c r="REO67"/>
      <c r="REP67"/>
      <c r="REQ67"/>
      <c r="RER67"/>
      <c r="RES67"/>
      <c r="RET67"/>
      <c r="REU67"/>
      <c r="REV67"/>
      <c r="REW67"/>
      <c r="REX67"/>
      <c r="REY67"/>
      <c r="REZ67"/>
      <c r="RFA67"/>
      <c r="RFB67"/>
      <c r="RFC67"/>
      <c r="RFD67"/>
      <c r="RFE67"/>
      <c r="RFF67"/>
      <c r="RFG67"/>
      <c r="RFH67"/>
      <c r="RFI67"/>
      <c r="RFJ67"/>
      <c r="RFK67"/>
      <c r="RFL67"/>
      <c r="RFM67"/>
      <c r="RFN67"/>
      <c r="RFO67"/>
      <c r="RFP67"/>
      <c r="RFQ67"/>
      <c r="RFR67"/>
      <c r="RFS67"/>
      <c r="RFT67"/>
      <c r="RFU67"/>
      <c r="RFV67"/>
      <c r="RFW67"/>
      <c r="RFX67"/>
      <c r="RFY67"/>
      <c r="RFZ67"/>
      <c r="RGA67"/>
      <c r="RGB67"/>
      <c r="RGC67"/>
      <c r="RGD67"/>
      <c r="RGE67"/>
      <c r="RGF67"/>
      <c r="RGG67"/>
      <c r="RGH67"/>
      <c r="RGI67"/>
      <c r="RGJ67"/>
      <c r="RGK67"/>
      <c r="RGL67"/>
      <c r="RGM67"/>
      <c r="RGN67"/>
      <c r="RGO67"/>
      <c r="RGP67"/>
      <c r="RGQ67"/>
      <c r="RGR67"/>
      <c r="RGS67"/>
      <c r="RGT67"/>
      <c r="RGU67"/>
      <c r="RGV67"/>
      <c r="RGW67"/>
      <c r="RGX67"/>
      <c r="RGY67"/>
      <c r="RGZ67"/>
      <c r="RHA67"/>
      <c r="RHB67"/>
      <c r="RHC67"/>
      <c r="RHD67"/>
      <c r="RHE67"/>
      <c r="RHF67"/>
      <c r="RHG67"/>
      <c r="RHH67"/>
      <c r="RHI67"/>
      <c r="RHJ67"/>
      <c r="RHK67"/>
      <c r="RHL67"/>
      <c r="RHM67"/>
      <c r="RHN67"/>
      <c r="RHO67"/>
      <c r="RHP67"/>
      <c r="RHQ67"/>
      <c r="RHR67"/>
      <c r="RHS67"/>
      <c r="RHT67"/>
      <c r="RHU67"/>
      <c r="RHV67"/>
      <c r="RHW67"/>
      <c r="RHX67"/>
      <c r="RHY67"/>
      <c r="RHZ67"/>
      <c r="RIA67"/>
      <c r="RIB67"/>
      <c r="RIC67"/>
      <c r="RID67"/>
      <c r="RIE67"/>
      <c r="RIF67"/>
      <c r="RIG67"/>
      <c r="RIH67"/>
      <c r="RII67"/>
      <c r="RIJ67"/>
      <c r="RIK67"/>
      <c r="RIL67"/>
      <c r="RIM67"/>
      <c r="RIN67"/>
      <c r="RIO67"/>
      <c r="RIP67"/>
      <c r="RIQ67"/>
      <c r="RIR67"/>
      <c r="RIS67"/>
      <c r="RIT67"/>
      <c r="RIU67"/>
      <c r="RIV67"/>
      <c r="RIW67"/>
      <c r="RIX67"/>
      <c r="RIY67"/>
      <c r="RIZ67"/>
      <c r="RJA67"/>
      <c r="RJB67"/>
      <c r="RJC67"/>
      <c r="RJD67"/>
      <c r="RJE67"/>
      <c r="RJF67"/>
      <c r="RJG67"/>
      <c r="RJH67"/>
      <c r="RJI67"/>
      <c r="RJJ67"/>
      <c r="RJK67"/>
      <c r="RJL67"/>
      <c r="RJM67"/>
      <c r="RJN67"/>
      <c r="RJO67"/>
      <c r="RJP67"/>
      <c r="RJQ67"/>
      <c r="RJR67"/>
      <c r="RJS67"/>
      <c r="RJT67"/>
      <c r="RJU67"/>
      <c r="RJV67"/>
      <c r="RJW67"/>
      <c r="RJX67"/>
      <c r="RJY67"/>
      <c r="RJZ67"/>
      <c r="RKA67"/>
      <c r="RKB67"/>
      <c r="RKC67"/>
      <c r="RKD67"/>
      <c r="RKE67"/>
      <c r="RKF67"/>
      <c r="RKG67"/>
      <c r="RKH67"/>
      <c r="RKI67"/>
      <c r="RKJ67"/>
      <c r="RKK67"/>
      <c r="RKL67"/>
      <c r="RKM67"/>
      <c r="RKN67"/>
      <c r="RKO67"/>
      <c r="RKP67"/>
      <c r="RKQ67"/>
      <c r="RKR67"/>
      <c r="RKS67"/>
      <c r="RKT67"/>
      <c r="RKU67"/>
      <c r="RKV67"/>
      <c r="RKW67"/>
      <c r="RKX67"/>
      <c r="RKY67"/>
      <c r="RKZ67"/>
      <c r="RLA67"/>
      <c r="RLB67"/>
      <c r="RLC67"/>
      <c r="RLD67"/>
      <c r="RLE67"/>
      <c r="RLF67"/>
      <c r="RLG67"/>
      <c r="RLH67"/>
      <c r="RLI67"/>
      <c r="RLJ67"/>
      <c r="RLK67"/>
      <c r="RLL67"/>
      <c r="RLM67"/>
      <c r="RLN67"/>
      <c r="RLO67"/>
      <c r="RLP67"/>
      <c r="RLQ67"/>
      <c r="RLR67"/>
      <c r="RLS67"/>
      <c r="RLT67"/>
      <c r="RLU67"/>
      <c r="RLV67"/>
      <c r="RLW67"/>
      <c r="RLX67"/>
      <c r="RLY67"/>
      <c r="RLZ67"/>
      <c r="RMA67"/>
      <c r="RMB67"/>
      <c r="RMC67"/>
      <c r="RMD67"/>
      <c r="RME67"/>
      <c r="RMF67"/>
      <c r="RMG67"/>
      <c r="RMH67"/>
      <c r="RMI67"/>
      <c r="RMJ67"/>
      <c r="RMK67"/>
      <c r="RML67"/>
      <c r="RMM67"/>
      <c r="RMN67"/>
      <c r="RMO67"/>
      <c r="RMP67"/>
      <c r="RMQ67"/>
      <c r="RMR67"/>
      <c r="RMS67"/>
      <c r="RMT67"/>
      <c r="RMU67"/>
      <c r="RMV67"/>
      <c r="RMW67"/>
      <c r="RMX67"/>
      <c r="RMY67"/>
      <c r="RMZ67"/>
      <c r="RNA67"/>
      <c r="RNB67"/>
      <c r="RNC67"/>
      <c r="RND67"/>
      <c r="RNE67"/>
      <c r="RNF67"/>
      <c r="RNG67"/>
      <c r="RNH67"/>
      <c r="RNI67"/>
      <c r="RNJ67"/>
      <c r="RNK67"/>
      <c r="RNL67"/>
      <c r="RNM67"/>
      <c r="RNN67"/>
      <c r="RNO67"/>
      <c r="RNP67"/>
      <c r="RNQ67"/>
      <c r="RNR67"/>
      <c r="RNS67"/>
      <c r="RNT67"/>
      <c r="RNU67"/>
      <c r="RNV67"/>
      <c r="RNW67"/>
      <c r="RNX67"/>
      <c r="RNY67"/>
      <c r="RNZ67"/>
      <c r="ROA67"/>
      <c r="ROB67"/>
      <c r="ROC67"/>
      <c r="ROD67"/>
      <c r="ROE67"/>
      <c r="ROF67"/>
      <c r="ROG67"/>
      <c r="ROH67"/>
      <c r="ROI67"/>
      <c r="ROJ67"/>
      <c r="ROK67"/>
      <c r="ROL67"/>
      <c r="ROM67"/>
      <c r="RON67"/>
      <c r="ROO67"/>
      <c r="ROP67"/>
      <c r="ROQ67"/>
      <c r="ROR67"/>
      <c r="ROS67"/>
      <c r="ROT67"/>
      <c r="ROU67"/>
      <c r="ROV67"/>
      <c r="ROW67"/>
      <c r="ROX67"/>
      <c r="ROY67"/>
      <c r="ROZ67"/>
      <c r="RPA67"/>
      <c r="RPB67"/>
      <c r="RPC67"/>
      <c r="RPD67"/>
      <c r="RPE67"/>
      <c r="RPF67"/>
      <c r="RPG67"/>
      <c r="RPH67"/>
      <c r="RPI67"/>
      <c r="RPJ67"/>
      <c r="RPK67"/>
      <c r="RPL67"/>
      <c r="RPM67"/>
      <c r="RPN67"/>
      <c r="RPO67"/>
      <c r="RPP67"/>
      <c r="RPQ67"/>
      <c r="RPR67"/>
      <c r="RPS67"/>
      <c r="RPT67"/>
      <c r="RPU67"/>
      <c r="RPV67"/>
      <c r="RPW67"/>
      <c r="RPX67"/>
      <c r="RPY67"/>
      <c r="RPZ67"/>
      <c r="RQA67"/>
      <c r="RQB67"/>
      <c r="RQC67"/>
      <c r="RQD67"/>
      <c r="RQE67"/>
      <c r="RQF67"/>
      <c r="RQG67"/>
      <c r="RQH67"/>
      <c r="RQI67"/>
      <c r="RQJ67"/>
      <c r="RQK67"/>
      <c r="RQL67"/>
      <c r="RQM67"/>
      <c r="RQN67"/>
      <c r="RQO67"/>
      <c r="RQP67"/>
      <c r="RQQ67"/>
      <c r="RQR67"/>
      <c r="RQS67"/>
      <c r="RQT67"/>
      <c r="RQU67"/>
      <c r="RQV67"/>
      <c r="RQW67"/>
      <c r="RQX67"/>
      <c r="RQY67"/>
      <c r="RQZ67"/>
      <c r="RRA67"/>
      <c r="RRB67"/>
      <c r="RRC67"/>
      <c r="RRD67"/>
      <c r="RRE67"/>
      <c r="RRF67"/>
      <c r="RRG67"/>
      <c r="RRH67"/>
      <c r="RRI67"/>
      <c r="RRJ67"/>
      <c r="RRK67"/>
      <c r="RRL67"/>
      <c r="RRM67"/>
      <c r="RRN67"/>
      <c r="RRO67"/>
      <c r="RRP67"/>
      <c r="RRQ67"/>
      <c r="RRR67"/>
      <c r="RRS67"/>
      <c r="RRT67"/>
      <c r="RRU67"/>
      <c r="RRV67"/>
      <c r="RRW67"/>
      <c r="RRX67"/>
      <c r="RRY67"/>
      <c r="RRZ67"/>
      <c r="RSA67"/>
      <c r="RSB67"/>
      <c r="RSC67"/>
      <c r="RSD67"/>
      <c r="RSE67"/>
      <c r="RSF67"/>
      <c r="RSG67"/>
      <c r="RSH67"/>
      <c r="RSI67"/>
      <c r="RSJ67"/>
      <c r="RSK67"/>
      <c r="RSL67"/>
      <c r="RSM67"/>
      <c r="RSN67"/>
      <c r="RSO67"/>
      <c r="RSP67"/>
      <c r="RSQ67"/>
      <c r="RSR67"/>
      <c r="RSS67"/>
      <c r="RST67"/>
      <c r="RSU67"/>
      <c r="RSV67"/>
      <c r="RSW67"/>
      <c r="RSX67"/>
      <c r="RSY67"/>
      <c r="RSZ67"/>
      <c r="RTA67"/>
      <c r="RTB67"/>
      <c r="RTC67"/>
      <c r="RTD67"/>
      <c r="RTE67"/>
      <c r="RTF67"/>
      <c r="RTG67"/>
      <c r="RTH67"/>
      <c r="RTI67"/>
      <c r="RTJ67"/>
      <c r="RTK67"/>
      <c r="RTL67"/>
      <c r="RTM67"/>
      <c r="RTN67"/>
      <c r="RTO67"/>
      <c r="RTP67"/>
      <c r="RTQ67"/>
      <c r="RTR67"/>
      <c r="RTS67"/>
      <c r="RTT67"/>
      <c r="RTU67"/>
      <c r="RTV67"/>
      <c r="RTW67"/>
      <c r="RTX67"/>
      <c r="RTY67"/>
      <c r="RTZ67"/>
      <c r="RUA67"/>
      <c r="RUB67"/>
      <c r="RUC67"/>
      <c r="RUD67"/>
      <c r="RUE67"/>
      <c r="RUF67"/>
      <c r="RUG67"/>
      <c r="RUH67"/>
      <c r="RUI67"/>
      <c r="RUJ67"/>
      <c r="RUK67"/>
      <c r="RUL67"/>
      <c r="RUM67"/>
      <c r="RUN67"/>
      <c r="RUO67"/>
      <c r="RUP67"/>
      <c r="RUQ67"/>
      <c r="RUR67"/>
      <c r="RUS67"/>
      <c r="RUT67"/>
      <c r="RUU67"/>
      <c r="RUV67"/>
      <c r="RUW67"/>
      <c r="RUX67"/>
      <c r="RUY67"/>
      <c r="RUZ67"/>
      <c r="RVA67"/>
      <c r="RVB67"/>
      <c r="RVC67"/>
      <c r="RVD67"/>
      <c r="RVE67"/>
      <c r="RVF67"/>
      <c r="RVG67"/>
      <c r="RVH67"/>
      <c r="RVI67"/>
      <c r="RVJ67"/>
      <c r="RVK67"/>
      <c r="RVL67"/>
      <c r="RVM67"/>
      <c r="RVN67"/>
      <c r="RVO67"/>
      <c r="RVP67"/>
      <c r="RVQ67"/>
      <c r="RVR67"/>
      <c r="RVS67"/>
      <c r="RVT67"/>
      <c r="RVU67"/>
      <c r="RVV67"/>
      <c r="RVW67"/>
      <c r="RVX67"/>
      <c r="RVY67"/>
      <c r="RVZ67"/>
      <c r="RWA67"/>
      <c r="RWB67"/>
      <c r="RWC67"/>
      <c r="RWD67"/>
      <c r="RWE67"/>
      <c r="RWF67"/>
      <c r="RWG67"/>
      <c r="RWH67"/>
      <c r="RWI67"/>
      <c r="RWJ67"/>
      <c r="RWK67"/>
      <c r="RWL67"/>
      <c r="RWM67"/>
      <c r="RWN67"/>
      <c r="RWO67"/>
      <c r="RWP67"/>
      <c r="RWQ67"/>
      <c r="RWR67"/>
      <c r="RWS67"/>
      <c r="RWT67"/>
      <c r="RWU67"/>
      <c r="RWV67"/>
      <c r="RWW67"/>
      <c r="RWX67"/>
      <c r="RWY67"/>
      <c r="RWZ67"/>
      <c r="RXA67"/>
      <c r="RXB67"/>
      <c r="RXC67"/>
      <c r="RXD67"/>
      <c r="RXE67"/>
      <c r="RXF67"/>
      <c r="RXG67"/>
      <c r="RXH67"/>
      <c r="RXI67"/>
      <c r="RXJ67"/>
      <c r="RXK67"/>
      <c r="RXL67"/>
      <c r="RXM67"/>
      <c r="RXN67"/>
      <c r="RXO67"/>
      <c r="RXP67"/>
      <c r="RXQ67"/>
      <c r="RXR67"/>
      <c r="RXS67"/>
      <c r="RXT67"/>
      <c r="RXU67"/>
      <c r="RXV67"/>
      <c r="RXW67"/>
      <c r="RXX67"/>
      <c r="RXY67"/>
      <c r="RXZ67"/>
      <c r="RYA67"/>
      <c r="RYB67"/>
      <c r="RYC67"/>
      <c r="RYD67"/>
      <c r="RYE67"/>
      <c r="RYF67"/>
      <c r="RYG67"/>
      <c r="RYH67"/>
      <c r="RYI67"/>
      <c r="RYJ67"/>
      <c r="RYK67"/>
      <c r="RYL67"/>
      <c r="RYM67"/>
      <c r="RYN67"/>
      <c r="RYO67"/>
      <c r="RYP67"/>
      <c r="RYQ67"/>
      <c r="RYR67"/>
      <c r="RYS67"/>
      <c r="RYT67"/>
      <c r="RYU67"/>
      <c r="RYV67"/>
      <c r="RYW67"/>
      <c r="RYX67"/>
      <c r="RYY67"/>
      <c r="RYZ67"/>
      <c r="RZA67"/>
      <c r="RZB67"/>
      <c r="RZC67"/>
      <c r="RZD67"/>
      <c r="RZE67"/>
      <c r="RZF67"/>
      <c r="RZG67"/>
      <c r="RZH67"/>
      <c r="RZI67"/>
      <c r="RZJ67"/>
      <c r="RZK67"/>
      <c r="RZL67"/>
      <c r="RZM67"/>
      <c r="RZN67"/>
      <c r="RZO67"/>
      <c r="RZP67"/>
      <c r="RZQ67"/>
      <c r="RZR67"/>
      <c r="RZS67"/>
      <c r="RZT67"/>
      <c r="RZU67"/>
      <c r="RZV67"/>
      <c r="RZW67"/>
      <c r="RZX67"/>
      <c r="RZY67"/>
      <c r="RZZ67"/>
      <c r="SAA67"/>
      <c r="SAB67"/>
      <c r="SAC67"/>
      <c r="SAD67"/>
      <c r="SAE67"/>
      <c r="SAF67"/>
      <c r="SAG67"/>
      <c r="SAH67"/>
      <c r="SAI67"/>
      <c r="SAJ67"/>
      <c r="SAK67"/>
      <c r="SAL67"/>
      <c r="SAM67"/>
      <c r="SAN67"/>
      <c r="SAO67"/>
      <c r="SAP67"/>
      <c r="SAQ67"/>
      <c r="SAR67"/>
      <c r="SAS67"/>
      <c r="SAT67"/>
      <c r="SAU67"/>
      <c r="SAV67"/>
      <c r="SAW67"/>
      <c r="SAX67"/>
      <c r="SAY67"/>
      <c r="SAZ67"/>
      <c r="SBA67"/>
      <c r="SBB67"/>
      <c r="SBC67"/>
      <c r="SBD67"/>
      <c r="SBE67"/>
      <c r="SBF67"/>
      <c r="SBG67"/>
      <c r="SBH67"/>
      <c r="SBI67"/>
      <c r="SBJ67"/>
      <c r="SBK67"/>
      <c r="SBL67"/>
      <c r="SBM67"/>
      <c r="SBN67"/>
      <c r="SBO67"/>
      <c r="SBP67"/>
      <c r="SBQ67"/>
      <c r="SBR67"/>
      <c r="SBS67"/>
      <c r="SBT67"/>
      <c r="SBU67"/>
      <c r="SBV67"/>
      <c r="SBW67"/>
      <c r="SBX67"/>
      <c r="SBY67"/>
      <c r="SBZ67"/>
      <c r="SCA67"/>
      <c r="SCB67"/>
      <c r="SCC67"/>
      <c r="SCD67"/>
      <c r="SCE67"/>
      <c r="SCF67"/>
      <c r="SCG67"/>
      <c r="SCH67"/>
      <c r="SCI67"/>
      <c r="SCJ67"/>
      <c r="SCK67"/>
      <c r="SCL67"/>
      <c r="SCM67"/>
      <c r="SCN67"/>
      <c r="SCO67"/>
      <c r="SCP67"/>
      <c r="SCQ67"/>
      <c r="SCR67"/>
      <c r="SCS67"/>
      <c r="SCT67"/>
      <c r="SCU67"/>
      <c r="SCV67"/>
      <c r="SCW67"/>
      <c r="SCX67"/>
      <c r="SCY67"/>
      <c r="SCZ67"/>
      <c r="SDA67"/>
      <c r="SDB67"/>
      <c r="SDC67"/>
      <c r="SDD67"/>
      <c r="SDE67"/>
      <c r="SDF67"/>
      <c r="SDG67"/>
      <c r="SDH67"/>
      <c r="SDI67"/>
      <c r="SDJ67"/>
      <c r="SDK67"/>
      <c r="SDL67"/>
      <c r="SDM67"/>
      <c r="SDN67"/>
      <c r="SDO67"/>
      <c r="SDP67"/>
      <c r="SDQ67"/>
      <c r="SDR67"/>
      <c r="SDS67"/>
      <c r="SDT67"/>
      <c r="SDU67"/>
      <c r="SDV67"/>
      <c r="SDW67"/>
      <c r="SDX67"/>
      <c r="SDY67"/>
      <c r="SDZ67"/>
      <c r="SEA67"/>
      <c r="SEB67"/>
      <c r="SEC67"/>
      <c r="SED67"/>
      <c r="SEE67"/>
      <c r="SEF67"/>
      <c r="SEG67"/>
      <c r="SEH67"/>
      <c r="SEI67"/>
      <c r="SEJ67"/>
      <c r="SEK67"/>
      <c r="SEL67"/>
      <c r="SEM67"/>
      <c r="SEN67"/>
      <c r="SEO67"/>
      <c r="SEP67"/>
      <c r="SEQ67"/>
      <c r="SER67"/>
      <c r="SES67"/>
      <c r="SET67"/>
      <c r="SEU67"/>
      <c r="SEV67"/>
      <c r="SEW67"/>
      <c r="SEX67"/>
      <c r="SEY67"/>
      <c r="SEZ67"/>
      <c r="SFA67"/>
      <c r="SFB67"/>
      <c r="SFC67"/>
      <c r="SFD67"/>
      <c r="SFE67"/>
      <c r="SFF67"/>
      <c r="SFG67"/>
      <c r="SFH67"/>
      <c r="SFI67"/>
      <c r="SFJ67"/>
      <c r="SFK67"/>
      <c r="SFL67"/>
      <c r="SFM67"/>
      <c r="SFN67"/>
      <c r="SFO67"/>
      <c r="SFP67"/>
      <c r="SFQ67"/>
      <c r="SFR67"/>
      <c r="SFS67"/>
      <c r="SFT67"/>
      <c r="SFU67"/>
      <c r="SFV67"/>
      <c r="SFW67"/>
      <c r="SFX67"/>
      <c r="SFY67"/>
      <c r="SFZ67"/>
      <c r="SGA67"/>
      <c r="SGB67"/>
      <c r="SGC67"/>
      <c r="SGD67"/>
      <c r="SGE67"/>
      <c r="SGF67"/>
      <c r="SGG67"/>
      <c r="SGH67"/>
      <c r="SGI67"/>
      <c r="SGJ67"/>
      <c r="SGK67"/>
      <c r="SGL67"/>
      <c r="SGM67"/>
      <c r="SGN67"/>
      <c r="SGO67"/>
      <c r="SGP67"/>
      <c r="SGQ67"/>
      <c r="SGR67"/>
      <c r="SGS67"/>
      <c r="SGT67"/>
      <c r="SGU67"/>
      <c r="SGV67"/>
      <c r="SGW67"/>
      <c r="SGX67"/>
      <c r="SGY67"/>
      <c r="SGZ67"/>
      <c r="SHA67"/>
      <c r="SHB67"/>
      <c r="SHC67"/>
      <c r="SHD67"/>
      <c r="SHE67"/>
      <c r="SHF67"/>
      <c r="SHG67"/>
      <c r="SHH67"/>
      <c r="SHI67"/>
      <c r="SHJ67"/>
      <c r="SHK67"/>
      <c r="SHL67"/>
      <c r="SHM67"/>
      <c r="SHN67"/>
      <c r="SHO67"/>
      <c r="SHP67"/>
      <c r="SHQ67"/>
      <c r="SHR67"/>
      <c r="SHS67"/>
      <c r="SHT67"/>
      <c r="SHU67"/>
      <c r="SHV67"/>
      <c r="SHW67"/>
      <c r="SHX67"/>
      <c r="SHY67"/>
      <c r="SHZ67"/>
      <c r="SIA67"/>
      <c r="SIB67"/>
      <c r="SIC67"/>
      <c r="SID67"/>
      <c r="SIE67"/>
      <c r="SIF67"/>
      <c r="SIG67"/>
      <c r="SIH67"/>
      <c r="SII67"/>
      <c r="SIJ67"/>
      <c r="SIK67"/>
      <c r="SIL67"/>
      <c r="SIM67"/>
      <c r="SIN67"/>
      <c r="SIO67"/>
      <c r="SIP67"/>
      <c r="SIQ67"/>
      <c r="SIR67"/>
      <c r="SIS67"/>
      <c r="SIT67"/>
      <c r="SIU67"/>
      <c r="SIV67"/>
      <c r="SIW67"/>
      <c r="SIX67"/>
      <c r="SIY67"/>
      <c r="SIZ67"/>
      <c r="SJA67"/>
      <c r="SJB67"/>
      <c r="SJC67"/>
      <c r="SJD67"/>
      <c r="SJE67"/>
      <c r="SJF67"/>
      <c r="SJG67"/>
      <c r="SJH67"/>
      <c r="SJI67"/>
      <c r="SJJ67"/>
      <c r="SJK67"/>
      <c r="SJL67"/>
      <c r="SJM67"/>
      <c r="SJN67"/>
      <c r="SJO67"/>
      <c r="SJP67"/>
      <c r="SJQ67"/>
      <c r="SJR67"/>
      <c r="SJS67"/>
      <c r="SJT67"/>
      <c r="SJU67"/>
      <c r="SJV67"/>
      <c r="SJW67"/>
      <c r="SJX67"/>
      <c r="SJY67"/>
      <c r="SJZ67"/>
      <c r="SKA67"/>
      <c r="SKB67"/>
      <c r="SKC67"/>
      <c r="SKD67"/>
      <c r="SKE67"/>
      <c r="SKF67"/>
      <c r="SKG67"/>
      <c r="SKH67"/>
      <c r="SKI67"/>
      <c r="SKJ67"/>
      <c r="SKK67"/>
      <c r="SKL67"/>
      <c r="SKM67"/>
      <c r="SKN67"/>
      <c r="SKO67"/>
      <c r="SKP67"/>
      <c r="SKQ67"/>
      <c r="SKR67"/>
      <c r="SKS67"/>
      <c r="SKT67"/>
      <c r="SKU67"/>
      <c r="SKV67"/>
      <c r="SKW67"/>
      <c r="SKX67"/>
      <c r="SKY67"/>
      <c r="SKZ67"/>
      <c r="SLA67"/>
      <c r="SLB67"/>
      <c r="SLC67"/>
      <c r="SLD67"/>
      <c r="SLE67"/>
      <c r="SLF67"/>
      <c r="SLG67"/>
      <c r="SLH67"/>
      <c r="SLI67"/>
      <c r="SLJ67"/>
      <c r="SLK67"/>
      <c r="SLL67"/>
      <c r="SLM67"/>
      <c r="SLN67"/>
      <c r="SLO67"/>
      <c r="SLP67"/>
      <c r="SLQ67"/>
      <c r="SLR67"/>
      <c r="SLS67"/>
      <c r="SLT67"/>
      <c r="SLU67"/>
      <c r="SLV67"/>
      <c r="SLW67"/>
      <c r="SLX67"/>
      <c r="SLY67"/>
      <c r="SLZ67"/>
      <c r="SMA67"/>
      <c r="SMB67"/>
      <c r="SMC67"/>
      <c r="SMD67"/>
      <c r="SME67"/>
      <c r="SMF67"/>
      <c r="SMG67"/>
      <c r="SMH67"/>
      <c r="SMI67"/>
      <c r="SMJ67"/>
      <c r="SMK67"/>
      <c r="SML67"/>
      <c r="SMM67"/>
      <c r="SMN67"/>
      <c r="SMO67"/>
      <c r="SMP67"/>
      <c r="SMQ67"/>
      <c r="SMR67"/>
      <c r="SMS67"/>
      <c r="SMT67"/>
      <c r="SMU67"/>
      <c r="SMV67"/>
      <c r="SMW67"/>
      <c r="SMX67"/>
      <c r="SMY67"/>
      <c r="SMZ67"/>
      <c r="SNA67"/>
      <c r="SNB67"/>
      <c r="SNC67"/>
      <c r="SND67"/>
      <c r="SNE67"/>
      <c r="SNF67"/>
      <c r="SNG67"/>
      <c r="SNH67"/>
      <c r="SNI67"/>
      <c r="SNJ67"/>
      <c r="SNK67"/>
      <c r="SNL67"/>
      <c r="SNM67"/>
      <c r="SNN67"/>
      <c r="SNO67"/>
      <c r="SNP67"/>
      <c r="SNQ67"/>
      <c r="SNR67"/>
      <c r="SNS67"/>
      <c r="SNT67"/>
      <c r="SNU67"/>
      <c r="SNV67"/>
      <c r="SNW67"/>
      <c r="SNX67"/>
      <c r="SNY67"/>
      <c r="SNZ67"/>
      <c r="SOA67"/>
      <c r="SOB67"/>
      <c r="SOC67"/>
      <c r="SOD67"/>
      <c r="SOE67"/>
      <c r="SOF67"/>
      <c r="SOG67"/>
      <c r="SOH67"/>
      <c r="SOI67"/>
      <c r="SOJ67"/>
      <c r="SOK67"/>
      <c r="SOL67"/>
      <c r="SOM67"/>
      <c r="SON67"/>
      <c r="SOO67"/>
      <c r="SOP67"/>
      <c r="SOQ67"/>
      <c r="SOR67"/>
      <c r="SOS67"/>
      <c r="SOT67"/>
      <c r="SOU67"/>
      <c r="SOV67"/>
      <c r="SOW67"/>
      <c r="SOX67"/>
      <c r="SOY67"/>
      <c r="SOZ67"/>
      <c r="SPA67"/>
      <c r="SPB67"/>
      <c r="SPC67"/>
      <c r="SPD67"/>
      <c r="SPE67"/>
      <c r="SPF67"/>
      <c r="SPG67"/>
      <c r="SPH67"/>
      <c r="SPI67"/>
      <c r="SPJ67"/>
      <c r="SPK67"/>
      <c r="SPL67"/>
      <c r="SPM67"/>
      <c r="SPN67"/>
      <c r="SPO67"/>
      <c r="SPP67"/>
      <c r="SPQ67"/>
      <c r="SPR67"/>
      <c r="SPS67"/>
      <c r="SPT67"/>
      <c r="SPU67"/>
      <c r="SPV67"/>
      <c r="SPW67"/>
      <c r="SPX67"/>
      <c r="SPY67"/>
      <c r="SPZ67"/>
      <c r="SQA67"/>
      <c r="SQB67"/>
      <c r="SQC67"/>
      <c r="SQD67"/>
      <c r="SQE67"/>
      <c r="SQF67"/>
      <c r="SQG67"/>
      <c r="SQH67"/>
      <c r="SQI67"/>
      <c r="SQJ67"/>
      <c r="SQK67"/>
      <c r="SQL67"/>
      <c r="SQM67"/>
      <c r="SQN67"/>
      <c r="SQO67"/>
      <c r="SQP67"/>
      <c r="SQQ67"/>
      <c r="SQR67"/>
      <c r="SQS67"/>
      <c r="SQT67"/>
      <c r="SQU67"/>
      <c r="SQV67"/>
      <c r="SQW67"/>
      <c r="SQX67"/>
      <c r="SQY67"/>
      <c r="SQZ67"/>
      <c r="SRA67"/>
      <c r="SRB67"/>
      <c r="SRC67"/>
      <c r="SRD67"/>
      <c r="SRE67"/>
      <c r="SRF67"/>
      <c r="SRG67"/>
      <c r="SRH67"/>
      <c r="SRI67"/>
      <c r="SRJ67"/>
      <c r="SRK67"/>
      <c r="SRL67"/>
      <c r="SRM67"/>
      <c r="SRN67"/>
      <c r="SRO67"/>
      <c r="SRP67"/>
      <c r="SRQ67"/>
      <c r="SRR67"/>
      <c r="SRS67"/>
      <c r="SRT67"/>
      <c r="SRU67"/>
      <c r="SRV67"/>
      <c r="SRW67"/>
      <c r="SRX67"/>
      <c r="SRY67"/>
      <c r="SRZ67"/>
      <c r="SSA67"/>
      <c r="SSB67"/>
      <c r="SSC67"/>
      <c r="SSD67"/>
      <c r="SSE67"/>
      <c r="SSF67"/>
      <c r="SSG67"/>
      <c r="SSH67"/>
      <c r="SSI67"/>
      <c r="SSJ67"/>
      <c r="SSK67"/>
      <c r="SSL67"/>
      <c r="SSM67"/>
      <c r="SSN67"/>
      <c r="SSO67"/>
      <c r="SSP67"/>
      <c r="SSQ67"/>
      <c r="SSR67"/>
      <c r="SSS67"/>
      <c r="SST67"/>
      <c r="SSU67"/>
      <c r="SSV67"/>
      <c r="SSW67"/>
      <c r="SSX67"/>
      <c r="SSY67"/>
      <c r="SSZ67"/>
      <c r="STA67"/>
      <c r="STB67"/>
      <c r="STC67"/>
      <c r="STD67"/>
      <c r="STE67"/>
      <c r="STF67"/>
      <c r="STG67"/>
      <c r="STH67"/>
      <c r="STI67"/>
      <c r="STJ67"/>
      <c r="STK67"/>
      <c r="STL67"/>
      <c r="STM67"/>
      <c r="STN67"/>
      <c r="STO67"/>
      <c r="STP67"/>
      <c r="STQ67"/>
      <c r="STR67"/>
      <c r="STS67"/>
      <c r="STT67"/>
      <c r="STU67"/>
      <c r="STV67"/>
      <c r="STW67"/>
      <c r="STX67"/>
      <c r="STY67"/>
      <c r="STZ67"/>
      <c r="SUA67"/>
      <c r="SUB67"/>
      <c r="SUC67"/>
      <c r="SUD67"/>
      <c r="SUE67"/>
      <c r="SUF67"/>
      <c r="SUG67"/>
      <c r="SUH67"/>
      <c r="SUI67"/>
      <c r="SUJ67"/>
      <c r="SUK67"/>
      <c r="SUL67"/>
      <c r="SUM67"/>
      <c r="SUN67"/>
      <c r="SUO67"/>
      <c r="SUP67"/>
      <c r="SUQ67"/>
      <c r="SUR67"/>
      <c r="SUS67"/>
      <c r="SUT67"/>
      <c r="SUU67"/>
      <c r="SUV67"/>
      <c r="SUW67"/>
      <c r="SUX67"/>
      <c r="SUY67"/>
      <c r="SUZ67"/>
      <c r="SVA67"/>
      <c r="SVB67"/>
      <c r="SVC67"/>
      <c r="SVD67"/>
      <c r="SVE67"/>
      <c r="SVF67"/>
      <c r="SVG67"/>
      <c r="SVH67"/>
      <c r="SVI67"/>
      <c r="SVJ67"/>
      <c r="SVK67"/>
      <c r="SVL67"/>
      <c r="SVM67"/>
      <c r="SVN67"/>
      <c r="SVO67"/>
      <c r="SVP67"/>
      <c r="SVQ67"/>
      <c r="SVR67"/>
      <c r="SVS67"/>
      <c r="SVT67"/>
      <c r="SVU67"/>
      <c r="SVV67"/>
      <c r="SVW67"/>
      <c r="SVX67"/>
      <c r="SVY67"/>
      <c r="SVZ67"/>
      <c r="SWA67"/>
      <c r="SWB67"/>
      <c r="SWC67"/>
      <c r="SWD67"/>
      <c r="SWE67"/>
      <c r="SWF67"/>
      <c r="SWG67"/>
      <c r="SWH67"/>
      <c r="SWI67"/>
      <c r="SWJ67"/>
      <c r="SWK67"/>
      <c r="SWL67"/>
      <c r="SWM67"/>
      <c r="SWN67"/>
      <c r="SWO67"/>
      <c r="SWP67"/>
      <c r="SWQ67"/>
      <c r="SWR67"/>
      <c r="SWS67"/>
      <c r="SWT67"/>
      <c r="SWU67"/>
      <c r="SWV67"/>
      <c r="SWW67"/>
      <c r="SWX67"/>
      <c r="SWY67"/>
      <c r="SWZ67"/>
      <c r="SXA67"/>
      <c r="SXB67"/>
      <c r="SXC67"/>
      <c r="SXD67"/>
      <c r="SXE67"/>
      <c r="SXF67"/>
      <c r="SXG67"/>
      <c r="SXH67"/>
      <c r="SXI67"/>
      <c r="SXJ67"/>
      <c r="SXK67"/>
      <c r="SXL67"/>
      <c r="SXM67"/>
      <c r="SXN67"/>
      <c r="SXO67"/>
      <c r="SXP67"/>
      <c r="SXQ67"/>
      <c r="SXR67"/>
      <c r="SXS67"/>
      <c r="SXT67"/>
      <c r="SXU67"/>
      <c r="SXV67"/>
      <c r="SXW67"/>
      <c r="SXX67"/>
      <c r="SXY67"/>
      <c r="SXZ67"/>
      <c r="SYA67"/>
      <c r="SYB67"/>
      <c r="SYC67"/>
      <c r="SYD67"/>
      <c r="SYE67"/>
      <c r="SYF67"/>
      <c r="SYG67"/>
      <c r="SYH67"/>
      <c r="SYI67"/>
      <c r="SYJ67"/>
      <c r="SYK67"/>
      <c r="SYL67"/>
      <c r="SYM67"/>
      <c r="SYN67"/>
      <c r="SYO67"/>
      <c r="SYP67"/>
      <c r="SYQ67"/>
      <c r="SYR67"/>
      <c r="SYS67"/>
      <c r="SYT67"/>
      <c r="SYU67"/>
      <c r="SYV67"/>
      <c r="SYW67"/>
      <c r="SYX67"/>
      <c r="SYY67"/>
      <c r="SYZ67"/>
      <c r="SZA67"/>
      <c r="SZB67"/>
      <c r="SZC67"/>
      <c r="SZD67"/>
      <c r="SZE67"/>
      <c r="SZF67"/>
      <c r="SZG67"/>
      <c r="SZH67"/>
      <c r="SZI67"/>
      <c r="SZJ67"/>
      <c r="SZK67"/>
      <c r="SZL67"/>
      <c r="SZM67"/>
      <c r="SZN67"/>
      <c r="SZO67"/>
      <c r="SZP67"/>
      <c r="SZQ67"/>
      <c r="SZR67"/>
      <c r="SZS67"/>
      <c r="SZT67"/>
      <c r="SZU67"/>
      <c r="SZV67"/>
      <c r="SZW67"/>
      <c r="SZX67"/>
      <c r="SZY67"/>
      <c r="SZZ67"/>
      <c r="TAA67"/>
      <c r="TAB67"/>
      <c r="TAC67"/>
      <c r="TAD67"/>
      <c r="TAE67"/>
      <c r="TAF67"/>
      <c r="TAG67"/>
      <c r="TAH67"/>
      <c r="TAI67"/>
      <c r="TAJ67"/>
      <c r="TAK67"/>
      <c r="TAL67"/>
      <c r="TAM67"/>
      <c r="TAN67"/>
      <c r="TAO67"/>
      <c r="TAP67"/>
      <c r="TAQ67"/>
      <c r="TAR67"/>
      <c r="TAS67"/>
      <c r="TAT67"/>
      <c r="TAU67"/>
      <c r="TAV67"/>
      <c r="TAW67"/>
      <c r="TAX67"/>
      <c r="TAY67"/>
      <c r="TAZ67"/>
      <c r="TBA67"/>
      <c r="TBB67"/>
      <c r="TBC67"/>
      <c r="TBD67"/>
      <c r="TBE67"/>
      <c r="TBF67"/>
      <c r="TBG67"/>
      <c r="TBH67"/>
      <c r="TBI67"/>
      <c r="TBJ67"/>
      <c r="TBK67"/>
      <c r="TBL67"/>
      <c r="TBM67"/>
      <c r="TBN67"/>
      <c r="TBO67"/>
      <c r="TBP67"/>
      <c r="TBQ67"/>
      <c r="TBR67"/>
      <c r="TBS67"/>
      <c r="TBT67"/>
      <c r="TBU67"/>
      <c r="TBV67"/>
      <c r="TBW67"/>
      <c r="TBX67"/>
      <c r="TBY67"/>
      <c r="TBZ67"/>
      <c r="TCA67"/>
      <c r="TCB67"/>
      <c r="TCC67"/>
      <c r="TCD67"/>
      <c r="TCE67"/>
      <c r="TCF67"/>
      <c r="TCG67"/>
      <c r="TCH67"/>
      <c r="TCI67"/>
      <c r="TCJ67"/>
      <c r="TCK67"/>
      <c r="TCL67"/>
      <c r="TCM67"/>
      <c r="TCN67"/>
      <c r="TCO67"/>
      <c r="TCP67"/>
      <c r="TCQ67"/>
      <c r="TCR67"/>
      <c r="TCS67"/>
      <c r="TCT67"/>
      <c r="TCU67"/>
      <c r="TCV67"/>
      <c r="TCW67"/>
      <c r="TCX67"/>
      <c r="TCY67"/>
      <c r="TCZ67"/>
      <c r="TDA67"/>
      <c r="TDB67"/>
      <c r="TDC67"/>
      <c r="TDD67"/>
      <c r="TDE67"/>
      <c r="TDF67"/>
      <c r="TDG67"/>
      <c r="TDH67"/>
      <c r="TDI67"/>
      <c r="TDJ67"/>
      <c r="TDK67"/>
      <c r="TDL67"/>
      <c r="TDM67"/>
      <c r="TDN67"/>
      <c r="TDO67"/>
      <c r="TDP67"/>
      <c r="TDQ67"/>
      <c r="TDR67"/>
      <c r="TDS67"/>
      <c r="TDT67"/>
      <c r="TDU67"/>
      <c r="TDV67"/>
      <c r="TDW67"/>
      <c r="TDX67"/>
      <c r="TDY67"/>
      <c r="TDZ67"/>
      <c r="TEA67"/>
      <c r="TEB67"/>
      <c r="TEC67"/>
      <c r="TED67"/>
      <c r="TEE67"/>
      <c r="TEF67"/>
      <c r="TEG67"/>
      <c r="TEH67"/>
      <c r="TEI67"/>
      <c r="TEJ67"/>
      <c r="TEK67"/>
      <c r="TEL67"/>
      <c r="TEM67"/>
      <c r="TEN67"/>
      <c r="TEO67"/>
      <c r="TEP67"/>
      <c r="TEQ67"/>
      <c r="TER67"/>
      <c r="TES67"/>
      <c r="TET67"/>
      <c r="TEU67"/>
      <c r="TEV67"/>
      <c r="TEW67"/>
      <c r="TEX67"/>
      <c r="TEY67"/>
      <c r="TEZ67"/>
      <c r="TFA67"/>
      <c r="TFB67"/>
      <c r="TFC67"/>
      <c r="TFD67"/>
      <c r="TFE67"/>
      <c r="TFF67"/>
      <c r="TFG67"/>
      <c r="TFH67"/>
      <c r="TFI67"/>
      <c r="TFJ67"/>
      <c r="TFK67"/>
      <c r="TFL67"/>
      <c r="TFM67"/>
      <c r="TFN67"/>
      <c r="TFO67"/>
      <c r="TFP67"/>
      <c r="TFQ67"/>
      <c r="TFR67"/>
      <c r="TFS67"/>
      <c r="TFT67"/>
      <c r="TFU67"/>
      <c r="TFV67"/>
      <c r="TFW67"/>
      <c r="TFX67"/>
      <c r="TFY67"/>
      <c r="TFZ67"/>
      <c r="TGA67"/>
      <c r="TGB67"/>
      <c r="TGC67"/>
      <c r="TGD67"/>
      <c r="TGE67"/>
      <c r="TGF67"/>
      <c r="TGG67"/>
      <c r="TGH67"/>
      <c r="TGI67"/>
      <c r="TGJ67"/>
      <c r="TGK67"/>
      <c r="TGL67"/>
      <c r="TGM67"/>
      <c r="TGN67"/>
      <c r="TGO67"/>
      <c r="TGP67"/>
      <c r="TGQ67"/>
      <c r="TGR67"/>
      <c r="TGS67"/>
      <c r="TGT67"/>
      <c r="TGU67"/>
      <c r="TGV67"/>
      <c r="TGW67"/>
      <c r="TGX67"/>
      <c r="TGY67"/>
      <c r="TGZ67"/>
      <c r="THA67"/>
      <c r="THB67"/>
      <c r="THC67"/>
      <c r="THD67"/>
      <c r="THE67"/>
      <c r="THF67"/>
      <c r="THG67"/>
      <c r="THH67"/>
      <c r="THI67"/>
      <c r="THJ67"/>
      <c r="THK67"/>
      <c r="THL67"/>
      <c r="THM67"/>
      <c r="THN67"/>
      <c r="THO67"/>
      <c r="THP67"/>
      <c r="THQ67"/>
      <c r="THR67"/>
      <c r="THS67"/>
      <c r="THT67"/>
      <c r="THU67"/>
      <c r="THV67"/>
      <c r="THW67"/>
      <c r="THX67"/>
      <c r="THY67"/>
      <c r="THZ67"/>
      <c r="TIA67"/>
      <c r="TIB67"/>
      <c r="TIC67"/>
      <c r="TID67"/>
      <c r="TIE67"/>
      <c r="TIF67"/>
      <c r="TIG67"/>
      <c r="TIH67"/>
      <c r="TII67"/>
      <c r="TIJ67"/>
      <c r="TIK67"/>
      <c r="TIL67"/>
      <c r="TIM67"/>
      <c r="TIN67"/>
      <c r="TIO67"/>
      <c r="TIP67"/>
      <c r="TIQ67"/>
      <c r="TIR67"/>
      <c r="TIS67"/>
      <c r="TIT67"/>
      <c r="TIU67"/>
      <c r="TIV67"/>
      <c r="TIW67"/>
      <c r="TIX67"/>
      <c r="TIY67"/>
      <c r="TIZ67"/>
      <c r="TJA67"/>
      <c r="TJB67"/>
      <c r="TJC67"/>
      <c r="TJD67"/>
      <c r="TJE67"/>
      <c r="TJF67"/>
      <c r="TJG67"/>
      <c r="TJH67"/>
      <c r="TJI67"/>
      <c r="TJJ67"/>
      <c r="TJK67"/>
      <c r="TJL67"/>
      <c r="TJM67"/>
      <c r="TJN67"/>
      <c r="TJO67"/>
      <c r="TJP67"/>
      <c r="TJQ67"/>
      <c r="TJR67"/>
      <c r="TJS67"/>
      <c r="TJT67"/>
      <c r="TJU67"/>
      <c r="TJV67"/>
      <c r="TJW67"/>
      <c r="TJX67"/>
      <c r="TJY67"/>
      <c r="TJZ67"/>
      <c r="TKA67"/>
      <c r="TKB67"/>
      <c r="TKC67"/>
      <c r="TKD67"/>
      <c r="TKE67"/>
      <c r="TKF67"/>
      <c r="TKG67"/>
      <c r="TKH67"/>
      <c r="TKI67"/>
      <c r="TKJ67"/>
      <c r="TKK67"/>
      <c r="TKL67"/>
      <c r="TKM67"/>
      <c r="TKN67"/>
      <c r="TKO67"/>
      <c r="TKP67"/>
      <c r="TKQ67"/>
      <c r="TKR67"/>
      <c r="TKS67"/>
      <c r="TKT67"/>
      <c r="TKU67"/>
      <c r="TKV67"/>
      <c r="TKW67"/>
      <c r="TKX67"/>
      <c r="TKY67"/>
      <c r="TKZ67"/>
      <c r="TLA67"/>
      <c r="TLB67"/>
      <c r="TLC67"/>
      <c r="TLD67"/>
      <c r="TLE67"/>
      <c r="TLF67"/>
      <c r="TLG67"/>
      <c r="TLH67"/>
      <c r="TLI67"/>
      <c r="TLJ67"/>
      <c r="TLK67"/>
      <c r="TLL67"/>
      <c r="TLM67"/>
      <c r="TLN67"/>
      <c r="TLO67"/>
      <c r="TLP67"/>
      <c r="TLQ67"/>
      <c r="TLR67"/>
      <c r="TLS67"/>
      <c r="TLT67"/>
      <c r="TLU67"/>
      <c r="TLV67"/>
      <c r="TLW67"/>
      <c r="TLX67"/>
      <c r="TLY67"/>
      <c r="TLZ67"/>
      <c r="TMA67"/>
      <c r="TMB67"/>
      <c r="TMC67"/>
      <c r="TMD67"/>
      <c r="TME67"/>
      <c r="TMF67"/>
      <c r="TMG67"/>
      <c r="TMH67"/>
      <c r="TMI67"/>
      <c r="TMJ67"/>
      <c r="TMK67"/>
      <c r="TML67"/>
      <c r="TMM67"/>
      <c r="TMN67"/>
      <c r="TMO67"/>
      <c r="TMP67"/>
      <c r="TMQ67"/>
      <c r="TMR67"/>
      <c r="TMS67"/>
      <c r="TMT67"/>
      <c r="TMU67"/>
      <c r="TMV67"/>
      <c r="TMW67"/>
      <c r="TMX67"/>
      <c r="TMY67"/>
      <c r="TMZ67"/>
      <c r="TNA67"/>
      <c r="TNB67"/>
      <c r="TNC67"/>
      <c r="TND67"/>
      <c r="TNE67"/>
      <c r="TNF67"/>
      <c r="TNG67"/>
      <c r="TNH67"/>
      <c r="TNI67"/>
      <c r="TNJ67"/>
      <c r="TNK67"/>
      <c r="TNL67"/>
      <c r="TNM67"/>
      <c r="TNN67"/>
      <c r="TNO67"/>
      <c r="TNP67"/>
      <c r="TNQ67"/>
      <c r="TNR67"/>
      <c r="TNS67"/>
      <c r="TNT67"/>
      <c r="TNU67"/>
      <c r="TNV67"/>
      <c r="TNW67"/>
      <c r="TNX67"/>
      <c r="TNY67"/>
      <c r="TNZ67"/>
      <c r="TOA67"/>
      <c r="TOB67"/>
      <c r="TOC67"/>
      <c r="TOD67"/>
      <c r="TOE67"/>
      <c r="TOF67"/>
      <c r="TOG67"/>
      <c r="TOH67"/>
      <c r="TOI67"/>
      <c r="TOJ67"/>
      <c r="TOK67"/>
      <c r="TOL67"/>
      <c r="TOM67"/>
      <c r="TON67"/>
      <c r="TOO67"/>
      <c r="TOP67"/>
      <c r="TOQ67"/>
      <c r="TOR67"/>
      <c r="TOS67"/>
      <c r="TOT67"/>
      <c r="TOU67"/>
      <c r="TOV67"/>
      <c r="TOW67"/>
      <c r="TOX67"/>
      <c r="TOY67"/>
      <c r="TOZ67"/>
      <c r="TPA67"/>
      <c r="TPB67"/>
      <c r="TPC67"/>
      <c r="TPD67"/>
      <c r="TPE67"/>
      <c r="TPF67"/>
      <c r="TPG67"/>
      <c r="TPH67"/>
      <c r="TPI67"/>
      <c r="TPJ67"/>
      <c r="TPK67"/>
      <c r="TPL67"/>
      <c r="TPM67"/>
      <c r="TPN67"/>
      <c r="TPO67"/>
      <c r="TPP67"/>
      <c r="TPQ67"/>
      <c r="TPR67"/>
      <c r="TPS67"/>
      <c r="TPT67"/>
      <c r="TPU67"/>
      <c r="TPV67"/>
      <c r="TPW67"/>
      <c r="TPX67"/>
      <c r="TPY67"/>
      <c r="TPZ67"/>
      <c r="TQA67"/>
      <c r="TQB67"/>
      <c r="TQC67"/>
      <c r="TQD67"/>
      <c r="TQE67"/>
      <c r="TQF67"/>
      <c r="TQG67"/>
      <c r="TQH67"/>
      <c r="TQI67"/>
      <c r="TQJ67"/>
      <c r="TQK67"/>
      <c r="TQL67"/>
      <c r="TQM67"/>
      <c r="TQN67"/>
      <c r="TQO67"/>
      <c r="TQP67"/>
      <c r="TQQ67"/>
      <c r="TQR67"/>
      <c r="TQS67"/>
      <c r="TQT67"/>
      <c r="TQU67"/>
      <c r="TQV67"/>
      <c r="TQW67"/>
      <c r="TQX67"/>
      <c r="TQY67"/>
      <c r="TQZ67"/>
      <c r="TRA67"/>
      <c r="TRB67"/>
      <c r="TRC67"/>
      <c r="TRD67"/>
      <c r="TRE67"/>
      <c r="TRF67"/>
      <c r="TRG67"/>
      <c r="TRH67"/>
      <c r="TRI67"/>
      <c r="TRJ67"/>
      <c r="TRK67"/>
      <c r="TRL67"/>
      <c r="TRM67"/>
      <c r="TRN67"/>
      <c r="TRO67"/>
      <c r="TRP67"/>
      <c r="TRQ67"/>
      <c r="TRR67"/>
      <c r="TRS67"/>
      <c r="TRT67"/>
      <c r="TRU67"/>
      <c r="TRV67"/>
      <c r="TRW67"/>
      <c r="TRX67"/>
      <c r="TRY67"/>
      <c r="TRZ67"/>
      <c r="TSA67"/>
      <c r="TSB67"/>
      <c r="TSC67"/>
      <c r="TSD67"/>
      <c r="TSE67"/>
      <c r="TSF67"/>
      <c r="TSG67"/>
      <c r="TSH67"/>
      <c r="TSI67"/>
      <c r="TSJ67"/>
      <c r="TSK67"/>
      <c r="TSL67"/>
      <c r="TSM67"/>
      <c r="TSN67"/>
      <c r="TSO67"/>
      <c r="TSP67"/>
      <c r="TSQ67"/>
      <c r="TSR67"/>
      <c r="TSS67"/>
      <c r="TST67"/>
      <c r="TSU67"/>
      <c r="TSV67"/>
      <c r="TSW67"/>
      <c r="TSX67"/>
      <c r="TSY67"/>
      <c r="TSZ67"/>
      <c r="TTA67"/>
      <c r="TTB67"/>
      <c r="TTC67"/>
      <c r="TTD67"/>
      <c r="TTE67"/>
      <c r="TTF67"/>
      <c r="TTG67"/>
      <c r="TTH67"/>
      <c r="TTI67"/>
      <c r="TTJ67"/>
      <c r="TTK67"/>
      <c r="TTL67"/>
      <c r="TTM67"/>
      <c r="TTN67"/>
      <c r="TTO67"/>
      <c r="TTP67"/>
      <c r="TTQ67"/>
      <c r="TTR67"/>
      <c r="TTS67"/>
      <c r="TTT67"/>
      <c r="TTU67"/>
      <c r="TTV67"/>
      <c r="TTW67"/>
      <c r="TTX67"/>
      <c r="TTY67"/>
      <c r="TTZ67"/>
      <c r="TUA67"/>
      <c r="TUB67"/>
      <c r="TUC67"/>
      <c r="TUD67"/>
      <c r="TUE67"/>
      <c r="TUF67"/>
      <c r="TUG67"/>
      <c r="TUH67"/>
      <c r="TUI67"/>
      <c r="TUJ67"/>
      <c r="TUK67"/>
      <c r="TUL67"/>
      <c r="TUM67"/>
      <c r="TUN67"/>
      <c r="TUO67"/>
      <c r="TUP67"/>
      <c r="TUQ67"/>
      <c r="TUR67"/>
      <c r="TUS67"/>
      <c r="TUT67"/>
      <c r="TUU67"/>
      <c r="TUV67"/>
      <c r="TUW67"/>
      <c r="TUX67"/>
      <c r="TUY67"/>
      <c r="TUZ67"/>
      <c r="TVA67"/>
      <c r="TVB67"/>
      <c r="TVC67"/>
      <c r="TVD67"/>
      <c r="TVE67"/>
      <c r="TVF67"/>
      <c r="TVG67"/>
      <c r="TVH67"/>
      <c r="TVI67"/>
      <c r="TVJ67"/>
      <c r="TVK67"/>
      <c r="TVL67"/>
      <c r="TVM67"/>
      <c r="TVN67"/>
      <c r="TVO67"/>
      <c r="TVP67"/>
      <c r="TVQ67"/>
      <c r="TVR67"/>
      <c r="TVS67"/>
      <c r="TVT67"/>
      <c r="TVU67"/>
      <c r="TVV67"/>
      <c r="TVW67"/>
      <c r="TVX67"/>
      <c r="TVY67"/>
      <c r="TVZ67"/>
      <c r="TWA67"/>
      <c r="TWB67"/>
      <c r="TWC67"/>
      <c r="TWD67"/>
      <c r="TWE67"/>
      <c r="TWF67"/>
      <c r="TWG67"/>
      <c r="TWH67"/>
      <c r="TWI67"/>
      <c r="TWJ67"/>
      <c r="TWK67"/>
      <c r="TWL67"/>
      <c r="TWM67"/>
      <c r="TWN67"/>
      <c r="TWO67"/>
      <c r="TWP67"/>
      <c r="TWQ67"/>
      <c r="TWR67"/>
      <c r="TWS67"/>
      <c r="TWT67"/>
      <c r="TWU67"/>
      <c r="TWV67"/>
      <c r="TWW67"/>
      <c r="TWX67"/>
      <c r="TWY67"/>
      <c r="TWZ67"/>
      <c r="TXA67"/>
      <c r="TXB67"/>
      <c r="TXC67"/>
      <c r="TXD67"/>
      <c r="TXE67"/>
      <c r="TXF67"/>
      <c r="TXG67"/>
      <c r="TXH67"/>
      <c r="TXI67"/>
      <c r="TXJ67"/>
      <c r="TXK67"/>
      <c r="TXL67"/>
      <c r="TXM67"/>
      <c r="TXN67"/>
      <c r="TXO67"/>
      <c r="TXP67"/>
      <c r="TXQ67"/>
      <c r="TXR67"/>
      <c r="TXS67"/>
      <c r="TXT67"/>
      <c r="TXU67"/>
      <c r="TXV67"/>
      <c r="TXW67"/>
      <c r="TXX67"/>
      <c r="TXY67"/>
      <c r="TXZ67"/>
      <c r="TYA67"/>
      <c r="TYB67"/>
      <c r="TYC67"/>
      <c r="TYD67"/>
      <c r="TYE67"/>
      <c r="TYF67"/>
      <c r="TYG67"/>
      <c r="TYH67"/>
      <c r="TYI67"/>
      <c r="TYJ67"/>
      <c r="TYK67"/>
      <c r="TYL67"/>
      <c r="TYM67"/>
      <c r="TYN67"/>
      <c r="TYO67"/>
      <c r="TYP67"/>
      <c r="TYQ67"/>
      <c r="TYR67"/>
      <c r="TYS67"/>
      <c r="TYT67"/>
      <c r="TYU67"/>
      <c r="TYV67"/>
      <c r="TYW67"/>
      <c r="TYX67"/>
      <c r="TYY67"/>
      <c r="TYZ67"/>
      <c r="TZA67"/>
      <c r="TZB67"/>
      <c r="TZC67"/>
      <c r="TZD67"/>
      <c r="TZE67"/>
      <c r="TZF67"/>
      <c r="TZG67"/>
      <c r="TZH67"/>
      <c r="TZI67"/>
      <c r="TZJ67"/>
      <c r="TZK67"/>
      <c r="TZL67"/>
      <c r="TZM67"/>
      <c r="TZN67"/>
      <c r="TZO67"/>
      <c r="TZP67"/>
      <c r="TZQ67"/>
      <c r="TZR67"/>
      <c r="TZS67"/>
      <c r="TZT67"/>
      <c r="TZU67"/>
      <c r="TZV67"/>
      <c r="TZW67"/>
      <c r="TZX67"/>
      <c r="TZY67"/>
      <c r="TZZ67"/>
      <c r="UAA67"/>
      <c r="UAB67"/>
      <c r="UAC67"/>
      <c r="UAD67"/>
      <c r="UAE67"/>
      <c r="UAF67"/>
      <c r="UAG67"/>
      <c r="UAH67"/>
      <c r="UAI67"/>
      <c r="UAJ67"/>
      <c r="UAK67"/>
      <c r="UAL67"/>
      <c r="UAM67"/>
      <c r="UAN67"/>
      <c r="UAO67"/>
      <c r="UAP67"/>
      <c r="UAQ67"/>
      <c r="UAR67"/>
      <c r="UAS67"/>
      <c r="UAT67"/>
      <c r="UAU67"/>
      <c r="UAV67"/>
      <c r="UAW67"/>
      <c r="UAX67"/>
      <c r="UAY67"/>
      <c r="UAZ67"/>
      <c r="UBA67"/>
      <c r="UBB67"/>
      <c r="UBC67"/>
      <c r="UBD67"/>
      <c r="UBE67"/>
      <c r="UBF67"/>
      <c r="UBG67"/>
      <c r="UBH67"/>
      <c r="UBI67"/>
      <c r="UBJ67"/>
      <c r="UBK67"/>
      <c r="UBL67"/>
      <c r="UBM67"/>
      <c r="UBN67"/>
      <c r="UBO67"/>
      <c r="UBP67"/>
      <c r="UBQ67"/>
      <c r="UBR67"/>
      <c r="UBS67"/>
      <c r="UBT67"/>
      <c r="UBU67"/>
      <c r="UBV67"/>
      <c r="UBW67"/>
      <c r="UBX67"/>
      <c r="UBY67"/>
      <c r="UBZ67"/>
      <c r="UCA67"/>
      <c r="UCB67"/>
      <c r="UCC67"/>
      <c r="UCD67"/>
      <c r="UCE67"/>
      <c r="UCF67"/>
      <c r="UCG67"/>
      <c r="UCH67"/>
      <c r="UCI67"/>
      <c r="UCJ67"/>
      <c r="UCK67"/>
      <c r="UCL67"/>
      <c r="UCM67"/>
      <c r="UCN67"/>
      <c r="UCO67"/>
      <c r="UCP67"/>
      <c r="UCQ67"/>
      <c r="UCR67"/>
      <c r="UCS67"/>
      <c r="UCT67"/>
      <c r="UCU67"/>
      <c r="UCV67"/>
      <c r="UCW67"/>
      <c r="UCX67"/>
      <c r="UCY67"/>
      <c r="UCZ67"/>
      <c r="UDA67"/>
      <c r="UDB67"/>
      <c r="UDC67"/>
      <c r="UDD67"/>
      <c r="UDE67"/>
      <c r="UDF67"/>
      <c r="UDG67"/>
      <c r="UDH67"/>
      <c r="UDI67"/>
      <c r="UDJ67"/>
      <c r="UDK67"/>
      <c r="UDL67"/>
      <c r="UDM67"/>
      <c r="UDN67"/>
      <c r="UDO67"/>
      <c r="UDP67"/>
      <c r="UDQ67"/>
      <c r="UDR67"/>
      <c r="UDS67"/>
      <c r="UDT67"/>
      <c r="UDU67"/>
      <c r="UDV67"/>
      <c r="UDW67"/>
      <c r="UDX67"/>
      <c r="UDY67"/>
      <c r="UDZ67"/>
      <c r="UEA67"/>
      <c r="UEB67"/>
      <c r="UEC67"/>
      <c r="UED67"/>
      <c r="UEE67"/>
      <c r="UEF67"/>
      <c r="UEG67"/>
      <c r="UEH67"/>
      <c r="UEI67"/>
      <c r="UEJ67"/>
      <c r="UEK67"/>
      <c r="UEL67"/>
      <c r="UEM67"/>
      <c r="UEN67"/>
      <c r="UEO67"/>
      <c r="UEP67"/>
      <c r="UEQ67"/>
      <c r="UER67"/>
      <c r="UES67"/>
      <c r="UET67"/>
      <c r="UEU67"/>
      <c r="UEV67"/>
      <c r="UEW67"/>
      <c r="UEX67"/>
      <c r="UEY67"/>
      <c r="UEZ67"/>
      <c r="UFA67"/>
      <c r="UFB67"/>
      <c r="UFC67"/>
      <c r="UFD67"/>
      <c r="UFE67"/>
      <c r="UFF67"/>
      <c r="UFG67"/>
      <c r="UFH67"/>
      <c r="UFI67"/>
      <c r="UFJ67"/>
      <c r="UFK67"/>
      <c r="UFL67"/>
      <c r="UFM67"/>
      <c r="UFN67"/>
      <c r="UFO67"/>
      <c r="UFP67"/>
      <c r="UFQ67"/>
      <c r="UFR67"/>
      <c r="UFS67"/>
      <c r="UFT67"/>
      <c r="UFU67"/>
      <c r="UFV67"/>
      <c r="UFW67"/>
      <c r="UFX67"/>
      <c r="UFY67"/>
      <c r="UFZ67"/>
      <c r="UGA67"/>
      <c r="UGB67"/>
      <c r="UGC67"/>
      <c r="UGD67"/>
      <c r="UGE67"/>
      <c r="UGF67"/>
      <c r="UGG67"/>
      <c r="UGH67"/>
      <c r="UGI67"/>
      <c r="UGJ67"/>
      <c r="UGK67"/>
      <c r="UGL67"/>
      <c r="UGM67"/>
      <c r="UGN67"/>
      <c r="UGO67"/>
      <c r="UGP67"/>
      <c r="UGQ67"/>
      <c r="UGR67"/>
      <c r="UGS67"/>
      <c r="UGT67"/>
      <c r="UGU67"/>
      <c r="UGV67"/>
      <c r="UGW67"/>
      <c r="UGX67"/>
      <c r="UGY67"/>
      <c r="UGZ67"/>
      <c r="UHA67"/>
      <c r="UHB67"/>
      <c r="UHC67"/>
      <c r="UHD67"/>
      <c r="UHE67"/>
      <c r="UHF67"/>
      <c r="UHG67"/>
      <c r="UHH67"/>
      <c r="UHI67"/>
      <c r="UHJ67"/>
      <c r="UHK67"/>
      <c r="UHL67"/>
      <c r="UHM67"/>
      <c r="UHN67"/>
      <c r="UHO67"/>
      <c r="UHP67"/>
      <c r="UHQ67"/>
      <c r="UHR67"/>
      <c r="UHS67"/>
      <c r="UHT67"/>
      <c r="UHU67"/>
      <c r="UHV67"/>
      <c r="UHW67"/>
      <c r="UHX67"/>
      <c r="UHY67"/>
      <c r="UHZ67"/>
      <c r="UIA67"/>
      <c r="UIB67"/>
      <c r="UIC67"/>
      <c r="UID67"/>
      <c r="UIE67"/>
      <c r="UIF67"/>
      <c r="UIG67"/>
      <c r="UIH67"/>
      <c r="UII67"/>
      <c r="UIJ67"/>
      <c r="UIK67"/>
      <c r="UIL67"/>
      <c r="UIM67"/>
      <c r="UIN67"/>
      <c r="UIO67"/>
      <c r="UIP67"/>
      <c r="UIQ67"/>
      <c r="UIR67"/>
      <c r="UIS67"/>
      <c r="UIT67"/>
      <c r="UIU67"/>
      <c r="UIV67"/>
      <c r="UIW67"/>
      <c r="UIX67"/>
      <c r="UIY67"/>
      <c r="UIZ67"/>
      <c r="UJA67"/>
      <c r="UJB67"/>
      <c r="UJC67"/>
      <c r="UJD67"/>
      <c r="UJE67"/>
      <c r="UJF67"/>
      <c r="UJG67"/>
      <c r="UJH67"/>
      <c r="UJI67"/>
      <c r="UJJ67"/>
      <c r="UJK67"/>
      <c r="UJL67"/>
      <c r="UJM67"/>
      <c r="UJN67"/>
      <c r="UJO67"/>
      <c r="UJP67"/>
      <c r="UJQ67"/>
      <c r="UJR67"/>
      <c r="UJS67"/>
      <c r="UJT67"/>
      <c r="UJU67"/>
      <c r="UJV67"/>
      <c r="UJW67"/>
      <c r="UJX67"/>
      <c r="UJY67"/>
      <c r="UJZ67"/>
      <c r="UKA67"/>
      <c r="UKB67"/>
      <c r="UKC67"/>
      <c r="UKD67"/>
      <c r="UKE67"/>
      <c r="UKF67"/>
      <c r="UKG67"/>
      <c r="UKH67"/>
      <c r="UKI67"/>
      <c r="UKJ67"/>
      <c r="UKK67"/>
      <c r="UKL67"/>
      <c r="UKM67"/>
      <c r="UKN67"/>
      <c r="UKO67"/>
      <c r="UKP67"/>
      <c r="UKQ67"/>
      <c r="UKR67"/>
      <c r="UKS67"/>
      <c r="UKT67"/>
      <c r="UKU67"/>
      <c r="UKV67"/>
      <c r="UKW67"/>
      <c r="UKX67"/>
      <c r="UKY67"/>
      <c r="UKZ67"/>
      <c r="ULA67"/>
      <c r="ULB67"/>
      <c r="ULC67"/>
      <c r="ULD67"/>
      <c r="ULE67"/>
      <c r="ULF67"/>
      <c r="ULG67"/>
      <c r="ULH67"/>
      <c r="ULI67"/>
      <c r="ULJ67"/>
      <c r="ULK67"/>
      <c r="ULL67"/>
      <c r="ULM67"/>
      <c r="ULN67"/>
      <c r="ULO67"/>
      <c r="ULP67"/>
      <c r="ULQ67"/>
      <c r="ULR67"/>
      <c r="ULS67"/>
      <c r="ULT67"/>
      <c r="ULU67"/>
      <c r="ULV67"/>
      <c r="ULW67"/>
      <c r="ULX67"/>
      <c r="ULY67"/>
      <c r="ULZ67"/>
      <c r="UMA67"/>
      <c r="UMB67"/>
      <c r="UMC67"/>
      <c r="UMD67"/>
      <c r="UME67"/>
      <c r="UMF67"/>
      <c r="UMG67"/>
      <c r="UMH67"/>
      <c r="UMI67"/>
      <c r="UMJ67"/>
      <c r="UMK67"/>
      <c r="UML67"/>
      <c r="UMM67"/>
      <c r="UMN67"/>
      <c r="UMO67"/>
      <c r="UMP67"/>
      <c r="UMQ67"/>
      <c r="UMR67"/>
      <c r="UMS67"/>
      <c r="UMT67"/>
      <c r="UMU67"/>
      <c r="UMV67"/>
      <c r="UMW67"/>
      <c r="UMX67"/>
      <c r="UMY67"/>
      <c r="UMZ67"/>
      <c r="UNA67"/>
      <c r="UNB67"/>
      <c r="UNC67"/>
      <c r="UND67"/>
      <c r="UNE67"/>
      <c r="UNF67"/>
      <c r="UNG67"/>
      <c r="UNH67"/>
      <c r="UNI67"/>
      <c r="UNJ67"/>
      <c r="UNK67"/>
      <c r="UNL67"/>
      <c r="UNM67"/>
      <c r="UNN67"/>
      <c r="UNO67"/>
      <c r="UNP67"/>
      <c r="UNQ67"/>
      <c r="UNR67"/>
      <c r="UNS67"/>
      <c r="UNT67"/>
      <c r="UNU67"/>
      <c r="UNV67"/>
      <c r="UNW67"/>
      <c r="UNX67"/>
      <c r="UNY67"/>
      <c r="UNZ67"/>
      <c r="UOA67"/>
      <c r="UOB67"/>
      <c r="UOC67"/>
      <c r="UOD67"/>
      <c r="UOE67"/>
      <c r="UOF67"/>
      <c r="UOG67"/>
      <c r="UOH67"/>
      <c r="UOI67"/>
      <c r="UOJ67"/>
      <c r="UOK67"/>
      <c r="UOL67"/>
      <c r="UOM67"/>
      <c r="UON67"/>
      <c r="UOO67"/>
      <c r="UOP67"/>
      <c r="UOQ67"/>
      <c r="UOR67"/>
      <c r="UOS67"/>
      <c r="UOT67"/>
      <c r="UOU67"/>
      <c r="UOV67"/>
      <c r="UOW67"/>
      <c r="UOX67"/>
      <c r="UOY67"/>
      <c r="UOZ67"/>
      <c r="UPA67"/>
      <c r="UPB67"/>
      <c r="UPC67"/>
      <c r="UPD67"/>
      <c r="UPE67"/>
      <c r="UPF67"/>
      <c r="UPG67"/>
      <c r="UPH67"/>
      <c r="UPI67"/>
      <c r="UPJ67"/>
      <c r="UPK67"/>
      <c r="UPL67"/>
      <c r="UPM67"/>
      <c r="UPN67"/>
      <c r="UPO67"/>
      <c r="UPP67"/>
      <c r="UPQ67"/>
      <c r="UPR67"/>
      <c r="UPS67"/>
      <c r="UPT67"/>
      <c r="UPU67"/>
      <c r="UPV67"/>
      <c r="UPW67"/>
      <c r="UPX67"/>
      <c r="UPY67"/>
      <c r="UPZ67"/>
      <c r="UQA67"/>
      <c r="UQB67"/>
      <c r="UQC67"/>
      <c r="UQD67"/>
      <c r="UQE67"/>
      <c r="UQF67"/>
      <c r="UQG67"/>
      <c r="UQH67"/>
      <c r="UQI67"/>
      <c r="UQJ67"/>
      <c r="UQK67"/>
      <c r="UQL67"/>
      <c r="UQM67"/>
      <c r="UQN67"/>
      <c r="UQO67"/>
      <c r="UQP67"/>
      <c r="UQQ67"/>
      <c r="UQR67"/>
      <c r="UQS67"/>
      <c r="UQT67"/>
      <c r="UQU67"/>
      <c r="UQV67"/>
      <c r="UQW67"/>
      <c r="UQX67"/>
      <c r="UQY67"/>
      <c r="UQZ67"/>
      <c r="URA67"/>
      <c r="URB67"/>
      <c r="URC67"/>
      <c r="URD67"/>
      <c r="URE67"/>
      <c r="URF67"/>
      <c r="URG67"/>
      <c r="URH67"/>
      <c r="URI67"/>
      <c r="URJ67"/>
      <c r="URK67"/>
      <c r="URL67"/>
      <c r="URM67"/>
      <c r="URN67"/>
      <c r="URO67"/>
      <c r="URP67"/>
      <c r="URQ67"/>
      <c r="URR67"/>
      <c r="URS67"/>
      <c r="URT67"/>
      <c r="URU67"/>
      <c r="URV67"/>
      <c r="URW67"/>
      <c r="URX67"/>
      <c r="URY67"/>
      <c r="URZ67"/>
      <c r="USA67"/>
      <c r="USB67"/>
      <c r="USC67"/>
      <c r="USD67"/>
      <c r="USE67"/>
      <c r="USF67"/>
      <c r="USG67"/>
      <c r="USH67"/>
      <c r="USI67"/>
      <c r="USJ67"/>
      <c r="USK67"/>
      <c r="USL67"/>
      <c r="USM67"/>
      <c r="USN67"/>
      <c r="USO67"/>
      <c r="USP67"/>
      <c r="USQ67"/>
      <c r="USR67"/>
      <c r="USS67"/>
      <c r="UST67"/>
      <c r="USU67"/>
      <c r="USV67"/>
      <c r="USW67"/>
      <c r="USX67"/>
      <c r="USY67"/>
      <c r="USZ67"/>
      <c r="UTA67"/>
      <c r="UTB67"/>
      <c r="UTC67"/>
      <c r="UTD67"/>
      <c r="UTE67"/>
      <c r="UTF67"/>
      <c r="UTG67"/>
      <c r="UTH67"/>
      <c r="UTI67"/>
      <c r="UTJ67"/>
      <c r="UTK67"/>
      <c r="UTL67"/>
      <c r="UTM67"/>
      <c r="UTN67"/>
      <c r="UTO67"/>
      <c r="UTP67"/>
      <c r="UTQ67"/>
      <c r="UTR67"/>
      <c r="UTS67"/>
      <c r="UTT67"/>
      <c r="UTU67"/>
      <c r="UTV67"/>
      <c r="UTW67"/>
      <c r="UTX67"/>
      <c r="UTY67"/>
      <c r="UTZ67"/>
      <c r="UUA67"/>
      <c r="UUB67"/>
      <c r="UUC67"/>
      <c r="UUD67"/>
      <c r="UUE67"/>
      <c r="UUF67"/>
      <c r="UUG67"/>
      <c r="UUH67"/>
      <c r="UUI67"/>
      <c r="UUJ67"/>
      <c r="UUK67"/>
      <c r="UUL67"/>
      <c r="UUM67"/>
      <c r="UUN67"/>
      <c r="UUO67"/>
      <c r="UUP67"/>
      <c r="UUQ67"/>
      <c r="UUR67"/>
      <c r="UUS67"/>
      <c r="UUT67"/>
      <c r="UUU67"/>
      <c r="UUV67"/>
      <c r="UUW67"/>
      <c r="UUX67"/>
      <c r="UUY67"/>
      <c r="UUZ67"/>
      <c r="UVA67"/>
      <c r="UVB67"/>
      <c r="UVC67"/>
      <c r="UVD67"/>
      <c r="UVE67"/>
      <c r="UVF67"/>
      <c r="UVG67"/>
      <c r="UVH67"/>
      <c r="UVI67"/>
      <c r="UVJ67"/>
      <c r="UVK67"/>
      <c r="UVL67"/>
      <c r="UVM67"/>
      <c r="UVN67"/>
      <c r="UVO67"/>
      <c r="UVP67"/>
      <c r="UVQ67"/>
      <c r="UVR67"/>
      <c r="UVS67"/>
      <c r="UVT67"/>
      <c r="UVU67"/>
      <c r="UVV67"/>
      <c r="UVW67"/>
      <c r="UVX67"/>
      <c r="UVY67"/>
      <c r="UVZ67"/>
      <c r="UWA67"/>
      <c r="UWB67"/>
      <c r="UWC67"/>
      <c r="UWD67"/>
      <c r="UWE67"/>
      <c r="UWF67"/>
      <c r="UWG67"/>
      <c r="UWH67"/>
      <c r="UWI67"/>
      <c r="UWJ67"/>
      <c r="UWK67"/>
      <c r="UWL67"/>
      <c r="UWM67"/>
      <c r="UWN67"/>
      <c r="UWO67"/>
      <c r="UWP67"/>
      <c r="UWQ67"/>
      <c r="UWR67"/>
      <c r="UWS67"/>
      <c r="UWT67"/>
      <c r="UWU67"/>
      <c r="UWV67"/>
      <c r="UWW67"/>
      <c r="UWX67"/>
      <c r="UWY67"/>
      <c r="UWZ67"/>
      <c r="UXA67"/>
      <c r="UXB67"/>
      <c r="UXC67"/>
      <c r="UXD67"/>
      <c r="UXE67"/>
      <c r="UXF67"/>
      <c r="UXG67"/>
      <c r="UXH67"/>
      <c r="UXI67"/>
      <c r="UXJ67"/>
      <c r="UXK67"/>
      <c r="UXL67"/>
      <c r="UXM67"/>
      <c r="UXN67"/>
      <c r="UXO67"/>
      <c r="UXP67"/>
      <c r="UXQ67"/>
      <c r="UXR67"/>
      <c r="UXS67"/>
      <c r="UXT67"/>
      <c r="UXU67"/>
      <c r="UXV67"/>
      <c r="UXW67"/>
      <c r="UXX67"/>
      <c r="UXY67"/>
      <c r="UXZ67"/>
      <c r="UYA67"/>
      <c r="UYB67"/>
      <c r="UYC67"/>
      <c r="UYD67"/>
      <c r="UYE67"/>
      <c r="UYF67"/>
      <c r="UYG67"/>
      <c r="UYH67"/>
      <c r="UYI67"/>
      <c r="UYJ67"/>
      <c r="UYK67"/>
      <c r="UYL67"/>
      <c r="UYM67"/>
      <c r="UYN67"/>
      <c r="UYO67"/>
      <c r="UYP67"/>
      <c r="UYQ67"/>
      <c r="UYR67"/>
      <c r="UYS67"/>
      <c r="UYT67"/>
      <c r="UYU67"/>
      <c r="UYV67"/>
      <c r="UYW67"/>
      <c r="UYX67"/>
      <c r="UYY67"/>
      <c r="UYZ67"/>
      <c r="UZA67"/>
      <c r="UZB67"/>
      <c r="UZC67"/>
      <c r="UZD67"/>
      <c r="UZE67"/>
      <c r="UZF67"/>
      <c r="UZG67"/>
      <c r="UZH67"/>
      <c r="UZI67"/>
      <c r="UZJ67"/>
      <c r="UZK67"/>
      <c r="UZL67"/>
      <c r="UZM67"/>
      <c r="UZN67"/>
      <c r="UZO67"/>
      <c r="UZP67"/>
      <c r="UZQ67"/>
      <c r="UZR67"/>
      <c r="UZS67"/>
      <c r="UZT67"/>
      <c r="UZU67"/>
      <c r="UZV67"/>
      <c r="UZW67"/>
      <c r="UZX67"/>
      <c r="UZY67"/>
      <c r="UZZ67"/>
      <c r="VAA67"/>
      <c r="VAB67"/>
      <c r="VAC67"/>
      <c r="VAD67"/>
      <c r="VAE67"/>
      <c r="VAF67"/>
      <c r="VAG67"/>
      <c r="VAH67"/>
      <c r="VAI67"/>
      <c r="VAJ67"/>
      <c r="VAK67"/>
      <c r="VAL67"/>
      <c r="VAM67"/>
      <c r="VAN67"/>
      <c r="VAO67"/>
      <c r="VAP67"/>
      <c r="VAQ67"/>
      <c r="VAR67"/>
      <c r="VAS67"/>
      <c r="VAT67"/>
      <c r="VAU67"/>
      <c r="VAV67"/>
      <c r="VAW67"/>
      <c r="VAX67"/>
      <c r="VAY67"/>
      <c r="VAZ67"/>
      <c r="VBA67"/>
      <c r="VBB67"/>
      <c r="VBC67"/>
      <c r="VBD67"/>
      <c r="VBE67"/>
      <c r="VBF67"/>
      <c r="VBG67"/>
      <c r="VBH67"/>
      <c r="VBI67"/>
      <c r="VBJ67"/>
      <c r="VBK67"/>
      <c r="VBL67"/>
      <c r="VBM67"/>
      <c r="VBN67"/>
      <c r="VBO67"/>
      <c r="VBP67"/>
      <c r="VBQ67"/>
      <c r="VBR67"/>
      <c r="VBS67"/>
      <c r="VBT67"/>
      <c r="VBU67"/>
      <c r="VBV67"/>
      <c r="VBW67"/>
      <c r="VBX67"/>
      <c r="VBY67"/>
      <c r="VBZ67"/>
      <c r="VCA67"/>
      <c r="VCB67"/>
      <c r="VCC67"/>
      <c r="VCD67"/>
      <c r="VCE67"/>
      <c r="VCF67"/>
      <c r="VCG67"/>
      <c r="VCH67"/>
      <c r="VCI67"/>
      <c r="VCJ67"/>
      <c r="VCK67"/>
      <c r="VCL67"/>
      <c r="VCM67"/>
      <c r="VCN67"/>
      <c r="VCO67"/>
      <c r="VCP67"/>
      <c r="VCQ67"/>
      <c r="VCR67"/>
      <c r="VCS67"/>
      <c r="VCT67"/>
      <c r="VCU67"/>
      <c r="VCV67"/>
      <c r="VCW67"/>
      <c r="VCX67"/>
      <c r="VCY67"/>
      <c r="VCZ67"/>
      <c r="VDA67"/>
      <c r="VDB67"/>
      <c r="VDC67"/>
      <c r="VDD67"/>
      <c r="VDE67"/>
      <c r="VDF67"/>
      <c r="VDG67"/>
      <c r="VDH67"/>
      <c r="VDI67"/>
      <c r="VDJ67"/>
      <c r="VDK67"/>
      <c r="VDL67"/>
      <c r="VDM67"/>
      <c r="VDN67"/>
      <c r="VDO67"/>
      <c r="VDP67"/>
      <c r="VDQ67"/>
      <c r="VDR67"/>
      <c r="VDS67"/>
      <c r="VDT67"/>
      <c r="VDU67"/>
      <c r="VDV67"/>
      <c r="VDW67"/>
      <c r="VDX67"/>
      <c r="VDY67"/>
      <c r="VDZ67"/>
      <c r="VEA67"/>
      <c r="VEB67"/>
      <c r="VEC67"/>
      <c r="VED67"/>
      <c r="VEE67"/>
      <c r="VEF67"/>
      <c r="VEG67"/>
      <c r="VEH67"/>
      <c r="VEI67"/>
      <c r="VEJ67"/>
      <c r="VEK67"/>
      <c r="VEL67"/>
      <c r="VEM67"/>
      <c r="VEN67"/>
      <c r="VEO67"/>
      <c r="VEP67"/>
      <c r="VEQ67"/>
      <c r="VER67"/>
      <c r="VES67"/>
      <c r="VET67"/>
      <c r="VEU67"/>
      <c r="VEV67"/>
      <c r="VEW67"/>
      <c r="VEX67"/>
      <c r="VEY67"/>
      <c r="VEZ67"/>
      <c r="VFA67"/>
      <c r="VFB67"/>
      <c r="VFC67"/>
      <c r="VFD67"/>
      <c r="VFE67"/>
      <c r="VFF67"/>
      <c r="VFG67"/>
      <c r="VFH67"/>
      <c r="VFI67"/>
      <c r="VFJ67"/>
      <c r="VFK67"/>
      <c r="VFL67"/>
      <c r="VFM67"/>
      <c r="VFN67"/>
      <c r="VFO67"/>
      <c r="VFP67"/>
      <c r="VFQ67"/>
      <c r="VFR67"/>
      <c r="VFS67"/>
      <c r="VFT67"/>
      <c r="VFU67"/>
      <c r="VFV67"/>
      <c r="VFW67"/>
      <c r="VFX67"/>
      <c r="VFY67"/>
      <c r="VFZ67"/>
      <c r="VGA67"/>
      <c r="VGB67"/>
      <c r="VGC67"/>
      <c r="VGD67"/>
      <c r="VGE67"/>
      <c r="VGF67"/>
      <c r="VGG67"/>
      <c r="VGH67"/>
      <c r="VGI67"/>
      <c r="VGJ67"/>
      <c r="VGK67"/>
      <c r="VGL67"/>
      <c r="VGM67"/>
      <c r="VGN67"/>
      <c r="VGO67"/>
      <c r="VGP67"/>
      <c r="VGQ67"/>
      <c r="VGR67"/>
      <c r="VGS67"/>
      <c r="VGT67"/>
      <c r="VGU67"/>
      <c r="VGV67"/>
      <c r="VGW67"/>
      <c r="VGX67"/>
      <c r="VGY67"/>
      <c r="VGZ67"/>
      <c r="VHA67"/>
      <c r="VHB67"/>
      <c r="VHC67"/>
      <c r="VHD67"/>
      <c r="VHE67"/>
      <c r="VHF67"/>
      <c r="VHG67"/>
      <c r="VHH67"/>
      <c r="VHI67"/>
      <c r="VHJ67"/>
      <c r="VHK67"/>
      <c r="VHL67"/>
      <c r="VHM67"/>
      <c r="VHN67"/>
      <c r="VHO67"/>
      <c r="VHP67"/>
      <c r="VHQ67"/>
      <c r="VHR67"/>
      <c r="VHS67"/>
      <c r="VHT67"/>
      <c r="VHU67"/>
      <c r="VHV67"/>
      <c r="VHW67"/>
      <c r="VHX67"/>
      <c r="VHY67"/>
      <c r="VHZ67"/>
      <c r="VIA67"/>
      <c r="VIB67"/>
      <c r="VIC67"/>
      <c r="VID67"/>
      <c r="VIE67"/>
      <c r="VIF67"/>
      <c r="VIG67"/>
      <c r="VIH67"/>
      <c r="VII67"/>
      <c r="VIJ67"/>
      <c r="VIK67"/>
      <c r="VIL67"/>
      <c r="VIM67"/>
      <c r="VIN67"/>
      <c r="VIO67"/>
      <c r="VIP67"/>
      <c r="VIQ67"/>
      <c r="VIR67"/>
      <c r="VIS67"/>
      <c r="VIT67"/>
      <c r="VIU67"/>
      <c r="VIV67"/>
      <c r="VIW67"/>
      <c r="VIX67"/>
      <c r="VIY67"/>
      <c r="VIZ67"/>
      <c r="VJA67"/>
      <c r="VJB67"/>
      <c r="VJC67"/>
      <c r="VJD67"/>
      <c r="VJE67"/>
      <c r="VJF67"/>
      <c r="VJG67"/>
      <c r="VJH67"/>
      <c r="VJI67"/>
      <c r="VJJ67"/>
      <c r="VJK67"/>
      <c r="VJL67"/>
      <c r="VJM67"/>
      <c r="VJN67"/>
      <c r="VJO67"/>
      <c r="VJP67"/>
      <c r="VJQ67"/>
      <c r="VJR67"/>
      <c r="VJS67"/>
      <c r="VJT67"/>
      <c r="VJU67"/>
      <c r="VJV67"/>
      <c r="VJW67"/>
      <c r="VJX67"/>
      <c r="VJY67"/>
      <c r="VJZ67"/>
      <c r="VKA67"/>
      <c r="VKB67"/>
      <c r="VKC67"/>
      <c r="VKD67"/>
      <c r="VKE67"/>
      <c r="VKF67"/>
      <c r="VKG67"/>
      <c r="VKH67"/>
      <c r="VKI67"/>
      <c r="VKJ67"/>
      <c r="VKK67"/>
      <c r="VKL67"/>
      <c r="VKM67"/>
      <c r="VKN67"/>
      <c r="VKO67"/>
      <c r="VKP67"/>
      <c r="VKQ67"/>
      <c r="VKR67"/>
      <c r="VKS67"/>
      <c r="VKT67"/>
      <c r="VKU67"/>
      <c r="VKV67"/>
      <c r="VKW67"/>
      <c r="VKX67"/>
      <c r="VKY67"/>
      <c r="VKZ67"/>
      <c r="VLA67"/>
      <c r="VLB67"/>
      <c r="VLC67"/>
      <c r="VLD67"/>
      <c r="VLE67"/>
      <c r="VLF67"/>
      <c r="VLG67"/>
      <c r="VLH67"/>
      <c r="VLI67"/>
      <c r="VLJ67"/>
      <c r="VLK67"/>
      <c r="VLL67"/>
      <c r="VLM67"/>
      <c r="VLN67"/>
      <c r="VLO67"/>
      <c r="VLP67"/>
      <c r="VLQ67"/>
      <c r="VLR67"/>
      <c r="VLS67"/>
      <c r="VLT67"/>
      <c r="VLU67"/>
      <c r="VLV67"/>
      <c r="VLW67"/>
      <c r="VLX67"/>
      <c r="VLY67"/>
      <c r="VLZ67"/>
      <c r="VMA67"/>
      <c r="VMB67"/>
      <c r="VMC67"/>
      <c r="VMD67"/>
      <c r="VME67"/>
      <c r="VMF67"/>
      <c r="VMG67"/>
      <c r="VMH67"/>
      <c r="VMI67"/>
      <c r="VMJ67"/>
      <c r="VMK67"/>
      <c r="VML67"/>
      <c r="VMM67"/>
      <c r="VMN67"/>
      <c r="VMO67"/>
      <c r="VMP67"/>
      <c r="VMQ67"/>
      <c r="VMR67"/>
      <c r="VMS67"/>
      <c r="VMT67"/>
      <c r="VMU67"/>
      <c r="VMV67"/>
      <c r="VMW67"/>
      <c r="VMX67"/>
      <c r="VMY67"/>
      <c r="VMZ67"/>
      <c r="VNA67"/>
      <c r="VNB67"/>
      <c r="VNC67"/>
      <c r="VND67"/>
      <c r="VNE67"/>
      <c r="VNF67"/>
      <c r="VNG67"/>
      <c r="VNH67"/>
      <c r="VNI67"/>
      <c r="VNJ67"/>
      <c r="VNK67"/>
      <c r="VNL67"/>
      <c r="VNM67"/>
      <c r="VNN67"/>
      <c r="VNO67"/>
      <c r="VNP67"/>
      <c r="VNQ67"/>
      <c r="VNR67"/>
      <c r="VNS67"/>
      <c r="VNT67"/>
      <c r="VNU67"/>
      <c r="VNV67"/>
      <c r="VNW67"/>
      <c r="VNX67"/>
      <c r="VNY67"/>
      <c r="VNZ67"/>
      <c r="VOA67"/>
      <c r="VOB67"/>
      <c r="VOC67"/>
      <c r="VOD67"/>
      <c r="VOE67"/>
      <c r="VOF67"/>
      <c r="VOG67"/>
      <c r="VOH67"/>
      <c r="VOI67"/>
      <c r="VOJ67"/>
      <c r="VOK67"/>
      <c r="VOL67"/>
      <c r="VOM67"/>
      <c r="VON67"/>
      <c r="VOO67"/>
      <c r="VOP67"/>
      <c r="VOQ67"/>
      <c r="VOR67"/>
      <c r="VOS67"/>
      <c r="VOT67"/>
      <c r="VOU67"/>
      <c r="VOV67"/>
      <c r="VOW67"/>
      <c r="VOX67"/>
      <c r="VOY67"/>
      <c r="VOZ67"/>
      <c r="VPA67"/>
      <c r="VPB67"/>
      <c r="VPC67"/>
      <c r="VPD67"/>
      <c r="VPE67"/>
      <c r="VPF67"/>
      <c r="VPG67"/>
      <c r="VPH67"/>
      <c r="VPI67"/>
      <c r="VPJ67"/>
      <c r="VPK67"/>
      <c r="VPL67"/>
      <c r="VPM67"/>
      <c r="VPN67"/>
      <c r="VPO67"/>
      <c r="VPP67"/>
      <c r="VPQ67"/>
      <c r="VPR67"/>
      <c r="VPS67"/>
      <c r="VPT67"/>
      <c r="VPU67"/>
      <c r="VPV67"/>
      <c r="VPW67"/>
      <c r="VPX67"/>
      <c r="VPY67"/>
      <c r="VPZ67"/>
      <c r="VQA67"/>
      <c r="VQB67"/>
      <c r="VQC67"/>
      <c r="VQD67"/>
      <c r="VQE67"/>
      <c r="VQF67"/>
      <c r="VQG67"/>
      <c r="VQH67"/>
      <c r="VQI67"/>
      <c r="VQJ67"/>
      <c r="VQK67"/>
      <c r="VQL67"/>
      <c r="VQM67"/>
      <c r="VQN67"/>
      <c r="VQO67"/>
      <c r="VQP67"/>
      <c r="VQQ67"/>
      <c r="VQR67"/>
      <c r="VQS67"/>
      <c r="VQT67"/>
      <c r="VQU67"/>
      <c r="VQV67"/>
      <c r="VQW67"/>
      <c r="VQX67"/>
      <c r="VQY67"/>
      <c r="VQZ67"/>
      <c r="VRA67"/>
      <c r="VRB67"/>
      <c r="VRC67"/>
      <c r="VRD67"/>
      <c r="VRE67"/>
      <c r="VRF67"/>
      <c r="VRG67"/>
      <c r="VRH67"/>
      <c r="VRI67"/>
      <c r="VRJ67"/>
      <c r="VRK67"/>
      <c r="VRL67"/>
      <c r="VRM67"/>
      <c r="VRN67"/>
      <c r="VRO67"/>
      <c r="VRP67"/>
      <c r="VRQ67"/>
      <c r="VRR67"/>
      <c r="VRS67"/>
      <c r="VRT67"/>
      <c r="VRU67"/>
      <c r="VRV67"/>
      <c r="VRW67"/>
      <c r="VRX67"/>
      <c r="VRY67"/>
      <c r="VRZ67"/>
      <c r="VSA67"/>
      <c r="VSB67"/>
      <c r="VSC67"/>
      <c r="VSD67"/>
      <c r="VSE67"/>
      <c r="VSF67"/>
      <c r="VSG67"/>
      <c r="VSH67"/>
      <c r="VSI67"/>
      <c r="VSJ67"/>
      <c r="VSK67"/>
      <c r="VSL67"/>
      <c r="VSM67"/>
      <c r="VSN67"/>
      <c r="VSO67"/>
      <c r="VSP67"/>
      <c r="VSQ67"/>
      <c r="VSR67"/>
      <c r="VSS67"/>
      <c r="VST67"/>
      <c r="VSU67"/>
      <c r="VSV67"/>
      <c r="VSW67"/>
      <c r="VSX67"/>
      <c r="VSY67"/>
      <c r="VSZ67"/>
      <c r="VTA67"/>
      <c r="VTB67"/>
      <c r="VTC67"/>
      <c r="VTD67"/>
      <c r="VTE67"/>
      <c r="VTF67"/>
      <c r="VTG67"/>
      <c r="VTH67"/>
      <c r="VTI67"/>
      <c r="VTJ67"/>
      <c r="VTK67"/>
      <c r="VTL67"/>
      <c r="VTM67"/>
      <c r="VTN67"/>
      <c r="VTO67"/>
      <c r="VTP67"/>
      <c r="VTQ67"/>
      <c r="VTR67"/>
      <c r="VTS67"/>
      <c r="VTT67"/>
      <c r="VTU67"/>
      <c r="VTV67"/>
      <c r="VTW67"/>
      <c r="VTX67"/>
      <c r="VTY67"/>
      <c r="VTZ67"/>
      <c r="VUA67"/>
      <c r="VUB67"/>
      <c r="VUC67"/>
      <c r="VUD67"/>
      <c r="VUE67"/>
      <c r="VUF67"/>
      <c r="VUG67"/>
      <c r="VUH67"/>
      <c r="VUI67"/>
      <c r="VUJ67"/>
      <c r="VUK67"/>
      <c r="VUL67"/>
      <c r="VUM67"/>
      <c r="VUN67"/>
      <c r="VUO67"/>
      <c r="VUP67"/>
      <c r="VUQ67"/>
      <c r="VUR67"/>
      <c r="VUS67"/>
      <c r="VUT67"/>
      <c r="VUU67"/>
      <c r="VUV67"/>
      <c r="VUW67"/>
      <c r="VUX67"/>
      <c r="VUY67"/>
      <c r="VUZ67"/>
      <c r="VVA67"/>
      <c r="VVB67"/>
      <c r="VVC67"/>
      <c r="VVD67"/>
      <c r="VVE67"/>
      <c r="VVF67"/>
      <c r="VVG67"/>
      <c r="VVH67"/>
      <c r="VVI67"/>
      <c r="VVJ67"/>
      <c r="VVK67"/>
      <c r="VVL67"/>
      <c r="VVM67"/>
      <c r="VVN67"/>
      <c r="VVO67"/>
      <c r="VVP67"/>
      <c r="VVQ67"/>
      <c r="VVR67"/>
      <c r="VVS67"/>
      <c r="VVT67"/>
      <c r="VVU67"/>
      <c r="VVV67"/>
      <c r="VVW67"/>
      <c r="VVX67"/>
      <c r="VVY67"/>
      <c r="VVZ67"/>
      <c r="VWA67"/>
      <c r="VWB67"/>
      <c r="VWC67"/>
      <c r="VWD67"/>
      <c r="VWE67"/>
      <c r="VWF67"/>
      <c r="VWG67"/>
      <c r="VWH67"/>
      <c r="VWI67"/>
      <c r="VWJ67"/>
      <c r="VWK67"/>
      <c r="VWL67"/>
      <c r="VWM67"/>
      <c r="VWN67"/>
      <c r="VWO67"/>
      <c r="VWP67"/>
      <c r="VWQ67"/>
      <c r="VWR67"/>
      <c r="VWS67"/>
      <c r="VWT67"/>
      <c r="VWU67"/>
      <c r="VWV67"/>
      <c r="VWW67"/>
      <c r="VWX67"/>
      <c r="VWY67"/>
      <c r="VWZ67"/>
      <c r="VXA67"/>
      <c r="VXB67"/>
      <c r="VXC67"/>
      <c r="VXD67"/>
      <c r="VXE67"/>
      <c r="VXF67"/>
      <c r="VXG67"/>
      <c r="VXH67"/>
      <c r="VXI67"/>
      <c r="VXJ67"/>
      <c r="VXK67"/>
      <c r="VXL67"/>
      <c r="VXM67"/>
      <c r="VXN67"/>
      <c r="VXO67"/>
      <c r="VXP67"/>
      <c r="VXQ67"/>
      <c r="VXR67"/>
      <c r="VXS67"/>
      <c r="VXT67"/>
      <c r="VXU67"/>
      <c r="VXV67"/>
      <c r="VXW67"/>
      <c r="VXX67"/>
      <c r="VXY67"/>
      <c r="VXZ67"/>
      <c r="VYA67"/>
      <c r="VYB67"/>
      <c r="VYC67"/>
      <c r="VYD67"/>
      <c r="VYE67"/>
      <c r="VYF67"/>
      <c r="VYG67"/>
      <c r="VYH67"/>
      <c r="VYI67"/>
      <c r="VYJ67"/>
      <c r="VYK67"/>
      <c r="VYL67"/>
      <c r="VYM67"/>
      <c r="VYN67"/>
      <c r="VYO67"/>
      <c r="VYP67"/>
      <c r="VYQ67"/>
      <c r="VYR67"/>
      <c r="VYS67"/>
      <c r="VYT67"/>
      <c r="VYU67"/>
      <c r="VYV67"/>
      <c r="VYW67"/>
      <c r="VYX67"/>
      <c r="VYY67"/>
      <c r="VYZ67"/>
      <c r="VZA67"/>
      <c r="VZB67"/>
      <c r="VZC67"/>
      <c r="VZD67"/>
      <c r="VZE67"/>
      <c r="VZF67"/>
      <c r="VZG67"/>
      <c r="VZH67"/>
      <c r="VZI67"/>
      <c r="VZJ67"/>
      <c r="VZK67"/>
      <c r="VZL67"/>
      <c r="VZM67"/>
      <c r="VZN67"/>
      <c r="VZO67"/>
      <c r="VZP67"/>
      <c r="VZQ67"/>
      <c r="VZR67"/>
      <c r="VZS67"/>
      <c r="VZT67"/>
      <c r="VZU67"/>
      <c r="VZV67"/>
      <c r="VZW67"/>
      <c r="VZX67"/>
      <c r="VZY67"/>
      <c r="VZZ67"/>
      <c r="WAA67"/>
      <c r="WAB67"/>
      <c r="WAC67"/>
      <c r="WAD67"/>
      <c r="WAE67"/>
      <c r="WAF67"/>
      <c r="WAG67"/>
      <c r="WAH67"/>
      <c r="WAI67"/>
      <c r="WAJ67"/>
      <c r="WAK67"/>
      <c r="WAL67"/>
      <c r="WAM67"/>
      <c r="WAN67"/>
      <c r="WAO67"/>
      <c r="WAP67"/>
      <c r="WAQ67"/>
      <c r="WAR67"/>
      <c r="WAS67"/>
      <c r="WAT67"/>
      <c r="WAU67"/>
      <c r="WAV67"/>
      <c r="WAW67"/>
      <c r="WAX67"/>
      <c r="WAY67"/>
      <c r="WAZ67"/>
      <c r="WBA67"/>
      <c r="WBB67"/>
      <c r="WBC67"/>
      <c r="WBD67"/>
      <c r="WBE67"/>
      <c r="WBF67"/>
      <c r="WBG67"/>
      <c r="WBH67"/>
      <c r="WBI67"/>
      <c r="WBJ67"/>
      <c r="WBK67"/>
      <c r="WBL67"/>
      <c r="WBM67"/>
      <c r="WBN67"/>
      <c r="WBO67"/>
      <c r="WBP67"/>
      <c r="WBQ67"/>
      <c r="WBR67"/>
      <c r="WBS67"/>
      <c r="WBT67"/>
      <c r="WBU67"/>
      <c r="WBV67"/>
      <c r="WBW67"/>
      <c r="WBX67"/>
      <c r="WBY67"/>
      <c r="WBZ67"/>
      <c r="WCA67"/>
      <c r="WCB67"/>
      <c r="WCC67"/>
      <c r="WCD67"/>
      <c r="WCE67"/>
      <c r="WCF67"/>
      <c r="WCG67"/>
      <c r="WCH67"/>
      <c r="WCI67"/>
      <c r="WCJ67"/>
      <c r="WCK67"/>
      <c r="WCL67"/>
      <c r="WCM67"/>
      <c r="WCN67"/>
      <c r="WCO67"/>
      <c r="WCP67"/>
      <c r="WCQ67"/>
      <c r="WCR67"/>
      <c r="WCS67"/>
      <c r="WCT67"/>
      <c r="WCU67"/>
      <c r="WCV67"/>
      <c r="WCW67"/>
      <c r="WCX67"/>
      <c r="WCY67"/>
      <c r="WCZ67"/>
      <c r="WDA67"/>
      <c r="WDB67"/>
      <c r="WDC67"/>
      <c r="WDD67"/>
      <c r="WDE67"/>
      <c r="WDF67"/>
      <c r="WDG67"/>
      <c r="WDH67"/>
      <c r="WDI67"/>
      <c r="WDJ67"/>
      <c r="WDK67"/>
      <c r="WDL67"/>
      <c r="WDM67"/>
      <c r="WDN67"/>
      <c r="WDO67"/>
      <c r="WDP67"/>
      <c r="WDQ67"/>
      <c r="WDR67"/>
      <c r="WDS67"/>
      <c r="WDT67"/>
      <c r="WDU67"/>
      <c r="WDV67"/>
      <c r="WDW67"/>
      <c r="WDX67"/>
      <c r="WDY67"/>
      <c r="WDZ67"/>
      <c r="WEA67"/>
      <c r="WEB67"/>
      <c r="WEC67"/>
      <c r="WED67"/>
      <c r="WEE67"/>
      <c r="WEF67"/>
      <c r="WEG67"/>
      <c r="WEH67"/>
      <c r="WEI67"/>
      <c r="WEJ67"/>
      <c r="WEK67"/>
      <c r="WEL67"/>
      <c r="WEM67"/>
      <c r="WEN67"/>
      <c r="WEO67"/>
      <c r="WEP67"/>
      <c r="WEQ67"/>
      <c r="WER67"/>
      <c r="WES67"/>
      <c r="WET67"/>
      <c r="WEU67"/>
      <c r="WEV67"/>
      <c r="WEW67"/>
      <c r="WEX67"/>
      <c r="WEY67"/>
      <c r="WEZ67"/>
      <c r="WFA67"/>
      <c r="WFB67"/>
      <c r="WFC67"/>
      <c r="WFD67"/>
      <c r="WFE67"/>
      <c r="WFF67"/>
      <c r="WFG67"/>
      <c r="WFH67"/>
      <c r="WFI67"/>
      <c r="WFJ67"/>
      <c r="WFK67"/>
      <c r="WFL67"/>
      <c r="WFM67"/>
      <c r="WFN67"/>
      <c r="WFO67"/>
      <c r="WFP67"/>
      <c r="WFQ67"/>
      <c r="WFR67"/>
      <c r="WFS67"/>
      <c r="WFT67"/>
      <c r="WFU67"/>
      <c r="WFV67"/>
      <c r="WFW67"/>
      <c r="WFX67"/>
      <c r="WFY67"/>
      <c r="WFZ67"/>
      <c r="WGA67"/>
      <c r="WGB67"/>
      <c r="WGC67"/>
      <c r="WGD67"/>
      <c r="WGE67"/>
      <c r="WGF67"/>
      <c r="WGG67"/>
      <c r="WGH67"/>
      <c r="WGI67"/>
      <c r="WGJ67"/>
      <c r="WGK67"/>
      <c r="WGL67"/>
      <c r="WGM67"/>
      <c r="WGN67"/>
      <c r="WGO67"/>
      <c r="WGP67"/>
      <c r="WGQ67"/>
      <c r="WGR67"/>
      <c r="WGS67"/>
      <c r="WGT67"/>
      <c r="WGU67"/>
      <c r="WGV67"/>
      <c r="WGW67"/>
      <c r="WGX67"/>
      <c r="WGY67"/>
      <c r="WGZ67"/>
      <c r="WHA67"/>
      <c r="WHB67"/>
      <c r="WHC67"/>
      <c r="WHD67"/>
      <c r="WHE67"/>
      <c r="WHF67"/>
      <c r="WHG67"/>
      <c r="WHH67"/>
      <c r="WHI67"/>
      <c r="WHJ67"/>
      <c r="WHK67"/>
      <c r="WHL67"/>
      <c r="WHM67"/>
      <c r="WHN67"/>
      <c r="WHO67"/>
      <c r="WHP67"/>
      <c r="WHQ67"/>
      <c r="WHR67"/>
      <c r="WHS67"/>
      <c r="WHT67"/>
      <c r="WHU67"/>
      <c r="WHV67"/>
      <c r="WHW67"/>
      <c r="WHX67"/>
      <c r="WHY67"/>
      <c r="WHZ67"/>
      <c r="WIA67"/>
      <c r="WIB67"/>
      <c r="WIC67"/>
      <c r="WID67"/>
      <c r="WIE67"/>
      <c r="WIF67"/>
      <c r="WIG67"/>
      <c r="WIH67"/>
      <c r="WII67"/>
      <c r="WIJ67"/>
      <c r="WIK67"/>
      <c r="WIL67"/>
      <c r="WIM67"/>
      <c r="WIN67"/>
      <c r="WIO67"/>
      <c r="WIP67"/>
      <c r="WIQ67"/>
      <c r="WIR67"/>
      <c r="WIS67"/>
      <c r="WIT67"/>
      <c r="WIU67"/>
      <c r="WIV67"/>
      <c r="WIW67"/>
      <c r="WIX67"/>
      <c r="WIY67"/>
      <c r="WIZ67"/>
      <c r="WJA67"/>
      <c r="WJB67"/>
      <c r="WJC67"/>
      <c r="WJD67"/>
      <c r="WJE67"/>
      <c r="WJF67"/>
      <c r="WJG67"/>
      <c r="WJH67"/>
      <c r="WJI67"/>
      <c r="WJJ67"/>
      <c r="WJK67"/>
      <c r="WJL67"/>
      <c r="WJM67"/>
      <c r="WJN67"/>
      <c r="WJO67"/>
      <c r="WJP67"/>
      <c r="WJQ67"/>
      <c r="WJR67"/>
      <c r="WJS67"/>
      <c r="WJT67"/>
      <c r="WJU67"/>
      <c r="WJV67"/>
      <c r="WJW67"/>
      <c r="WJX67"/>
      <c r="WJY67"/>
      <c r="WJZ67"/>
      <c r="WKA67"/>
      <c r="WKB67"/>
      <c r="WKC67"/>
      <c r="WKD67"/>
      <c r="WKE67"/>
      <c r="WKF67"/>
      <c r="WKG67"/>
      <c r="WKH67"/>
      <c r="WKI67"/>
      <c r="WKJ67"/>
      <c r="WKK67"/>
      <c r="WKL67"/>
      <c r="WKM67"/>
      <c r="WKN67"/>
      <c r="WKO67"/>
      <c r="WKP67"/>
      <c r="WKQ67"/>
      <c r="WKR67"/>
      <c r="WKS67"/>
      <c r="WKT67"/>
      <c r="WKU67"/>
      <c r="WKV67"/>
      <c r="WKW67"/>
      <c r="WKX67"/>
      <c r="WKY67"/>
      <c r="WKZ67"/>
      <c r="WLA67"/>
      <c r="WLB67"/>
      <c r="WLC67"/>
      <c r="WLD67"/>
      <c r="WLE67"/>
      <c r="WLF67"/>
      <c r="WLG67"/>
      <c r="WLH67"/>
      <c r="WLI67"/>
      <c r="WLJ67"/>
      <c r="WLK67"/>
      <c r="WLL67"/>
      <c r="WLM67"/>
      <c r="WLN67"/>
      <c r="WLO67"/>
      <c r="WLP67"/>
      <c r="WLQ67"/>
      <c r="WLR67"/>
      <c r="WLS67"/>
      <c r="WLT67"/>
      <c r="WLU67"/>
      <c r="WLV67"/>
      <c r="WLW67"/>
      <c r="WLX67"/>
      <c r="WLY67"/>
      <c r="WLZ67"/>
      <c r="WMA67"/>
      <c r="WMB67"/>
      <c r="WMC67"/>
      <c r="WMD67"/>
      <c r="WME67"/>
      <c r="WMF67"/>
      <c r="WMG67"/>
      <c r="WMH67"/>
      <c r="WMI67"/>
      <c r="WMJ67"/>
      <c r="WMK67"/>
      <c r="WML67"/>
      <c r="WMM67"/>
      <c r="WMN67"/>
      <c r="WMO67"/>
      <c r="WMP67"/>
      <c r="WMQ67"/>
      <c r="WMR67"/>
      <c r="WMS67"/>
      <c r="WMT67"/>
      <c r="WMU67"/>
      <c r="WMV67"/>
      <c r="WMW67"/>
      <c r="WMX67"/>
      <c r="WMY67"/>
      <c r="WMZ67"/>
      <c r="WNA67"/>
      <c r="WNB67"/>
      <c r="WNC67"/>
      <c r="WND67"/>
      <c r="WNE67"/>
      <c r="WNF67"/>
      <c r="WNG67"/>
      <c r="WNH67"/>
      <c r="WNI67"/>
      <c r="WNJ67"/>
      <c r="WNK67"/>
      <c r="WNL67"/>
      <c r="WNM67"/>
      <c r="WNN67"/>
      <c r="WNO67"/>
      <c r="WNP67"/>
      <c r="WNQ67"/>
      <c r="WNR67"/>
      <c r="WNS67"/>
      <c r="WNT67"/>
      <c r="WNU67"/>
      <c r="WNV67"/>
      <c r="WNW67"/>
      <c r="WNX67"/>
      <c r="WNY67"/>
      <c r="WNZ67"/>
      <c r="WOA67"/>
      <c r="WOB67"/>
      <c r="WOC67"/>
      <c r="WOD67"/>
      <c r="WOE67"/>
      <c r="WOF67"/>
      <c r="WOG67"/>
      <c r="WOH67"/>
      <c r="WOI67"/>
      <c r="WOJ67"/>
      <c r="WOK67"/>
      <c r="WOL67"/>
      <c r="WOM67"/>
      <c r="WON67"/>
      <c r="WOO67"/>
      <c r="WOP67"/>
      <c r="WOQ67"/>
      <c r="WOR67"/>
      <c r="WOS67"/>
      <c r="WOT67"/>
      <c r="WOU67"/>
      <c r="WOV67"/>
      <c r="WOW67"/>
      <c r="WOX67"/>
      <c r="WOY67"/>
      <c r="WOZ67"/>
      <c r="WPA67"/>
      <c r="WPB67"/>
      <c r="WPC67"/>
      <c r="WPD67"/>
      <c r="WPE67"/>
      <c r="WPF67"/>
      <c r="WPG67"/>
      <c r="WPH67"/>
      <c r="WPI67"/>
      <c r="WPJ67"/>
      <c r="WPK67"/>
      <c r="WPL67"/>
      <c r="WPM67"/>
      <c r="WPN67"/>
      <c r="WPO67"/>
      <c r="WPP67"/>
      <c r="WPQ67"/>
      <c r="WPR67"/>
      <c r="WPS67"/>
      <c r="WPT67"/>
      <c r="WPU67"/>
      <c r="WPV67"/>
      <c r="WPW67"/>
      <c r="WPX67"/>
      <c r="WPY67"/>
      <c r="WPZ67"/>
      <c r="WQA67"/>
      <c r="WQB67"/>
      <c r="WQC67"/>
      <c r="WQD67"/>
      <c r="WQE67"/>
      <c r="WQF67"/>
      <c r="WQG67"/>
      <c r="WQH67"/>
      <c r="WQI67"/>
      <c r="WQJ67"/>
      <c r="WQK67"/>
      <c r="WQL67"/>
      <c r="WQM67"/>
      <c r="WQN67"/>
      <c r="WQO67"/>
      <c r="WQP67"/>
      <c r="WQQ67"/>
      <c r="WQR67"/>
      <c r="WQS67"/>
      <c r="WQT67"/>
      <c r="WQU67"/>
      <c r="WQV67"/>
      <c r="WQW67"/>
      <c r="WQX67"/>
      <c r="WQY67"/>
      <c r="WQZ67"/>
      <c r="WRA67"/>
      <c r="WRB67"/>
      <c r="WRC67"/>
      <c r="WRD67"/>
      <c r="WRE67"/>
      <c r="WRF67"/>
      <c r="WRG67"/>
      <c r="WRH67"/>
      <c r="WRI67"/>
      <c r="WRJ67"/>
      <c r="WRK67"/>
      <c r="WRL67"/>
      <c r="WRM67"/>
      <c r="WRN67"/>
      <c r="WRO67"/>
      <c r="WRP67"/>
      <c r="WRQ67"/>
      <c r="WRR67"/>
      <c r="WRS67"/>
      <c r="WRT67"/>
      <c r="WRU67"/>
      <c r="WRV67"/>
      <c r="WRW67"/>
      <c r="WRX67"/>
      <c r="WRY67"/>
      <c r="WRZ67"/>
      <c r="WSA67"/>
      <c r="WSB67"/>
      <c r="WSC67"/>
      <c r="WSD67"/>
      <c r="WSE67"/>
      <c r="WSF67"/>
      <c r="WSG67"/>
      <c r="WSH67"/>
      <c r="WSI67"/>
      <c r="WSJ67"/>
      <c r="WSK67"/>
      <c r="WSL67"/>
      <c r="WSM67"/>
      <c r="WSN67"/>
      <c r="WSO67"/>
      <c r="WSP67"/>
      <c r="WSQ67"/>
      <c r="WSR67"/>
      <c r="WSS67"/>
      <c r="WST67"/>
      <c r="WSU67"/>
      <c r="WSV67"/>
      <c r="WSW67"/>
      <c r="WSX67"/>
      <c r="WSY67"/>
      <c r="WSZ67"/>
      <c r="WTA67"/>
      <c r="WTB67"/>
      <c r="WTC67"/>
      <c r="WTD67"/>
      <c r="WTE67"/>
      <c r="WTF67"/>
      <c r="WTG67"/>
      <c r="WTH67"/>
      <c r="WTI67"/>
      <c r="WTJ67"/>
      <c r="WTK67"/>
      <c r="WTL67"/>
      <c r="WTM67"/>
      <c r="WTN67"/>
      <c r="WTO67"/>
      <c r="WTP67"/>
      <c r="WTQ67"/>
      <c r="WTR67"/>
      <c r="WTS67"/>
      <c r="WTT67"/>
      <c r="WTU67"/>
      <c r="WTV67"/>
      <c r="WTW67"/>
      <c r="WTX67"/>
      <c r="WTY67"/>
      <c r="WTZ67"/>
      <c r="WUA67"/>
      <c r="WUB67"/>
      <c r="WUC67"/>
      <c r="WUD67"/>
      <c r="WUE67"/>
      <c r="WUF67"/>
      <c r="WUG67"/>
      <c r="WUH67"/>
      <c r="WUI67"/>
      <c r="WUJ67"/>
      <c r="WUK67"/>
      <c r="WUL67"/>
      <c r="WUM67"/>
      <c r="WUN67"/>
      <c r="WUO67"/>
      <c r="WUP67"/>
      <c r="WUQ67"/>
      <c r="WUR67"/>
      <c r="WUS67"/>
      <c r="WUT67"/>
      <c r="WUU67"/>
      <c r="WUV67"/>
      <c r="WUW67"/>
      <c r="WUX67"/>
      <c r="WUY67"/>
      <c r="WUZ67"/>
      <c r="WVA67"/>
      <c r="WVB67"/>
      <c r="WVC67"/>
      <c r="WVD67"/>
      <c r="WVE67"/>
      <c r="WVF67"/>
      <c r="WVG67"/>
      <c r="WVH67"/>
      <c r="WVI67"/>
      <c r="WVJ67"/>
      <c r="WVK67"/>
      <c r="WVL67"/>
      <c r="WVM67"/>
      <c r="WVN67"/>
      <c r="WVO67"/>
      <c r="WVP67"/>
      <c r="WVQ67"/>
      <c r="WVR67"/>
      <c r="WVS67"/>
      <c r="WVT67"/>
      <c r="WVU67"/>
      <c r="WVV67"/>
      <c r="WVW67"/>
      <c r="WVX67"/>
      <c r="WVY67"/>
      <c r="WVZ67"/>
      <c r="WWA67"/>
      <c r="WWB67"/>
      <c r="WWC67"/>
      <c r="WWD67"/>
      <c r="WWE67"/>
      <c r="WWF67"/>
      <c r="WWG67"/>
      <c r="WWH67"/>
      <c r="WWI67"/>
      <c r="WWJ67"/>
      <c r="WWK67"/>
      <c r="WWL67"/>
      <c r="WWM67"/>
      <c r="WWN67"/>
      <c r="WWO67"/>
      <c r="WWP67"/>
      <c r="WWQ67"/>
      <c r="WWR67"/>
      <c r="WWS67"/>
      <c r="WWT67"/>
      <c r="WWU67"/>
      <c r="WWV67"/>
      <c r="WWW67"/>
      <c r="WWX67"/>
      <c r="WWY67"/>
      <c r="WWZ67"/>
      <c r="WXA67"/>
      <c r="WXB67"/>
      <c r="WXC67"/>
      <c r="WXD67"/>
      <c r="WXE67"/>
      <c r="WXF67"/>
      <c r="WXG67"/>
      <c r="WXH67"/>
      <c r="WXI67"/>
      <c r="WXJ67"/>
      <c r="WXK67"/>
      <c r="WXL67"/>
      <c r="WXM67"/>
      <c r="WXN67"/>
      <c r="WXO67"/>
      <c r="WXP67"/>
      <c r="WXQ67"/>
      <c r="WXR67"/>
      <c r="WXS67"/>
      <c r="WXT67"/>
      <c r="WXU67"/>
      <c r="WXV67"/>
      <c r="WXW67"/>
      <c r="WXX67"/>
      <c r="WXY67"/>
      <c r="WXZ67"/>
      <c r="WYA67"/>
      <c r="WYB67"/>
      <c r="WYC67"/>
      <c r="WYD67"/>
      <c r="WYE67"/>
      <c r="WYF67"/>
      <c r="WYG67"/>
      <c r="WYH67"/>
      <c r="WYI67"/>
      <c r="WYJ67"/>
      <c r="WYK67"/>
      <c r="WYL67"/>
      <c r="WYM67"/>
      <c r="WYN67"/>
      <c r="WYO67"/>
      <c r="WYP67"/>
      <c r="WYQ67"/>
      <c r="WYR67"/>
      <c r="WYS67"/>
      <c r="WYT67"/>
      <c r="WYU67"/>
      <c r="WYV67"/>
      <c r="WYW67"/>
      <c r="WYX67"/>
      <c r="WYY67"/>
      <c r="WYZ67"/>
      <c r="WZA67"/>
      <c r="WZB67"/>
      <c r="WZC67"/>
      <c r="WZD67"/>
      <c r="WZE67"/>
      <c r="WZF67"/>
      <c r="WZG67"/>
      <c r="WZH67"/>
      <c r="WZI67"/>
      <c r="WZJ67"/>
      <c r="WZK67"/>
      <c r="WZL67"/>
      <c r="WZM67"/>
      <c r="WZN67"/>
      <c r="WZO67"/>
      <c r="WZP67"/>
      <c r="WZQ67"/>
      <c r="WZR67"/>
      <c r="WZS67"/>
      <c r="WZT67"/>
      <c r="WZU67"/>
      <c r="WZV67"/>
      <c r="WZW67"/>
      <c r="WZX67"/>
      <c r="WZY67"/>
      <c r="WZZ67"/>
      <c r="XAA67"/>
      <c r="XAB67"/>
      <c r="XAC67"/>
      <c r="XAD67"/>
      <c r="XAE67"/>
      <c r="XAF67"/>
      <c r="XAG67"/>
      <c r="XAH67"/>
      <c r="XAI67"/>
      <c r="XAJ67"/>
      <c r="XAK67"/>
      <c r="XAL67"/>
      <c r="XAM67"/>
      <c r="XAN67"/>
      <c r="XAO67"/>
      <c r="XAP67"/>
      <c r="XAQ67"/>
      <c r="XAR67"/>
      <c r="XAS67"/>
      <c r="XAT67"/>
      <c r="XAU67"/>
      <c r="XAV67"/>
      <c r="XAW67"/>
      <c r="XAX67"/>
      <c r="XAY67"/>
      <c r="XAZ67"/>
      <c r="XBA67"/>
      <c r="XBB67"/>
      <c r="XBC67"/>
      <c r="XBD67"/>
      <c r="XBE67"/>
      <c r="XBF67"/>
      <c r="XBG67"/>
      <c r="XBH67"/>
      <c r="XBI67"/>
      <c r="XBJ67"/>
      <c r="XBK67"/>
      <c r="XBL67"/>
      <c r="XBM67"/>
      <c r="XBN67"/>
      <c r="XBO67"/>
      <c r="XBP67"/>
      <c r="XBQ67"/>
      <c r="XBR67"/>
      <c r="XBS67"/>
      <c r="XBT67"/>
      <c r="XBU67"/>
      <c r="XBV67"/>
      <c r="XBW67"/>
      <c r="XBX67"/>
      <c r="XBY67"/>
      <c r="XBZ67"/>
      <c r="XCA67"/>
      <c r="XCB67"/>
      <c r="XCC67"/>
      <c r="XCD67"/>
      <c r="XCE67"/>
      <c r="XCF67"/>
      <c r="XCG67"/>
      <c r="XCH67"/>
      <c r="XCI67"/>
      <c r="XCJ67"/>
      <c r="XCK67"/>
      <c r="XCL67"/>
      <c r="XCM67"/>
      <c r="XCN67"/>
      <c r="XCO67"/>
      <c r="XCP67"/>
      <c r="XCQ67"/>
      <c r="XCR67"/>
      <c r="XCS67"/>
      <c r="XCT67"/>
      <c r="XCU67"/>
      <c r="XCV67"/>
      <c r="XCW67"/>
      <c r="XCX67"/>
      <c r="XCY67"/>
      <c r="XCZ67"/>
      <c r="XDA67"/>
      <c r="XDB67"/>
      <c r="XDC67"/>
      <c r="XDD67"/>
      <c r="XDE67"/>
      <c r="XDF67"/>
      <c r="XDG67"/>
      <c r="XDH67"/>
      <c r="XDI67"/>
      <c r="XDJ67"/>
      <c r="XDK67"/>
      <c r="XDL67"/>
      <c r="XDM67"/>
      <c r="XDN67"/>
      <c r="XDO67"/>
      <c r="XDP67"/>
      <c r="XDQ67"/>
      <c r="XDR67"/>
      <c r="XDS67"/>
      <c r="XDT67"/>
      <c r="XDU67"/>
      <c r="XDV67"/>
      <c r="XDW67"/>
      <c r="XDX67"/>
      <c r="XDY67"/>
      <c r="XDZ67"/>
      <c r="XEA67"/>
      <c r="XEB67"/>
      <c r="XEC67"/>
      <c r="XED67"/>
      <c r="XEE67"/>
      <c r="XEF67"/>
      <c r="XEG67"/>
      <c r="XEH67"/>
      <c r="XEI67"/>
      <c r="XEJ67"/>
      <c r="XEK67"/>
      <c r="XEL67"/>
      <c r="XEM67"/>
      <c r="XEN67"/>
      <c r="XEO67"/>
      <c r="XEP67"/>
      <c r="XEQ67"/>
      <c r="XER67"/>
      <c r="XES67"/>
      <c r="XET67"/>
      <c r="XEU67"/>
      <c r="XEV67"/>
      <c r="XEW67"/>
      <c r="XEX67"/>
      <c r="XEY67"/>
      <c r="XEZ67"/>
      <c r="XFA67"/>
      <c r="XFB67"/>
      <c r="XFC67"/>
      <c r="XFD67"/>
    </row>
    <row r="68" spans="3:16384" ht="31.5">
      <c r="C68" s="1226" t="s">
        <v>1838</v>
      </c>
      <c r="D68" s="1213"/>
      <c r="E68" s="1214"/>
      <c r="F68" s="1214"/>
      <c r="G68" s="1214"/>
      <c r="H68" s="1214"/>
      <c r="I68" s="1214"/>
      <c r="J68" s="1214"/>
      <c r="K68" s="1213"/>
      <c r="L68" s="1213"/>
      <c r="M68" s="1213"/>
      <c r="N68" s="1235"/>
      <c r="O68" s="1214"/>
      <c r="P68" s="1235"/>
      <c r="Q68" s="1214"/>
      <c r="R68" s="1246" t="s">
        <v>1663</v>
      </c>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c r="GS68"/>
      <c r="GT68"/>
      <c r="GU68"/>
      <c r="GV68"/>
      <c r="GW68"/>
      <c r="GX68"/>
      <c r="GY68"/>
      <c r="GZ68"/>
      <c r="HA68"/>
      <c r="HB68"/>
      <c r="HC68"/>
      <c r="HD68"/>
      <c r="HE68"/>
      <c r="HF68"/>
      <c r="HG68"/>
      <c r="HH68"/>
      <c r="HI68"/>
      <c r="HJ68"/>
      <c r="HK68"/>
      <c r="HL68"/>
      <c r="HM68"/>
      <c r="HN68"/>
      <c r="HO68"/>
      <c r="HP68"/>
      <c r="HQ68"/>
      <c r="HR68"/>
      <c r="HS68"/>
      <c r="HT68"/>
      <c r="HU68"/>
      <c r="HV68"/>
      <c r="HW68"/>
      <c r="HX68"/>
      <c r="HY68"/>
      <c r="HZ68"/>
      <c r="IA68"/>
      <c r="IB68"/>
      <c r="IC68"/>
      <c r="ID68"/>
      <c r="IE68"/>
      <c r="IF68"/>
      <c r="IG68"/>
      <c r="IH68"/>
      <c r="II68"/>
      <c r="IJ68"/>
      <c r="IK68"/>
      <c r="IL68"/>
      <c r="IM68"/>
      <c r="IN68"/>
      <c r="IO68"/>
      <c r="IP68"/>
      <c r="IQ68"/>
      <c r="IR68"/>
      <c r="IS68"/>
      <c r="IT68"/>
      <c r="IU68"/>
      <c r="IV68"/>
      <c r="IW68"/>
      <c r="IX68"/>
      <c r="IY68"/>
      <c r="IZ68"/>
      <c r="JA68"/>
      <c r="JB68"/>
      <c r="JC68"/>
      <c r="JD68"/>
      <c r="JE68"/>
      <c r="JF68"/>
      <c r="JG68"/>
      <c r="JH68"/>
      <c r="JI68"/>
      <c r="JJ68"/>
      <c r="JK68"/>
      <c r="JL68"/>
      <c r="JM68"/>
      <c r="JN68"/>
      <c r="JO68"/>
      <c r="JP68"/>
      <c r="JQ68"/>
      <c r="JR68"/>
      <c r="JS68"/>
      <c r="JT68"/>
      <c r="JU68"/>
      <c r="JV68"/>
      <c r="JW68"/>
      <c r="JX68"/>
      <c r="JY68"/>
      <c r="JZ68"/>
      <c r="KA68"/>
      <c r="KB68"/>
      <c r="KC68"/>
      <c r="KD68"/>
      <c r="KE68"/>
      <c r="KF68"/>
      <c r="KG68"/>
      <c r="KH68"/>
      <c r="KI68"/>
      <c r="KJ68"/>
      <c r="KK68"/>
      <c r="KL68"/>
      <c r="KM68"/>
      <c r="KN68"/>
      <c r="KO68"/>
      <c r="KP68"/>
      <c r="KQ68"/>
      <c r="KR68"/>
      <c r="KS68"/>
      <c r="KT68"/>
      <c r="KU68"/>
      <c r="KV68"/>
      <c r="KW68"/>
      <c r="KX68"/>
      <c r="KY68"/>
      <c r="KZ68"/>
      <c r="LA68"/>
      <c r="LB68"/>
      <c r="LC68"/>
      <c r="LD68"/>
      <c r="LE68"/>
      <c r="LF68"/>
      <c r="LG68"/>
      <c r="LH68"/>
      <c r="LI68"/>
      <c r="LJ68"/>
      <c r="LK68"/>
      <c r="LL68"/>
      <c r="LM68"/>
      <c r="LN68"/>
      <c r="LO68"/>
      <c r="LP68"/>
      <c r="LQ68"/>
      <c r="LR68"/>
      <c r="LS68"/>
      <c r="LT68"/>
      <c r="LU68"/>
      <c r="LV68"/>
      <c r="LW68"/>
      <c r="LX68"/>
      <c r="LY68"/>
      <c r="LZ68"/>
      <c r="MA68"/>
      <c r="MB68"/>
      <c r="MC68"/>
      <c r="MD68"/>
      <c r="ME68"/>
      <c r="MF68"/>
      <c r="MG68"/>
      <c r="MH68"/>
      <c r="MI68"/>
      <c r="MJ68"/>
      <c r="MK68"/>
      <c r="ML68"/>
      <c r="MM68"/>
      <c r="MN68"/>
      <c r="MO68"/>
      <c r="MP68"/>
      <c r="MQ68"/>
      <c r="MR68"/>
      <c r="MS68"/>
      <c r="MT68"/>
      <c r="MU68"/>
      <c r="MV68"/>
      <c r="MW68"/>
      <c r="MX68"/>
      <c r="MY68"/>
      <c r="MZ68"/>
      <c r="NA68"/>
      <c r="NB68"/>
      <c r="NC68"/>
      <c r="ND68"/>
      <c r="NE68"/>
      <c r="NF68"/>
      <c r="NG68"/>
      <c r="NH68"/>
      <c r="NI68"/>
      <c r="NJ68"/>
      <c r="NK68"/>
      <c r="NL68"/>
      <c r="NM68"/>
      <c r="NN68"/>
      <c r="NO68"/>
      <c r="NP68"/>
      <c r="NQ68"/>
      <c r="NR68"/>
      <c r="NS68"/>
      <c r="NT68"/>
      <c r="NU68"/>
      <c r="NV68"/>
      <c r="NW68"/>
      <c r="NX68"/>
      <c r="NY68"/>
      <c r="NZ68"/>
      <c r="OA68"/>
      <c r="OB68"/>
      <c r="OC68"/>
      <c r="OD68"/>
      <c r="OE68"/>
      <c r="OF68"/>
      <c r="OG68"/>
      <c r="OH68"/>
      <c r="OI68"/>
      <c r="OJ68"/>
      <c r="OK68"/>
      <c r="OL68"/>
      <c r="OM68"/>
      <c r="ON68"/>
      <c r="OO68"/>
      <c r="OP68"/>
      <c r="OQ68"/>
      <c r="OR68"/>
      <c r="OS68"/>
      <c r="OT68"/>
      <c r="OU68"/>
      <c r="OV68"/>
      <c r="OW68"/>
      <c r="OX68"/>
      <c r="OY68"/>
      <c r="OZ68"/>
      <c r="PA68"/>
      <c r="PB68"/>
      <c r="PC68"/>
      <c r="PD68"/>
      <c r="PE68"/>
      <c r="PF68"/>
      <c r="PG68"/>
      <c r="PH68"/>
      <c r="PI68"/>
      <c r="PJ68"/>
      <c r="PK68"/>
      <c r="PL68"/>
      <c r="PM68"/>
      <c r="PN68"/>
      <c r="PO68"/>
      <c r="PP68"/>
      <c r="PQ68"/>
      <c r="PR68"/>
      <c r="PS68"/>
      <c r="PT68"/>
      <c r="PU68"/>
      <c r="PV68"/>
      <c r="PW68"/>
      <c r="PX68"/>
      <c r="PY68"/>
      <c r="PZ68"/>
      <c r="QA68"/>
      <c r="QB68"/>
      <c r="QC68"/>
      <c r="QD68"/>
      <c r="QE68"/>
      <c r="QF68"/>
      <c r="QG68"/>
      <c r="QH68"/>
      <c r="QI68"/>
      <c r="QJ68"/>
      <c r="QK68"/>
      <c r="QL68"/>
      <c r="QM68"/>
      <c r="QN68"/>
      <c r="QO68"/>
      <c r="QP68"/>
      <c r="QQ68"/>
      <c r="QR68"/>
      <c r="QS68"/>
      <c r="QT68"/>
      <c r="QU68"/>
      <c r="QV68"/>
      <c r="QW68"/>
      <c r="QX68"/>
      <c r="QY68"/>
      <c r="QZ68"/>
      <c r="RA68"/>
      <c r="RB68"/>
      <c r="RC68"/>
      <c r="RD68"/>
      <c r="RE68"/>
      <c r="RF68"/>
      <c r="RG68"/>
      <c r="RH68"/>
      <c r="RI68"/>
      <c r="RJ68"/>
      <c r="RK68"/>
      <c r="RL68"/>
      <c r="RM68"/>
      <c r="RN68"/>
      <c r="RO68"/>
      <c r="RP68"/>
      <c r="RQ68"/>
      <c r="RR68"/>
      <c r="RS68"/>
      <c r="RT68"/>
      <c r="RU68"/>
      <c r="RV68"/>
      <c r="RW68"/>
      <c r="RX68"/>
      <c r="RY68"/>
      <c r="RZ68"/>
      <c r="SA68"/>
      <c r="SB68"/>
      <c r="SC68"/>
      <c r="SD68"/>
      <c r="SE68"/>
      <c r="SF68"/>
      <c r="SG68"/>
      <c r="SH68"/>
      <c r="SI68"/>
      <c r="SJ68"/>
      <c r="SK68"/>
      <c r="SL68"/>
      <c r="SM68"/>
      <c r="SN68"/>
      <c r="SO68"/>
      <c r="SP68"/>
      <c r="SQ68"/>
      <c r="SR68"/>
      <c r="SS68"/>
      <c r="ST68"/>
      <c r="SU68"/>
      <c r="SV68"/>
      <c r="SW68"/>
      <c r="SX68"/>
      <c r="SY68"/>
      <c r="SZ68"/>
      <c r="TA68"/>
      <c r="TB68"/>
      <c r="TC68"/>
      <c r="TD68"/>
      <c r="TE68"/>
      <c r="TF68"/>
      <c r="TG68"/>
      <c r="TH68"/>
      <c r="TI68"/>
      <c r="TJ68"/>
      <c r="TK68"/>
      <c r="TL68"/>
      <c r="TM68"/>
      <c r="TN68"/>
      <c r="TO68"/>
      <c r="TP68"/>
      <c r="TQ68"/>
      <c r="TR68"/>
      <c r="TS68"/>
      <c r="TT68"/>
      <c r="TU68"/>
      <c r="TV68"/>
      <c r="TW68"/>
      <c r="TX68"/>
      <c r="TY68"/>
      <c r="TZ68"/>
      <c r="UA68"/>
      <c r="UB68"/>
      <c r="UC68"/>
      <c r="UD68"/>
      <c r="UE68"/>
      <c r="UF68"/>
      <c r="UG68"/>
      <c r="UH68"/>
      <c r="UI68"/>
      <c r="UJ68"/>
      <c r="UK68"/>
      <c r="UL68"/>
      <c r="UM68"/>
      <c r="UN68"/>
      <c r="UO68"/>
      <c r="UP68"/>
      <c r="UQ68"/>
      <c r="UR68"/>
      <c r="US68"/>
      <c r="UT68"/>
      <c r="UU68"/>
      <c r="UV68"/>
      <c r="UW68"/>
      <c r="UX68"/>
      <c r="UY68"/>
      <c r="UZ68"/>
      <c r="VA68"/>
      <c r="VB68"/>
      <c r="VC68"/>
      <c r="VD68"/>
      <c r="VE68"/>
      <c r="VF68"/>
      <c r="VG68"/>
      <c r="VH68"/>
      <c r="VI68"/>
      <c r="VJ68"/>
      <c r="VK68"/>
      <c r="VL68"/>
      <c r="VM68"/>
      <c r="VN68"/>
      <c r="VO68"/>
      <c r="VP68"/>
      <c r="VQ68"/>
      <c r="VR68"/>
      <c r="VS68"/>
      <c r="VT68"/>
      <c r="VU68"/>
      <c r="VV68"/>
      <c r="VW68"/>
      <c r="VX68"/>
      <c r="VY68"/>
      <c r="VZ68"/>
      <c r="WA68"/>
      <c r="WB68"/>
      <c r="WC68"/>
      <c r="WD68"/>
      <c r="WE68"/>
      <c r="WF68"/>
      <c r="WG68"/>
      <c r="WH68"/>
      <c r="WI68"/>
      <c r="WJ68"/>
      <c r="WK68"/>
      <c r="WL68"/>
      <c r="WM68"/>
      <c r="WN68"/>
      <c r="WO68"/>
      <c r="WP68"/>
      <c r="WQ68"/>
      <c r="WR68"/>
      <c r="WS68"/>
      <c r="WT68"/>
      <c r="WU68"/>
      <c r="WV68"/>
      <c r="WW68"/>
      <c r="WX68"/>
      <c r="WY68"/>
      <c r="WZ68"/>
      <c r="XA68"/>
      <c r="XB68"/>
      <c r="XC68"/>
      <c r="XD68"/>
      <c r="XE68"/>
      <c r="XF68"/>
      <c r="XG68"/>
      <c r="XH68"/>
      <c r="XI68"/>
      <c r="XJ68"/>
      <c r="XK68"/>
      <c r="XL68"/>
      <c r="XM68"/>
      <c r="XN68"/>
      <c r="XO68"/>
      <c r="XP68"/>
      <c r="XQ68"/>
      <c r="XR68"/>
      <c r="XS68"/>
      <c r="XT68"/>
      <c r="XU68"/>
      <c r="XV68"/>
      <c r="XW68"/>
      <c r="XX68"/>
      <c r="XY68"/>
      <c r="XZ68"/>
      <c r="YA68"/>
      <c r="YB68"/>
      <c r="YC68"/>
      <c r="YD68"/>
      <c r="YE68"/>
      <c r="YF68"/>
      <c r="YG68"/>
      <c r="YH68"/>
      <c r="YI68"/>
      <c r="YJ68"/>
      <c r="YK68"/>
      <c r="YL68"/>
      <c r="YM68"/>
      <c r="YN68"/>
      <c r="YO68"/>
      <c r="YP68"/>
      <c r="YQ68"/>
      <c r="YR68"/>
      <c r="YS68"/>
      <c r="YT68"/>
      <c r="YU68"/>
      <c r="YV68"/>
      <c r="YW68"/>
      <c r="YX68"/>
      <c r="YY68"/>
      <c r="YZ68"/>
      <c r="ZA68"/>
      <c r="ZB68"/>
      <c r="ZC68"/>
      <c r="ZD68"/>
      <c r="ZE68"/>
      <c r="ZF68"/>
      <c r="ZG68"/>
      <c r="ZH68"/>
      <c r="ZI68"/>
      <c r="ZJ68"/>
      <c r="ZK68"/>
      <c r="ZL68"/>
      <c r="ZM68"/>
      <c r="ZN68"/>
      <c r="ZO68"/>
      <c r="ZP68"/>
      <c r="ZQ68"/>
      <c r="ZR68"/>
      <c r="ZS68"/>
      <c r="ZT68"/>
      <c r="ZU68"/>
      <c r="ZV68"/>
      <c r="ZW68"/>
      <c r="ZX68"/>
      <c r="ZY68"/>
      <c r="ZZ68"/>
      <c r="AAA68"/>
      <c r="AAB68"/>
      <c r="AAC68"/>
      <c r="AAD68"/>
      <c r="AAE68"/>
      <c r="AAF68"/>
      <c r="AAG68"/>
      <c r="AAH68"/>
      <c r="AAI68"/>
      <c r="AAJ68"/>
      <c r="AAK68"/>
      <c r="AAL68"/>
      <c r="AAM68"/>
      <c r="AAN68"/>
      <c r="AAO68"/>
      <c r="AAP68"/>
      <c r="AAQ68"/>
      <c r="AAR68"/>
      <c r="AAS68"/>
      <c r="AAT68"/>
      <c r="AAU68"/>
      <c r="AAV68"/>
      <c r="AAW68"/>
      <c r="AAX68"/>
      <c r="AAY68"/>
      <c r="AAZ68"/>
      <c r="ABA68"/>
      <c r="ABB68"/>
      <c r="ABC68"/>
      <c r="ABD68"/>
      <c r="ABE68"/>
      <c r="ABF68"/>
      <c r="ABG68"/>
      <c r="ABH68"/>
      <c r="ABI68"/>
      <c r="ABJ68"/>
      <c r="ABK68"/>
      <c r="ABL68"/>
      <c r="ABM68"/>
      <c r="ABN68"/>
      <c r="ABO68"/>
      <c r="ABP68"/>
      <c r="ABQ68"/>
      <c r="ABR68"/>
      <c r="ABS68"/>
      <c r="ABT68"/>
      <c r="ABU68"/>
      <c r="ABV68"/>
      <c r="ABW68"/>
      <c r="ABX68"/>
      <c r="ABY68"/>
      <c r="ABZ68"/>
      <c r="ACA68"/>
      <c r="ACB68"/>
      <c r="ACC68"/>
      <c r="ACD68"/>
      <c r="ACE68"/>
      <c r="ACF68"/>
      <c r="ACG68"/>
      <c r="ACH68"/>
      <c r="ACI68"/>
      <c r="ACJ68"/>
      <c r="ACK68"/>
      <c r="ACL68"/>
      <c r="ACM68"/>
      <c r="ACN68"/>
      <c r="ACO68"/>
      <c r="ACP68"/>
      <c r="ACQ68"/>
      <c r="ACR68"/>
      <c r="ACS68"/>
      <c r="ACT68"/>
      <c r="ACU68"/>
      <c r="ACV68"/>
      <c r="ACW68"/>
      <c r="ACX68"/>
      <c r="ACY68"/>
      <c r="ACZ68"/>
      <c r="ADA68"/>
      <c r="ADB68"/>
      <c r="ADC68"/>
      <c r="ADD68"/>
      <c r="ADE68"/>
      <c r="ADF68"/>
      <c r="ADG68"/>
      <c r="ADH68"/>
      <c r="ADI68"/>
      <c r="ADJ68"/>
      <c r="ADK68"/>
      <c r="ADL68"/>
      <c r="ADM68"/>
      <c r="ADN68"/>
      <c r="ADO68"/>
      <c r="ADP68"/>
      <c r="ADQ68"/>
      <c r="ADR68"/>
      <c r="ADS68"/>
      <c r="ADT68"/>
      <c r="ADU68"/>
      <c r="ADV68"/>
      <c r="ADW68"/>
      <c r="ADX68"/>
      <c r="ADY68"/>
      <c r="ADZ68"/>
      <c r="AEA68"/>
      <c r="AEB68"/>
      <c r="AEC68"/>
      <c r="AED68"/>
      <c r="AEE68"/>
      <c r="AEF68"/>
      <c r="AEG68"/>
      <c r="AEH68"/>
      <c r="AEI68"/>
      <c r="AEJ68"/>
      <c r="AEK68"/>
      <c r="AEL68"/>
      <c r="AEM68"/>
      <c r="AEN68"/>
      <c r="AEO68"/>
      <c r="AEP68"/>
      <c r="AEQ68"/>
      <c r="AER68"/>
      <c r="AES68"/>
      <c r="AET68"/>
      <c r="AEU68"/>
      <c r="AEV68"/>
      <c r="AEW68"/>
      <c r="AEX68"/>
      <c r="AEY68"/>
      <c r="AEZ68"/>
      <c r="AFA68"/>
      <c r="AFB68"/>
      <c r="AFC68"/>
      <c r="AFD68"/>
      <c r="AFE68"/>
      <c r="AFF68"/>
      <c r="AFG68"/>
      <c r="AFH68"/>
      <c r="AFI68"/>
      <c r="AFJ68"/>
      <c r="AFK68"/>
      <c r="AFL68"/>
      <c r="AFM68"/>
      <c r="AFN68"/>
      <c r="AFO68"/>
      <c r="AFP68"/>
      <c r="AFQ68"/>
      <c r="AFR68"/>
      <c r="AFS68"/>
      <c r="AFT68"/>
      <c r="AFU68"/>
      <c r="AFV68"/>
      <c r="AFW68"/>
      <c r="AFX68"/>
      <c r="AFY68"/>
      <c r="AFZ68"/>
      <c r="AGA68"/>
      <c r="AGB68"/>
      <c r="AGC68"/>
      <c r="AGD68"/>
      <c r="AGE68"/>
      <c r="AGF68"/>
      <c r="AGG68"/>
      <c r="AGH68"/>
      <c r="AGI68"/>
      <c r="AGJ68"/>
      <c r="AGK68"/>
      <c r="AGL68"/>
      <c r="AGM68"/>
      <c r="AGN68"/>
      <c r="AGO68"/>
      <c r="AGP68"/>
      <c r="AGQ68"/>
      <c r="AGR68"/>
      <c r="AGS68"/>
      <c r="AGT68"/>
      <c r="AGU68"/>
      <c r="AGV68"/>
      <c r="AGW68"/>
      <c r="AGX68"/>
      <c r="AGY68"/>
      <c r="AGZ68"/>
      <c r="AHA68"/>
      <c r="AHB68"/>
      <c r="AHC68"/>
      <c r="AHD68"/>
      <c r="AHE68"/>
      <c r="AHF68"/>
      <c r="AHG68"/>
      <c r="AHH68"/>
      <c r="AHI68"/>
      <c r="AHJ68"/>
      <c r="AHK68"/>
      <c r="AHL68"/>
      <c r="AHM68"/>
      <c r="AHN68"/>
      <c r="AHO68"/>
      <c r="AHP68"/>
      <c r="AHQ68"/>
      <c r="AHR68"/>
      <c r="AHS68"/>
      <c r="AHT68"/>
      <c r="AHU68"/>
      <c r="AHV68"/>
      <c r="AHW68"/>
      <c r="AHX68"/>
      <c r="AHY68"/>
      <c r="AHZ68"/>
      <c r="AIA68"/>
      <c r="AIB68"/>
      <c r="AIC68"/>
      <c r="AID68"/>
      <c r="AIE68"/>
      <c r="AIF68"/>
      <c r="AIG68"/>
      <c r="AIH68"/>
      <c r="AII68"/>
      <c r="AIJ68"/>
      <c r="AIK68"/>
      <c r="AIL68"/>
      <c r="AIM68"/>
      <c r="AIN68"/>
      <c r="AIO68"/>
      <c r="AIP68"/>
      <c r="AIQ68"/>
      <c r="AIR68"/>
      <c r="AIS68"/>
      <c r="AIT68"/>
      <c r="AIU68"/>
      <c r="AIV68"/>
      <c r="AIW68"/>
      <c r="AIX68"/>
      <c r="AIY68"/>
      <c r="AIZ68"/>
      <c r="AJA68"/>
      <c r="AJB68"/>
      <c r="AJC68"/>
      <c r="AJD68"/>
      <c r="AJE68"/>
      <c r="AJF68"/>
      <c r="AJG68"/>
      <c r="AJH68"/>
      <c r="AJI68"/>
      <c r="AJJ68"/>
      <c r="AJK68"/>
      <c r="AJL68"/>
      <c r="AJM68"/>
      <c r="AJN68"/>
      <c r="AJO68"/>
      <c r="AJP68"/>
      <c r="AJQ68"/>
      <c r="AJR68"/>
      <c r="AJS68"/>
      <c r="AJT68"/>
      <c r="AJU68"/>
      <c r="AJV68"/>
      <c r="AJW68"/>
      <c r="AJX68"/>
      <c r="AJY68"/>
      <c r="AJZ68"/>
      <c r="AKA68"/>
      <c r="AKB68"/>
      <c r="AKC68"/>
      <c r="AKD68"/>
      <c r="AKE68"/>
      <c r="AKF68"/>
      <c r="AKG68"/>
      <c r="AKH68"/>
      <c r="AKI68"/>
      <c r="AKJ68"/>
      <c r="AKK68"/>
      <c r="AKL68"/>
      <c r="AKM68"/>
      <c r="AKN68"/>
      <c r="AKO68"/>
      <c r="AKP68"/>
      <c r="AKQ68"/>
      <c r="AKR68"/>
      <c r="AKS68"/>
      <c r="AKT68"/>
      <c r="AKU68"/>
      <c r="AKV68"/>
      <c r="AKW68"/>
      <c r="AKX68"/>
      <c r="AKY68"/>
      <c r="AKZ68"/>
      <c r="ALA68"/>
      <c r="ALB68"/>
      <c r="ALC68"/>
      <c r="ALD68"/>
      <c r="ALE68"/>
      <c r="ALF68"/>
      <c r="ALG68"/>
      <c r="ALH68"/>
      <c r="ALI68"/>
      <c r="ALJ68"/>
      <c r="ALK68"/>
      <c r="ALL68"/>
      <c r="ALM68"/>
      <c r="ALN68"/>
      <c r="ALO68"/>
      <c r="ALP68"/>
      <c r="ALQ68"/>
      <c r="ALR68"/>
      <c r="ALS68"/>
      <c r="ALT68"/>
      <c r="ALU68"/>
      <c r="ALV68"/>
      <c r="ALW68"/>
      <c r="ALX68"/>
      <c r="ALY68"/>
      <c r="ALZ68"/>
      <c r="AMA68"/>
      <c r="AMB68"/>
      <c r="AMC68"/>
      <c r="AMD68"/>
      <c r="AME68"/>
      <c r="AMF68"/>
      <c r="AMG68"/>
      <c r="AMH68"/>
      <c r="AMI68"/>
      <c r="AMJ68"/>
      <c r="AMK68"/>
      <c r="AML68"/>
      <c r="AMM68"/>
      <c r="AMN68"/>
      <c r="AMO68"/>
      <c r="AMP68"/>
      <c r="AMQ68"/>
      <c r="AMR68"/>
      <c r="AMS68"/>
      <c r="AMT68"/>
      <c r="AMU68"/>
      <c r="AMV68"/>
      <c r="AMW68"/>
      <c r="AMX68"/>
      <c r="AMY68"/>
      <c r="AMZ68"/>
      <c r="ANA68"/>
      <c r="ANB68"/>
      <c r="ANC68"/>
      <c r="AND68"/>
      <c r="ANE68"/>
      <c r="ANF68"/>
      <c r="ANG68"/>
      <c r="ANH68"/>
      <c r="ANI68"/>
      <c r="ANJ68"/>
      <c r="ANK68"/>
      <c r="ANL68"/>
      <c r="ANM68"/>
      <c r="ANN68"/>
      <c r="ANO68"/>
      <c r="ANP68"/>
      <c r="ANQ68"/>
      <c r="ANR68"/>
      <c r="ANS68"/>
      <c r="ANT68"/>
      <c r="ANU68"/>
      <c r="ANV68"/>
      <c r="ANW68"/>
      <c r="ANX68"/>
      <c r="ANY68"/>
      <c r="ANZ68"/>
      <c r="AOA68"/>
      <c r="AOB68"/>
      <c r="AOC68"/>
      <c r="AOD68"/>
      <c r="AOE68"/>
      <c r="AOF68"/>
      <c r="AOG68"/>
      <c r="AOH68"/>
      <c r="AOI68"/>
      <c r="AOJ68"/>
      <c r="AOK68"/>
      <c r="AOL68"/>
      <c r="AOM68"/>
      <c r="AON68"/>
      <c r="AOO68"/>
      <c r="AOP68"/>
      <c r="AOQ68"/>
      <c r="AOR68"/>
      <c r="AOS68"/>
      <c r="AOT68"/>
      <c r="AOU68"/>
      <c r="AOV68"/>
      <c r="AOW68"/>
      <c r="AOX68"/>
      <c r="AOY68"/>
      <c r="AOZ68"/>
      <c r="APA68"/>
      <c r="APB68"/>
      <c r="APC68"/>
      <c r="APD68"/>
      <c r="APE68"/>
      <c r="APF68"/>
      <c r="APG68"/>
      <c r="APH68"/>
      <c r="API68"/>
      <c r="APJ68"/>
      <c r="APK68"/>
      <c r="APL68"/>
      <c r="APM68"/>
      <c r="APN68"/>
      <c r="APO68"/>
      <c r="APP68"/>
      <c r="APQ68"/>
      <c r="APR68"/>
      <c r="APS68"/>
      <c r="APT68"/>
      <c r="APU68"/>
      <c r="APV68"/>
      <c r="APW68"/>
      <c r="APX68"/>
      <c r="APY68"/>
      <c r="APZ68"/>
      <c r="AQA68"/>
      <c r="AQB68"/>
      <c r="AQC68"/>
      <c r="AQD68"/>
      <c r="AQE68"/>
      <c r="AQF68"/>
      <c r="AQG68"/>
      <c r="AQH68"/>
      <c r="AQI68"/>
      <c r="AQJ68"/>
      <c r="AQK68"/>
      <c r="AQL68"/>
      <c r="AQM68"/>
      <c r="AQN68"/>
      <c r="AQO68"/>
      <c r="AQP68"/>
      <c r="AQQ68"/>
      <c r="AQR68"/>
      <c r="AQS68"/>
      <c r="AQT68"/>
      <c r="AQU68"/>
      <c r="AQV68"/>
      <c r="AQW68"/>
      <c r="AQX68"/>
      <c r="AQY68"/>
      <c r="AQZ68"/>
      <c r="ARA68"/>
      <c r="ARB68"/>
      <c r="ARC68"/>
      <c r="ARD68"/>
      <c r="ARE68"/>
      <c r="ARF68"/>
      <c r="ARG68"/>
      <c r="ARH68"/>
      <c r="ARI68"/>
      <c r="ARJ68"/>
      <c r="ARK68"/>
      <c r="ARL68"/>
      <c r="ARM68"/>
      <c r="ARN68"/>
      <c r="ARO68"/>
      <c r="ARP68"/>
      <c r="ARQ68"/>
      <c r="ARR68"/>
      <c r="ARS68"/>
      <c r="ART68"/>
      <c r="ARU68"/>
      <c r="ARV68"/>
      <c r="ARW68"/>
      <c r="ARX68"/>
      <c r="ARY68"/>
      <c r="ARZ68"/>
      <c r="ASA68"/>
      <c r="ASB68"/>
      <c r="ASC68"/>
      <c r="ASD68"/>
      <c r="ASE68"/>
      <c r="ASF68"/>
      <c r="ASG68"/>
      <c r="ASH68"/>
      <c r="ASI68"/>
      <c r="ASJ68"/>
      <c r="ASK68"/>
      <c r="ASL68"/>
      <c r="ASM68"/>
      <c r="ASN68"/>
      <c r="ASO68"/>
      <c r="ASP68"/>
      <c r="ASQ68"/>
      <c r="ASR68"/>
      <c r="ASS68"/>
      <c r="AST68"/>
      <c r="ASU68"/>
      <c r="ASV68"/>
      <c r="ASW68"/>
      <c r="ASX68"/>
      <c r="ASY68"/>
      <c r="ASZ68"/>
      <c r="ATA68"/>
      <c r="ATB68"/>
      <c r="ATC68"/>
      <c r="ATD68"/>
      <c r="ATE68"/>
      <c r="ATF68"/>
      <c r="ATG68"/>
      <c r="ATH68"/>
      <c r="ATI68"/>
      <c r="ATJ68"/>
      <c r="ATK68"/>
      <c r="ATL68"/>
      <c r="ATM68"/>
      <c r="ATN68"/>
      <c r="ATO68"/>
      <c r="ATP68"/>
      <c r="ATQ68"/>
      <c r="ATR68"/>
      <c r="ATS68"/>
      <c r="ATT68"/>
      <c r="ATU68"/>
      <c r="ATV68"/>
      <c r="ATW68"/>
      <c r="ATX68"/>
      <c r="ATY68"/>
      <c r="ATZ68"/>
      <c r="AUA68"/>
      <c r="AUB68"/>
      <c r="AUC68"/>
      <c r="AUD68"/>
      <c r="AUE68"/>
      <c r="AUF68"/>
      <c r="AUG68"/>
      <c r="AUH68"/>
      <c r="AUI68"/>
      <c r="AUJ68"/>
      <c r="AUK68"/>
      <c r="AUL68"/>
      <c r="AUM68"/>
      <c r="AUN68"/>
      <c r="AUO68"/>
      <c r="AUP68"/>
      <c r="AUQ68"/>
      <c r="AUR68"/>
      <c r="AUS68"/>
      <c r="AUT68"/>
      <c r="AUU68"/>
      <c r="AUV68"/>
      <c r="AUW68"/>
      <c r="AUX68"/>
      <c r="AUY68"/>
      <c r="AUZ68"/>
      <c r="AVA68"/>
      <c r="AVB68"/>
      <c r="AVC68"/>
      <c r="AVD68"/>
      <c r="AVE68"/>
      <c r="AVF68"/>
      <c r="AVG68"/>
      <c r="AVH68"/>
      <c r="AVI68"/>
      <c r="AVJ68"/>
      <c r="AVK68"/>
      <c r="AVL68"/>
      <c r="AVM68"/>
      <c r="AVN68"/>
      <c r="AVO68"/>
      <c r="AVP68"/>
      <c r="AVQ68"/>
      <c r="AVR68"/>
      <c r="AVS68"/>
      <c r="AVT68"/>
      <c r="AVU68"/>
      <c r="AVV68"/>
      <c r="AVW68"/>
      <c r="AVX68"/>
      <c r="AVY68"/>
      <c r="AVZ68"/>
      <c r="AWA68"/>
      <c r="AWB68"/>
      <c r="AWC68"/>
      <c r="AWD68"/>
      <c r="AWE68"/>
      <c r="AWF68"/>
      <c r="AWG68"/>
      <c r="AWH68"/>
      <c r="AWI68"/>
      <c r="AWJ68"/>
      <c r="AWK68"/>
      <c r="AWL68"/>
      <c r="AWM68"/>
      <c r="AWN68"/>
      <c r="AWO68"/>
      <c r="AWP68"/>
      <c r="AWQ68"/>
      <c r="AWR68"/>
      <c r="AWS68"/>
      <c r="AWT68"/>
      <c r="AWU68"/>
      <c r="AWV68"/>
      <c r="AWW68"/>
      <c r="AWX68"/>
      <c r="AWY68"/>
      <c r="AWZ68"/>
      <c r="AXA68"/>
      <c r="AXB68"/>
      <c r="AXC68"/>
      <c r="AXD68"/>
      <c r="AXE68"/>
      <c r="AXF68"/>
      <c r="AXG68"/>
      <c r="AXH68"/>
      <c r="AXI68"/>
      <c r="AXJ68"/>
      <c r="AXK68"/>
      <c r="AXL68"/>
      <c r="AXM68"/>
      <c r="AXN68"/>
      <c r="AXO68"/>
      <c r="AXP68"/>
      <c r="AXQ68"/>
      <c r="AXR68"/>
      <c r="AXS68"/>
      <c r="AXT68"/>
      <c r="AXU68"/>
      <c r="AXV68"/>
      <c r="AXW68"/>
      <c r="AXX68"/>
      <c r="AXY68"/>
      <c r="AXZ68"/>
      <c r="AYA68"/>
      <c r="AYB68"/>
      <c r="AYC68"/>
      <c r="AYD68"/>
      <c r="AYE68"/>
      <c r="AYF68"/>
      <c r="AYG68"/>
      <c r="AYH68"/>
      <c r="AYI68"/>
      <c r="AYJ68"/>
      <c r="AYK68"/>
      <c r="AYL68"/>
      <c r="AYM68"/>
      <c r="AYN68"/>
      <c r="AYO68"/>
      <c r="AYP68"/>
      <c r="AYQ68"/>
      <c r="AYR68"/>
      <c r="AYS68"/>
      <c r="AYT68"/>
      <c r="AYU68"/>
      <c r="AYV68"/>
      <c r="AYW68"/>
      <c r="AYX68"/>
      <c r="AYY68"/>
      <c r="AYZ68"/>
      <c r="AZA68"/>
      <c r="AZB68"/>
      <c r="AZC68"/>
      <c r="AZD68"/>
      <c r="AZE68"/>
      <c r="AZF68"/>
      <c r="AZG68"/>
      <c r="AZH68"/>
      <c r="AZI68"/>
      <c r="AZJ68"/>
      <c r="AZK68"/>
      <c r="AZL68"/>
      <c r="AZM68"/>
      <c r="AZN68"/>
      <c r="AZO68"/>
      <c r="AZP68"/>
      <c r="AZQ68"/>
      <c r="AZR68"/>
      <c r="AZS68"/>
      <c r="AZT68"/>
      <c r="AZU68"/>
      <c r="AZV68"/>
      <c r="AZW68"/>
      <c r="AZX68"/>
      <c r="AZY68"/>
      <c r="AZZ68"/>
      <c r="BAA68"/>
      <c r="BAB68"/>
      <c r="BAC68"/>
      <c r="BAD68"/>
      <c r="BAE68"/>
      <c r="BAF68"/>
      <c r="BAG68"/>
      <c r="BAH68"/>
      <c r="BAI68"/>
      <c r="BAJ68"/>
      <c r="BAK68"/>
      <c r="BAL68"/>
      <c r="BAM68"/>
      <c r="BAN68"/>
      <c r="BAO68"/>
      <c r="BAP68"/>
      <c r="BAQ68"/>
      <c r="BAR68"/>
      <c r="BAS68"/>
      <c r="BAT68"/>
      <c r="BAU68"/>
      <c r="BAV68"/>
      <c r="BAW68"/>
      <c r="BAX68"/>
      <c r="BAY68"/>
      <c r="BAZ68"/>
      <c r="BBA68"/>
      <c r="BBB68"/>
      <c r="BBC68"/>
      <c r="BBD68"/>
      <c r="BBE68"/>
      <c r="BBF68"/>
      <c r="BBG68"/>
      <c r="BBH68"/>
      <c r="BBI68"/>
      <c r="BBJ68"/>
      <c r="BBK68"/>
      <c r="BBL68"/>
      <c r="BBM68"/>
      <c r="BBN68"/>
      <c r="BBO68"/>
      <c r="BBP68"/>
      <c r="BBQ68"/>
      <c r="BBR68"/>
      <c r="BBS68"/>
      <c r="BBT68"/>
      <c r="BBU68"/>
      <c r="BBV68"/>
      <c r="BBW68"/>
      <c r="BBX68"/>
      <c r="BBY68"/>
      <c r="BBZ68"/>
      <c r="BCA68"/>
      <c r="BCB68"/>
      <c r="BCC68"/>
      <c r="BCD68"/>
      <c r="BCE68"/>
      <c r="BCF68"/>
      <c r="BCG68"/>
      <c r="BCH68"/>
      <c r="BCI68"/>
      <c r="BCJ68"/>
      <c r="BCK68"/>
      <c r="BCL68"/>
      <c r="BCM68"/>
      <c r="BCN68"/>
      <c r="BCO68"/>
      <c r="BCP68"/>
      <c r="BCQ68"/>
      <c r="BCR68"/>
      <c r="BCS68"/>
      <c r="BCT68"/>
      <c r="BCU68"/>
      <c r="BCV68"/>
      <c r="BCW68"/>
      <c r="BCX68"/>
      <c r="BCY68"/>
      <c r="BCZ68"/>
      <c r="BDA68"/>
      <c r="BDB68"/>
      <c r="BDC68"/>
      <c r="BDD68"/>
      <c r="BDE68"/>
      <c r="BDF68"/>
      <c r="BDG68"/>
      <c r="BDH68"/>
      <c r="BDI68"/>
      <c r="BDJ68"/>
      <c r="BDK68"/>
      <c r="BDL68"/>
      <c r="BDM68"/>
      <c r="BDN68"/>
      <c r="BDO68"/>
      <c r="BDP68"/>
      <c r="BDQ68"/>
      <c r="BDR68"/>
      <c r="BDS68"/>
      <c r="BDT68"/>
      <c r="BDU68"/>
      <c r="BDV68"/>
      <c r="BDW68"/>
      <c r="BDX68"/>
      <c r="BDY68"/>
      <c r="BDZ68"/>
      <c r="BEA68"/>
      <c r="BEB68"/>
      <c r="BEC68"/>
      <c r="BED68"/>
      <c r="BEE68"/>
      <c r="BEF68"/>
      <c r="BEG68"/>
      <c r="BEH68"/>
      <c r="BEI68"/>
      <c r="BEJ68"/>
      <c r="BEK68"/>
      <c r="BEL68"/>
      <c r="BEM68"/>
      <c r="BEN68"/>
      <c r="BEO68"/>
      <c r="BEP68"/>
      <c r="BEQ68"/>
      <c r="BER68"/>
      <c r="BES68"/>
      <c r="BET68"/>
      <c r="BEU68"/>
      <c r="BEV68"/>
      <c r="BEW68"/>
      <c r="BEX68"/>
      <c r="BEY68"/>
      <c r="BEZ68"/>
      <c r="BFA68"/>
      <c r="BFB68"/>
      <c r="BFC68"/>
      <c r="BFD68"/>
      <c r="BFE68"/>
      <c r="BFF68"/>
      <c r="BFG68"/>
      <c r="BFH68"/>
      <c r="BFI68"/>
      <c r="BFJ68"/>
      <c r="BFK68"/>
      <c r="BFL68"/>
      <c r="BFM68"/>
      <c r="BFN68"/>
      <c r="BFO68"/>
      <c r="BFP68"/>
      <c r="BFQ68"/>
      <c r="BFR68"/>
      <c r="BFS68"/>
      <c r="BFT68"/>
      <c r="BFU68"/>
      <c r="BFV68"/>
      <c r="BFW68"/>
      <c r="BFX68"/>
      <c r="BFY68"/>
      <c r="BFZ68"/>
      <c r="BGA68"/>
      <c r="BGB68"/>
      <c r="BGC68"/>
      <c r="BGD68"/>
      <c r="BGE68"/>
      <c r="BGF68"/>
      <c r="BGG68"/>
      <c r="BGH68"/>
      <c r="BGI68"/>
      <c r="BGJ68"/>
      <c r="BGK68"/>
      <c r="BGL68"/>
      <c r="BGM68"/>
      <c r="BGN68"/>
      <c r="BGO68"/>
      <c r="BGP68"/>
      <c r="BGQ68"/>
      <c r="BGR68"/>
      <c r="BGS68"/>
      <c r="BGT68"/>
      <c r="BGU68"/>
      <c r="BGV68"/>
      <c r="BGW68"/>
      <c r="BGX68"/>
      <c r="BGY68"/>
      <c r="BGZ68"/>
      <c r="BHA68"/>
      <c r="BHB68"/>
      <c r="BHC68"/>
      <c r="BHD68"/>
      <c r="BHE68"/>
      <c r="BHF68"/>
      <c r="BHG68"/>
      <c r="BHH68"/>
      <c r="BHI68"/>
      <c r="BHJ68"/>
      <c r="BHK68"/>
      <c r="BHL68"/>
      <c r="BHM68"/>
      <c r="BHN68"/>
      <c r="BHO68"/>
      <c r="BHP68"/>
      <c r="BHQ68"/>
      <c r="BHR68"/>
      <c r="BHS68"/>
      <c r="BHT68"/>
      <c r="BHU68"/>
      <c r="BHV68"/>
      <c r="BHW68"/>
      <c r="BHX68"/>
      <c r="BHY68"/>
      <c r="BHZ68"/>
      <c r="BIA68"/>
      <c r="BIB68"/>
      <c r="BIC68"/>
      <c r="BID68"/>
      <c r="BIE68"/>
      <c r="BIF68"/>
      <c r="BIG68"/>
      <c r="BIH68"/>
      <c r="BII68"/>
      <c r="BIJ68"/>
      <c r="BIK68"/>
      <c r="BIL68"/>
      <c r="BIM68"/>
      <c r="BIN68"/>
      <c r="BIO68"/>
      <c r="BIP68"/>
      <c r="BIQ68"/>
      <c r="BIR68"/>
      <c r="BIS68"/>
      <c r="BIT68"/>
      <c r="BIU68"/>
      <c r="BIV68"/>
      <c r="BIW68"/>
      <c r="BIX68"/>
      <c r="BIY68"/>
      <c r="BIZ68"/>
      <c r="BJA68"/>
      <c r="BJB68"/>
      <c r="BJC68"/>
      <c r="BJD68"/>
      <c r="BJE68"/>
      <c r="BJF68"/>
      <c r="BJG68"/>
      <c r="BJH68"/>
      <c r="BJI68"/>
      <c r="BJJ68"/>
      <c r="BJK68"/>
      <c r="BJL68"/>
      <c r="BJM68"/>
      <c r="BJN68"/>
      <c r="BJO68"/>
      <c r="BJP68"/>
      <c r="BJQ68"/>
      <c r="BJR68"/>
      <c r="BJS68"/>
      <c r="BJT68"/>
      <c r="BJU68"/>
      <c r="BJV68"/>
      <c r="BJW68"/>
      <c r="BJX68"/>
      <c r="BJY68"/>
      <c r="BJZ68"/>
      <c r="BKA68"/>
      <c r="BKB68"/>
      <c r="BKC68"/>
      <c r="BKD68"/>
      <c r="BKE68"/>
      <c r="BKF68"/>
      <c r="BKG68"/>
      <c r="BKH68"/>
      <c r="BKI68"/>
      <c r="BKJ68"/>
      <c r="BKK68"/>
      <c r="BKL68"/>
      <c r="BKM68"/>
      <c r="BKN68"/>
      <c r="BKO68"/>
      <c r="BKP68"/>
      <c r="BKQ68"/>
      <c r="BKR68"/>
      <c r="BKS68"/>
      <c r="BKT68"/>
      <c r="BKU68"/>
      <c r="BKV68"/>
      <c r="BKW68"/>
      <c r="BKX68"/>
      <c r="BKY68"/>
      <c r="BKZ68"/>
      <c r="BLA68"/>
      <c r="BLB68"/>
      <c r="BLC68"/>
      <c r="BLD68"/>
      <c r="BLE68"/>
      <c r="BLF68"/>
      <c r="BLG68"/>
      <c r="BLH68"/>
      <c r="BLI68"/>
      <c r="BLJ68"/>
      <c r="BLK68"/>
      <c r="BLL68"/>
      <c r="BLM68"/>
      <c r="BLN68"/>
      <c r="BLO68"/>
      <c r="BLP68"/>
      <c r="BLQ68"/>
      <c r="BLR68"/>
      <c r="BLS68"/>
      <c r="BLT68"/>
      <c r="BLU68"/>
      <c r="BLV68"/>
      <c r="BLW68"/>
      <c r="BLX68"/>
      <c r="BLY68"/>
      <c r="BLZ68"/>
      <c r="BMA68"/>
      <c r="BMB68"/>
      <c r="BMC68"/>
      <c r="BMD68"/>
      <c r="BME68"/>
      <c r="BMF68"/>
      <c r="BMG68"/>
      <c r="BMH68"/>
      <c r="BMI68"/>
      <c r="BMJ68"/>
      <c r="BMK68"/>
      <c r="BML68"/>
      <c r="BMM68"/>
      <c r="BMN68"/>
      <c r="BMO68"/>
      <c r="BMP68"/>
      <c r="BMQ68"/>
      <c r="BMR68"/>
      <c r="BMS68"/>
      <c r="BMT68"/>
      <c r="BMU68"/>
      <c r="BMV68"/>
      <c r="BMW68"/>
      <c r="BMX68"/>
      <c r="BMY68"/>
      <c r="BMZ68"/>
      <c r="BNA68"/>
      <c r="BNB68"/>
      <c r="BNC68"/>
      <c r="BND68"/>
      <c r="BNE68"/>
      <c r="BNF68"/>
      <c r="BNG68"/>
      <c r="BNH68"/>
      <c r="BNI68"/>
      <c r="BNJ68"/>
      <c r="BNK68"/>
      <c r="BNL68"/>
      <c r="BNM68"/>
      <c r="BNN68"/>
      <c r="BNO68"/>
      <c r="BNP68"/>
      <c r="BNQ68"/>
      <c r="BNR68"/>
      <c r="BNS68"/>
      <c r="BNT68"/>
      <c r="BNU68"/>
      <c r="BNV68"/>
      <c r="BNW68"/>
      <c r="BNX68"/>
      <c r="BNY68"/>
      <c r="BNZ68"/>
      <c r="BOA68"/>
      <c r="BOB68"/>
      <c r="BOC68"/>
      <c r="BOD68"/>
      <c r="BOE68"/>
      <c r="BOF68"/>
      <c r="BOG68"/>
      <c r="BOH68"/>
      <c r="BOI68"/>
      <c r="BOJ68"/>
      <c r="BOK68"/>
      <c r="BOL68"/>
      <c r="BOM68"/>
      <c r="BON68"/>
      <c r="BOO68"/>
      <c r="BOP68"/>
      <c r="BOQ68"/>
      <c r="BOR68"/>
      <c r="BOS68"/>
      <c r="BOT68"/>
      <c r="BOU68"/>
      <c r="BOV68"/>
      <c r="BOW68"/>
      <c r="BOX68"/>
      <c r="BOY68"/>
      <c r="BOZ68"/>
      <c r="BPA68"/>
      <c r="BPB68"/>
      <c r="BPC68"/>
      <c r="BPD68"/>
      <c r="BPE68"/>
      <c r="BPF68"/>
      <c r="BPG68"/>
      <c r="BPH68"/>
      <c r="BPI68"/>
      <c r="BPJ68"/>
      <c r="BPK68"/>
      <c r="BPL68"/>
      <c r="BPM68"/>
      <c r="BPN68"/>
      <c r="BPO68"/>
      <c r="BPP68"/>
      <c r="BPQ68"/>
      <c r="BPR68"/>
      <c r="BPS68"/>
      <c r="BPT68"/>
      <c r="BPU68"/>
      <c r="BPV68"/>
      <c r="BPW68"/>
      <c r="BPX68"/>
      <c r="BPY68"/>
      <c r="BPZ68"/>
      <c r="BQA68"/>
      <c r="BQB68"/>
      <c r="BQC68"/>
      <c r="BQD68"/>
      <c r="BQE68"/>
      <c r="BQF68"/>
      <c r="BQG68"/>
      <c r="BQH68"/>
      <c r="BQI68"/>
      <c r="BQJ68"/>
      <c r="BQK68"/>
      <c r="BQL68"/>
      <c r="BQM68"/>
      <c r="BQN68"/>
      <c r="BQO68"/>
      <c r="BQP68"/>
      <c r="BQQ68"/>
      <c r="BQR68"/>
      <c r="BQS68"/>
      <c r="BQT68"/>
      <c r="BQU68"/>
      <c r="BQV68"/>
      <c r="BQW68"/>
      <c r="BQX68"/>
      <c r="BQY68"/>
      <c r="BQZ68"/>
      <c r="BRA68"/>
      <c r="BRB68"/>
      <c r="BRC68"/>
      <c r="BRD68"/>
      <c r="BRE68"/>
      <c r="BRF68"/>
      <c r="BRG68"/>
      <c r="BRH68"/>
      <c r="BRI68"/>
      <c r="BRJ68"/>
      <c r="BRK68"/>
      <c r="BRL68"/>
      <c r="BRM68"/>
      <c r="BRN68"/>
      <c r="BRO68"/>
      <c r="BRP68"/>
      <c r="BRQ68"/>
      <c r="BRR68"/>
      <c r="BRS68"/>
      <c r="BRT68"/>
      <c r="BRU68"/>
      <c r="BRV68"/>
      <c r="BRW68"/>
      <c r="BRX68"/>
      <c r="BRY68"/>
      <c r="BRZ68"/>
      <c r="BSA68"/>
      <c r="BSB68"/>
      <c r="BSC68"/>
      <c r="BSD68"/>
      <c r="BSE68"/>
      <c r="BSF68"/>
      <c r="BSG68"/>
      <c r="BSH68"/>
      <c r="BSI68"/>
      <c r="BSJ68"/>
      <c r="BSK68"/>
      <c r="BSL68"/>
      <c r="BSM68"/>
      <c r="BSN68"/>
      <c r="BSO68"/>
      <c r="BSP68"/>
      <c r="BSQ68"/>
      <c r="BSR68"/>
      <c r="BSS68"/>
      <c r="BST68"/>
      <c r="BSU68"/>
      <c r="BSV68"/>
      <c r="BSW68"/>
      <c r="BSX68"/>
      <c r="BSY68"/>
      <c r="BSZ68"/>
      <c r="BTA68"/>
      <c r="BTB68"/>
      <c r="BTC68"/>
      <c r="BTD68"/>
      <c r="BTE68"/>
      <c r="BTF68"/>
      <c r="BTG68"/>
      <c r="BTH68"/>
      <c r="BTI68"/>
      <c r="BTJ68"/>
      <c r="BTK68"/>
      <c r="BTL68"/>
      <c r="BTM68"/>
      <c r="BTN68"/>
      <c r="BTO68"/>
      <c r="BTP68"/>
      <c r="BTQ68"/>
      <c r="BTR68"/>
      <c r="BTS68"/>
      <c r="BTT68"/>
      <c r="BTU68"/>
      <c r="BTV68"/>
      <c r="BTW68"/>
      <c r="BTX68"/>
      <c r="BTY68"/>
      <c r="BTZ68"/>
      <c r="BUA68"/>
      <c r="BUB68"/>
      <c r="BUC68"/>
      <c r="BUD68"/>
      <c r="BUE68"/>
      <c r="BUF68"/>
      <c r="BUG68"/>
      <c r="BUH68"/>
      <c r="BUI68"/>
      <c r="BUJ68"/>
      <c r="BUK68"/>
      <c r="BUL68"/>
      <c r="BUM68"/>
      <c r="BUN68"/>
      <c r="BUO68"/>
      <c r="BUP68"/>
      <c r="BUQ68"/>
      <c r="BUR68"/>
      <c r="BUS68"/>
      <c r="BUT68"/>
      <c r="BUU68"/>
      <c r="BUV68"/>
      <c r="BUW68"/>
      <c r="BUX68"/>
      <c r="BUY68"/>
      <c r="BUZ68"/>
      <c r="BVA68"/>
      <c r="BVB68"/>
      <c r="BVC68"/>
      <c r="BVD68"/>
      <c r="BVE68"/>
      <c r="BVF68"/>
      <c r="BVG68"/>
      <c r="BVH68"/>
      <c r="BVI68"/>
      <c r="BVJ68"/>
      <c r="BVK68"/>
      <c r="BVL68"/>
      <c r="BVM68"/>
      <c r="BVN68"/>
      <c r="BVO68"/>
      <c r="BVP68"/>
      <c r="BVQ68"/>
      <c r="BVR68"/>
      <c r="BVS68"/>
      <c r="BVT68"/>
      <c r="BVU68"/>
      <c r="BVV68"/>
      <c r="BVW68"/>
      <c r="BVX68"/>
      <c r="BVY68"/>
      <c r="BVZ68"/>
      <c r="BWA68"/>
      <c r="BWB68"/>
      <c r="BWC68"/>
      <c r="BWD68"/>
      <c r="BWE68"/>
      <c r="BWF68"/>
      <c r="BWG68"/>
      <c r="BWH68"/>
      <c r="BWI68"/>
      <c r="BWJ68"/>
      <c r="BWK68"/>
      <c r="BWL68"/>
      <c r="BWM68"/>
      <c r="BWN68"/>
      <c r="BWO68"/>
      <c r="BWP68"/>
      <c r="BWQ68"/>
      <c r="BWR68"/>
      <c r="BWS68"/>
      <c r="BWT68"/>
      <c r="BWU68"/>
      <c r="BWV68"/>
      <c r="BWW68"/>
      <c r="BWX68"/>
      <c r="BWY68"/>
      <c r="BWZ68"/>
      <c r="BXA68"/>
      <c r="BXB68"/>
      <c r="BXC68"/>
      <c r="BXD68"/>
      <c r="BXE68"/>
      <c r="BXF68"/>
      <c r="BXG68"/>
      <c r="BXH68"/>
      <c r="BXI68"/>
      <c r="BXJ68"/>
      <c r="BXK68"/>
      <c r="BXL68"/>
      <c r="BXM68"/>
      <c r="BXN68"/>
      <c r="BXO68"/>
      <c r="BXP68"/>
      <c r="BXQ68"/>
      <c r="BXR68"/>
      <c r="BXS68"/>
      <c r="BXT68"/>
      <c r="BXU68"/>
      <c r="BXV68"/>
      <c r="BXW68"/>
      <c r="BXX68"/>
      <c r="BXY68"/>
      <c r="BXZ68"/>
      <c r="BYA68"/>
      <c r="BYB68"/>
      <c r="BYC68"/>
      <c r="BYD68"/>
      <c r="BYE68"/>
      <c r="BYF68"/>
      <c r="BYG68"/>
      <c r="BYH68"/>
      <c r="BYI68"/>
      <c r="BYJ68"/>
      <c r="BYK68"/>
      <c r="BYL68"/>
      <c r="BYM68"/>
      <c r="BYN68"/>
      <c r="BYO68"/>
      <c r="BYP68"/>
      <c r="BYQ68"/>
      <c r="BYR68"/>
      <c r="BYS68"/>
      <c r="BYT68"/>
      <c r="BYU68"/>
      <c r="BYV68"/>
      <c r="BYW68"/>
      <c r="BYX68"/>
      <c r="BYY68"/>
      <c r="BYZ68"/>
      <c r="BZA68"/>
      <c r="BZB68"/>
      <c r="BZC68"/>
      <c r="BZD68"/>
      <c r="BZE68"/>
      <c r="BZF68"/>
      <c r="BZG68"/>
      <c r="BZH68"/>
      <c r="BZI68"/>
      <c r="BZJ68"/>
      <c r="BZK68"/>
      <c r="BZL68"/>
      <c r="BZM68"/>
      <c r="BZN68"/>
      <c r="BZO68"/>
      <c r="BZP68"/>
      <c r="BZQ68"/>
      <c r="BZR68"/>
      <c r="BZS68"/>
      <c r="BZT68"/>
      <c r="BZU68"/>
      <c r="BZV68"/>
      <c r="BZW68"/>
      <c r="BZX68"/>
      <c r="BZY68"/>
      <c r="BZZ68"/>
      <c r="CAA68"/>
      <c r="CAB68"/>
      <c r="CAC68"/>
      <c r="CAD68"/>
      <c r="CAE68"/>
      <c r="CAF68"/>
      <c r="CAG68"/>
      <c r="CAH68"/>
      <c r="CAI68"/>
      <c r="CAJ68"/>
      <c r="CAK68"/>
      <c r="CAL68"/>
      <c r="CAM68"/>
      <c r="CAN68"/>
      <c r="CAO68"/>
      <c r="CAP68"/>
      <c r="CAQ68"/>
      <c r="CAR68"/>
      <c r="CAS68"/>
      <c r="CAT68"/>
      <c r="CAU68"/>
      <c r="CAV68"/>
      <c r="CAW68"/>
      <c r="CAX68"/>
      <c r="CAY68"/>
      <c r="CAZ68"/>
      <c r="CBA68"/>
      <c r="CBB68"/>
      <c r="CBC68"/>
      <c r="CBD68"/>
      <c r="CBE68"/>
      <c r="CBF68"/>
      <c r="CBG68"/>
      <c r="CBH68"/>
      <c r="CBI68"/>
      <c r="CBJ68"/>
      <c r="CBK68"/>
      <c r="CBL68"/>
      <c r="CBM68"/>
      <c r="CBN68"/>
      <c r="CBO68"/>
      <c r="CBP68"/>
      <c r="CBQ68"/>
      <c r="CBR68"/>
      <c r="CBS68"/>
      <c r="CBT68"/>
      <c r="CBU68"/>
      <c r="CBV68"/>
      <c r="CBW68"/>
      <c r="CBX68"/>
      <c r="CBY68"/>
      <c r="CBZ68"/>
      <c r="CCA68"/>
      <c r="CCB68"/>
      <c r="CCC68"/>
      <c r="CCD68"/>
      <c r="CCE68"/>
      <c r="CCF68"/>
      <c r="CCG68"/>
      <c r="CCH68"/>
      <c r="CCI68"/>
      <c r="CCJ68"/>
      <c r="CCK68"/>
      <c r="CCL68"/>
      <c r="CCM68"/>
      <c r="CCN68"/>
      <c r="CCO68"/>
      <c r="CCP68"/>
      <c r="CCQ68"/>
      <c r="CCR68"/>
      <c r="CCS68"/>
      <c r="CCT68"/>
      <c r="CCU68"/>
      <c r="CCV68"/>
      <c r="CCW68"/>
      <c r="CCX68"/>
      <c r="CCY68"/>
      <c r="CCZ68"/>
      <c r="CDA68"/>
      <c r="CDB68"/>
      <c r="CDC68"/>
      <c r="CDD68"/>
      <c r="CDE68"/>
      <c r="CDF68"/>
      <c r="CDG68"/>
      <c r="CDH68"/>
      <c r="CDI68"/>
      <c r="CDJ68"/>
      <c r="CDK68"/>
      <c r="CDL68"/>
      <c r="CDM68"/>
      <c r="CDN68"/>
      <c r="CDO68"/>
      <c r="CDP68"/>
      <c r="CDQ68"/>
      <c r="CDR68"/>
      <c r="CDS68"/>
      <c r="CDT68"/>
      <c r="CDU68"/>
      <c r="CDV68"/>
      <c r="CDW68"/>
      <c r="CDX68"/>
      <c r="CDY68"/>
      <c r="CDZ68"/>
      <c r="CEA68"/>
      <c r="CEB68"/>
      <c r="CEC68"/>
      <c r="CED68"/>
      <c r="CEE68"/>
      <c r="CEF68"/>
      <c r="CEG68"/>
      <c r="CEH68"/>
      <c r="CEI68"/>
      <c r="CEJ68"/>
      <c r="CEK68"/>
      <c r="CEL68"/>
      <c r="CEM68"/>
      <c r="CEN68"/>
      <c r="CEO68"/>
      <c r="CEP68"/>
      <c r="CEQ68"/>
      <c r="CER68"/>
      <c r="CES68"/>
      <c r="CET68"/>
      <c r="CEU68"/>
      <c r="CEV68"/>
      <c r="CEW68"/>
      <c r="CEX68"/>
      <c r="CEY68"/>
      <c r="CEZ68"/>
      <c r="CFA68"/>
      <c r="CFB68"/>
      <c r="CFC68"/>
      <c r="CFD68"/>
      <c r="CFE68"/>
      <c r="CFF68"/>
      <c r="CFG68"/>
      <c r="CFH68"/>
      <c r="CFI68"/>
      <c r="CFJ68"/>
      <c r="CFK68"/>
      <c r="CFL68"/>
      <c r="CFM68"/>
      <c r="CFN68"/>
      <c r="CFO68"/>
      <c r="CFP68"/>
      <c r="CFQ68"/>
      <c r="CFR68"/>
      <c r="CFS68"/>
      <c r="CFT68"/>
      <c r="CFU68"/>
      <c r="CFV68"/>
      <c r="CFW68"/>
      <c r="CFX68"/>
      <c r="CFY68"/>
      <c r="CFZ68"/>
      <c r="CGA68"/>
      <c r="CGB68"/>
      <c r="CGC68"/>
      <c r="CGD68"/>
      <c r="CGE68"/>
      <c r="CGF68"/>
      <c r="CGG68"/>
      <c r="CGH68"/>
      <c r="CGI68"/>
      <c r="CGJ68"/>
      <c r="CGK68"/>
      <c r="CGL68"/>
      <c r="CGM68"/>
      <c r="CGN68"/>
      <c r="CGO68"/>
      <c r="CGP68"/>
      <c r="CGQ68"/>
      <c r="CGR68"/>
      <c r="CGS68"/>
      <c r="CGT68"/>
      <c r="CGU68"/>
      <c r="CGV68"/>
      <c r="CGW68"/>
      <c r="CGX68"/>
      <c r="CGY68"/>
      <c r="CGZ68"/>
      <c r="CHA68"/>
      <c r="CHB68"/>
      <c r="CHC68"/>
      <c r="CHD68"/>
      <c r="CHE68"/>
      <c r="CHF68"/>
      <c r="CHG68"/>
      <c r="CHH68"/>
      <c r="CHI68"/>
      <c r="CHJ68"/>
      <c r="CHK68"/>
      <c r="CHL68"/>
      <c r="CHM68"/>
      <c r="CHN68"/>
      <c r="CHO68"/>
      <c r="CHP68"/>
      <c r="CHQ68"/>
      <c r="CHR68"/>
      <c r="CHS68"/>
      <c r="CHT68"/>
      <c r="CHU68"/>
      <c r="CHV68"/>
      <c r="CHW68"/>
      <c r="CHX68"/>
      <c r="CHY68"/>
      <c r="CHZ68"/>
      <c r="CIA68"/>
      <c r="CIB68"/>
      <c r="CIC68"/>
      <c r="CID68"/>
      <c r="CIE68"/>
      <c r="CIF68"/>
      <c r="CIG68"/>
      <c r="CIH68"/>
      <c r="CII68"/>
      <c r="CIJ68"/>
      <c r="CIK68"/>
      <c r="CIL68"/>
      <c r="CIM68"/>
      <c r="CIN68"/>
      <c r="CIO68"/>
      <c r="CIP68"/>
      <c r="CIQ68"/>
      <c r="CIR68"/>
      <c r="CIS68"/>
      <c r="CIT68"/>
      <c r="CIU68"/>
      <c r="CIV68"/>
      <c r="CIW68"/>
      <c r="CIX68"/>
      <c r="CIY68"/>
      <c r="CIZ68"/>
      <c r="CJA68"/>
      <c r="CJB68"/>
      <c r="CJC68"/>
      <c r="CJD68"/>
      <c r="CJE68"/>
      <c r="CJF68"/>
      <c r="CJG68"/>
      <c r="CJH68"/>
      <c r="CJI68"/>
      <c r="CJJ68"/>
      <c r="CJK68"/>
      <c r="CJL68"/>
      <c r="CJM68"/>
      <c r="CJN68"/>
      <c r="CJO68"/>
      <c r="CJP68"/>
      <c r="CJQ68"/>
      <c r="CJR68"/>
      <c r="CJS68"/>
      <c r="CJT68"/>
      <c r="CJU68"/>
      <c r="CJV68"/>
      <c r="CJW68"/>
      <c r="CJX68"/>
      <c r="CJY68"/>
      <c r="CJZ68"/>
      <c r="CKA68"/>
      <c r="CKB68"/>
      <c r="CKC68"/>
      <c r="CKD68"/>
      <c r="CKE68"/>
      <c r="CKF68"/>
      <c r="CKG68"/>
      <c r="CKH68"/>
      <c r="CKI68"/>
      <c r="CKJ68"/>
      <c r="CKK68"/>
      <c r="CKL68"/>
      <c r="CKM68"/>
      <c r="CKN68"/>
      <c r="CKO68"/>
      <c r="CKP68"/>
      <c r="CKQ68"/>
      <c r="CKR68"/>
      <c r="CKS68"/>
      <c r="CKT68"/>
      <c r="CKU68"/>
      <c r="CKV68"/>
      <c r="CKW68"/>
      <c r="CKX68"/>
      <c r="CKY68"/>
      <c r="CKZ68"/>
      <c r="CLA68"/>
      <c r="CLB68"/>
      <c r="CLC68"/>
      <c r="CLD68"/>
      <c r="CLE68"/>
      <c r="CLF68"/>
      <c r="CLG68"/>
      <c r="CLH68"/>
      <c r="CLI68"/>
      <c r="CLJ68"/>
      <c r="CLK68"/>
      <c r="CLL68"/>
      <c r="CLM68"/>
      <c r="CLN68"/>
      <c r="CLO68"/>
      <c r="CLP68"/>
      <c r="CLQ68"/>
      <c r="CLR68"/>
      <c r="CLS68"/>
      <c r="CLT68"/>
      <c r="CLU68"/>
      <c r="CLV68"/>
      <c r="CLW68"/>
      <c r="CLX68"/>
      <c r="CLY68"/>
      <c r="CLZ68"/>
      <c r="CMA68"/>
      <c r="CMB68"/>
      <c r="CMC68"/>
      <c r="CMD68"/>
      <c r="CME68"/>
      <c r="CMF68"/>
      <c r="CMG68"/>
      <c r="CMH68"/>
      <c r="CMI68"/>
      <c r="CMJ68"/>
      <c r="CMK68"/>
      <c r="CML68"/>
      <c r="CMM68"/>
      <c r="CMN68"/>
      <c r="CMO68"/>
      <c r="CMP68"/>
      <c r="CMQ68"/>
      <c r="CMR68"/>
      <c r="CMS68"/>
      <c r="CMT68"/>
      <c r="CMU68"/>
      <c r="CMV68"/>
      <c r="CMW68"/>
      <c r="CMX68"/>
      <c r="CMY68"/>
      <c r="CMZ68"/>
      <c r="CNA68"/>
      <c r="CNB68"/>
      <c r="CNC68"/>
      <c r="CND68"/>
      <c r="CNE68"/>
      <c r="CNF68"/>
      <c r="CNG68"/>
      <c r="CNH68"/>
      <c r="CNI68"/>
      <c r="CNJ68"/>
      <c r="CNK68"/>
      <c r="CNL68"/>
      <c r="CNM68"/>
      <c r="CNN68"/>
      <c r="CNO68"/>
      <c r="CNP68"/>
      <c r="CNQ68"/>
      <c r="CNR68"/>
      <c r="CNS68"/>
      <c r="CNT68"/>
      <c r="CNU68"/>
      <c r="CNV68"/>
      <c r="CNW68"/>
      <c r="CNX68"/>
      <c r="CNY68"/>
      <c r="CNZ68"/>
      <c r="COA68"/>
      <c r="COB68"/>
      <c r="COC68"/>
      <c r="COD68"/>
      <c r="COE68"/>
      <c r="COF68"/>
      <c r="COG68"/>
      <c r="COH68"/>
      <c r="COI68"/>
      <c r="COJ68"/>
      <c r="COK68"/>
      <c r="COL68"/>
      <c r="COM68"/>
      <c r="CON68"/>
      <c r="COO68"/>
      <c r="COP68"/>
      <c r="COQ68"/>
      <c r="COR68"/>
      <c r="COS68"/>
      <c r="COT68"/>
      <c r="COU68"/>
      <c r="COV68"/>
      <c r="COW68"/>
      <c r="COX68"/>
      <c r="COY68"/>
      <c r="COZ68"/>
      <c r="CPA68"/>
      <c r="CPB68"/>
      <c r="CPC68"/>
      <c r="CPD68"/>
      <c r="CPE68"/>
      <c r="CPF68"/>
      <c r="CPG68"/>
      <c r="CPH68"/>
      <c r="CPI68"/>
      <c r="CPJ68"/>
      <c r="CPK68"/>
      <c r="CPL68"/>
      <c r="CPM68"/>
      <c r="CPN68"/>
      <c r="CPO68"/>
      <c r="CPP68"/>
      <c r="CPQ68"/>
      <c r="CPR68"/>
      <c r="CPS68"/>
      <c r="CPT68"/>
      <c r="CPU68"/>
      <c r="CPV68"/>
      <c r="CPW68"/>
      <c r="CPX68"/>
      <c r="CPY68"/>
      <c r="CPZ68"/>
      <c r="CQA68"/>
      <c r="CQB68"/>
      <c r="CQC68"/>
      <c r="CQD68"/>
      <c r="CQE68"/>
      <c r="CQF68"/>
      <c r="CQG68"/>
      <c r="CQH68"/>
      <c r="CQI68"/>
      <c r="CQJ68"/>
      <c r="CQK68"/>
      <c r="CQL68"/>
      <c r="CQM68"/>
      <c r="CQN68"/>
      <c r="CQO68"/>
      <c r="CQP68"/>
      <c r="CQQ68"/>
      <c r="CQR68"/>
      <c r="CQS68"/>
      <c r="CQT68"/>
      <c r="CQU68"/>
      <c r="CQV68"/>
      <c r="CQW68"/>
      <c r="CQX68"/>
      <c r="CQY68"/>
      <c r="CQZ68"/>
      <c r="CRA68"/>
      <c r="CRB68"/>
      <c r="CRC68"/>
      <c r="CRD68"/>
      <c r="CRE68"/>
      <c r="CRF68"/>
      <c r="CRG68"/>
      <c r="CRH68"/>
      <c r="CRI68"/>
      <c r="CRJ68"/>
      <c r="CRK68"/>
      <c r="CRL68"/>
      <c r="CRM68"/>
      <c r="CRN68"/>
      <c r="CRO68"/>
      <c r="CRP68"/>
      <c r="CRQ68"/>
      <c r="CRR68"/>
      <c r="CRS68"/>
      <c r="CRT68"/>
      <c r="CRU68"/>
      <c r="CRV68"/>
      <c r="CRW68"/>
      <c r="CRX68"/>
      <c r="CRY68"/>
      <c r="CRZ68"/>
      <c r="CSA68"/>
      <c r="CSB68"/>
      <c r="CSC68"/>
      <c r="CSD68"/>
      <c r="CSE68"/>
      <c r="CSF68"/>
      <c r="CSG68"/>
      <c r="CSH68"/>
      <c r="CSI68"/>
      <c r="CSJ68"/>
      <c r="CSK68"/>
      <c r="CSL68"/>
      <c r="CSM68"/>
      <c r="CSN68"/>
      <c r="CSO68"/>
      <c r="CSP68"/>
      <c r="CSQ68"/>
      <c r="CSR68"/>
      <c r="CSS68"/>
      <c r="CST68"/>
      <c r="CSU68"/>
      <c r="CSV68"/>
      <c r="CSW68"/>
      <c r="CSX68"/>
      <c r="CSY68"/>
      <c r="CSZ68"/>
      <c r="CTA68"/>
      <c r="CTB68"/>
      <c r="CTC68"/>
      <c r="CTD68"/>
      <c r="CTE68"/>
      <c r="CTF68"/>
      <c r="CTG68"/>
      <c r="CTH68"/>
      <c r="CTI68"/>
      <c r="CTJ68"/>
      <c r="CTK68"/>
      <c r="CTL68"/>
      <c r="CTM68"/>
      <c r="CTN68"/>
      <c r="CTO68"/>
      <c r="CTP68"/>
      <c r="CTQ68"/>
      <c r="CTR68"/>
      <c r="CTS68"/>
      <c r="CTT68"/>
      <c r="CTU68"/>
      <c r="CTV68"/>
      <c r="CTW68"/>
      <c r="CTX68"/>
      <c r="CTY68"/>
      <c r="CTZ68"/>
      <c r="CUA68"/>
      <c r="CUB68"/>
      <c r="CUC68"/>
      <c r="CUD68"/>
      <c r="CUE68"/>
      <c r="CUF68"/>
      <c r="CUG68"/>
      <c r="CUH68"/>
      <c r="CUI68"/>
      <c r="CUJ68"/>
      <c r="CUK68"/>
      <c r="CUL68"/>
      <c r="CUM68"/>
      <c r="CUN68"/>
      <c r="CUO68"/>
      <c r="CUP68"/>
      <c r="CUQ68"/>
      <c r="CUR68"/>
      <c r="CUS68"/>
      <c r="CUT68"/>
      <c r="CUU68"/>
      <c r="CUV68"/>
      <c r="CUW68"/>
      <c r="CUX68"/>
      <c r="CUY68"/>
      <c r="CUZ68"/>
      <c r="CVA68"/>
      <c r="CVB68"/>
      <c r="CVC68"/>
      <c r="CVD68"/>
      <c r="CVE68"/>
      <c r="CVF68"/>
      <c r="CVG68"/>
      <c r="CVH68"/>
      <c r="CVI68"/>
      <c r="CVJ68"/>
      <c r="CVK68"/>
      <c r="CVL68"/>
      <c r="CVM68"/>
      <c r="CVN68"/>
      <c r="CVO68"/>
      <c r="CVP68"/>
      <c r="CVQ68"/>
      <c r="CVR68"/>
      <c r="CVS68"/>
      <c r="CVT68"/>
      <c r="CVU68"/>
      <c r="CVV68"/>
      <c r="CVW68"/>
      <c r="CVX68"/>
      <c r="CVY68"/>
      <c r="CVZ68"/>
      <c r="CWA68"/>
      <c r="CWB68"/>
      <c r="CWC68"/>
      <c r="CWD68"/>
      <c r="CWE68"/>
      <c r="CWF68"/>
      <c r="CWG68"/>
      <c r="CWH68"/>
      <c r="CWI68"/>
      <c r="CWJ68"/>
      <c r="CWK68"/>
      <c r="CWL68"/>
      <c r="CWM68"/>
      <c r="CWN68"/>
      <c r="CWO68"/>
      <c r="CWP68"/>
      <c r="CWQ68"/>
      <c r="CWR68"/>
      <c r="CWS68"/>
      <c r="CWT68"/>
      <c r="CWU68"/>
      <c r="CWV68"/>
      <c r="CWW68"/>
      <c r="CWX68"/>
      <c r="CWY68"/>
      <c r="CWZ68"/>
      <c r="CXA68"/>
      <c r="CXB68"/>
      <c r="CXC68"/>
      <c r="CXD68"/>
      <c r="CXE68"/>
      <c r="CXF68"/>
      <c r="CXG68"/>
      <c r="CXH68"/>
      <c r="CXI68"/>
      <c r="CXJ68"/>
      <c r="CXK68"/>
      <c r="CXL68"/>
      <c r="CXM68"/>
      <c r="CXN68"/>
      <c r="CXO68"/>
      <c r="CXP68"/>
      <c r="CXQ68"/>
      <c r="CXR68"/>
      <c r="CXS68"/>
      <c r="CXT68"/>
      <c r="CXU68"/>
      <c r="CXV68"/>
      <c r="CXW68"/>
      <c r="CXX68"/>
      <c r="CXY68"/>
      <c r="CXZ68"/>
      <c r="CYA68"/>
      <c r="CYB68"/>
      <c r="CYC68"/>
      <c r="CYD68"/>
      <c r="CYE68"/>
      <c r="CYF68"/>
      <c r="CYG68"/>
      <c r="CYH68"/>
      <c r="CYI68"/>
      <c r="CYJ68"/>
      <c r="CYK68"/>
      <c r="CYL68"/>
      <c r="CYM68"/>
      <c r="CYN68"/>
      <c r="CYO68"/>
      <c r="CYP68"/>
      <c r="CYQ68"/>
      <c r="CYR68"/>
      <c r="CYS68"/>
      <c r="CYT68"/>
      <c r="CYU68"/>
      <c r="CYV68"/>
      <c r="CYW68"/>
      <c r="CYX68"/>
      <c r="CYY68"/>
      <c r="CYZ68"/>
      <c r="CZA68"/>
      <c r="CZB68"/>
      <c r="CZC68"/>
      <c r="CZD68"/>
      <c r="CZE68"/>
      <c r="CZF68"/>
      <c r="CZG68"/>
      <c r="CZH68"/>
      <c r="CZI68"/>
      <c r="CZJ68"/>
      <c r="CZK68"/>
      <c r="CZL68"/>
      <c r="CZM68"/>
      <c r="CZN68"/>
      <c r="CZO68"/>
      <c r="CZP68"/>
      <c r="CZQ68"/>
      <c r="CZR68"/>
      <c r="CZS68"/>
      <c r="CZT68"/>
      <c r="CZU68"/>
      <c r="CZV68"/>
      <c r="CZW68"/>
      <c r="CZX68"/>
      <c r="CZY68"/>
      <c r="CZZ68"/>
      <c r="DAA68"/>
      <c r="DAB68"/>
      <c r="DAC68"/>
      <c r="DAD68"/>
      <c r="DAE68"/>
      <c r="DAF68"/>
      <c r="DAG68"/>
      <c r="DAH68"/>
      <c r="DAI68"/>
      <c r="DAJ68"/>
      <c r="DAK68"/>
      <c r="DAL68"/>
      <c r="DAM68"/>
      <c r="DAN68"/>
      <c r="DAO68"/>
      <c r="DAP68"/>
      <c r="DAQ68"/>
      <c r="DAR68"/>
      <c r="DAS68"/>
      <c r="DAT68"/>
      <c r="DAU68"/>
      <c r="DAV68"/>
      <c r="DAW68"/>
      <c r="DAX68"/>
      <c r="DAY68"/>
      <c r="DAZ68"/>
      <c r="DBA68"/>
      <c r="DBB68"/>
      <c r="DBC68"/>
      <c r="DBD68"/>
      <c r="DBE68"/>
      <c r="DBF68"/>
      <c r="DBG68"/>
      <c r="DBH68"/>
      <c r="DBI68"/>
      <c r="DBJ68"/>
      <c r="DBK68"/>
      <c r="DBL68"/>
      <c r="DBM68"/>
      <c r="DBN68"/>
      <c r="DBO68"/>
      <c r="DBP68"/>
      <c r="DBQ68"/>
      <c r="DBR68"/>
      <c r="DBS68"/>
      <c r="DBT68"/>
      <c r="DBU68"/>
      <c r="DBV68"/>
      <c r="DBW68"/>
      <c r="DBX68"/>
      <c r="DBY68"/>
      <c r="DBZ68"/>
      <c r="DCA68"/>
      <c r="DCB68"/>
      <c r="DCC68"/>
      <c r="DCD68"/>
      <c r="DCE68"/>
      <c r="DCF68"/>
      <c r="DCG68"/>
      <c r="DCH68"/>
      <c r="DCI68"/>
      <c r="DCJ68"/>
      <c r="DCK68"/>
      <c r="DCL68"/>
      <c r="DCM68"/>
      <c r="DCN68"/>
      <c r="DCO68"/>
      <c r="DCP68"/>
      <c r="DCQ68"/>
      <c r="DCR68"/>
      <c r="DCS68"/>
      <c r="DCT68"/>
      <c r="DCU68"/>
      <c r="DCV68"/>
      <c r="DCW68"/>
      <c r="DCX68"/>
      <c r="DCY68"/>
      <c r="DCZ68"/>
      <c r="DDA68"/>
      <c r="DDB68"/>
      <c r="DDC68"/>
      <c r="DDD68"/>
      <c r="DDE68"/>
      <c r="DDF68"/>
      <c r="DDG68"/>
      <c r="DDH68"/>
      <c r="DDI68"/>
      <c r="DDJ68"/>
      <c r="DDK68"/>
      <c r="DDL68"/>
      <c r="DDM68"/>
      <c r="DDN68"/>
      <c r="DDO68"/>
      <c r="DDP68"/>
      <c r="DDQ68"/>
      <c r="DDR68"/>
      <c r="DDS68"/>
      <c r="DDT68"/>
      <c r="DDU68"/>
      <c r="DDV68"/>
      <c r="DDW68"/>
      <c r="DDX68"/>
      <c r="DDY68"/>
      <c r="DDZ68"/>
      <c r="DEA68"/>
      <c r="DEB68"/>
      <c r="DEC68"/>
      <c r="DED68"/>
      <c r="DEE68"/>
      <c r="DEF68"/>
      <c r="DEG68"/>
      <c r="DEH68"/>
      <c r="DEI68"/>
      <c r="DEJ68"/>
      <c r="DEK68"/>
      <c r="DEL68"/>
      <c r="DEM68"/>
      <c r="DEN68"/>
      <c r="DEO68"/>
      <c r="DEP68"/>
      <c r="DEQ68"/>
      <c r="DER68"/>
      <c r="DES68"/>
      <c r="DET68"/>
      <c r="DEU68"/>
      <c r="DEV68"/>
      <c r="DEW68"/>
      <c r="DEX68"/>
      <c r="DEY68"/>
      <c r="DEZ68"/>
      <c r="DFA68"/>
      <c r="DFB68"/>
      <c r="DFC68"/>
      <c r="DFD68"/>
      <c r="DFE68"/>
      <c r="DFF68"/>
      <c r="DFG68"/>
      <c r="DFH68"/>
      <c r="DFI68"/>
      <c r="DFJ68"/>
      <c r="DFK68"/>
      <c r="DFL68"/>
      <c r="DFM68"/>
      <c r="DFN68"/>
      <c r="DFO68"/>
      <c r="DFP68"/>
      <c r="DFQ68"/>
      <c r="DFR68"/>
      <c r="DFS68"/>
      <c r="DFT68"/>
      <c r="DFU68"/>
      <c r="DFV68"/>
      <c r="DFW68"/>
      <c r="DFX68"/>
      <c r="DFY68"/>
      <c r="DFZ68"/>
      <c r="DGA68"/>
      <c r="DGB68"/>
      <c r="DGC68"/>
      <c r="DGD68"/>
      <c r="DGE68"/>
      <c r="DGF68"/>
      <c r="DGG68"/>
      <c r="DGH68"/>
      <c r="DGI68"/>
      <c r="DGJ68"/>
      <c r="DGK68"/>
      <c r="DGL68"/>
      <c r="DGM68"/>
      <c r="DGN68"/>
      <c r="DGO68"/>
      <c r="DGP68"/>
      <c r="DGQ68"/>
      <c r="DGR68"/>
      <c r="DGS68"/>
      <c r="DGT68"/>
      <c r="DGU68"/>
      <c r="DGV68"/>
      <c r="DGW68"/>
      <c r="DGX68"/>
      <c r="DGY68"/>
      <c r="DGZ68"/>
      <c r="DHA68"/>
      <c r="DHB68"/>
      <c r="DHC68"/>
      <c r="DHD68"/>
      <c r="DHE68"/>
      <c r="DHF68"/>
      <c r="DHG68"/>
      <c r="DHH68"/>
      <c r="DHI68"/>
      <c r="DHJ68"/>
      <c r="DHK68"/>
      <c r="DHL68"/>
      <c r="DHM68"/>
      <c r="DHN68"/>
      <c r="DHO68"/>
      <c r="DHP68"/>
      <c r="DHQ68"/>
      <c r="DHR68"/>
      <c r="DHS68"/>
      <c r="DHT68"/>
      <c r="DHU68"/>
      <c r="DHV68"/>
      <c r="DHW68"/>
      <c r="DHX68"/>
      <c r="DHY68"/>
      <c r="DHZ68"/>
      <c r="DIA68"/>
      <c r="DIB68"/>
      <c r="DIC68"/>
      <c r="DID68"/>
      <c r="DIE68"/>
      <c r="DIF68"/>
      <c r="DIG68"/>
      <c r="DIH68"/>
      <c r="DII68"/>
      <c r="DIJ68"/>
      <c r="DIK68"/>
      <c r="DIL68"/>
      <c r="DIM68"/>
      <c r="DIN68"/>
      <c r="DIO68"/>
      <c r="DIP68"/>
      <c r="DIQ68"/>
      <c r="DIR68"/>
      <c r="DIS68"/>
      <c r="DIT68"/>
      <c r="DIU68"/>
      <c r="DIV68"/>
      <c r="DIW68"/>
      <c r="DIX68"/>
      <c r="DIY68"/>
      <c r="DIZ68"/>
      <c r="DJA68"/>
      <c r="DJB68"/>
      <c r="DJC68"/>
      <c r="DJD68"/>
      <c r="DJE68"/>
      <c r="DJF68"/>
      <c r="DJG68"/>
      <c r="DJH68"/>
      <c r="DJI68"/>
      <c r="DJJ68"/>
      <c r="DJK68"/>
      <c r="DJL68"/>
      <c r="DJM68"/>
      <c r="DJN68"/>
      <c r="DJO68"/>
      <c r="DJP68"/>
      <c r="DJQ68"/>
      <c r="DJR68"/>
      <c r="DJS68"/>
      <c r="DJT68"/>
      <c r="DJU68"/>
      <c r="DJV68"/>
      <c r="DJW68"/>
      <c r="DJX68"/>
      <c r="DJY68"/>
      <c r="DJZ68"/>
      <c r="DKA68"/>
      <c r="DKB68"/>
      <c r="DKC68"/>
      <c r="DKD68"/>
      <c r="DKE68"/>
      <c r="DKF68"/>
      <c r="DKG68"/>
      <c r="DKH68"/>
      <c r="DKI68"/>
      <c r="DKJ68"/>
      <c r="DKK68"/>
      <c r="DKL68"/>
      <c r="DKM68"/>
      <c r="DKN68"/>
      <c r="DKO68"/>
      <c r="DKP68"/>
      <c r="DKQ68"/>
      <c r="DKR68"/>
      <c r="DKS68"/>
      <c r="DKT68"/>
      <c r="DKU68"/>
      <c r="DKV68"/>
      <c r="DKW68"/>
      <c r="DKX68"/>
      <c r="DKY68"/>
      <c r="DKZ68"/>
      <c r="DLA68"/>
      <c r="DLB68"/>
      <c r="DLC68"/>
      <c r="DLD68"/>
      <c r="DLE68"/>
      <c r="DLF68"/>
      <c r="DLG68"/>
      <c r="DLH68"/>
      <c r="DLI68"/>
      <c r="DLJ68"/>
      <c r="DLK68"/>
      <c r="DLL68"/>
      <c r="DLM68"/>
      <c r="DLN68"/>
      <c r="DLO68"/>
      <c r="DLP68"/>
      <c r="DLQ68"/>
      <c r="DLR68"/>
      <c r="DLS68"/>
      <c r="DLT68"/>
      <c r="DLU68"/>
      <c r="DLV68"/>
      <c r="DLW68"/>
      <c r="DLX68"/>
      <c r="DLY68"/>
      <c r="DLZ68"/>
      <c r="DMA68"/>
      <c r="DMB68"/>
      <c r="DMC68"/>
      <c r="DMD68"/>
      <c r="DME68"/>
      <c r="DMF68"/>
      <c r="DMG68"/>
      <c r="DMH68"/>
      <c r="DMI68"/>
      <c r="DMJ68"/>
      <c r="DMK68"/>
      <c r="DML68"/>
      <c r="DMM68"/>
      <c r="DMN68"/>
      <c r="DMO68"/>
      <c r="DMP68"/>
      <c r="DMQ68"/>
      <c r="DMR68"/>
      <c r="DMS68"/>
      <c r="DMT68"/>
      <c r="DMU68"/>
      <c r="DMV68"/>
      <c r="DMW68"/>
      <c r="DMX68"/>
      <c r="DMY68"/>
      <c r="DMZ68"/>
      <c r="DNA68"/>
      <c r="DNB68"/>
      <c r="DNC68"/>
      <c r="DND68"/>
      <c r="DNE68"/>
      <c r="DNF68"/>
      <c r="DNG68"/>
      <c r="DNH68"/>
      <c r="DNI68"/>
      <c r="DNJ68"/>
      <c r="DNK68"/>
      <c r="DNL68"/>
      <c r="DNM68"/>
      <c r="DNN68"/>
      <c r="DNO68"/>
      <c r="DNP68"/>
      <c r="DNQ68"/>
      <c r="DNR68"/>
      <c r="DNS68"/>
      <c r="DNT68"/>
      <c r="DNU68"/>
      <c r="DNV68"/>
      <c r="DNW68"/>
      <c r="DNX68"/>
      <c r="DNY68"/>
      <c r="DNZ68"/>
      <c r="DOA68"/>
      <c r="DOB68"/>
      <c r="DOC68"/>
      <c r="DOD68"/>
      <c r="DOE68"/>
      <c r="DOF68"/>
      <c r="DOG68"/>
      <c r="DOH68"/>
      <c r="DOI68"/>
      <c r="DOJ68"/>
      <c r="DOK68"/>
      <c r="DOL68"/>
      <c r="DOM68"/>
      <c r="DON68"/>
      <c r="DOO68"/>
      <c r="DOP68"/>
      <c r="DOQ68"/>
      <c r="DOR68"/>
      <c r="DOS68"/>
      <c r="DOT68"/>
      <c r="DOU68"/>
      <c r="DOV68"/>
      <c r="DOW68"/>
      <c r="DOX68"/>
      <c r="DOY68"/>
      <c r="DOZ68"/>
      <c r="DPA68"/>
      <c r="DPB68"/>
      <c r="DPC68"/>
      <c r="DPD68"/>
      <c r="DPE68"/>
      <c r="DPF68"/>
      <c r="DPG68"/>
      <c r="DPH68"/>
      <c r="DPI68"/>
      <c r="DPJ68"/>
      <c r="DPK68"/>
      <c r="DPL68"/>
      <c r="DPM68"/>
      <c r="DPN68"/>
      <c r="DPO68"/>
      <c r="DPP68"/>
      <c r="DPQ68"/>
      <c r="DPR68"/>
      <c r="DPS68"/>
      <c r="DPT68"/>
      <c r="DPU68"/>
      <c r="DPV68"/>
      <c r="DPW68"/>
      <c r="DPX68"/>
      <c r="DPY68"/>
      <c r="DPZ68"/>
      <c r="DQA68"/>
      <c r="DQB68"/>
      <c r="DQC68"/>
      <c r="DQD68"/>
      <c r="DQE68"/>
      <c r="DQF68"/>
      <c r="DQG68"/>
      <c r="DQH68"/>
      <c r="DQI68"/>
      <c r="DQJ68"/>
      <c r="DQK68"/>
      <c r="DQL68"/>
      <c r="DQM68"/>
      <c r="DQN68"/>
      <c r="DQO68"/>
      <c r="DQP68"/>
      <c r="DQQ68"/>
      <c r="DQR68"/>
      <c r="DQS68"/>
      <c r="DQT68"/>
      <c r="DQU68"/>
      <c r="DQV68"/>
      <c r="DQW68"/>
      <c r="DQX68"/>
      <c r="DQY68"/>
      <c r="DQZ68"/>
      <c r="DRA68"/>
      <c r="DRB68"/>
      <c r="DRC68"/>
      <c r="DRD68"/>
      <c r="DRE68"/>
      <c r="DRF68"/>
      <c r="DRG68"/>
      <c r="DRH68"/>
      <c r="DRI68"/>
      <c r="DRJ68"/>
      <c r="DRK68"/>
      <c r="DRL68"/>
      <c r="DRM68"/>
      <c r="DRN68"/>
      <c r="DRO68"/>
      <c r="DRP68"/>
      <c r="DRQ68"/>
      <c r="DRR68"/>
      <c r="DRS68"/>
      <c r="DRT68"/>
      <c r="DRU68"/>
      <c r="DRV68"/>
      <c r="DRW68"/>
      <c r="DRX68"/>
      <c r="DRY68"/>
      <c r="DRZ68"/>
      <c r="DSA68"/>
      <c r="DSB68"/>
      <c r="DSC68"/>
      <c r="DSD68"/>
      <c r="DSE68"/>
      <c r="DSF68"/>
      <c r="DSG68"/>
      <c r="DSH68"/>
      <c r="DSI68"/>
      <c r="DSJ68"/>
      <c r="DSK68"/>
      <c r="DSL68"/>
      <c r="DSM68"/>
      <c r="DSN68"/>
      <c r="DSO68"/>
      <c r="DSP68"/>
      <c r="DSQ68"/>
      <c r="DSR68"/>
      <c r="DSS68"/>
      <c r="DST68"/>
      <c r="DSU68"/>
      <c r="DSV68"/>
      <c r="DSW68"/>
      <c r="DSX68"/>
      <c r="DSY68"/>
      <c r="DSZ68"/>
      <c r="DTA68"/>
      <c r="DTB68"/>
      <c r="DTC68"/>
      <c r="DTD68"/>
      <c r="DTE68"/>
      <c r="DTF68"/>
      <c r="DTG68"/>
      <c r="DTH68"/>
      <c r="DTI68"/>
      <c r="DTJ68"/>
      <c r="DTK68"/>
      <c r="DTL68"/>
      <c r="DTM68"/>
      <c r="DTN68"/>
      <c r="DTO68"/>
      <c r="DTP68"/>
      <c r="DTQ68"/>
      <c r="DTR68"/>
      <c r="DTS68"/>
      <c r="DTT68"/>
      <c r="DTU68"/>
      <c r="DTV68"/>
      <c r="DTW68"/>
      <c r="DTX68"/>
      <c r="DTY68"/>
      <c r="DTZ68"/>
      <c r="DUA68"/>
      <c r="DUB68"/>
      <c r="DUC68"/>
      <c r="DUD68"/>
      <c r="DUE68"/>
      <c r="DUF68"/>
      <c r="DUG68"/>
      <c r="DUH68"/>
      <c r="DUI68"/>
      <c r="DUJ68"/>
      <c r="DUK68"/>
      <c r="DUL68"/>
      <c r="DUM68"/>
      <c r="DUN68"/>
      <c r="DUO68"/>
      <c r="DUP68"/>
      <c r="DUQ68"/>
      <c r="DUR68"/>
      <c r="DUS68"/>
      <c r="DUT68"/>
      <c r="DUU68"/>
      <c r="DUV68"/>
      <c r="DUW68"/>
      <c r="DUX68"/>
      <c r="DUY68"/>
      <c r="DUZ68"/>
      <c r="DVA68"/>
      <c r="DVB68"/>
      <c r="DVC68"/>
      <c r="DVD68"/>
      <c r="DVE68"/>
      <c r="DVF68"/>
      <c r="DVG68"/>
      <c r="DVH68"/>
      <c r="DVI68"/>
      <c r="DVJ68"/>
      <c r="DVK68"/>
      <c r="DVL68"/>
      <c r="DVM68"/>
      <c r="DVN68"/>
      <c r="DVO68"/>
      <c r="DVP68"/>
      <c r="DVQ68"/>
      <c r="DVR68"/>
      <c r="DVS68"/>
      <c r="DVT68"/>
      <c r="DVU68"/>
      <c r="DVV68"/>
      <c r="DVW68"/>
      <c r="DVX68"/>
      <c r="DVY68"/>
      <c r="DVZ68"/>
      <c r="DWA68"/>
      <c r="DWB68"/>
      <c r="DWC68"/>
      <c r="DWD68"/>
      <c r="DWE68"/>
      <c r="DWF68"/>
      <c r="DWG68"/>
      <c r="DWH68"/>
      <c r="DWI68"/>
      <c r="DWJ68"/>
      <c r="DWK68"/>
      <c r="DWL68"/>
      <c r="DWM68"/>
      <c r="DWN68"/>
      <c r="DWO68"/>
      <c r="DWP68"/>
      <c r="DWQ68"/>
      <c r="DWR68"/>
      <c r="DWS68"/>
      <c r="DWT68"/>
      <c r="DWU68"/>
      <c r="DWV68"/>
      <c r="DWW68"/>
      <c r="DWX68"/>
      <c r="DWY68"/>
      <c r="DWZ68"/>
      <c r="DXA68"/>
      <c r="DXB68"/>
      <c r="DXC68"/>
      <c r="DXD68"/>
      <c r="DXE68"/>
      <c r="DXF68"/>
      <c r="DXG68"/>
      <c r="DXH68"/>
      <c r="DXI68"/>
      <c r="DXJ68"/>
      <c r="DXK68"/>
      <c r="DXL68"/>
      <c r="DXM68"/>
      <c r="DXN68"/>
      <c r="DXO68"/>
      <c r="DXP68"/>
      <c r="DXQ68"/>
      <c r="DXR68"/>
      <c r="DXS68"/>
      <c r="DXT68"/>
      <c r="DXU68"/>
      <c r="DXV68"/>
      <c r="DXW68"/>
      <c r="DXX68"/>
      <c r="DXY68"/>
      <c r="DXZ68"/>
      <c r="DYA68"/>
      <c r="DYB68"/>
      <c r="DYC68"/>
      <c r="DYD68"/>
      <c r="DYE68"/>
      <c r="DYF68"/>
      <c r="DYG68"/>
      <c r="DYH68"/>
      <c r="DYI68"/>
      <c r="DYJ68"/>
      <c r="DYK68"/>
      <c r="DYL68"/>
      <c r="DYM68"/>
      <c r="DYN68"/>
      <c r="DYO68"/>
      <c r="DYP68"/>
      <c r="DYQ68"/>
      <c r="DYR68"/>
      <c r="DYS68"/>
      <c r="DYT68"/>
      <c r="DYU68"/>
      <c r="DYV68"/>
      <c r="DYW68"/>
      <c r="DYX68"/>
      <c r="DYY68"/>
      <c r="DYZ68"/>
      <c r="DZA68"/>
      <c r="DZB68"/>
      <c r="DZC68"/>
      <c r="DZD68"/>
      <c r="DZE68"/>
      <c r="DZF68"/>
      <c r="DZG68"/>
      <c r="DZH68"/>
      <c r="DZI68"/>
      <c r="DZJ68"/>
      <c r="DZK68"/>
      <c r="DZL68"/>
      <c r="DZM68"/>
      <c r="DZN68"/>
      <c r="DZO68"/>
      <c r="DZP68"/>
      <c r="DZQ68"/>
      <c r="DZR68"/>
      <c r="DZS68"/>
      <c r="DZT68"/>
      <c r="DZU68"/>
      <c r="DZV68"/>
      <c r="DZW68"/>
      <c r="DZX68"/>
      <c r="DZY68"/>
      <c r="DZZ68"/>
      <c r="EAA68"/>
      <c r="EAB68"/>
      <c r="EAC68"/>
      <c r="EAD68"/>
      <c r="EAE68"/>
      <c r="EAF68"/>
      <c r="EAG68"/>
      <c r="EAH68"/>
      <c r="EAI68"/>
      <c r="EAJ68"/>
      <c r="EAK68"/>
      <c r="EAL68"/>
      <c r="EAM68"/>
      <c r="EAN68"/>
      <c r="EAO68"/>
      <c r="EAP68"/>
      <c r="EAQ68"/>
      <c r="EAR68"/>
      <c r="EAS68"/>
      <c r="EAT68"/>
      <c r="EAU68"/>
      <c r="EAV68"/>
      <c r="EAW68"/>
      <c r="EAX68"/>
      <c r="EAY68"/>
      <c r="EAZ68"/>
      <c r="EBA68"/>
      <c r="EBB68"/>
      <c r="EBC68"/>
      <c r="EBD68"/>
      <c r="EBE68"/>
      <c r="EBF68"/>
      <c r="EBG68"/>
      <c r="EBH68"/>
      <c r="EBI68"/>
      <c r="EBJ68"/>
      <c r="EBK68"/>
      <c r="EBL68"/>
      <c r="EBM68"/>
      <c r="EBN68"/>
      <c r="EBO68"/>
      <c r="EBP68"/>
      <c r="EBQ68"/>
      <c r="EBR68"/>
      <c r="EBS68"/>
      <c r="EBT68"/>
      <c r="EBU68"/>
      <c r="EBV68"/>
      <c r="EBW68"/>
      <c r="EBX68"/>
      <c r="EBY68"/>
      <c r="EBZ68"/>
      <c r="ECA68"/>
      <c r="ECB68"/>
      <c r="ECC68"/>
      <c r="ECD68"/>
      <c r="ECE68"/>
      <c r="ECF68"/>
      <c r="ECG68"/>
      <c r="ECH68"/>
      <c r="ECI68"/>
      <c r="ECJ68"/>
      <c r="ECK68"/>
      <c r="ECL68"/>
      <c r="ECM68"/>
      <c r="ECN68"/>
      <c r="ECO68"/>
      <c r="ECP68"/>
      <c r="ECQ68"/>
      <c r="ECR68"/>
      <c r="ECS68"/>
      <c r="ECT68"/>
      <c r="ECU68"/>
      <c r="ECV68"/>
      <c r="ECW68"/>
      <c r="ECX68"/>
      <c r="ECY68"/>
      <c r="ECZ68"/>
      <c r="EDA68"/>
      <c r="EDB68"/>
      <c r="EDC68"/>
      <c r="EDD68"/>
      <c r="EDE68"/>
      <c r="EDF68"/>
      <c r="EDG68"/>
      <c r="EDH68"/>
      <c r="EDI68"/>
      <c r="EDJ68"/>
      <c r="EDK68"/>
      <c r="EDL68"/>
      <c r="EDM68"/>
      <c r="EDN68"/>
      <c r="EDO68"/>
      <c r="EDP68"/>
      <c r="EDQ68"/>
      <c r="EDR68"/>
      <c r="EDS68"/>
      <c r="EDT68"/>
      <c r="EDU68"/>
      <c r="EDV68"/>
      <c r="EDW68"/>
      <c r="EDX68"/>
      <c r="EDY68"/>
      <c r="EDZ68"/>
      <c r="EEA68"/>
      <c r="EEB68"/>
      <c r="EEC68"/>
      <c r="EED68"/>
      <c r="EEE68"/>
      <c r="EEF68"/>
      <c r="EEG68"/>
      <c r="EEH68"/>
      <c r="EEI68"/>
      <c r="EEJ68"/>
      <c r="EEK68"/>
      <c r="EEL68"/>
      <c r="EEM68"/>
      <c r="EEN68"/>
      <c r="EEO68"/>
      <c r="EEP68"/>
      <c r="EEQ68"/>
      <c r="EER68"/>
      <c r="EES68"/>
      <c r="EET68"/>
      <c r="EEU68"/>
      <c r="EEV68"/>
      <c r="EEW68"/>
      <c r="EEX68"/>
      <c r="EEY68"/>
      <c r="EEZ68"/>
      <c r="EFA68"/>
      <c r="EFB68"/>
      <c r="EFC68"/>
      <c r="EFD68"/>
      <c r="EFE68"/>
      <c r="EFF68"/>
      <c r="EFG68"/>
      <c r="EFH68"/>
      <c r="EFI68"/>
      <c r="EFJ68"/>
      <c r="EFK68"/>
      <c r="EFL68"/>
      <c r="EFM68"/>
      <c r="EFN68"/>
      <c r="EFO68"/>
      <c r="EFP68"/>
      <c r="EFQ68"/>
      <c r="EFR68"/>
      <c r="EFS68"/>
      <c r="EFT68"/>
      <c r="EFU68"/>
      <c r="EFV68"/>
      <c r="EFW68"/>
      <c r="EFX68"/>
      <c r="EFY68"/>
      <c r="EFZ68"/>
      <c r="EGA68"/>
      <c r="EGB68"/>
      <c r="EGC68"/>
      <c r="EGD68"/>
      <c r="EGE68"/>
      <c r="EGF68"/>
      <c r="EGG68"/>
      <c r="EGH68"/>
      <c r="EGI68"/>
      <c r="EGJ68"/>
      <c r="EGK68"/>
      <c r="EGL68"/>
      <c r="EGM68"/>
      <c r="EGN68"/>
      <c r="EGO68"/>
      <c r="EGP68"/>
      <c r="EGQ68"/>
      <c r="EGR68"/>
      <c r="EGS68"/>
      <c r="EGT68"/>
      <c r="EGU68"/>
      <c r="EGV68"/>
      <c r="EGW68"/>
      <c r="EGX68"/>
      <c r="EGY68"/>
      <c r="EGZ68"/>
      <c r="EHA68"/>
      <c r="EHB68"/>
      <c r="EHC68"/>
      <c r="EHD68"/>
      <c r="EHE68"/>
      <c r="EHF68"/>
      <c r="EHG68"/>
      <c r="EHH68"/>
      <c r="EHI68"/>
      <c r="EHJ68"/>
      <c r="EHK68"/>
      <c r="EHL68"/>
      <c r="EHM68"/>
      <c r="EHN68"/>
      <c r="EHO68"/>
      <c r="EHP68"/>
      <c r="EHQ68"/>
      <c r="EHR68"/>
      <c r="EHS68"/>
      <c r="EHT68"/>
      <c r="EHU68"/>
      <c r="EHV68"/>
      <c r="EHW68"/>
      <c r="EHX68"/>
      <c r="EHY68"/>
      <c r="EHZ68"/>
      <c r="EIA68"/>
      <c r="EIB68"/>
      <c r="EIC68"/>
      <c r="EID68"/>
      <c r="EIE68"/>
      <c r="EIF68"/>
      <c r="EIG68"/>
      <c r="EIH68"/>
      <c r="EII68"/>
      <c r="EIJ68"/>
      <c r="EIK68"/>
      <c r="EIL68"/>
      <c r="EIM68"/>
      <c r="EIN68"/>
      <c r="EIO68"/>
      <c r="EIP68"/>
      <c r="EIQ68"/>
      <c r="EIR68"/>
      <c r="EIS68"/>
      <c r="EIT68"/>
      <c r="EIU68"/>
      <c r="EIV68"/>
      <c r="EIW68"/>
      <c r="EIX68"/>
      <c r="EIY68"/>
      <c r="EIZ68"/>
      <c r="EJA68"/>
      <c r="EJB68"/>
      <c r="EJC68"/>
      <c r="EJD68"/>
      <c r="EJE68"/>
      <c r="EJF68"/>
      <c r="EJG68"/>
      <c r="EJH68"/>
      <c r="EJI68"/>
      <c r="EJJ68"/>
      <c r="EJK68"/>
      <c r="EJL68"/>
      <c r="EJM68"/>
      <c r="EJN68"/>
      <c r="EJO68"/>
      <c r="EJP68"/>
      <c r="EJQ68"/>
      <c r="EJR68"/>
      <c r="EJS68"/>
      <c r="EJT68"/>
      <c r="EJU68"/>
      <c r="EJV68"/>
      <c r="EJW68"/>
      <c r="EJX68"/>
      <c r="EJY68"/>
      <c r="EJZ68"/>
      <c r="EKA68"/>
      <c r="EKB68"/>
      <c r="EKC68"/>
      <c r="EKD68"/>
      <c r="EKE68"/>
      <c r="EKF68"/>
      <c r="EKG68"/>
      <c r="EKH68"/>
      <c r="EKI68"/>
      <c r="EKJ68"/>
      <c r="EKK68"/>
      <c r="EKL68"/>
      <c r="EKM68"/>
      <c r="EKN68"/>
      <c r="EKO68"/>
      <c r="EKP68"/>
      <c r="EKQ68"/>
      <c r="EKR68"/>
      <c r="EKS68"/>
      <c r="EKT68"/>
      <c r="EKU68"/>
      <c r="EKV68"/>
      <c r="EKW68"/>
      <c r="EKX68"/>
      <c r="EKY68"/>
      <c r="EKZ68"/>
      <c r="ELA68"/>
      <c r="ELB68"/>
      <c r="ELC68"/>
      <c r="ELD68"/>
      <c r="ELE68"/>
      <c r="ELF68"/>
      <c r="ELG68"/>
      <c r="ELH68"/>
      <c r="ELI68"/>
      <c r="ELJ68"/>
      <c r="ELK68"/>
      <c r="ELL68"/>
      <c r="ELM68"/>
      <c r="ELN68"/>
      <c r="ELO68"/>
      <c r="ELP68"/>
      <c r="ELQ68"/>
      <c r="ELR68"/>
      <c r="ELS68"/>
      <c r="ELT68"/>
      <c r="ELU68"/>
      <c r="ELV68"/>
      <c r="ELW68"/>
      <c r="ELX68"/>
      <c r="ELY68"/>
      <c r="ELZ68"/>
      <c r="EMA68"/>
      <c r="EMB68"/>
      <c r="EMC68"/>
      <c r="EMD68"/>
      <c r="EME68"/>
      <c r="EMF68"/>
      <c r="EMG68"/>
      <c r="EMH68"/>
      <c r="EMI68"/>
      <c r="EMJ68"/>
      <c r="EMK68"/>
      <c r="EML68"/>
      <c r="EMM68"/>
      <c r="EMN68"/>
      <c r="EMO68"/>
      <c r="EMP68"/>
      <c r="EMQ68"/>
      <c r="EMR68"/>
      <c r="EMS68"/>
      <c r="EMT68"/>
      <c r="EMU68"/>
      <c r="EMV68"/>
      <c r="EMW68"/>
      <c r="EMX68"/>
      <c r="EMY68"/>
      <c r="EMZ68"/>
      <c r="ENA68"/>
      <c r="ENB68"/>
      <c r="ENC68"/>
      <c r="END68"/>
      <c r="ENE68"/>
      <c r="ENF68"/>
      <c r="ENG68"/>
      <c r="ENH68"/>
      <c r="ENI68"/>
      <c r="ENJ68"/>
      <c r="ENK68"/>
      <c r="ENL68"/>
      <c r="ENM68"/>
      <c r="ENN68"/>
      <c r="ENO68"/>
      <c r="ENP68"/>
      <c r="ENQ68"/>
      <c r="ENR68"/>
      <c r="ENS68"/>
      <c r="ENT68"/>
      <c r="ENU68"/>
      <c r="ENV68"/>
      <c r="ENW68"/>
      <c r="ENX68"/>
      <c r="ENY68"/>
      <c r="ENZ68"/>
      <c r="EOA68"/>
      <c r="EOB68"/>
      <c r="EOC68"/>
      <c r="EOD68"/>
      <c r="EOE68"/>
      <c r="EOF68"/>
      <c r="EOG68"/>
      <c r="EOH68"/>
      <c r="EOI68"/>
      <c r="EOJ68"/>
      <c r="EOK68"/>
      <c r="EOL68"/>
      <c r="EOM68"/>
      <c r="EON68"/>
      <c r="EOO68"/>
      <c r="EOP68"/>
      <c r="EOQ68"/>
      <c r="EOR68"/>
      <c r="EOS68"/>
      <c r="EOT68"/>
      <c r="EOU68"/>
      <c r="EOV68"/>
      <c r="EOW68"/>
      <c r="EOX68"/>
      <c r="EOY68"/>
      <c r="EOZ68"/>
      <c r="EPA68"/>
      <c r="EPB68"/>
      <c r="EPC68"/>
      <c r="EPD68"/>
      <c r="EPE68"/>
      <c r="EPF68"/>
      <c r="EPG68"/>
      <c r="EPH68"/>
      <c r="EPI68"/>
      <c r="EPJ68"/>
      <c r="EPK68"/>
      <c r="EPL68"/>
      <c r="EPM68"/>
      <c r="EPN68"/>
      <c r="EPO68"/>
      <c r="EPP68"/>
      <c r="EPQ68"/>
      <c r="EPR68"/>
      <c r="EPS68"/>
      <c r="EPT68"/>
      <c r="EPU68"/>
      <c r="EPV68"/>
      <c r="EPW68"/>
      <c r="EPX68"/>
      <c r="EPY68"/>
      <c r="EPZ68"/>
      <c r="EQA68"/>
      <c r="EQB68"/>
      <c r="EQC68"/>
      <c r="EQD68"/>
      <c r="EQE68"/>
      <c r="EQF68"/>
      <c r="EQG68"/>
      <c r="EQH68"/>
      <c r="EQI68"/>
      <c r="EQJ68"/>
      <c r="EQK68"/>
      <c r="EQL68"/>
      <c r="EQM68"/>
      <c r="EQN68"/>
      <c r="EQO68"/>
      <c r="EQP68"/>
      <c r="EQQ68"/>
      <c r="EQR68"/>
      <c r="EQS68"/>
      <c r="EQT68"/>
      <c r="EQU68"/>
      <c r="EQV68"/>
      <c r="EQW68"/>
      <c r="EQX68"/>
      <c r="EQY68"/>
      <c r="EQZ68"/>
      <c r="ERA68"/>
      <c r="ERB68"/>
      <c r="ERC68"/>
      <c r="ERD68"/>
      <c r="ERE68"/>
      <c r="ERF68"/>
      <c r="ERG68"/>
      <c r="ERH68"/>
      <c r="ERI68"/>
      <c r="ERJ68"/>
      <c r="ERK68"/>
      <c r="ERL68"/>
      <c r="ERM68"/>
      <c r="ERN68"/>
      <c r="ERO68"/>
      <c r="ERP68"/>
      <c r="ERQ68"/>
      <c r="ERR68"/>
      <c r="ERS68"/>
      <c r="ERT68"/>
      <c r="ERU68"/>
      <c r="ERV68"/>
      <c r="ERW68"/>
      <c r="ERX68"/>
      <c r="ERY68"/>
      <c r="ERZ68"/>
      <c r="ESA68"/>
      <c r="ESB68"/>
      <c r="ESC68"/>
      <c r="ESD68"/>
      <c r="ESE68"/>
      <c r="ESF68"/>
      <c r="ESG68"/>
      <c r="ESH68"/>
      <c r="ESI68"/>
      <c r="ESJ68"/>
      <c r="ESK68"/>
      <c r="ESL68"/>
      <c r="ESM68"/>
      <c r="ESN68"/>
      <c r="ESO68"/>
      <c r="ESP68"/>
      <c r="ESQ68"/>
      <c r="ESR68"/>
      <c r="ESS68"/>
      <c r="EST68"/>
      <c r="ESU68"/>
      <c r="ESV68"/>
      <c r="ESW68"/>
      <c r="ESX68"/>
      <c r="ESY68"/>
      <c r="ESZ68"/>
      <c r="ETA68"/>
      <c r="ETB68"/>
      <c r="ETC68"/>
      <c r="ETD68"/>
      <c r="ETE68"/>
      <c r="ETF68"/>
      <c r="ETG68"/>
      <c r="ETH68"/>
      <c r="ETI68"/>
      <c r="ETJ68"/>
      <c r="ETK68"/>
      <c r="ETL68"/>
      <c r="ETM68"/>
      <c r="ETN68"/>
      <c r="ETO68"/>
      <c r="ETP68"/>
      <c r="ETQ68"/>
      <c r="ETR68"/>
      <c r="ETS68"/>
      <c r="ETT68"/>
      <c r="ETU68"/>
      <c r="ETV68"/>
      <c r="ETW68"/>
      <c r="ETX68"/>
      <c r="ETY68"/>
      <c r="ETZ68"/>
      <c r="EUA68"/>
      <c r="EUB68"/>
      <c r="EUC68"/>
      <c r="EUD68"/>
      <c r="EUE68"/>
      <c r="EUF68"/>
      <c r="EUG68"/>
      <c r="EUH68"/>
      <c r="EUI68"/>
      <c r="EUJ68"/>
      <c r="EUK68"/>
      <c r="EUL68"/>
      <c r="EUM68"/>
      <c r="EUN68"/>
      <c r="EUO68"/>
      <c r="EUP68"/>
      <c r="EUQ68"/>
      <c r="EUR68"/>
      <c r="EUS68"/>
      <c r="EUT68"/>
      <c r="EUU68"/>
      <c r="EUV68"/>
      <c r="EUW68"/>
      <c r="EUX68"/>
      <c r="EUY68"/>
      <c r="EUZ68"/>
      <c r="EVA68"/>
      <c r="EVB68"/>
      <c r="EVC68"/>
      <c r="EVD68"/>
      <c r="EVE68"/>
      <c r="EVF68"/>
      <c r="EVG68"/>
      <c r="EVH68"/>
      <c r="EVI68"/>
      <c r="EVJ68"/>
      <c r="EVK68"/>
      <c r="EVL68"/>
      <c r="EVM68"/>
      <c r="EVN68"/>
      <c r="EVO68"/>
      <c r="EVP68"/>
      <c r="EVQ68"/>
      <c r="EVR68"/>
      <c r="EVS68"/>
      <c r="EVT68"/>
      <c r="EVU68"/>
      <c r="EVV68"/>
      <c r="EVW68"/>
      <c r="EVX68"/>
      <c r="EVY68"/>
      <c r="EVZ68"/>
      <c r="EWA68"/>
      <c r="EWB68"/>
      <c r="EWC68"/>
      <c r="EWD68"/>
      <c r="EWE68"/>
      <c r="EWF68"/>
      <c r="EWG68"/>
      <c r="EWH68"/>
      <c r="EWI68"/>
      <c r="EWJ68"/>
      <c r="EWK68"/>
      <c r="EWL68"/>
      <c r="EWM68"/>
      <c r="EWN68"/>
      <c r="EWO68"/>
      <c r="EWP68"/>
      <c r="EWQ68"/>
      <c r="EWR68"/>
      <c r="EWS68"/>
      <c r="EWT68"/>
      <c r="EWU68"/>
      <c r="EWV68"/>
      <c r="EWW68"/>
      <c r="EWX68"/>
      <c r="EWY68"/>
      <c r="EWZ68"/>
      <c r="EXA68"/>
      <c r="EXB68"/>
      <c r="EXC68"/>
      <c r="EXD68"/>
      <c r="EXE68"/>
      <c r="EXF68"/>
      <c r="EXG68"/>
      <c r="EXH68"/>
      <c r="EXI68"/>
      <c r="EXJ68"/>
      <c r="EXK68"/>
      <c r="EXL68"/>
      <c r="EXM68"/>
      <c r="EXN68"/>
      <c r="EXO68"/>
      <c r="EXP68"/>
      <c r="EXQ68"/>
      <c r="EXR68"/>
      <c r="EXS68"/>
      <c r="EXT68"/>
      <c r="EXU68"/>
      <c r="EXV68"/>
      <c r="EXW68"/>
      <c r="EXX68"/>
      <c r="EXY68"/>
      <c r="EXZ68"/>
      <c r="EYA68"/>
      <c r="EYB68"/>
      <c r="EYC68"/>
      <c r="EYD68"/>
      <c r="EYE68"/>
      <c r="EYF68"/>
      <c r="EYG68"/>
      <c r="EYH68"/>
      <c r="EYI68"/>
      <c r="EYJ68"/>
      <c r="EYK68"/>
      <c r="EYL68"/>
      <c r="EYM68"/>
      <c r="EYN68"/>
      <c r="EYO68"/>
      <c r="EYP68"/>
      <c r="EYQ68"/>
      <c r="EYR68"/>
      <c r="EYS68"/>
      <c r="EYT68"/>
      <c r="EYU68"/>
      <c r="EYV68"/>
      <c r="EYW68"/>
      <c r="EYX68"/>
      <c r="EYY68"/>
      <c r="EYZ68"/>
      <c r="EZA68"/>
      <c r="EZB68"/>
      <c r="EZC68"/>
      <c r="EZD68"/>
      <c r="EZE68"/>
      <c r="EZF68"/>
      <c r="EZG68"/>
      <c r="EZH68"/>
      <c r="EZI68"/>
      <c r="EZJ68"/>
      <c r="EZK68"/>
      <c r="EZL68"/>
      <c r="EZM68"/>
      <c r="EZN68"/>
      <c r="EZO68"/>
      <c r="EZP68"/>
      <c r="EZQ68"/>
      <c r="EZR68"/>
      <c r="EZS68"/>
      <c r="EZT68"/>
      <c r="EZU68"/>
      <c r="EZV68"/>
      <c r="EZW68"/>
      <c r="EZX68"/>
      <c r="EZY68"/>
      <c r="EZZ68"/>
      <c r="FAA68"/>
      <c r="FAB68"/>
      <c r="FAC68"/>
      <c r="FAD68"/>
      <c r="FAE68"/>
      <c r="FAF68"/>
      <c r="FAG68"/>
      <c r="FAH68"/>
      <c r="FAI68"/>
      <c r="FAJ68"/>
      <c r="FAK68"/>
      <c r="FAL68"/>
      <c r="FAM68"/>
      <c r="FAN68"/>
      <c r="FAO68"/>
      <c r="FAP68"/>
      <c r="FAQ68"/>
      <c r="FAR68"/>
      <c r="FAS68"/>
      <c r="FAT68"/>
      <c r="FAU68"/>
      <c r="FAV68"/>
      <c r="FAW68"/>
      <c r="FAX68"/>
      <c r="FAY68"/>
      <c r="FAZ68"/>
      <c r="FBA68"/>
      <c r="FBB68"/>
      <c r="FBC68"/>
      <c r="FBD68"/>
      <c r="FBE68"/>
      <c r="FBF68"/>
      <c r="FBG68"/>
      <c r="FBH68"/>
      <c r="FBI68"/>
      <c r="FBJ68"/>
      <c r="FBK68"/>
      <c r="FBL68"/>
      <c r="FBM68"/>
      <c r="FBN68"/>
      <c r="FBO68"/>
      <c r="FBP68"/>
      <c r="FBQ68"/>
      <c r="FBR68"/>
      <c r="FBS68"/>
      <c r="FBT68"/>
      <c r="FBU68"/>
      <c r="FBV68"/>
      <c r="FBW68"/>
      <c r="FBX68"/>
      <c r="FBY68"/>
      <c r="FBZ68"/>
      <c r="FCA68"/>
      <c r="FCB68"/>
      <c r="FCC68"/>
      <c r="FCD68"/>
      <c r="FCE68"/>
      <c r="FCF68"/>
      <c r="FCG68"/>
      <c r="FCH68"/>
      <c r="FCI68"/>
      <c r="FCJ68"/>
      <c r="FCK68"/>
      <c r="FCL68"/>
      <c r="FCM68"/>
      <c r="FCN68"/>
      <c r="FCO68"/>
      <c r="FCP68"/>
      <c r="FCQ68"/>
      <c r="FCR68"/>
      <c r="FCS68"/>
      <c r="FCT68"/>
      <c r="FCU68"/>
      <c r="FCV68"/>
      <c r="FCW68"/>
      <c r="FCX68"/>
      <c r="FCY68"/>
      <c r="FCZ68"/>
      <c r="FDA68"/>
      <c r="FDB68"/>
      <c r="FDC68"/>
      <c r="FDD68"/>
      <c r="FDE68"/>
      <c r="FDF68"/>
      <c r="FDG68"/>
      <c r="FDH68"/>
      <c r="FDI68"/>
      <c r="FDJ68"/>
      <c r="FDK68"/>
      <c r="FDL68"/>
      <c r="FDM68"/>
      <c r="FDN68"/>
      <c r="FDO68"/>
      <c r="FDP68"/>
      <c r="FDQ68"/>
      <c r="FDR68"/>
      <c r="FDS68"/>
      <c r="FDT68"/>
      <c r="FDU68"/>
      <c r="FDV68"/>
      <c r="FDW68"/>
      <c r="FDX68"/>
      <c r="FDY68"/>
      <c r="FDZ68"/>
      <c r="FEA68"/>
      <c r="FEB68"/>
      <c r="FEC68"/>
      <c r="FED68"/>
      <c r="FEE68"/>
      <c r="FEF68"/>
      <c r="FEG68"/>
      <c r="FEH68"/>
      <c r="FEI68"/>
      <c r="FEJ68"/>
      <c r="FEK68"/>
      <c r="FEL68"/>
      <c r="FEM68"/>
      <c r="FEN68"/>
      <c r="FEO68"/>
      <c r="FEP68"/>
      <c r="FEQ68"/>
      <c r="FER68"/>
      <c r="FES68"/>
      <c r="FET68"/>
      <c r="FEU68"/>
      <c r="FEV68"/>
      <c r="FEW68"/>
      <c r="FEX68"/>
      <c r="FEY68"/>
      <c r="FEZ68"/>
      <c r="FFA68"/>
      <c r="FFB68"/>
      <c r="FFC68"/>
      <c r="FFD68"/>
      <c r="FFE68"/>
      <c r="FFF68"/>
      <c r="FFG68"/>
      <c r="FFH68"/>
      <c r="FFI68"/>
      <c r="FFJ68"/>
      <c r="FFK68"/>
      <c r="FFL68"/>
      <c r="FFM68"/>
      <c r="FFN68"/>
      <c r="FFO68"/>
      <c r="FFP68"/>
      <c r="FFQ68"/>
      <c r="FFR68"/>
      <c r="FFS68"/>
      <c r="FFT68"/>
      <c r="FFU68"/>
      <c r="FFV68"/>
      <c r="FFW68"/>
      <c r="FFX68"/>
      <c r="FFY68"/>
      <c r="FFZ68"/>
      <c r="FGA68"/>
      <c r="FGB68"/>
      <c r="FGC68"/>
      <c r="FGD68"/>
      <c r="FGE68"/>
      <c r="FGF68"/>
      <c r="FGG68"/>
      <c r="FGH68"/>
      <c r="FGI68"/>
      <c r="FGJ68"/>
      <c r="FGK68"/>
      <c r="FGL68"/>
      <c r="FGM68"/>
      <c r="FGN68"/>
      <c r="FGO68"/>
      <c r="FGP68"/>
      <c r="FGQ68"/>
      <c r="FGR68"/>
      <c r="FGS68"/>
      <c r="FGT68"/>
      <c r="FGU68"/>
      <c r="FGV68"/>
      <c r="FGW68"/>
      <c r="FGX68"/>
      <c r="FGY68"/>
      <c r="FGZ68"/>
      <c r="FHA68"/>
      <c r="FHB68"/>
      <c r="FHC68"/>
      <c r="FHD68"/>
      <c r="FHE68"/>
      <c r="FHF68"/>
      <c r="FHG68"/>
      <c r="FHH68"/>
      <c r="FHI68"/>
      <c r="FHJ68"/>
      <c r="FHK68"/>
      <c r="FHL68"/>
      <c r="FHM68"/>
      <c r="FHN68"/>
      <c r="FHO68"/>
      <c r="FHP68"/>
      <c r="FHQ68"/>
      <c r="FHR68"/>
      <c r="FHS68"/>
      <c r="FHT68"/>
      <c r="FHU68"/>
      <c r="FHV68"/>
      <c r="FHW68"/>
      <c r="FHX68"/>
      <c r="FHY68"/>
      <c r="FHZ68"/>
      <c r="FIA68"/>
      <c r="FIB68"/>
      <c r="FIC68"/>
      <c r="FID68"/>
      <c r="FIE68"/>
      <c r="FIF68"/>
      <c r="FIG68"/>
      <c r="FIH68"/>
      <c r="FII68"/>
      <c r="FIJ68"/>
      <c r="FIK68"/>
      <c r="FIL68"/>
      <c r="FIM68"/>
      <c r="FIN68"/>
      <c r="FIO68"/>
      <c r="FIP68"/>
      <c r="FIQ68"/>
      <c r="FIR68"/>
      <c r="FIS68"/>
      <c r="FIT68"/>
      <c r="FIU68"/>
      <c r="FIV68"/>
      <c r="FIW68"/>
      <c r="FIX68"/>
      <c r="FIY68"/>
      <c r="FIZ68"/>
      <c r="FJA68"/>
      <c r="FJB68"/>
      <c r="FJC68"/>
      <c r="FJD68"/>
      <c r="FJE68"/>
      <c r="FJF68"/>
      <c r="FJG68"/>
      <c r="FJH68"/>
      <c r="FJI68"/>
      <c r="FJJ68"/>
      <c r="FJK68"/>
      <c r="FJL68"/>
      <c r="FJM68"/>
      <c r="FJN68"/>
      <c r="FJO68"/>
      <c r="FJP68"/>
      <c r="FJQ68"/>
      <c r="FJR68"/>
      <c r="FJS68"/>
      <c r="FJT68"/>
      <c r="FJU68"/>
      <c r="FJV68"/>
      <c r="FJW68"/>
      <c r="FJX68"/>
      <c r="FJY68"/>
      <c r="FJZ68"/>
      <c r="FKA68"/>
      <c r="FKB68"/>
      <c r="FKC68"/>
      <c r="FKD68"/>
      <c r="FKE68"/>
      <c r="FKF68"/>
      <c r="FKG68"/>
      <c r="FKH68"/>
      <c r="FKI68"/>
      <c r="FKJ68"/>
      <c r="FKK68"/>
      <c r="FKL68"/>
      <c r="FKM68"/>
      <c r="FKN68"/>
      <c r="FKO68"/>
      <c r="FKP68"/>
      <c r="FKQ68"/>
      <c r="FKR68"/>
      <c r="FKS68"/>
      <c r="FKT68"/>
      <c r="FKU68"/>
      <c r="FKV68"/>
      <c r="FKW68"/>
      <c r="FKX68"/>
      <c r="FKY68"/>
      <c r="FKZ68"/>
      <c r="FLA68"/>
      <c r="FLB68"/>
      <c r="FLC68"/>
      <c r="FLD68"/>
      <c r="FLE68"/>
      <c r="FLF68"/>
      <c r="FLG68"/>
      <c r="FLH68"/>
      <c r="FLI68"/>
      <c r="FLJ68"/>
      <c r="FLK68"/>
      <c r="FLL68"/>
      <c r="FLM68"/>
      <c r="FLN68"/>
      <c r="FLO68"/>
      <c r="FLP68"/>
      <c r="FLQ68"/>
      <c r="FLR68"/>
      <c r="FLS68"/>
      <c r="FLT68"/>
      <c r="FLU68"/>
      <c r="FLV68"/>
      <c r="FLW68"/>
      <c r="FLX68"/>
      <c r="FLY68"/>
      <c r="FLZ68"/>
      <c r="FMA68"/>
      <c r="FMB68"/>
      <c r="FMC68"/>
      <c r="FMD68"/>
      <c r="FME68"/>
      <c r="FMF68"/>
      <c r="FMG68"/>
      <c r="FMH68"/>
      <c r="FMI68"/>
      <c r="FMJ68"/>
      <c r="FMK68"/>
      <c r="FML68"/>
      <c r="FMM68"/>
      <c r="FMN68"/>
      <c r="FMO68"/>
      <c r="FMP68"/>
      <c r="FMQ68"/>
      <c r="FMR68"/>
      <c r="FMS68"/>
      <c r="FMT68"/>
      <c r="FMU68"/>
      <c r="FMV68"/>
      <c r="FMW68"/>
      <c r="FMX68"/>
      <c r="FMY68"/>
      <c r="FMZ68"/>
      <c r="FNA68"/>
      <c r="FNB68"/>
      <c r="FNC68"/>
      <c r="FND68"/>
      <c r="FNE68"/>
      <c r="FNF68"/>
      <c r="FNG68"/>
      <c r="FNH68"/>
      <c r="FNI68"/>
      <c r="FNJ68"/>
      <c r="FNK68"/>
      <c r="FNL68"/>
      <c r="FNM68"/>
      <c r="FNN68"/>
      <c r="FNO68"/>
      <c r="FNP68"/>
      <c r="FNQ68"/>
      <c r="FNR68"/>
      <c r="FNS68"/>
      <c r="FNT68"/>
      <c r="FNU68"/>
      <c r="FNV68"/>
      <c r="FNW68"/>
      <c r="FNX68"/>
      <c r="FNY68"/>
      <c r="FNZ68"/>
      <c r="FOA68"/>
      <c r="FOB68"/>
      <c r="FOC68"/>
      <c r="FOD68"/>
      <c r="FOE68"/>
      <c r="FOF68"/>
      <c r="FOG68"/>
      <c r="FOH68"/>
      <c r="FOI68"/>
      <c r="FOJ68"/>
      <c r="FOK68"/>
      <c r="FOL68"/>
      <c r="FOM68"/>
      <c r="FON68"/>
      <c r="FOO68"/>
      <c r="FOP68"/>
      <c r="FOQ68"/>
      <c r="FOR68"/>
      <c r="FOS68"/>
      <c r="FOT68"/>
      <c r="FOU68"/>
      <c r="FOV68"/>
      <c r="FOW68"/>
      <c r="FOX68"/>
      <c r="FOY68"/>
      <c r="FOZ68"/>
      <c r="FPA68"/>
      <c r="FPB68"/>
      <c r="FPC68"/>
      <c r="FPD68"/>
      <c r="FPE68"/>
      <c r="FPF68"/>
      <c r="FPG68"/>
      <c r="FPH68"/>
      <c r="FPI68"/>
      <c r="FPJ68"/>
      <c r="FPK68"/>
      <c r="FPL68"/>
      <c r="FPM68"/>
      <c r="FPN68"/>
      <c r="FPO68"/>
      <c r="FPP68"/>
      <c r="FPQ68"/>
      <c r="FPR68"/>
      <c r="FPS68"/>
      <c r="FPT68"/>
      <c r="FPU68"/>
      <c r="FPV68"/>
      <c r="FPW68"/>
      <c r="FPX68"/>
      <c r="FPY68"/>
      <c r="FPZ68"/>
      <c r="FQA68"/>
      <c r="FQB68"/>
      <c r="FQC68"/>
      <c r="FQD68"/>
      <c r="FQE68"/>
      <c r="FQF68"/>
      <c r="FQG68"/>
      <c r="FQH68"/>
      <c r="FQI68"/>
      <c r="FQJ68"/>
      <c r="FQK68"/>
      <c r="FQL68"/>
      <c r="FQM68"/>
      <c r="FQN68"/>
      <c r="FQO68"/>
      <c r="FQP68"/>
      <c r="FQQ68"/>
      <c r="FQR68"/>
      <c r="FQS68"/>
      <c r="FQT68"/>
      <c r="FQU68"/>
      <c r="FQV68"/>
      <c r="FQW68"/>
      <c r="FQX68"/>
      <c r="FQY68"/>
      <c r="FQZ68"/>
      <c r="FRA68"/>
      <c r="FRB68"/>
      <c r="FRC68"/>
      <c r="FRD68"/>
      <c r="FRE68"/>
      <c r="FRF68"/>
      <c r="FRG68"/>
      <c r="FRH68"/>
      <c r="FRI68"/>
      <c r="FRJ68"/>
      <c r="FRK68"/>
      <c r="FRL68"/>
      <c r="FRM68"/>
      <c r="FRN68"/>
      <c r="FRO68"/>
      <c r="FRP68"/>
      <c r="FRQ68"/>
      <c r="FRR68"/>
      <c r="FRS68"/>
      <c r="FRT68"/>
      <c r="FRU68"/>
      <c r="FRV68"/>
      <c r="FRW68"/>
      <c r="FRX68"/>
      <c r="FRY68"/>
      <c r="FRZ68"/>
      <c r="FSA68"/>
      <c r="FSB68"/>
      <c r="FSC68"/>
      <c r="FSD68"/>
      <c r="FSE68"/>
      <c r="FSF68"/>
      <c r="FSG68"/>
      <c r="FSH68"/>
      <c r="FSI68"/>
      <c r="FSJ68"/>
      <c r="FSK68"/>
      <c r="FSL68"/>
      <c r="FSM68"/>
      <c r="FSN68"/>
      <c r="FSO68"/>
      <c r="FSP68"/>
      <c r="FSQ68"/>
      <c r="FSR68"/>
      <c r="FSS68"/>
      <c r="FST68"/>
      <c r="FSU68"/>
      <c r="FSV68"/>
      <c r="FSW68"/>
      <c r="FSX68"/>
      <c r="FSY68"/>
      <c r="FSZ68"/>
      <c r="FTA68"/>
      <c r="FTB68"/>
      <c r="FTC68"/>
      <c r="FTD68"/>
      <c r="FTE68"/>
      <c r="FTF68"/>
      <c r="FTG68"/>
      <c r="FTH68"/>
      <c r="FTI68"/>
      <c r="FTJ68"/>
      <c r="FTK68"/>
      <c r="FTL68"/>
      <c r="FTM68"/>
      <c r="FTN68"/>
      <c r="FTO68"/>
      <c r="FTP68"/>
      <c r="FTQ68"/>
      <c r="FTR68"/>
      <c r="FTS68"/>
      <c r="FTT68"/>
      <c r="FTU68"/>
      <c r="FTV68"/>
      <c r="FTW68"/>
      <c r="FTX68"/>
      <c r="FTY68"/>
      <c r="FTZ68"/>
      <c r="FUA68"/>
      <c r="FUB68"/>
      <c r="FUC68"/>
      <c r="FUD68"/>
      <c r="FUE68"/>
      <c r="FUF68"/>
      <c r="FUG68"/>
      <c r="FUH68"/>
      <c r="FUI68"/>
      <c r="FUJ68"/>
      <c r="FUK68"/>
      <c r="FUL68"/>
      <c r="FUM68"/>
      <c r="FUN68"/>
      <c r="FUO68"/>
      <c r="FUP68"/>
      <c r="FUQ68"/>
      <c r="FUR68"/>
      <c r="FUS68"/>
      <c r="FUT68"/>
      <c r="FUU68"/>
      <c r="FUV68"/>
      <c r="FUW68"/>
      <c r="FUX68"/>
      <c r="FUY68"/>
      <c r="FUZ68"/>
      <c r="FVA68"/>
      <c r="FVB68"/>
      <c r="FVC68"/>
      <c r="FVD68"/>
      <c r="FVE68"/>
      <c r="FVF68"/>
      <c r="FVG68"/>
      <c r="FVH68"/>
      <c r="FVI68"/>
      <c r="FVJ68"/>
      <c r="FVK68"/>
      <c r="FVL68"/>
      <c r="FVM68"/>
      <c r="FVN68"/>
      <c r="FVO68"/>
      <c r="FVP68"/>
      <c r="FVQ68"/>
      <c r="FVR68"/>
      <c r="FVS68"/>
      <c r="FVT68"/>
      <c r="FVU68"/>
      <c r="FVV68"/>
      <c r="FVW68"/>
      <c r="FVX68"/>
      <c r="FVY68"/>
      <c r="FVZ68"/>
      <c r="FWA68"/>
      <c r="FWB68"/>
      <c r="FWC68"/>
      <c r="FWD68"/>
      <c r="FWE68"/>
      <c r="FWF68"/>
      <c r="FWG68"/>
      <c r="FWH68"/>
      <c r="FWI68"/>
      <c r="FWJ68"/>
      <c r="FWK68"/>
      <c r="FWL68"/>
      <c r="FWM68"/>
      <c r="FWN68"/>
      <c r="FWO68"/>
      <c r="FWP68"/>
      <c r="FWQ68"/>
      <c r="FWR68"/>
      <c r="FWS68"/>
      <c r="FWT68"/>
      <c r="FWU68"/>
      <c r="FWV68"/>
      <c r="FWW68"/>
      <c r="FWX68"/>
      <c r="FWY68"/>
      <c r="FWZ68"/>
      <c r="FXA68"/>
      <c r="FXB68"/>
      <c r="FXC68"/>
      <c r="FXD68"/>
      <c r="FXE68"/>
      <c r="FXF68"/>
      <c r="FXG68"/>
      <c r="FXH68"/>
      <c r="FXI68"/>
      <c r="FXJ68"/>
      <c r="FXK68"/>
      <c r="FXL68"/>
      <c r="FXM68"/>
      <c r="FXN68"/>
      <c r="FXO68"/>
      <c r="FXP68"/>
      <c r="FXQ68"/>
      <c r="FXR68"/>
      <c r="FXS68"/>
      <c r="FXT68"/>
      <c r="FXU68"/>
      <c r="FXV68"/>
      <c r="FXW68"/>
      <c r="FXX68"/>
      <c r="FXY68"/>
      <c r="FXZ68"/>
      <c r="FYA68"/>
      <c r="FYB68"/>
      <c r="FYC68"/>
      <c r="FYD68"/>
      <c r="FYE68"/>
      <c r="FYF68"/>
      <c r="FYG68"/>
      <c r="FYH68"/>
      <c r="FYI68"/>
      <c r="FYJ68"/>
      <c r="FYK68"/>
      <c r="FYL68"/>
      <c r="FYM68"/>
      <c r="FYN68"/>
      <c r="FYO68"/>
      <c r="FYP68"/>
      <c r="FYQ68"/>
      <c r="FYR68"/>
      <c r="FYS68"/>
      <c r="FYT68"/>
      <c r="FYU68"/>
      <c r="FYV68"/>
      <c r="FYW68"/>
      <c r="FYX68"/>
      <c r="FYY68"/>
      <c r="FYZ68"/>
      <c r="FZA68"/>
      <c r="FZB68"/>
      <c r="FZC68"/>
      <c r="FZD68"/>
      <c r="FZE68"/>
      <c r="FZF68"/>
      <c r="FZG68"/>
      <c r="FZH68"/>
      <c r="FZI68"/>
      <c r="FZJ68"/>
      <c r="FZK68"/>
      <c r="FZL68"/>
      <c r="FZM68"/>
      <c r="FZN68"/>
      <c r="FZO68"/>
      <c r="FZP68"/>
      <c r="FZQ68"/>
      <c r="FZR68"/>
      <c r="FZS68"/>
      <c r="FZT68"/>
      <c r="FZU68"/>
      <c r="FZV68"/>
      <c r="FZW68"/>
      <c r="FZX68"/>
      <c r="FZY68"/>
      <c r="FZZ68"/>
      <c r="GAA68"/>
      <c r="GAB68"/>
      <c r="GAC68"/>
      <c r="GAD68"/>
      <c r="GAE68"/>
      <c r="GAF68"/>
      <c r="GAG68"/>
      <c r="GAH68"/>
      <c r="GAI68"/>
      <c r="GAJ68"/>
      <c r="GAK68"/>
      <c r="GAL68"/>
      <c r="GAM68"/>
      <c r="GAN68"/>
      <c r="GAO68"/>
      <c r="GAP68"/>
      <c r="GAQ68"/>
      <c r="GAR68"/>
      <c r="GAS68"/>
      <c r="GAT68"/>
      <c r="GAU68"/>
      <c r="GAV68"/>
      <c r="GAW68"/>
      <c r="GAX68"/>
      <c r="GAY68"/>
      <c r="GAZ68"/>
      <c r="GBA68"/>
      <c r="GBB68"/>
      <c r="GBC68"/>
      <c r="GBD68"/>
      <c r="GBE68"/>
      <c r="GBF68"/>
      <c r="GBG68"/>
      <c r="GBH68"/>
      <c r="GBI68"/>
      <c r="GBJ68"/>
      <c r="GBK68"/>
      <c r="GBL68"/>
      <c r="GBM68"/>
      <c r="GBN68"/>
      <c r="GBO68"/>
      <c r="GBP68"/>
      <c r="GBQ68"/>
      <c r="GBR68"/>
      <c r="GBS68"/>
      <c r="GBT68"/>
      <c r="GBU68"/>
      <c r="GBV68"/>
      <c r="GBW68"/>
      <c r="GBX68"/>
      <c r="GBY68"/>
      <c r="GBZ68"/>
      <c r="GCA68"/>
      <c r="GCB68"/>
      <c r="GCC68"/>
      <c r="GCD68"/>
      <c r="GCE68"/>
      <c r="GCF68"/>
      <c r="GCG68"/>
      <c r="GCH68"/>
      <c r="GCI68"/>
      <c r="GCJ68"/>
      <c r="GCK68"/>
      <c r="GCL68"/>
      <c r="GCM68"/>
      <c r="GCN68"/>
      <c r="GCO68"/>
      <c r="GCP68"/>
      <c r="GCQ68"/>
      <c r="GCR68"/>
      <c r="GCS68"/>
      <c r="GCT68"/>
      <c r="GCU68"/>
      <c r="GCV68"/>
      <c r="GCW68"/>
      <c r="GCX68"/>
      <c r="GCY68"/>
      <c r="GCZ68"/>
      <c r="GDA68"/>
      <c r="GDB68"/>
      <c r="GDC68"/>
      <c r="GDD68"/>
      <c r="GDE68"/>
      <c r="GDF68"/>
      <c r="GDG68"/>
      <c r="GDH68"/>
      <c r="GDI68"/>
      <c r="GDJ68"/>
      <c r="GDK68"/>
      <c r="GDL68"/>
      <c r="GDM68"/>
      <c r="GDN68"/>
      <c r="GDO68"/>
      <c r="GDP68"/>
      <c r="GDQ68"/>
      <c r="GDR68"/>
      <c r="GDS68"/>
      <c r="GDT68"/>
      <c r="GDU68"/>
      <c r="GDV68"/>
      <c r="GDW68"/>
      <c r="GDX68"/>
      <c r="GDY68"/>
      <c r="GDZ68"/>
      <c r="GEA68"/>
      <c r="GEB68"/>
      <c r="GEC68"/>
      <c r="GED68"/>
      <c r="GEE68"/>
      <c r="GEF68"/>
      <c r="GEG68"/>
      <c r="GEH68"/>
      <c r="GEI68"/>
      <c r="GEJ68"/>
      <c r="GEK68"/>
      <c r="GEL68"/>
      <c r="GEM68"/>
      <c r="GEN68"/>
      <c r="GEO68"/>
      <c r="GEP68"/>
      <c r="GEQ68"/>
      <c r="GER68"/>
      <c r="GES68"/>
      <c r="GET68"/>
      <c r="GEU68"/>
      <c r="GEV68"/>
      <c r="GEW68"/>
      <c r="GEX68"/>
      <c r="GEY68"/>
      <c r="GEZ68"/>
      <c r="GFA68"/>
      <c r="GFB68"/>
      <c r="GFC68"/>
      <c r="GFD68"/>
      <c r="GFE68"/>
      <c r="GFF68"/>
      <c r="GFG68"/>
      <c r="GFH68"/>
      <c r="GFI68"/>
      <c r="GFJ68"/>
      <c r="GFK68"/>
      <c r="GFL68"/>
      <c r="GFM68"/>
      <c r="GFN68"/>
      <c r="GFO68"/>
      <c r="GFP68"/>
      <c r="GFQ68"/>
      <c r="GFR68"/>
      <c r="GFS68"/>
      <c r="GFT68"/>
      <c r="GFU68"/>
      <c r="GFV68"/>
      <c r="GFW68"/>
      <c r="GFX68"/>
      <c r="GFY68"/>
      <c r="GFZ68"/>
      <c r="GGA68"/>
      <c r="GGB68"/>
      <c r="GGC68"/>
      <c r="GGD68"/>
      <c r="GGE68"/>
      <c r="GGF68"/>
      <c r="GGG68"/>
      <c r="GGH68"/>
      <c r="GGI68"/>
      <c r="GGJ68"/>
      <c r="GGK68"/>
      <c r="GGL68"/>
      <c r="GGM68"/>
      <c r="GGN68"/>
      <c r="GGO68"/>
      <c r="GGP68"/>
      <c r="GGQ68"/>
      <c r="GGR68"/>
      <c r="GGS68"/>
      <c r="GGT68"/>
      <c r="GGU68"/>
      <c r="GGV68"/>
      <c r="GGW68"/>
      <c r="GGX68"/>
      <c r="GGY68"/>
      <c r="GGZ68"/>
      <c r="GHA68"/>
      <c r="GHB68"/>
      <c r="GHC68"/>
      <c r="GHD68"/>
      <c r="GHE68"/>
      <c r="GHF68"/>
      <c r="GHG68"/>
      <c r="GHH68"/>
      <c r="GHI68"/>
      <c r="GHJ68"/>
      <c r="GHK68"/>
      <c r="GHL68"/>
      <c r="GHM68"/>
      <c r="GHN68"/>
      <c r="GHO68"/>
      <c r="GHP68"/>
      <c r="GHQ68"/>
      <c r="GHR68"/>
      <c r="GHS68"/>
      <c r="GHT68"/>
      <c r="GHU68"/>
      <c r="GHV68"/>
      <c r="GHW68"/>
      <c r="GHX68"/>
      <c r="GHY68"/>
      <c r="GHZ68"/>
      <c r="GIA68"/>
      <c r="GIB68"/>
      <c r="GIC68"/>
      <c r="GID68"/>
      <c r="GIE68"/>
      <c r="GIF68"/>
      <c r="GIG68"/>
      <c r="GIH68"/>
      <c r="GII68"/>
      <c r="GIJ68"/>
      <c r="GIK68"/>
      <c r="GIL68"/>
      <c r="GIM68"/>
      <c r="GIN68"/>
      <c r="GIO68"/>
      <c r="GIP68"/>
      <c r="GIQ68"/>
      <c r="GIR68"/>
      <c r="GIS68"/>
      <c r="GIT68"/>
      <c r="GIU68"/>
      <c r="GIV68"/>
      <c r="GIW68"/>
      <c r="GIX68"/>
      <c r="GIY68"/>
      <c r="GIZ68"/>
      <c r="GJA68"/>
      <c r="GJB68"/>
      <c r="GJC68"/>
      <c r="GJD68"/>
      <c r="GJE68"/>
      <c r="GJF68"/>
      <c r="GJG68"/>
      <c r="GJH68"/>
      <c r="GJI68"/>
      <c r="GJJ68"/>
      <c r="GJK68"/>
      <c r="GJL68"/>
      <c r="GJM68"/>
      <c r="GJN68"/>
      <c r="GJO68"/>
      <c r="GJP68"/>
      <c r="GJQ68"/>
      <c r="GJR68"/>
      <c r="GJS68"/>
      <c r="GJT68"/>
      <c r="GJU68"/>
      <c r="GJV68"/>
      <c r="GJW68"/>
      <c r="GJX68"/>
      <c r="GJY68"/>
      <c r="GJZ68"/>
      <c r="GKA68"/>
      <c r="GKB68"/>
      <c r="GKC68"/>
      <c r="GKD68"/>
      <c r="GKE68"/>
      <c r="GKF68"/>
      <c r="GKG68"/>
      <c r="GKH68"/>
      <c r="GKI68"/>
      <c r="GKJ68"/>
      <c r="GKK68"/>
      <c r="GKL68"/>
      <c r="GKM68"/>
      <c r="GKN68"/>
      <c r="GKO68"/>
      <c r="GKP68"/>
      <c r="GKQ68"/>
      <c r="GKR68"/>
      <c r="GKS68"/>
      <c r="GKT68"/>
      <c r="GKU68"/>
      <c r="GKV68"/>
      <c r="GKW68"/>
      <c r="GKX68"/>
      <c r="GKY68"/>
      <c r="GKZ68"/>
      <c r="GLA68"/>
      <c r="GLB68"/>
      <c r="GLC68"/>
      <c r="GLD68"/>
      <c r="GLE68"/>
      <c r="GLF68"/>
      <c r="GLG68"/>
      <c r="GLH68"/>
      <c r="GLI68"/>
      <c r="GLJ68"/>
      <c r="GLK68"/>
      <c r="GLL68"/>
      <c r="GLM68"/>
      <c r="GLN68"/>
      <c r="GLO68"/>
      <c r="GLP68"/>
      <c r="GLQ68"/>
      <c r="GLR68"/>
      <c r="GLS68"/>
      <c r="GLT68"/>
      <c r="GLU68"/>
      <c r="GLV68"/>
      <c r="GLW68"/>
      <c r="GLX68"/>
      <c r="GLY68"/>
      <c r="GLZ68"/>
      <c r="GMA68"/>
      <c r="GMB68"/>
      <c r="GMC68"/>
      <c r="GMD68"/>
      <c r="GME68"/>
      <c r="GMF68"/>
      <c r="GMG68"/>
      <c r="GMH68"/>
      <c r="GMI68"/>
      <c r="GMJ68"/>
      <c r="GMK68"/>
      <c r="GML68"/>
      <c r="GMM68"/>
      <c r="GMN68"/>
      <c r="GMO68"/>
      <c r="GMP68"/>
      <c r="GMQ68"/>
      <c r="GMR68"/>
      <c r="GMS68"/>
      <c r="GMT68"/>
      <c r="GMU68"/>
      <c r="GMV68"/>
      <c r="GMW68"/>
      <c r="GMX68"/>
      <c r="GMY68"/>
      <c r="GMZ68"/>
      <c r="GNA68"/>
      <c r="GNB68"/>
      <c r="GNC68"/>
      <c r="GND68"/>
      <c r="GNE68"/>
      <c r="GNF68"/>
      <c r="GNG68"/>
      <c r="GNH68"/>
      <c r="GNI68"/>
      <c r="GNJ68"/>
      <c r="GNK68"/>
      <c r="GNL68"/>
      <c r="GNM68"/>
      <c r="GNN68"/>
      <c r="GNO68"/>
      <c r="GNP68"/>
      <c r="GNQ68"/>
      <c r="GNR68"/>
      <c r="GNS68"/>
      <c r="GNT68"/>
      <c r="GNU68"/>
      <c r="GNV68"/>
      <c r="GNW68"/>
      <c r="GNX68"/>
      <c r="GNY68"/>
      <c r="GNZ68"/>
      <c r="GOA68"/>
      <c r="GOB68"/>
      <c r="GOC68"/>
      <c r="GOD68"/>
      <c r="GOE68"/>
      <c r="GOF68"/>
      <c r="GOG68"/>
      <c r="GOH68"/>
      <c r="GOI68"/>
      <c r="GOJ68"/>
      <c r="GOK68"/>
      <c r="GOL68"/>
      <c r="GOM68"/>
      <c r="GON68"/>
      <c r="GOO68"/>
      <c r="GOP68"/>
      <c r="GOQ68"/>
      <c r="GOR68"/>
      <c r="GOS68"/>
      <c r="GOT68"/>
      <c r="GOU68"/>
      <c r="GOV68"/>
      <c r="GOW68"/>
      <c r="GOX68"/>
      <c r="GOY68"/>
      <c r="GOZ68"/>
      <c r="GPA68"/>
      <c r="GPB68"/>
      <c r="GPC68"/>
      <c r="GPD68"/>
      <c r="GPE68"/>
      <c r="GPF68"/>
      <c r="GPG68"/>
      <c r="GPH68"/>
      <c r="GPI68"/>
      <c r="GPJ68"/>
      <c r="GPK68"/>
      <c r="GPL68"/>
      <c r="GPM68"/>
      <c r="GPN68"/>
      <c r="GPO68"/>
      <c r="GPP68"/>
      <c r="GPQ68"/>
      <c r="GPR68"/>
      <c r="GPS68"/>
      <c r="GPT68"/>
      <c r="GPU68"/>
      <c r="GPV68"/>
      <c r="GPW68"/>
      <c r="GPX68"/>
      <c r="GPY68"/>
      <c r="GPZ68"/>
      <c r="GQA68"/>
      <c r="GQB68"/>
      <c r="GQC68"/>
      <c r="GQD68"/>
      <c r="GQE68"/>
      <c r="GQF68"/>
      <c r="GQG68"/>
      <c r="GQH68"/>
      <c r="GQI68"/>
      <c r="GQJ68"/>
      <c r="GQK68"/>
      <c r="GQL68"/>
      <c r="GQM68"/>
      <c r="GQN68"/>
      <c r="GQO68"/>
      <c r="GQP68"/>
      <c r="GQQ68"/>
      <c r="GQR68"/>
      <c r="GQS68"/>
      <c r="GQT68"/>
      <c r="GQU68"/>
      <c r="GQV68"/>
      <c r="GQW68"/>
      <c r="GQX68"/>
      <c r="GQY68"/>
      <c r="GQZ68"/>
      <c r="GRA68"/>
      <c r="GRB68"/>
      <c r="GRC68"/>
      <c r="GRD68"/>
      <c r="GRE68"/>
      <c r="GRF68"/>
      <c r="GRG68"/>
      <c r="GRH68"/>
      <c r="GRI68"/>
      <c r="GRJ68"/>
      <c r="GRK68"/>
      <c r="GRL68"/>
      <c r="GRM68"/>
      <c r="GRN68"/>
      <c r="GRO68"/>
      <c r="GRP68"/>
      <c r="GRQ68"/>
      <c r="GRR68"/>
      <c r="GRS68"/>
      <c r="GRT68"/>
      <c r="GRU68"/>
      <c r="GRV68"/>
      <c r="GRW68"/>
      <c r="GRX68"/>
      <c r="GRY68"/>
      <c r="GRZ68"/>
      <c r="GSA68"/>
      <c r="GSB68"/>
      <c r="GSC68"/>
      <c r="GSD68"/>
      <c r="GSE68"/>
      <c r="GSF68"/>
      <c r="GSG68"/>
      <c r="GSH68"/>
      <c r="GSI68"/>
      <c r="GSJ68"/>
      <c r="GSK68"/>
      <c r="GSL68"/>
      <c r="GSM68"/>
      <c r="GSN68"/>
      <c r="GSO68"/>
      <c r="GSP68"/>
      <c r="GSQ68"/>
      <c r="GSR68"/>
      <c r="GSS68"/>
      <c r="GST68"/>
      <c r="GSU68"/>
      <c r="GSV68"/>
      <c r="GSW68"/>
      <c r="GSX68"/>
      <c r="GSY68"/>
      <c r="GSZ68"/>
      <c r="GTA68"/>
      <c r="GTB68"/>
      <c r="GTC68"/>
      <c r="GTD68"/>
      <c r="GTE68"/>
      <c r="GTF68"/>
      <c r="GTG68"/>
      <c r="GTH68"/>
      <c r="GTI68"/>
      <c r="GTJ68"/>
      <c r="GTK68"/>
      <c r="GTL68"/>
      <c r="GTM68"/>
      <c r="GTN68"/>
      <c r="GTO68"/>
      <c r="GTP68"/>
      <c r="GTQ68"/>
      <c r="GTR68"/>
      <c r="GTS68"/>
      <c r="GTT68"/>
      <c r="GTU68"/>
      <c r="GTV68"/>
      <c r="GTW68"/>
      <c r="GTX68"/>
      <c r="GTY68"/>
      <c r="GTZ68"/>
      <c r="GUA68"/>
      <c r="GUB68"/>
      <c r="GUC68"/>
      <c r="GUD68"/>
      <c r="GUE68"/>
      <c r="GUF68"/>
      <c r="GUG68"/>
      <c r="GUH68"/>
      <c r="GUI68"/>
      <c r="GUJ68"/>
      <c r="GUK68"/>
      <c r="GUL68"/>
      <c r="GUM68"/>
      <c r="GUN68"/>
      <c r="GUO68"/>
      <c r="GUP68"/>
      <c r="GUQ68"/>
      <c r="GUR68"/>
      <c r="GUS68"/>
      <c r="GUT68"/>
      <c r="GUU68"/>
      <c r="GUV68"/>
      <c r="GUW68"/>
      <c r="GUX68"/>
      <c r="GUY68"/>
      <c r="GUZ68"/>
      <c r="GVA68"/>
      <c r="GVB68"/>
      <c r="GVC68"/>
      <c r="GVD68"/>
      <c r="GVE68"/>
      <c r="GVF68"/>
      <c r="GVG68"/>
      <c r="GVH68"/>
      <c r="GVI68"/>
      <c r="GVJ68"/>
      <c r="GVK68"/>
      <c r="GVL68"/>
      <c r="GVM68"/>
      <c r="GVN68"/>
      <c r="GVO68"/>
      <c r="GVP68"/>
      <c r="GVQ68"/>
      <c r="GVR68"/>
      <c r="GVS68"/>
      <c r="GVT68"/>
      <c r="GVU68"/>
      <c r="GVV68"/>
      <c r="GVW68"/>
      <c r="GVX68"/>
      <c r="GVY68"/>
      <c r="GVZ68"/>
      <c r="GWA68"/>
      <c r="GWB68"/>
      <c r="GWC68"/>
      <c r="GWD68"/>
      <c r="GWE68"/>
      <c r="GWF68"/>
      <c r="GWG68"/>
      <c r="GWH68"/>
      <c r="GWI68"/>
      <c r="GWJ68"/>
      <c r="GWK68"/>
      <c r="GWL68"/>
      <c r="GWM68"/>
      <c r="GWN68"/>
      <c r="GWO68"/>
      <c r="GWP68"/>
      <c r="GWQ68"/>
      <c r="GWR68"/>
      <c r="GWS68"/>
      <c r="GWT68"/>
      <c r="GWU68"/>
      <c r="GWV68"/>
      <c r="GWW68"/>
      <c r="GWX68"/>
      <c r="GWY68"/>
      <c r="GWZ68"/>
      <c r="GXA68"/>
      <c r="GXB68"/>
      <c r="GXC68"/>
      <c r="GXD68"/>
      <c r="GXE68"/>
      <c r="GXF68"/>
      <c r="GXG68"/>
      <c r="GXH68"/>
      <c r="GXI68"/>
      <c r="GXJ68"/>
      <c r="GXK68"/>
      <c r="GXL68"/>
      <c r="GXM68"/>
      <c r="GXN68"/>
      <c r="GXO68"/>
      <c r="GXP68"/>
      <c r="GXQ68"/>
      <c r="GXR68"/>
      <c r="GXS68"/>
      <c r="GXT68"/>
      <c r="GXU68"/>
      <c r="GXV68"/>
      <c r="GXW68"/>
      <c r="GXX68"/>
      <c r="GXY68"/>
      <c r="GXZ68"/>
      <c r="GYA68"/>
      <c r="GYB68"/>
      <c r="GYC68"/>
      <c r="GYD68"/>
      <c r="GYE68"/>
      <c r="GYF68"/>
      <c r="GYG68"/>
      <c r="GYH68"/>
      <c r="GYI68"/>
      <c r="GYJ68"/>
      <c r="GYK68"/>
      <c r="GYL68"/>
      <c r="GYM68"/>
      <c r="GYN68"/>
      <c r="GYO68"/>
      <c r="GYP68"/>
      <c r="GYQ68"/>
      <c r="GYR68"/>
      <c r="GYS68"/>
      <c r="GYT68"/>
      <c r="GYU68"/>
      <c r="GYV68"/>
      <c r="GYW68"/>
      <c r="GYX68"/>
      <c r="GYY68"/>
      <c r="GYZ68"/>
      <c r="GZA68"/>
      <c r="GZB68"/>
      <c r="GZC68"/>
      <c r="GZD68"/>
      <c r="GZE68"/>
      <c r="GZF68"/>
      <c r="GZG68"/>
      <c r="GZH68"/>
      <c r="GZI68"/>
      <c r="GZJ68"/>
      <c r="GZK68"/>
      <c r="GZL68"/>
      <c r="GZM68"/>
      <c r="GZN68"/>
      <c r="GZO68"/>
      <c r="GZP68"/>
      <c r="GZQ68"/>
      <c r="GZR68"/>
      <c r="GZS68"/>
      <c r="GZT68"/>
      <c r="GZU68"/>
      <c r="GZV68"/>
      <c r="GZW68"/>
      <c r="GZX68"/>
      <c r="GZY68"/>
      <c r="GZZ68"/>
      <c r="HAA68"/>
      <c r="HAB68"/>
      <c r="HAC68"/>
      <c r="HAD68"/>
      <c r="HAE68"/>
      <c r="HAF68"/>
      <c r="HAG68"/>
      <c r="HAH68"/>
      <c r="HAI68"/>
      <c r="HAJ68"/>
      <c r="HAK68"/>
      <c r="HAL68"/>
      <c r="HAM68"/>
      <c r="HAN68"/>
      <c r="HAO68"/>
      <c r="HAP68"/>
      <c r="HAQ68"/>
      <c r="HAR68"/>
      <c r="HAS68"/>
      <c r="HAT68"/>
      <c r="HAU68"/>
      <c r="HAV68"/>
      <c r="HAW68"/>
      <c r="HAX68"/>
      <c r="HAY68"/>
      <c r="HAZ68"/>
      <c r="HBA68"/>
      <c r="HBB68"/>
      <c r="HBC68"/>
      <c r="HBD68"/>
      <c r="HBE68"/>
      <c r="HBF68"/>
      <c r="HBG68"/>
      <c r="HBH68"/>
      <c r="HBI68"/>
      <c r="HBJ68"/>
      <c r="HBK68"/>
      <c r="HBL68"/>
      <c r="HBM68"/>
      <c r="HBN68"/>
      <c r="HBO68"/>
      <c r="HBP68"/>
      <c r="HBQ68"/>
      <c r="HBR68"/>
      <c r="HBS68"/>
      <c r="HBT68"/>
      <c r="HBU68"/>
      <c r="HBV68"/>
      <c r="HBW68"/>
      <c r="HBX68"/>
      <c r="HBY68"/>
      <c r="HBZ68"/>
      <c r="HCA68"/>
      <c r="HCB68"/>
      <c r="HCC68"/>
      <c r="HCD68"/>
      <c r="HCE68"/>
      <c r="HCF68"/>
      <c r="HCG68"/>
      <c r="HCH68"/>
      <c r="HCI68"/>
      <c r="HCJ68"/>
      <c r="HCK68"/>
      <c r="HCL68"/>
      <c r="HCM68"/>
      <c r="HCN68"/>
      <c r="HCO68"/>
      <c r="HCP68"/>
      <c r="HCQ68"/>
      <c r="HCR68"/>
      <c r="HCS68"/>
      <c r="HCT68"/>
      <c r="HCU68"/>
      <c r="HCV68"/>
      <c r="HCW68"/>
      <c r="HCX68"/>
      <c r="HCY68"/>
      <c r="HCZ68"/>
      <c r="HDA68"/>
      <c r="HDB68"/>
      <c r="HDC68"/>
      <c r="HDD68"/>
      <c r="HDE68"/>
      <c r="HDF68"/>
      <c r="HDG68"/>
      <c r="HDH68"/>
      <c r="HDI68"/>
      <c r="HDJ68"/>
      <c r="HDK68"/>
      <c r="HDL68"/>
      <c r="HDM68"/>
      <c r="HDN68"/>
      <c r="HDO68"/>
      <c r="HDP68"/>
      <c r="HDQ68"/>
      <c r="HDR68"/>
      <c r="HDS68"/>
      <c r="HDT68"/>
      <c r="HDU68"/>
      <c r="HDV68"/>
      <c r="HDW68"/>
      <c r="HDX68"/>
      <c r="HDY68"/>
      <c r="HDZ68"/>
      <c r="HEA68"/>
      <c r="HEB68"/>
      <c r="HEC68"/>
      <c r="HED68"/>
      <c r="HEE68"/>
      <c r="HEF68"/>
      <c r="HEG68"/>
      <c r="HEH68"/>
      <c r="HEI68"/>
      <c r="HEJ68"/>
      <c r="HEK68"/>
      <c r="HEL68"/>
      <c r="HEM68"/>
      <c r="HEN68"/>
      <c r="HEO68"/>
      <c r="HEP68"/>
      <c r="HEQ68"/>
      <c r="HER68"/>
      <c r="HES68"/>
      <c r="HET68"/>
      <c r="HEU68"/>
      <c r="HEV68"/>
      <c r="HEW68"/>
      <c r="HEX68"/>
      <c r="HEY68"/>
      <c r="HEZ68"/>
      <c r="HFA68"/>
      <c r="HFB68"/>
      <c r="HFC68"/>
      <c r="HFD68"/>
      <c r="HFE68"/>
      <c r="HFF68"/>
      <c r="HFG68"/>
      <c r="HFH68"/>
      <c r="HFI68"/>
      <c r="HFJ68"/>
      <c r="HFK68"/>
      <c r="HFL68"/>
      <c r="HFM68"/>
      <c r="HFN68"/>
      <c r="HFO68"/>
      <c r="HFP68"/>
      <c r="HFQ68"/>
      <c r="HFR68"/>
      <c r="HFS68"/>
      <c r="HFT68"/>
      <c r="HFU68"/>
      <c r="HFV68"/>
      <c r="HFW68"/>
      <c r="HFX68"/>
      <c r="HFY68"/>
      <c r="HFZ68"/>
      <c r="HGA68"/>
      <c r="HGB68"/>
      <c r="HGC68"/>
      <c r="HGD68"/>
      <c r="HGE68"/>
      <c r="HGF68"/>
      <c r="HGG68"/>
      <c r="HGH68"/>
      <c r="HGI68"/>
      <c r="HGJ68"/>
      <c r="HGK68"/>
      <c r="HGL68"/>
      <c r="HGM68"/>
      <c r="HGN68"/>
      <c r="HGO68"/>
      <c r="HGP68"/>
      <c r="HGQ68"/>
      <c r="HGR68"/>
      <c r="HGS68"/>
      <c r="HGT68"/>
      <c r="HGU68"/>
      <c r="HGV68"/>
      <c r="HGW68"/>
      <c r="HGX68"/>
      <c r="HGY68"/>
      <c r="HGZ68"/>
      <c r="HHA68"/>
      <c r="HHB68"/>
      <c r="HHC68"/>
      <c r="HHD68"/>
      <c r="HHE68"/>
      <c r="HHF68"/>
      <c r="HHG68"/>
      <c r="HHH68"/>
      <c r="HHI68"/>
      <c r="HHJ68"/>
      <c r="HHK68"/>
      <c r="HHL68"/>
      <c r="HHM68"/>
      <c r="HHN68"/>
      <c r="HHO68"/>
      <c r="HHP68"/>
      <c r="HHQ68"/>
      <c r="HHR68"/>
      <c r="HHS68"/>
      <c r="HHT68"/>
      <c r="HHU68"/>
      <c r="HHV68"/>
      <c r="HHW68"/>
      <c r="HHX68"/>
      <c r="HHY68"/>
      <c r="HHZ68"/>
      <c r="HIA68"/>
      <c r="HIB68"/>
      <c r="HIC68"/>
      <c r="HID68"/>
      <c r="HIE68"/>
      <c r="HIF68"/>
      <c r="HIG68"/>
      <c r="HIH68"/>
      <c r="HII68"/>
      <c r="HIJ68"/>
      <c r="HIK68"/>
      <c r="HIL68"/>
      <c r="HIM68"/>
      <c r="HIN68"/>
      <c r="HIO68"/>
      <c r="HIP68"/>
      <c r="HIQ68"/>
      <c r="HIR68"/>
      <c r="HIS68"/>
      <c r="HIT68"/>
      <c r="HIU68"/>
      <c r="HIV68"/>
      <c r="HIW68"/>
      <c r="HIX68"/>
      <c r="HIY68"/>
      <c r="HIZ68"/>
      <c r="HJA68"/>
      <c r="HJB68"/>
      <c r="HJC68"/>
      <c r="HJD68"/>
      <c r="HJE68"/>
      <c r="HJF68"/>
      <c r="HJG68"/>
      <c r="HJH68"/>
      <c r="HJI68"/>
      <c r="HJJ68"/>
      <c r="HJK68"/>
      <c r="HJL68"/>
      <c r="HJM68"/>
      <c r="HJN68"/>
      <c r="HJO68"/>
      <c r="HJP68"/>
      <c r="HJQ68"/>
      <c r="HJR68"/>
      <c r="HJS68"/>
      <c r="HJT68"/>
      <c r="HJU68"/>
      <c r="HJV68"/>
      <c r="HJW68"/>
      <c r="HJX68"/>
      <c r="HJY68"/>
      <c r="HJZ68"/>
      <c r="HKA68"/>
      <c r="HKB68"/>
      <c r="HKC68"/>
      <c r="HKD68"/>
      <c r="HKE68"/>
      <c r="HKF68"/>
      <c r="HKG68"/>
      <c r="HKH68"/>
      <c r="HKI68"/>
      <c r="HKJ68"/>
      <c r="HKK68"/>
      <c r="HKL68"/>
      <c r="HKM68"/>
      <c r="HKN68"/>
      <c r="HKO68"/>
      <c r="HKP68"/>
      <c r="HKQ68"/>
      <c r="HKR68"/>
      <c r="HKS68"/>
      <c r="HKT68"/>
      <c r="HKU68"/>
      <c r="HKV68"/>
      <c r="HKW68"/>
      <c r="HKX68"/>
      <c r="HKY68"/>
      <c r="HKZ68"/>
      <c r="HLA68"/>
      <c r="HLB68"/>
      <c r="HLC68"/>
      <c r="HLD68"/>
      <c r="HLE68"/>
      <c r="HLF68"/>
      <c r="HLG68"/>
      <c r="HLH68"/>
      <c r="HLI68"/>
      <c r="HLJ68"/>
      <c r="HLK68"/>
      <c r="HLL68"/>
      <c r="HLM68"/>
      <c r="HLN68"/>
      <c r="HLO68"/>
      <c r="HLP68"/>
      <c r="HLQ68"/>
      <c r="HLR68"/>
      <c r="HLS68"/>
      <c r="HLT68"/>
      <c r="HLU68"/>
      <c r="HLV68"/>
      <c r="HLW68"/>
      <c r="HLX68"/>
      <c r="HLY68"/>
      <c r="HLZ68"/>
      <c r="HMA68"/>
      <c r="HMB68"/>
      <c r="HMC68"/>
      <c r="HMD68"/>
      <c r="HME68"/>
      <c r="HMF68"/>
      <c r="HMG68"/>
      <c r="HMH68"/>
      <c r="HMI68"/>
      <c r="HMJ68"/>
      <c r="HMK68"/>
      <c r="HML68"/>
      <c r="HMM68"/>
      <c r="HMN68"/>
      <c r="HMO68"/>
      <c r="HMP68"/>
      <c r="HMQ68"/>
      <c r="HMR68"/>
      <c r="HMS68"/>
      <c r="HMT68"/>
      <c r="HMU68"/>
      <c r="HMV68"/>
      <c r="HMW68"/>
      <c r="HMX68"/>
      <c r="HMY68"/>
      <c r="HMZ68"/>
      <c r="HNA68"/>
      <c r="HNB68"/>
      <c r="HNC68"/>
      <c r="HND68"/>
      <c r="HNE68"/>
      <c r="HNF68"/>
      <c r="HNG68"/>
      <c r="HNH68"/>
      <c r="HNI68"/>
      <c r="HNJ68"/>
      <c r="HNK68"/>
      <c r="HNL68"/>
      <c r="HNM68"/>
      <c r="HNN68"/>
      <c r="HNO68"/>
      <c r="HNP68"/>
      <c r="HNQ68"/>
      <c r="HNR68"/>
      <c r="HNS68"/>
      <c r="HNT68"/>
      <c r="HNU68"/>
      <c r="HNV68"/>
      <c r="HNW68"/>
      <c r="HNX68"/>
      <c r="HNY68"/>
      <c r="HNZ68"/>
      <c r="HOA68"/>
      <c r="HOB68"/>
      <c r="HOC68"/>
      <c r="HOD68"/>
      <c r="HOE68"/>
      <c r="HOF68"/>
      <c r="HOG68"/>
      <c r="HOH68"/>
      <c r="HOI68"/>
      <c r="HOJ68"/>
      <c r="HOK68"/>
      <c r="HOL68"/>
      <c r="HOM68"/>
      <c r="HON68"/>
      <c r="HOO68"/>
      <c r="HOP68"/>
      <c r="HOQ68"/>
      <c r="HOR68"/>
      <c r="HOS68"/>
      <c r="HOT68"/>
      <c r="HOU68"/>
      <c r="HOV68"/>
      <c r="HOW68"/>
      <c r="HOX68"/>
      <c r="HOY68"/>
      <c r="HOZ68"/>
      <c r="HPA68"/>
      <c r="HPB68"/>
      <c r="HPC68"/>
      <c r="HPD68"/>
      <c r="HPE68"/>
      <c r="HPF68"/>
      <c r="HPG68"/>
      <c r="HPH68"/>
      <c r="HPI68"/>
      <c r="HPJ68"/>
      <c r="HPK68"/>
      <c r="HPL68"/>
      <c r="HPM68"/>
      <c r="HPN68"/>
      <c r="HPO68"/>
      <c r="HPP68"/>
      <c r="HPQ68"/>
      <c r="HPR68"/>
      <c r="HPS68"/>
      <c r="HPT68"/>
      <c r="HPU68"/>
      <c r="HPV68"/>
      <c r="HPW68"/>
      <c r="HPX68"/>
      <c r="HPY68"/>
      <c r="HPZ68"/>
      <c r="HQA68"/>
      <c r="HQB68"/>
      <c r="HQC68"/>
      <c r="HQD68"/>
      <c r="HQE68"/>
      <c r="HQF68"/>
      <c r="HQG68"/>
      <c r="HQH68"/>
      <c r="HQI68"/>
      <c r="HQJ68"/>
      <c r="HQK68"/>
      <c r="HQL68"/>
      <c r="HQM68"/>
      <c r="HQN68"/>
      <c r="HQO68"/>
      <c r="HQP68"/>
      <c r="HQQ68"/>
      <c r="HQR68"/>
      <c r="HQS68"/>
      <c r="HQT68"/>
      <c r="HQU68"/>
      <c r="HQV68"/>
      <c r="HQW68"/>
      <c r="HQX68"/>
      <c r="HQY68"/>
      <c r="HQZ68"/>
      <c r="HRA68"/>
      <c r="HRB68"/>
      <c r="HRC68"/>
      <c r="HRD68"/>
      <c r="HRE68"/>
      <c r="HRF68"/>
      <c r="HRG68"/>
      <c r="HRH68"/>
      <c r="HRI68"/>
      <c r="HRJ68"/>
      <c r="HRK68"/>
      <c r="HRL68"/>
      <c r="HRM68"/>
      <c r="HRN68"/>
      <c r="HRO68"/>
      <c r="HRP68"/>
      <c r="HRQ68"/>
      <c r="HRR68"/>
      <c r="HRS68"/>
      <c r="HRT68"/>
      <c r="HRU68"/>
      <c r="HRV68"/>
      <c r="HRW68"/>
      <c r="HRX68"/>
      <c r="HRY68"/>
      <c r="HRZ68"/>
      <c r="HSA68"/>
      <c r="HSB68"/>
      <c r="HSC68"/>
      <c r="HSD68"/>
      <c r="HSE68"/>
      <c r="HSF68"/>
      <c r="HSG68"/>
      <c r="HSH68"/>
      <c r="HSI68"/>
      <c r="HSJ68"/>
      <c r="HSK68"/>
      <c r="HSL68"/>
      <c r="HSM68"/>
      <c r="HSN68"/>
      <c r="HSO68"/>
      <c r="HSP68"/>
      <c r="HSQ68"/>
      <c r="HSR68"/>
      <c r="HSS68"/>
      <c r="HST68"/>
      <c r="HSU68"/>
      <c r="HSV68"/>
      <c r="HSW68"/>
      <c r="HSX68"/>
      <c r="HSY68"/>
      <c r="HSZ68"/>
      <c r="HTA68"/>
      <c r="HTB68"/>
      <c r="HTC68"/>
      <c r="HTD68"/>
      <c r="HTE68"/>
      <c r="HTF68"/>
      <c r="HTG68"/>
      <c r="HTH68"/>
      <c r="HTI68"/>
      <c r="HTJ68"/>
      <c r="HTK68"/>
      <c r="HTL68"/>
      <c r="HTM68"/>
      <c r="HTN68"/>
      <c r="HTO68"/>
      <c r="HTP68"/>
      <c r="HTQ68"/>
      <c r="HTR68"/>
      <c r="HTS68"/>
      <c r="HTT68"/>
      <c r="HTU68"/>
      <c r="HTV68"/>
      <c r="HTW68"/>
      <c r="HTX68"/>
      <c r="HTY68"/>
      <c r="HTZ68"/>
      <c r="HUA68"/>
      <c r="HUB68"/>
      <c r="HUC68"/>
      <c r="HUD68"/>
      <c r="HUE68"/>
      <c r="HUF68"/>
      <c r="HUG68"/>
      <c r="HUH68"/>
      <c r="HUI68"/>
      <c r="HUJ68"/>
      <c r="HUK68"/>
      <c r="HUL68"/>
      <c r="HUM68"/>
      <c r="HUN68"/>
      <c r="HUO68"/>
      <c r="HUP68"/>
      <c r="HUQ68"/>
      <c r="HUR68"/>
      <c r="HUS68"/>
      <c r="HUT68"/>
      <c r="HUU68"/>
      <c r="HUV68"/>
      <c r="HUW68"/>
      <c r="HUX68"/>
      <c r="HUY68"/>
      <c r="HUZ68"/>
      <c r="HVA68"/>
      <c r="HVB68"/>
      <c r="HVC68"/>
      <c r="HVD68"/>
      <c r="HVE68"/>
      <c r="HVF68"/>
      <c r="HVG68"/>
      <c r="HVH68"/>
      <c r="HVI68"/>
      <c r="HVJ68"/>
      <c r="HVK68"/>
      <c r="HVL68"/>
      <c r="HVM68"/>
      <c r="HVN68"/>
      <c r="HVO68"/>
      <c r="HVP68"/>
      <c r="HVQ68"/>
      <c r="HVR68"/>
      <c r="HVS68"/>
      <c r="HVT68"/>
      <c r="HVU68"/>
      <c r="HVV68"/>
      <c r="HVW68"/>
      <c r="HVX68"/>
      <c r="HVY68"/>
      <c r="HVZ68"/>
      <c r="HWA68"/>
      <c r="HWB68"/>
      <c r="HWC68"/>
      <c r="HWD68"/>
      <c r="HWE68"/>
      <c r="HWF68"/>
      <c r="HWG68"/>
      <c r="HWH68"/>
      <c r="HWI68"/>
      <c r="HWJ68"/>
      <c r="HWK68"/>
      <c r="HWL68"/>
      <c r="HWM68"/>
      <c r="HWN68"/>
      <c r="HWO68"/>
      <c r="HWP68"/>
      <c r="HWQ68"/>
      <c r="HWR68"/>
      <c r="HWS68"/>
      <c r="HWT68"/>
      <c r="HWU68"/>
      <c r="HWV68"/>
      <c r="HWW68"/>
      <c r="HWX68"/>
      <c r="HWY68"/>
      <c r="HWZ68"/>
      <c r="HXA68"/>
      <c r="HXB68"/>
      <c r="HXC68"/>
      <c r="HXD68"/>
      <c r="HXE68"/>
      <c r="HXF68"/>
      <c r="HXG68"/>
      <c r="HXH68"/>
      <c r="HXI68"/>
      <c r="HXJ68"/>
      <c r="HXK68"/>
      <c r="HXL68"/>
      <c r="HXM68"/>
      <c r="HXN68"/>
      <c r="HXO68"/>
      <c r="HXP68"/>
      <c r="HXQ68"/>
      <c r="HXR68"/>
      <c r="HXS68"/>
      <c r="HXT68"/>
      <c r="HXU68"/>
      <c r="HXV68"/>
      <c r="HXW68"/>
      <c r="HXX68"/>
      <c r="HXY68"/>
      <c r="HXZ68"/>
      <c r="HYA68"/>
      <c r="HYB68"/>
      <c r="HYC68"/>
      <c r="HYD68"/>
      <c r="HYE68"/>
      <c r="HYF68"/>
      <c r="HYG68"/>
      <c r="HYH68"/>
      <c r="HYI68"/>
      <c r="HYJ68"/>
      <c r="HYK68"/>
      <c r="HYL68"/>
      <c r="HYM68"/>
      <c r="HYN68"/>
      <c r="HYO68"/>
      <c r="HYP68"/>
      <c r="HYQ68"/>
      <c r="HYR68"/>
      <c r="HYS68"/>
      <c r="HYT68"/>
      <c r="HYU68"/>
      <c r="HYV68"/>
      <c r="HYW68"/>
      <c r="HYX68"/>
      <c r="HYY68"/>
      <c r="HYZ68"/>
      <c r="HZA68"/>
      <c r="HZB68"/>
      <c r="HZC68"/>
      <c r="HZD68"/>
      <c r="HZE68"/>
      <c r="HZF68"/>
      <c r="HZG68"/>
      <c r="HZH68"/>
      <c r="HZI68"/>
      <c r="HZJ68"/>
      <c r="HZK68"/>
      <c r="HZL68"/>
      <c r="HZM68"/>
      <c r="HZN68"/>
      <c r="HZO68"/>
      <c r="HZP68"/>
      <c r="HZQ68"/>
      <c r="HZR68"/>
      <c r="HZS68"/>
      <c r="HZT68"/>
      <c r="HZU68"/>
      <c r="HZV68"/>
      <c r="HZW68"/>
      <c r="HZX68"/>
      <c r="HZY68"/>
      <c r="HZZ68"/>
      <c r="IAA68"/>
      <c r="IAB68"/>
      <c r="IAC68"/>
      <c r="IAD68"/>
      <c r="IAE68"/>
      <c r="IAF68"/>
      <c r="IAG68"/>
      <c r="IAH68"/>
      <c r="IAI68"/>
      <c r="IAJ68"/>
      <c r="IAK68"/>
      <c r="IAL68"/>
      <c r="IAM68"/>
      <c r="IAN68"/>
      <c r="IAO68"/>
      <c r="IAP68"/>
      <c r="IAQ68"/>
      <c r="IAR68"/>
      <c r="IAS68"/>
      <c r="IAT68"/>
      <c r="IAU68"/>
      <c r="IAV68"/>
      <c r="IAW68"/>
      <c r="IAX68"/>
      <c r="IAY68"/>
      <c r="IAZ68"/>
      <c r="IBA68"/>
      <c r="IBB68"/>
      <c r="IBC68"/>
      <c r="IBD68"/>
      <c r="IBE68"/>
      <c r="IBF68"/>
      <c r="IBG68"/>
      <c r="IBH68"/>
      <c r="IBI68"/>
      <c r="IBJ68"/>
      <c r="IBK68"/>
      <c r="IBL68"/>
      <c r="IBM68"/>
      <c r="IBN68"/>
      <c r="IBO68"/>
      <c r="IBP68"/>
      <c r="IBQ68"/>
      <c r="IBR68"/>
      <c r="IBS68"/>
      <c r="IBT68"/>
      <c r="IBU68"/>
      <c r="IBV68"/>
      <c r="IBW68"/>
      <c r="IBX68"/>
      <c r="IBY68"/>
      <c r="IBZ68"/>
      <c r="ICA68"/>
      <c r="ICB68"/>
      <c r="ICC68"/>
      <c r="ICD68"/>
      <c r="ICE68"/>
      <c r="ICF68"/>
      <c r="ICG68"/>
      <c r="ICH68"/>
      <c r="ICI68"/>
      <c r="ICJ68"/>
      <c r="ICK68"/>
      <c r="ICL68"/>
      <c r="ICM68"/>
      <c r="ICN68"/>
      <c r="ICO68"/>
      <c r="ICP68"/>
      <c r="ICQ68"/>
      <c r="ICR68"/>
      <c r="ICS68"/>
      <c r="ICT68"/>
      <c r="ICU68"/>
      <c r="ICV68"/>
      <c r="ICW68"/>
      <c r="ICX68"/>
      <c r="ICY68"/>
      <c r="ICZ68"/>
      <c r="IDA68"/>
      <c r="IDB68"/>
      <c r="IDC68"/>
      <c r="IDD68"/>
      <c r="IDE68"/>
      <c r="IDF68"/>
      <c r="IDG68"/>
      <c r="IDH68"/>
      <c r="IDI68"/>
      <c r="IDJ68"/>
      <c r="IDK68"/>
      <c r="IDL68"/>
      <c r="IDM68"/>
      <c r="IDN68"/>
      <c r="IDO68"/>
      <c r="IDP68"/>
      <c r="IDQ68"/>
      <c r="IDR68"/>
      <c r="IDS68"/>
      <c r="IDT68"/>
      <c r="IDU68"/>
      <c r="IDV68"/>
      <c r="IDW68"/>
      <c r="IDX68"/>
      <c r="IDY68"/>
      <c r="IDZ68"/>
      <c r="IEA68"/>
      <c r="IEB68"/>
      <c r="IEC68"/>
      <c r="IED68"/>
      <c r="IEE68"/>
      <c r="IEF68"/>
      <c r="IEG68"/>
      <c r="IEH68"/>
      <c r="IEI68"/>
      <c r="IEJ68"/>
      <c r="IEK68"/>
      <c r="IEL68"/>
      <c r="IEM68"/>
      <c r="IEN68"/>
      <c r="IEO68"/>
      <c r="IEP68"/>
      <c r="IEQ68"/>
      <c r="IER68"/>
      <c r="IES68"/>
      <c r="IET68"/>
      <c r="IEU68"/>
      <c r="IEV68"/>
      <c r="IEW68"/>
      <c r="IEX68"/>
      <c r="IEY68"/>
      <c r="IEZ68"/>
      <c r="IFA68"/>
      <c r="IFB68"/>
      <c r="IFC68"/>
      <c r="IFD68"/>
      <c r="IFE68"/>
      <c r="IFF68"/>
      <c r="IFG68"/>
      <c r="IFH68"/>
      <c r="IFI68"/>
      <c r="IFJ68"/>
      <c r="IFK68"/>
      <c r="IFL68"/>
      <c r="IFM68"/>
      <c r="IFN68"/>
      <c r="IFO68"/>
      <c r="IFP68"/>
      <c r="IFQ68"/>
      <c r="IFR68"/>
      <c r="IFS68"/>
      <c r="IFT68"/>
      <c r="IFU68"/>
      <c r="IFV68"/>
      <c r="IFW68"/>
      <c r="IFX68"/>
      <c r="IFY68"/>
      <c r="IFZ68"/>
      <c r="IGA68"/>
      <c r="IGB68"/>
      <c r="IGC68"/>
      <c r="IGD68"/>
      <c r="IGE68"/>
      <c r="IGF68"/>
      <c r="IGG68"/>
      <c r="IGH68"/>
      <c r="IGI68"/>
      <c r="IGJ68"/>
      <c r="IGK68"/>
      <c r="IGL68"/>
      <c r="IGM68"/>
      <c r="IGN68"/>
      <c r="IGO68"/>
      <c r="IGP68"/>
      <c r="IGQ68"/>
      <c r="IGR68"/>
      <c r="IGS68"/>
      <c r="IGT68"/>
      <c r="IGU68"/>
      <c r="IGV68"/>
      <c r="IGW68"/>
      <c r="IGX68"/>
      <c r="IGY68"/>
      <c r="IGZ68"/>
      <c r="IHA68"/>
      <c r="IHB68"/>
      <c r="IHC68"/>
      <c r="IHD68"/>
      <c r="IHE68"/>
      <c r="IHF68"/>
      <c r="IHG68"/>
      <c r="IHH68"/>
      <c r="IHI68"/>
      <c r="IHJ68"/>
      <c r="IHK68"/>
      <c r="IHL68"/>
      <c r="IHM68"/>
      <c r="IHN68"/>
      <c r="IHO68"/>
      <c r="IHP68"/>
      <c r="IHQ68"/>
      <c r="IHR68"/>
      <c r="IHS68"/>
      <c r="IHT68"/>
      <c r="IHU68"/>
      <c r="IHV68"/>
      <c r="IHW68"/>
      <c r="IHX68"/>
      <c r="IHY68"/>
      <c r="IHZ68"/>
      <c r="IIA68"/>
      <c r="IIB68"/>
      <c r="IIC68"/>
      <c r="IID68"/>
      <c r="IIE68"/>
      <c r="IIF68"/>
      <c r="IIG68"/>
      <c r="IIH68"/>
      <c r="III68"/>
      <c r="IIJ68"/>
      <c r="IIK68"/>
      <c r="IIL68"/>
      <c r="IIM68"/>
      <c r="IIN68"/>
      <c r="IIO68"/>
      <c r="IIP68"/>
      <c r="IIQ68"/>
      <c r="IIR68"/>
      <c r="IIS68"/>
      <c r="IIT68"/>
      <c r="IIU68"/>
      <c r="IIV68"/>
      <c r="IIW68"/>
      <c r="IIX68"/>
      <c r="IIY68"/>
      <c r="IIZ68"/>
      <c r="IJA68"/>
      <c r="IJB68"/>
      <c r="IJC68"/>
      <c r="IJD68"/>
      <c r="IJE68"/>
      <c r="IJF68"/>
      <c r="IJG68"/>
      <c r="IJH68"/>
      <c r="IJI68"/>
      <c r="IJJ68"/>
      <c r="IJK68"/>
      <c r="IJL68"/>
      <c r="IJM68"/>
      <c r="IJN68"/>
      <c r="IJO68"/>
      <c r="IJP68"/>
      <c r="IJQ68"/>
      <c r="IJR68"/>
      <c r="IJS68"/>
      <c r="IJT68"/>
      <c r="IJU68"/>
      <c r="IJV68"/>
      <c r="IJW68"/>
      <c r="IJX68"/>
      <c r="IJY68"/>
      <c r="IJZ68"/>
      <c r="IKA68"/>
      <c r="IKB68"/>
      <c r="IKC68"/>
      <c r="IKD68"/>
      <c r="IKE68"/>
      <c r="IKF68"/>
      <c r="IKG68"/>
      <c r="IKH68"/>
      <c r="IKI68"/>
      <c r="IKJ68"/>
      <c r="IKK68"/>
      <c r="IKL68"/>
      <c r="IKM68"/>
      <c r="IKN68"/>
      <c r="IKO68"/>
      <c r="IKP68"/>
      <c r="IKQ68"/>
      <c r="IKR68"/>
      <c r="IKS68"/>
      <c r="IKT68"/>
      <c r="IKU68"/>
      <c r="IKV68"/>
      <c r="IKW68"/>
      <c r="IKX68"/>
      <c r="IKY68"/>
      <c r="IKZ68"/>
      <c r="ILA68"/>
      <c r="ILB68"/>
      <c r="ILC68"/>
      <c r="ILD68"/>
      <c r="ILE68"/>
      <c r="ILF68"/>
      <c r="ILG68"/>
      <c r="ILH68"/>
      <c r="ILI68"/>
      <c r="ILJ68"/>
      <c r="ILK68"/>
      <c r="ILL68"/>
      <c r="ILM68"/>
      <c r="ILN68"/>
      <c r="ILO68"/>
      <c r="ILP68"/>
      <c r="ILQ68"/>
      <c r="ILR68"/>
      <c r="ILS68"/>
      <c r="ILT68"/>
      <c r="ILU68"/>
      <c r="ILV68"/>
      <c r="ILW68"/>
      <c r="ILX68"/>
      <c r="ILY68"/>
      <c r="ILZ68"/>
      <c r="IMA68"/>
      <c r="IMB68"/>
      <c r="IMC68"/>
      <c r="IMD68"/>
      <c r="IME68"/>
      <c r="IMF68"/>
      <c r="IMG68"/>
      <c r="IMH68"/>
      <c r="IMI68"/>
      <c r="IMJ68"/>
      <c r="IMK68"/>
      <c r="IML68"/>
      <c r="IMM68"/>
      <c r="IMN68"/>
      <c r="IMO68"/>
      <c r="IMP68"/>
      <c r="IMQ68"/>
      <c r="IMR68"/>
      <c r="IMS68"/>
      <c r="IMT68"/>
      <c r="IMU68"/>
      <c r="IMV68"/>
      <c r="IMW68"/>
      <c r="IMX68"/>
      <c r="IMY68"/>
      <c r="IMZ68"/>
      <c r="INA68"/>
      <c r="INB68"/>
      <c r="INC68"/>
      <c r="IND68"/>
      <c r="INE68"/>
      <c r="INF68"/>
      <c r="ING68"/>
      <c r="INH68"/>
      <c r="INI68"/>
      <c r="INJ68"/>
      <c r="INK68"/>
      <c r="INL68"/>
      <c r="INM68"/>
      <c r="INN68"/>
      <c r="INO68"/>
      <c r="INP68"/>
      <c r="INQ68"/>
      <c r="INR68"/>
      <c r="INS68"/>
      <c r="INT68"/>
      <c r="INU68"/>
      <c r="INV68"/>
      <c r="INW68"/>
      <c r="INX68"/>
      <c r="INY68"/>
      <c r="INZ68"/>
      <c r="IOA68"/>
      <c r="IOB68"/>
      <c r="IOC68"/>
      <c r="IOD68"/>
      <c r="IOE68"/>
      <c r="IOF68"/>
      <c r="IOG68"/>
      <c r="IOH68"/>
      <c r="IOI68"/>
      <c r="IOJ68"/>
      <c r="IOK68"/>
      <c r="IOL68"/>
      <c r="IOM68"/>
      <c r="ION68"/>
      <c r="IOO68"/>
      <c r="IOP68"/>
      <c r="IOQ68"/>
      <c r="IOR68"/>
      <c r="IOS68"/>
      <c r="IOT68"/>
      <c r="IOU68"/>
      <c r="IOV68"/>
      <c r="IOW68"/>
      <c r="IOX68"/>
      <c r="IOY68"/>
      <c r="IOZ68"/>
      <c r="IPA68"/>
      <c r="IPB68"/>
      <c r="IPC68"/>
      <c r="IPD68"/>
      <c r="IPE68"/>
      <c r="IPF68"/>
      <c r="IPG68"/>
      <c r="IPH68"/>
      <c r="IPI68"/>
      <c r="IPJ68"/>
      <c r="IPK68"/>
      <c r="IPL68"/>
      <c r="IPM68"/>
      <c r="IPN68"/>
      <c r="IPO68"/>
      <c r="IPP68"/>
      <c r="IPQ68"/>
      <c r="IPR68"/>
      <c r="IPS68"/>
      <c r="IPT68"/>
      <c r="IPU68"/>
      <c r="IPV68"/>
      <c r="IPW68"/>
      <c r="IPX68"/>
      <c r="IPY68"/>
      <c r="IPZ68"/>
      <c r="IQA68"/>
      <c r="IQB68"/>
      <c r="IQC68"/>
      <c r="IQD68"/>
      <c r="IQE68"/>
      <c r="IQF68"/>
      <c r="IQG68"/>
      <c r="IQH68"/>
      <c r="IQI68"/>
      <c r="IQJ68"/>
      <c r="IQK68"/>
      <c r="IQL68"/>
      <c r="IQM68"/>
      <c r="IQN68"/>
      <c r="IQO68"/>
      <c r="IQP68"/>
      <c r="IQQ68"/>
      <c r="IQR68"/>
      <c r="IQS68"/>
      <c r="IQT68"/>
      <c r="IQU68"/>
      <c r="IQV68"/>
      <c r="IQW68"/>
      <c r="IQX68"/>
      <c r="IQY68"/>
      <c r="IQZ68"/>
      <c r="IRA68"/>
      <c r="IRB68"/>
      <c r="IRC68"/>
      <c r="IRD68"/>
      <c r="IRE68"/>
      <c r="IRF68"/>
      <c r="IRG68"/>
      <c r="IRH68"/>
      <c r="IRI68"/>
      <c r="IRJ68"/>
      <c r="IRK68"/>
      <c r="IRL68"/>
      <c r="IRM68"/>
      <c r="IRN68"/>
      <c r="IRO68"/>
      <c r="IRP68"/>
      <c r="IRQ68"/>
      <c r="IRR68"/>
      <c r="IRS68"/>
      <c r="IRT68"/>
      <c r="IRU68"/>
      <c r="IRV68"/>
      <c r="IRW68"/>
      <c r="IRX68"/>
      <c r="IRY68"/>
      <c r="IRZ68"/>
      <c r="ISA68"/>
      <c r="ISB68"/>
      <c r="ISC68"/>
      <c r="ISD68"/>
      <c r="ISE68"/>
      <c r="ISF68"/>
      <c r="ISG68"/>
      <c r="ISH68"/>
      <c r="ISI68"/>
      <c r="ISJ68"/>
      <c r="ISK68"/>
      <c r="ISL68"/>
      <c r="ISM68"/>
      <c r="ISN68"/>
      <c r="ISO68"/>
      <c r="ISP68"/>
      <c r="ISQ68"/>
      <c r="ISR68"/>
      <c r="ISS68"/>
      <c r="IST68"/>
      <c r="ISU68"/>
      <c r="ISV68"/>
      <c r="ISW68"/>
      <c r="ISX68"/>
      <c r="ISY68"/>
      <c r="ISZ68"/>
      <c r="ITA68"/>
      <c r="ITB68"/>
      <c r="ITC68"/>
      <c r="ITD68"/>
      <c r="ITE68"/>
      <c r="ITF68"/>
      <c r="ITG68"/>
      <c r="ITH68"/>
      <c r="ITI68"/>
      <c r="ITJ68"/>
      <c r="ITK68"/>
      <c r="ITL68"/>
      <c r="ITM68"/>
      <c r="ITN68"/>
      <c r="ITO68"/>
      <c r="ITP68"/>
      <c r="ITQ68"/>
      <c r="ITR68"/>
      <c r="ITS68"/>
      <c r="ITT68"/>
      <c r="ITU68"/>
      <c r="ITV68"/>
      <c r="ITW68"/>
      <c r="ITX68"/>
      <c r="ITY68"/>
      <c r="ITZ68"/>
      <c r="IUA68"/>
      <c r="IUB68"/>
      <c r="IUC68"/>
      <c r="IUD68"/>
      <c r="IUE68"/>
      <c r="IUF68"/>
      <c r="IUG68"/>
      <c r="IUH68"/>
      <c r="IUI68"/>
      <c r="IUJ68"/>
      <c r="IUK68"/>
      <c r="IUL68"/>
      <c r="IUM68"/>
      <c r="IUN68"/>
      <c r="IUO68"/>
      <c r="IUP68"/>
      <c r="IUQ68"/>
      <c r="IUR68"/>
      <c r="IUS68"/>
      <c r="IUT68"/>
      <c r="IUU68"/>
      <c r="IUV68"/>
      <c r="IUW68"/>
      <c r="IUX68"/>
      <c r="IUY68"/>
      <c r="IUZ68"/>
      <c r="IVA68"/>
      <c r="IVB68"/>
      <c r="IVC68"/>
      <c r="IVD68"/>
      <c r="IVE68"/>
      <c r="IVF68"/>
      <c r="IVG68"/>
      <c r="IVH68"/>
      <c r="IVI68"/>
      <c r="IVJ68"/>
      <c r="IVK68"/>
      <c r="IVL68"/>
      <c r="IVM68"/>
      <c r="IVN68"/>
      <c r="IVO68"/>
      <c r="IVP68"/>
      <c r="IVQ68"/>
      <c r="IVR68"/>
      <c r="IVS68"/>
      <c r="IVT68"/>
      <c r="IVU68"/>
      <c r="IVV68"/>
      <c r="IVW68"/>
      <c r="IVX68"/>
      <c r="IVY68"/>
      <c r="IVZ68"/>
      <c r="IWA68"/>
      <c r="IWB68"/>
      <c r="IWC68"/>
      <c r="IWD68"/>
      <c r="IWE68"/>
      <c r="IWF68"/>
      <c r="IWG68"/>
      <c r="IWH68"/>
      <c r="IWI68"/>
      <c r="IWJ68"/>
      <c r="IWK68"/>
      <c r="IWL68"/>
      <c r="IWM68"/>
      <c r="IWN68"/>
      <c r="IWO68"/>
      <c r="IWP68"/>
      <c r="IWQ68"/>
      <c r="IWR68"/>
      <c r="IWS68"/>
      <c r="IWT68"/>
      <c r="IWU68"/>
      <c r="IWV68"/>
      <c r="IWW68"/>
      <c r="IWX68"/>
      <c r="IWY68"/>
      <c r="IWZ68"/>
      <c r="IXA68"/>
      <c r="IXB68"/>
      <c r="IXC68"/>
      <c r="IXD68"/>
      <c r="IXE68"/>
      <c r="IXF68"/>
      <c r="IXG68"/>
      <c r="IXH68"/>
      <c r="IXI68"/>
      <c r="IXJ68"/>
      <c r="IXK68"/>
      <c r="IXL68"/>
      <c r="IXM68"/>
      <c r="IXN68"/>
      <c r="IXO68"/>
      <c r="IXP68"/>
      <c r="IXQ68"/>
      <c r="IXR68"/>
      <c r="IXS68"/>
      <c r="IXT68"/>
      <c r="IXU68"/>
      <c r="IXV68"/>
      <c r="IXW68"/>
      <c r="IXX68"/>
      <c r="IXY68"/>
      <c r="IXZ68"/>
      <c r="IYA68"/>
      <c r="IYB68"/>
      <c r="IYC68"/>
      <c r="IYD68"/>
      <c r="IYE68"/>
      <c r="IYF68"/>
      <c r="IYG68"/>
      <c r="IYH68"/>
      <c r="IYI68"/>
      <c r="IYJ68"/>
      <c r="IYK68"/>
      <c r="IYL68"/>
      <c r="IYM68"/>
      <c r="IYN68"/>
      <c r="IYO68"/>
      <c r="IYP68"/>
      <c r="IYQ68"/>
      <c r="IYR68"/>
      <c r="IYS68"/>
      <c r="IYT68"/>
      <c r="IYU68"/>
      <c r="IYV68"/>
      <c r="IYW68"/>
      <c r="IYX68"/>
      <c r="IYY68"/>
      <c r="IYZ68"/>
      <c r="IZA68"/>
      <c r="IZB68"/>
      <c r="IZC68"/>
      <c r="IZD68"/>
      <c r="IZE68"/>
      <c r="IZF68"/>
      <c r="IZG68"/>
      <c r="IZH68"/>
      <c r="IZI68"/>
      <c r="IZJ68"/>
      <c r="IZK68"/>
      <c r="IZL68"/>
      <c r="IZM68"/>
      <c r="IZN68"/>
      <c r="IZO68"/>
      <c r="IZP68"/>
      <c r="IZQ68"/>
      <c r="IZR68"/>
      <c r="IZS68"/>
      <c r="IZT68"/>
      <c r="IZU68"/>
      <c r="IZV68"/>
      <c r="IZW68"/>
      <c r="IZX68"/>
      <c r="IZY68"/>
      <c r="IZZ68"/>
      <c r="JAA68"/>
      <c r="JAB68"/>
      <c r="JAC68"/>
      <c r="JAD68"/>
      <c r="JAE68"/>
      <c r="JAF68"/>
      <c r="JAG68"/>
      <c r="JAH68"/>
      <c r="JAI68"/>
      <c r="JAJ68"/>
      <c r="JAK68"/>
      <c r="JAL68"/>
      <c r="JAM68"/>
      <c r="JAN68"/>
      <c r="JAO68"/>
      <c r="JAP68"/>
      <c r="JAQ68"/>
      <c r="JAR68"/>
      <c r="JAS68"/>
      <c r="JAT68"/>
      <c r="JAU68"/>
      <c r="JAV68"/>
      <c r="JAW68"/>
      <c r="JAX68"/>
      <c r="JAY68"/>
      <c r="JAZ68"/>
      <c r="JBA68"/>
      <c r="JBB68"/>
      <c r="JBC68"/>
      <c r="JBD68"/>
      <c r="JBE68"/>
      <c r="JBF68"/>
      <c r="JBG68"/>
      <c r="JBH68"/>
      <c r="JBI68"/>
      <c r="JBJ68"/>
      <c r="JBK68"/>
      <c r="JBL68"/>
      <c r="JBM68"/>
      <c r="JBN68"/>
      <c r="JBO68"/>
      <c r="JBP68"/>
      <c r="JBQ68"/>
      <c r="JBR68"/>
      <c r="JBS68"/>
      <c r="JBT68"/>
      <c r="JBU68"/>
      <c r="JBV68"/>
      <c r="JBW68"/>
      <c r="JBX68"/>
      <c r="JBY68"/>
      <c r="JBZ68"/>
      <c r="JCA68"/>
      <c r="JCB68"/>
      <c r="JCC68"/>
      <c r="JCD68"/>
      <c r="JCE68"/>
      <c r="JCF68"/>
      <c r="JCG68"/>
      <c r="JCH68"/>
      <c r="JCI68"/>
      <c r="JCJ68"/>
      <c r="JCK68"/>
      <c r="JCL68"/>
      <c r="JCM68"/>
      <c r="JCN68"/>
      <c r="JCO68"/>
      <c r="JCP68"/>
      <c r="JCQ68"/>
      <c r="JCR68"/>
      <c r="JCS68"/>
      <c r="JCT68"/>
      <c r="JCU68"/>
      <c r="JCV68"/>
      <c r="JCW68"/>
      <c r="JCX68"/>
      <c r="JCY68"/>
      <c r="JCZ68"/>
      <c r="JDA68"/>
      <c r="JDB68"/>
      <c r="JDC68"/>
      <c r="JDD68"/>
      <c r="JDE68"/>
      <c r="JDF68"/>
      <c r="JDG68"/>
      <c r="JDH68"/>
      <c r="JDI68"/>
      <c r="JDJ68"/>
      <c r="JDK68"/>
      <c r="JDL68"/>
      <c r="JDM68"/>
      <c r="JDN68"/>
      <c r="JDO68"/>
      <c r="JDP68"/>
      <c r="JDQ68"/>
      <c r="JDR68"/>
      <c r="JDS68"/>
      <c r="JDT68"/>
      <c r="JDU68"/>
      <c r="JDV68"/>
      <c r="JDW68"/>
      <c r="JDX68"/>
      <c r="JDY68"/>
      <c r="JDZ68"/>
      <c r="JEA68"/>
      <c r="JEB68"/>
      <c r="JEC68"/>
      <c r="JED68"/>
      <c r="JEE68"/>
      <c r="JEF68"/>
      <c r="JEG68"/>
      <c r="JEH68"/>
      <c r="JEI68"/>
      <c r="JEJ68"/>
      <c r="JEK68"/>
      <c r="JEL68"/>
      <c r="JEM68"/>
      <c r="JEN68"/>
      <c r="JEO68"/>
      <c r="JEP68"/>
      <c r="JEQ68"/>
      <c r="JER68"/>
      <c r="JES68"/>
      <c r="JET68"/>
      <c r="JEU68"/>
      <c r="JEV68"/>
      <c r="JEW68"/>
      <c r="JEX68"/>
      <c r="JEY68"/>
      <c r="JEZ68"/>
      <c r="JFA68"/>
      <c r="JFB68"/>
      <c r="JFC68"/>
      <c r="JFD68"/>
      <c r="JFE68"/>
      <c r="JFF68"/>
      <c r="JFG68"/>
      <c r="JFH68"/>
      <c r="JFI68"/>
      <c r="JFJ68"/>
      <c r="JFK68"/>
      <c r="JFL68"/>
      <c r="JFM68"/>
      <c r="JFN68"/>
      <c r="JFO68"/>
      <c r="JFP68"/>
      <c r="JFQ68"/>
      <c r="JFR68"/>
      <c r="JFS68"/>
      <c r="JFT68"/>
      <c r="JFU68"/>
      <c r="JFV68"/>
      <c r="JFW68"/>
      <c r="JFX68"/>
      <c r="JFY68"/>
      <c r="JFZ68"/>
      <c r="JGA68"/>
      <c r="JGB68"/>
      <c r="JGC68"/>
      <c r="JGD68"/>
      <c r="JGE68"/>
      <c r="JGF68"/>
      <c r="JGG68"/>
      <c r="JGH68"/>
      <c r="JGI68"/>
      <c r="JGJ68"/>
      <c r="JGK68"/>
      <c r="JGL68"/>
      <c r="JGM68"/>
      <c r="JGN68"/>
      <c r="JGO68"/>
      <c r="JGP68"/>
      <c r="JGQ68"/>
      <c r="JGR68"/>
      <c r="JGS68"/>
      <c r="JGT68"/>
      <c r="JGU68"/>
      <c r="JGV68"/>
      <c r="JGW68"/>
      <c r="JGX68"/>
      <c r="JGY68"/>
      <c r="JGZ68"/>
      <c r="JHA68"/>
      <c r="JHB68"/>
      <c r="JHC68"/>
      <c r="JHD68"/>
      <c r="JHE68"/>
      <c r="JHF68"/>
      <c r="JHG68"/>
      <c r="JHH68"/>
      <c r="JHI68"/>
      <c r="JHJ68"/>
      <c r="JHK68"/>
      <c r="JHL68"/>
      <c r="JHM68"/>
      <c r="JHN68"/>
      <c r="JHO68"/>
      <c r="JHP68"/>
      <c r="JHQ68"/>
      <c r="JHR68"/>
      <c r="JHS68"/>
      <c r="JHT68"/>
      <c r="JHU68"/>
      <c r="JHV68"/>
      <c r="JHW68"/>
      <c r="JHX68"/>
      <c r="JHY68"/>
      <c r="JHZ68"/>
      <c r="JIA68"/>
      <c r="JIB68"/>
      <c r="JIC68"/>
      <c r="JID68"/>
      <c r="JIE68"/>
      <c r="JIF68"/>
      <c r="JIG68"/>
      <c r="JIH68"/>
      <c r="JII68"/>
      <c r="JIJ68"/>
      <c r="JIK68"/>
      <c r="JIL68"/>
      <c r="JIM68"/>
      <c r="JIN68"/>
      <c r="JIO68"/>
      <c r="JIP68"/>
      <c r="JIQ68"/>
      <c r="JIR68"/>
      <c r="JIS68"/>
      <c r="JIT68"/>
      <c r="JIU68"/>
      <c r="JIV68"/>
      <c r="JIW68"/>
      <c r="JIX68"/>
      <c r="JIY68"/>
      <c r="JIZ68"/>
      <c r="JJA68"/>
      <c r="JJB68"/>
      <c r="JJC68"/>
      <c r="JJD68"/>
      <c r="JJE68"/>
      <c r="JJF68"/>
      <c r="JJG68"/>
      <c r="JJH68"/>
      <c r="JJI68"/>
      <c r="JJJ68"/>
      <c r="JJK68"/>
      <c r="JJL68"/>
      <c r="JJM68"/>
      <c r="JJN68"/>
      <c r="JJO68"/>
      <c r="JJP68"/>
      <c r="JJQ68"/>
      <c r="JJR68"/>
      <c r="JJS68"/>
      <c r="JJT68"/>
      <c r="JJU68"/>
      <c r="JJV68"/>
      <c r="JJW68"/>
      <c r="JJX68"/>
      <c r="JJY68"/>
      <c r="JJZ68"/>
      <c r="JKA68"/>
      <c r="JKB68"/>
      <c r="JKC68"/>
      <c r="JKD68"/>
      <c r="JKE68"/>
      <c r="JKF68"/>
      <c r="JKG68"/>
      <c r="JKH68"/>
      <c r="JKI68"/>
      <c r="JKJ68"/>
      <c r="JKK68"/>
      <c r="JKL68"/>
      <c r="JKM68"/>
      <c r="JKN68"/>
      <c r="JKO68"/>
      <c r="JKP68"/>
      <c r="JKQ68"/>
      <c r="JKR68"/>
      <c r="JKS68"/>
      <c r="JKT68"/>
      <c r="JKU68"/>
      <c r="JKV68"/>
      <c r="JKW68"/>
      <c r="JKX68"/>
      <c r="JKY68"/>
      <c r="JKZ68"/>
      <c r="JLA68"/>
      <c r="JLB68"/>
      <c r="JLC68"/>
      <c r="JLD68"/>
      <c r="JLE68"/>
      <c r="JLF68"/>
      <c r="JLG68"/>
      <c r="JLH68"/>
      <c r="JLI68"/>
      <c r="JLJ68"/>
      <c r="JLK68"/>
      <c r="JLL68"/>
      <c r="JLM68"/>
      <c r="JLN68"/>
      <c r="JLO68"/>
      <c r="JLP68"/>
      <c r="JLQ68"/>
      <c r="JLR68"/>
      <c r="JLS68"/>
      <c r="JLT68"/>
      <c r="JLU68"/>
      <c r="JLV68"/>
      <c r="JLW68"/>
      <c r="JLX68"/>
      <c r="JLY68"/>
      <c r="JLZ68"/>
      <c r="JMA68"/>
      <c r="JMB68"/>
      <c r="JMC68"/>
      <c r="JMD68"/>
      <c r="JME68"/>
      <c r="JMF68"/>
      <c r="JMG68"/>
      <c r="JMH68"/>
      <c r="JMI68"/>
      <c r="JMJ68"/>
      <c r="JMK68"/>
      <c r="JML68"/>
      <c r="JMM68"/>
      <c r="JMN68"/>
      <c r="JMO68"/>
      <c r="JMP68"/>
      <c r="JMQ68"/>
      <c r="JMR68"/>
      <c r="JMS68"/>
      <c r="JMT68"/>
      <c r="JMU68"/>
      <c r="JMV68"/>
      <c r="JMW68"/>
      <c r="JMX68"/>
      <c r="JMY68"/>
      <c r="JMZ68"/>
      <c r="JNA68"/>
      <c r="JNB68"/>
      <c r="JNC68"/>
      <c r="JND68"/>
      <c r="JNE68"/>
      <c r="JNF68"/>
      <c r="JNG68"/>
      <c r="JNH68"/>
      <c r="JNI68"/>
      <c r="JNJ68"/>
      <c r="JNK68"/>
      <c r="JNL68"/>
      <c r="JNM68"/>
      <c r="JNN68"/>
      <c r="JNO68"/>
      <c r="JNP68"/>
      <c r="JNQ68"/>
      <c r="JNR68"/>
      <c r="JNS68"/>
      <c r="JNT68"/>
      <c r="JNU68"/>
      <c r="JNV68"/>
      <c r="JNW68"/>
      <c r="JNX68"/>
      <c r="JNY68"/>
      <c r="JNZ68"/>
      <c r="JOA68"/>
      <c r="JOB68"/>
      <c r="JOC68"/>
      <c r="JOD68"/>
      <c r="JOE68"/>
      <c r="JOF68"/>
      <c r="JOG68"/>
      <c r="JOH68"/>
      <c r="JOI68"/>
      <c r="JOJ68"/>
      <c r="JOK68"/>
      <c r="JOL68"/>
      <c r="JOM68"/>
      <c r="JON68"/>
      <c r="JOO68"/>
      <c r="JOP68"/>
      <c r="JOQ68"/>
      <c r="JOR68"/>
      <c r="JOS68"/>
      <c r="JOT68"/>
      <c r="JOU68"/>
      <c r="JOV68"/>
      <c r="JOW68"/>
      <c r="JOX68"/>
      <c r="JOY68"/>
      <c r="JOZ68"/>
      <c r="JPA68"/>
      <c r="JPB68"/>
      <c r="JPC68"/>
      <c r="JPD68"/>
      <c r="JPE68"/>
      <c r="JPF68"/>
      <c r="JPG68"/>
      <c r="JPH68"/>
      <c r="JPI68"/>
      <c r="JPJ68"/>
      <c r="JPK68"/>
      <c r="JPL68"/>
      <c r="JPM68"/>
      <c r="JPN68"/>
      <c r="JPO68"/>
      <c r="JPP68"/>
      <c r="JPQ68"/>
      <c r="JPR68"/>
      <c r="JPS68"/>
      <c r="JPT68"/>
      <c r="JPU68"/>
      <c r="JPV68"/>
      <c r="JPW68"/>
      <c r="JPX68"/>
      <c r="JPY68"/>
      <c r="JPZ68"/>
      <c r="JQA68"/>
      <c r="JQB68"/>
      <c r="JQC68"/>
      <c r="JQD68"/>
      <c r="JQE68"/>
      <c r="JQF68"/>
      <c r="JQG68"/>
      <c r="JQH68"/>
      <c r="JQI68"/>
      <c r="JQJ68"/>
      <c r="JQK68"/>
      <c r="JQL68"/>
      <c r="JQM68"/>
      <c r="JQN68"/>
      <c r="JQO68"/>
      <c r="JQP68"/>
      <c r="JQQ68"/>
      <c r="JQR68"/>
      <c r="JQS68"/>
      <c r="JQT68"/>
      <c r="JQU68"/>
      <c r="JQV68"/>
      <c r="JQW68"/>
      <c r="JQX68"/>
      <c r="JQY68"/>
      <c r="JQZ68"/>
      <c r="JRA68"/>
      <c r="JRB68"/>
      <c r="JRC68"/>
      <c r="JRD68"/>
      <c r="JRE68"/>
      <c r="JRF68"/>
      <c r="JRG68"/>
      <c r="JRH68"/>
      <c r="JRI68"/>
      <c r="JRJ68"/>
      <c r="JRK68"/>
      <c r="JRL68"/>
      <c r="JRM68"/>
      <c r="JRN68"/>
      <c r="JRO68"/>
      <c r="JRP68"/>
      <c r="JRQ68"/>
      <c r="JRR68"/>
      <c r="JRS68"/>
      <c r="JRT68"/>
      <c r="JRU68"/>
      <c r="JRV68"/>
      <c r="JRW68"/>
      <c r="JRX68"/>
      <c r="JRY68"/>
      <c r="JRZ68"/>
      <c r="JSA68"/>
      <c r="JSB68"/>
      <c r="JSC68"/>
      <c r="JSD68"/>
      <c r="JSE68"/>
      <c r="JSF68"/>
      <c r="JSG68"/>
      <c r="JSH68"/>
      <c r="JSI68"/>
      <c r="JSJ68"/>
      <c r="JSK68"/>
      <c r="JSL68"/>
      <c r="JSM68"/>
      <c r="JSN68"/>
      <c r="JSO68"/>
      <c r="JSP68"/>
      <c r="JSQ68"/>
      <c r="JSR68"/>
      <c r="JSS68"/>
      <c r="JST68"/>
      <c r="JSU68"/>
      <c r="JSV68"/>
      <c r="JSW68"/>
      <c r="JSX68"/>
      <c r="JSY68"/>
      <c r="JSZ68"/>
      <c r="JTA68"/>
      <c r="JTB68"/>
      <c r="JTC68"/>
      <c r="JTD68"/>
      <c r="JTE68"/>
      <c r="JTF68"/>
      <c r="JTG68"/>
      <c r="JTH68"/>
      <c r="JTI68"/>
      <c r="JTJ68"/>
      <c r="JTK68"/>
      <c r="JTL68"/>
      <c r="JTM68"/>
      <c r="JTN68"/>
      <c r="JTO68"/>
      <c r="JTP68"/>
      <c r="JTQ68"/>
      <c r="JTR68"/>
      <c r="JTS68"/>
      <c r="JTT68"/>
      <c r="JTU68"/>
      <c r="JTV68"/>
      <c r="JTW68"/>
      <c r="JTX68"/>
      <c r="JTY68"/>
      <c r="JTZ68"/>
      <c r="JUA68"/>
      <c r="JUB68"/>
      <c r="JUC68"/>
      <c r="JUD68"/>
      <c r="JUE68"/>
      <c r="JUF68"/>
      <c r="JUG68"/>
      <c r="JUH68"/>
      <c r="JUI68"/>
      <c r="JUJ68"/>
      <c r="JUK68"/>
      <c r="JUL68"/>
      <c r="JUM68"/>
      <c r="JUN68"/>
      <c r="JUO68"/>
      <c r="JUP68"/>
      <c r="JUQ68"/>
      <c r="JUR68"/>
      <c r="JUS68"/>
      <c r="JUT68"/>
      <c r="JUU68"/>
      <c r="JUV68"/>
      <c r="JUW68"/>
      <c r="JUX68"/>
      <c r="JUY68"/>
      <c r="JUZ68"/>
      <c r="JVA68"/>
      <c r="JVB68"/>
      <c r="JVC68"/>
      <c r="JVD68"/>
      <c r="JVE68"/>
      <c r="JVF68"/>
      <c r="JVG68"/>
      <c r="JVH68"/>
      <c r="JVI68"/>
      <c r="JVJ68"/>
      <c r="JVK68"/>
      <c r="JVL68"/>
      <c r="JVM68"/>
      <c r="JVN68"/>
      <c r="JVO68"/>
      <c r="JVP68"/>
      <c r="JVQ68"/>
      <c r="JVR68"/>
      <c r="JVS68"/>
      <c r="JVT68"/>
      <c r="JVU68"/>
      <c r="JVV68"/>
      <c r="JVW68"/>
      <c r="JVX68"/>
      <c r="JVY68"/>
      <c r="JVZ68"/>
      <c r="JWA68"/>
      <c r="JWB68"/>
      <c r="JWC68"/>
      <c r="JWD68"/>
      <c r="JWE68"/>
      <c r="JWF68"/>
      <c r="JWG68"/>
      <c r="JWH68"/>
      <c r="JWI68"/>
      <c r="JWJ68"/>
      <c r="JWK68"/>
      <c r="JWL68"/>
      <c r="JWM68"/>
      <c r="JWN68"/>
      <c r="JWO68"/>
      <c r="JWP68"/>
      <c r="JWQ68"/>
      <c r="JWR68"/>
      <c r="JWS68"/>
      <c r="JWT68"/>
      <c r="JWU68"/>
      <c r="JWV68"/>
      <c r="JWW68"/>
      <c r="JWX68"/>
      <c r="JWY68"/>
      <c r="JWZ68"/>
      <c r="JXA68"/>
      <c r="JXB68"/>
      <c r="JXC68"/>
      <c r="JXD68"/>
      <c r="JXE68"/>
      <c r="JXF68"/>
      <c r="JXG68"/>
      <c r="JXH68"/>
      <c r="JXI68"/>
      <c r="JXJ68"/>
      <c r="JXK68"/>
      <c r="JXL68"/>
      <c r="JXM68"/>
      <c r="JXN68"/>
      <c r="JXO68"/>
      <c r="JXP68"/>
      <c r="JXQ68"/>
      <c r="JXR68"/>
      <c r="JXS68"/>
      <c r="JXT68"/>
      <c r="JXU68"/>
      <c r="JXV68"/>
      <c r="JXW68"/>
      <c r="JXX68"/>
      <c r="JXY68"/>
      <c r="JXZ68"/>
      <c r="JYA68"/>
      <c r="JYB68"/>
      <c r="JYC68"/>
      <c r="JYD68"/>
      <c r="JYE68"/>
      <c r="JYF68"/>
      <c r="JYG68"/>
      <c r="JYH68"/>
      <c r="JYI68"/>
      <c r="JYJ68"/>
      <c r="JYK68"/>
      <c r="JYL68"/>
      <c r="JYM68"/>
      <c r="JYN68"/>
      <c r="JYO68"/>
      <c r="JYP68"/>
      <c r="JYQ68"/>
      <c r="JYR68"/>
      <c r="JYS68"/>
      <c r="JYT68"/>
      <c r="JYU68"/>
      <c r="JYV68"/>
      <c r="JYW68"/>
      <c r="JYX68"/>
      <c r="JYY68"/>
      <c r="JYZ68"/>
      <c r="JZA68"/>
      <c r="JZB68"/>
      <c r="JZC68"/>
      <c r="JZD68"/>
      <c r="JZE68"/>
      <c r="JZF68"/>
      <c r="JZG68"/>
      <c r="JZH68"/>
      <c r="JZI68"/>
      <c r="JZJ68"/>
      <c r="JZK68"/>
      <c r="JZL68"/>
      <c r="JZM68"/>
      <c r="JZN68"/>
      <c r="JZO68"/>
      <c r="JZP68"/>
      <c r="JZQ68"/>
      <c r="JZR68"/>
      <c r="JZS68"/>
      <c r="JZT68"/>
      <c r="JZU68"/>
      <c r="JZV68"/>
      <c r="JZW68"/>
      <c r="JZX68"/>
      <c r="JZY68"/>
      <c r="JZZ68"/>
      <c r="KAA68"/>
      <c r="KAB68"/>
      <c r="KAC68"/>
      <c r="KAD68"/>
      <c r="KAE68"/>
      <c r="KAF68"/>
      <c r="KAG68"/>
      <c r="KAH68"/>
      <c r="KAI68"/>
      <c r="KAJ68"/>
      <c r="KAK68"/>
      <c r="KAL68"/>
      <c r="KAM68"/>
      <c r="KAN68"/>
      <c r="KAO68"/>
      <c r="KAP68"/>
      <c r="KAQ68"/>
      <c r="KAR68"/>
      <c r="KAS68"/>
      <c r="KAT68"/>
      <c r="KAU68"/>
      <c r="KAV68"/>
      <c r="KAW68"/>
      <c r="KAX68"/>
      <c r="KAY68"/>
      <c r="KAZ68"/>
      <c r="KBA68"/>
      <c r="KBB68"/>
      <c r="KBC68"/>
      <c r="KBD68"/>
      <c r="KBE68"/>
      <c r="KBF68"/>
      <c r="KBG68"/>
      <c r="KBH68"/>
      <c r="KBI68"/>
      <c r="KBJ68"/>
      <c r="KBK68"/>
      <c r="KBL68"/>
      <c r="KBM68"/>
      <c r="KBN68"/>
      <c r="KBO68"/>
      <c r="KBP68"/>
      <c r="KBQ68"/>
      <c r="KBR68"/>
      <c r="KBS68"/>
      <c r="KBT68"/>
      <c r="KBU68"/>
      <c r="KBV68"/>
      <c r="KBW68"/>
      <c r="KBX68"/>
      <c r="KBY68"/>
      <c r="KBZ68"/>
      <c r="KCA68"/>
      <c r="KCB68"/>
      <c r="KCC68"/>
      <c r="KCD68"/>
      <c r="KCE68"/>
      <c r="KCF68"/>
      <c r="KCG68"/>
      <c r="KCH68"/>
      <c r="KCI68"/>
      <c r="KCJ68"/>
      <c r="KCK68"/>
      <c r="KCL68"/>
      <c r="KCM68"/>
      <c r="KCN68"/>
      <c r="KCO68"/>
      <c r="KCP68"/>
      <c r="KCQ68"/>
      <c r="KCR68"/>
      <c r="KCS68"/>
      <c r="KCT68"/>
      <c r="KCU68"/>
      <c r="KCV68"/>
      <c r="KCW68"/>
      <c r="KCX68"/>
      <c r="KCY68"/>
      <c r="KCZ68"/>
      <c r="KDA68"/>
      <c r="KDB68"/>
      <c r="KDC68"/>
      <c r="KDD68"/>
      <c r="KDE68"/>
      <c r="KDF68"/>
      <c r="KDG68"/>
      <c r="KDH68"/>
      <c r="KDI68"/>
      <c r="KDJ68"/>
      <c r="KDK68"/>
      <c r="KDL68"/>
      <c r="KDM68"/>
      <c r="KDN68"/>
      <c r="KDO68"/>
      <c r="KDP68"/>
      <c r="KDQ68"/>
      <c r="KDR68"/>
      <c r="KDS68"/>
      <c r="KDT68"/>
      <c r="KDU68"/>
      <c r="KDV68"/>
      <c r="KDW68"/>
      <c r="KDX68"/>
      <c r="KDY68"/>
      <c r="KDZ68"/>
      <c r="KEA68"/>
      <c r="KEB68"/>
      <c r="KEC68"/>
      <c r="KED68"/>
      <c r="KEE68"/>
      <c r="KEF68"/>
      <c r="KEG68"/>
      <c r="KEH68"/>
      <c r="KEI68"/>
      <c r="KEJ68"/>
      <c r="KEK68"/>
      <c r="KEL68"/>
      <c r="KEM68"/>
      <c r="KEN68"/>
      <c r="KEO68"/>
      <c r="KEP68"/>
      <c r="KEQ68"/>
      <c r="KER68"/>
      <c r="KES68"/>
      <c r="KET68"/>
      <c r="KEU68"/>
      <c r="KEV68"/>
      <c r="KEW68"/>
      <c r="KEX68"/>
      <c r="KEY68"/>
      <c r="KEZ68"/>
      <c r="KFA68"/>
      <c r="KFB68"/>
      <c r="KFC68"/>
      <c r="KFD68"/>
      <c r="KFE68"/>
      <c r="KFF68"/>
      <c r="KFG68"/>
      <c r="KFH68"/>
      <c r="KFI68"/>
      <c r="KFJ68"/>
      <c r="KFK68"/>
      <c r="KFL68"/>
      <c r="KFM68"/>
      <c r="KFN68"/>
      <c r="KFO68"/>
      <c r="KFP68"/>
      <c r="KFQ68"/>
      <c r="KFR68"/>
      <c r="KFS68"/>
      <c r="KFT68"/>
      <c r="KFU68"/>
      <c r="KFV68"/>
      <c r="KFW68"/>
      <c r="KFX68"/>
      <c r="KFY68"/>
      <c r="KFZ68"/>
      <c r="KGA68"/>
      <c r="KGB68"/>
      <c r="KGC68"/>
      <c r="KGD68"/>
      <c r="KGE68"/>
      <c r="KGF68"/>
      <c r="KGG68"/>
      <c r="KGH68"/>
      <c r="KGI68"/>
      <c r="KGJ68"/>
      <c r="KGK68"/>
      <c r="KGL68"/>
      <c r="KGM68"/>
      <c r="KGN68"/>
      <c r="KGO68"/>
      <c r="KGP68"/>
      <c r="KGQ68"/>
      <c r="KGR68"/>
      <c r="KGS68"/>
      <c r="KGT68"/>
      <c r="KGU68"/>
      <c r="KGV68"/>
      <c r="KGW68"/>
      <c r="KGX68"/>
      <c r="KGY68"/>
      <c r="KGZ68"/>
      <c r="KHA68"/>
      <c r="KHB68"/>
      <c r="KHC68"/>
      <c r="KHD68"/>
      <c r="KHE68"/>
      <c r="KHF68"/>
      <c r="KHG68"/>
      <c r="KHH68"/>
      <c r="KHI68"/>
      <c r="KHJ68"/>
      <c r="KHK68"/>
      <c r="KHL68"/>
      <c r="KHM68"/>
      <c r="KHN68"/>
      <c r="KHO68"/>
      <c r="KHP68"/>
      <c r="KHQ68"/>
      <c r="KHR68"/>
      <c r="KHS68"/>
      <c r="KHT68"/>
      <c r="KHU68"/>
      <c r="KHV68"/>
      <c r="KHW68"/>
      <c r="KHX68"/>
      <c r="KHY68"/>
      <c r="KHZ68"/>
      <c r="KIA68"/>
      <c r="KIB68"/>
      <c r="KIC68"/>
      <c r="KID68"/>
      <c r="KIE68"/>
      <c r="KIF68"/>
      <c r="KIG68"/>
      <c r="KIH68"/>
      <c r="KII68"/>
      <c r="KIJ68"/>
      <c r="KIK68"/>
      <c r="KIL68"/>
      <c r="KIM68"/>
      <c r="KIN68"/>
      <c r="KIO68"/>
      <c r="KIP68"/>
      <c r="KIQ68"/>
      <c r="KIR68"/>
      <c r="KIS68"/>
      <c r="KIT68"/>
      <c r="KIU68"/>
      <c r="KIV68"/>
      <c r="KIW68"/>
      <c r="KIX68"/>
      <c r="KIY68"/>
      <c r="KIZ68"/>
      <c r="KJA68"/>
      <c r="KJB68"/>
      <c r="KJC68"/>
      <c r="KJD68"/>
      <c r="KJE68"/>
      <c r="KJF68"/>
      <c r="KJG68"/>
      <c r="KJH68"/>
      <c r="KJI68"/>
      <c r="KJJ68"/>
      <c r="KJK68"/>
      <c r="KJL68"/>
      <c r="KJM68"/>
      <c r="KJN68"/>
      <c r="KJO68"/>
      <c r="KJP68"/>
      <c r="KJQ68"/>
      <c r="KJR68"/>
      <c r="KJS68"/>
      <c r="KJT68"/>
      <c r="KJU68"/>
      <c r="KJV68"/>
      <c r="KJW68"/>
      <c r="KJX68"/>
      <c r="KJY68"/>
      <c r="KJZ68"/>
      <c r="KKA68"/>
      <c r="KKB68"/>
      <c r="KKC68"/>
      <c r="KKD68"/>
      <c r="KKE68"/>
      <c r="KKF68"/>
      <c r="KKG68"/>
      <c r="KKH68"/>
      <c r="KKI68"/>
      <c r="KKJ68"/>
      <c r="KKK68"/>
      <c r="KKL68"/>
      <c r="KKM68"/>
      <c r="KKN68"/>
      <c r="KKO68"/>
      <c r="KKP68"/>
      <c r="KKQ68"/>
      <c r="KKR68"/>
      <c r="KKS68"/>
      <c r="KKT68"/>
      <c r="KKU68"/>
      <c r="KKV68"/>
      <c r="KKW68"/>
      <c r="KKX68"/>
      <c r="KKY68"/>
      <c r="KKZ68"/>
      <c r="KLA68"/>
      <c r="KLB68"/>
      <c r="KLC68"/>
      <c r="KLD68"/>
      <c r="KLE68"/>
      <c r="KLF68"/>
      <c r="KLG68"/>
      <c r="KLH68"/>
      <c r="KLI68"/>
      <c r="KLJ68"/>
      <c r="KLK68"/>
      <c r="KLL68"/>
      <c r="KLM68"/>
      <c r="KLN68"/>
      <c r="KLO68"/>
      <c r="KLP68"/>
      <c r="KLQ68"/>
      <c r="KLR68"/>
      <c r="KLS68"/>
      <c r="KLT68"/>
      <c r="KLU68"/>
      <c r="KLV68"/>
      <c r="KLW68"/>
      <c r="KLX68"/>
      <c r="KLY68"/>
      <c r="KLZ68"/>
      <c r="KMA68"/>
      <c r="KMB68"/>
      <c r="KMC68"/>
      <c r="KMD68"/>
      <c r="KME68"/>
      <c r="KMF68"/>
      <c r="KMG68"/>
      <c r="KMH68"/>
      <c r="KMI68"/>
      <c r="KMJ68"/>
      <c r="KMK68"/>
      <c r="KML68"/>
      <c r="KMM68"/>
      <c r="KMN68"/>
      <c r="KMO68"/>
      <c r="KMP68"/>
      <c r="KMQ68"/>
      <c r="KMR68"/>
      <c r="KMS68"/>
      <c r="KMT68"/>
      <c r="KMU68"/>
      <c r="KMV68"/>
      <c r="KMW68"/>
      <c r="KMX68"/>
      <c r="KMY68"/>
      <c r="KMZ68"/>
      <c r="KNA68"/>
      <c r="KNB68"/>
      <c r="KNC68"/>
      <c r="KND68"/>
      <c r="KNE68"/>
      <c r="KNF68"/>
      <c r="KNG68"/>
      <c r="KNH68"/>
      <c r="KNI68"/>
      <c r="KNJ68"/>
      <c r="KNK68"/>
      <c r="KNL68"/>
      <c r="KNM68"/>
      <c r="KNN68"/>
      <c r="KNO68"/>
      <c r="KNP68"/>
      <c r="KNQ68"/>
      <c r="KNR68"/>
      <c r="KNS68"/>
      <c r="KNT68"/>
      <c r="KNU68"/>
      <c r="KNV68"/>
      <c r="KNW68"/>
      <c r="KNX68"/>
      <c r="KNY68"/>
      <c r="KNZ68"/>
      <c r="KOA68"/>
      <c r="KOB68"/>
      <c r="KOC68"/>
      <c r="KOD68"/>
      <c r="KOE68"/>
      <c r="KOF68"/>
      <c r="KOG68"/>
      <c r="KOH68"/>
      <c r="KOI68"/>
      <c r="KOJ68"/>
      <c r="KOK68"/>
      <c r="KOL68"/>
      <c r="KOM68"/>
      <c r="KON68"/>
      <c r="KOO68"/>
      <c r="KOP68"/>
      <c r="KOQ68"/>
      <c r="KOR68"/>
      <c r="KOS68"/>
      <c r="KOT68"/>
      <c r="KOU68"/>
      <c r="KOV68"/>
      <c r="KOW68"/>
      <c r="KOX68"/>
      <c r="KOY68"/>
      <c r="KOZ68"/>
      <c r="KPA68"/>
      <c r="KPB68"/>
      <c r="KPC68"/>
      <c r="KPD68"/>
      <c r="KPE68"/>
      <c r="KPF68"/>
      <c r="KPG68"/>
      <c r="KPH68"/>
      <c r="KPI68"/>
      <c r="KPJ68"/>
      <c r="KPK68"/>
      <c r="KPL68"/>
      <c r="KPM68"/>
      <c r="KPN68"/>
      <c r="KPO68"/>
      <c r="KPP68"/>
      <c r="KPQ68"/>
      <c r="KPR68"/>
      <c r="KPS68"/>
      <c r="KPT68"/>
      <c r="KPU68"/>
      <c r="KPV68"/>
      <c r="KPW68"/>
      <c r="KPX68"/>
      <c r="KPY68"/>
      <c r="KPZ68"/>
      <c r="KQA68"/>
      <c r="KQB68"/>
      <c r="KQC68"/>
      <c r="KQD68"/>
      <c r="KQE68"/>
      <c r="KQF68"/>
      <c r="KQG68"/>
      <c r="KQH68"/>
      <c r="KQI68"/>
      <c r="KQJ68"/>
      <c r="KQK68"/>
      <c r="KQL68"/>
      <c r="KQM68"/>
      <c r="KQN68"/>
      <c r="KQO68"/>
      <c r="KQP68"/>
      <c r="KQQ68"/>
      <c r="KQR68"/>
      <c r="KQS68"/>
      <c r="KQT68"/>
      <c r="KQU68"/>
      <c r="KQV68"/>
      <c r="KQW68"/>
      <c r="KQX68"/>
      <c r="KQY68"/>
      <c r="KQZ68"/>
      <c r="KRA68"/>
      <c r="KRB68"/>
      <c r="KRC68"/>
      <c r="KRD68"/>
      <c r="KRE68"/>
      <c r="KRF68"/>
      <c r="KRG68"/>
      <c r="KRH68"/>
      <c r="KRI68"/>
      <c r="KRJ68"/>
      <c r="KRK68"/>
      <c r="KRL68"/>
      <c r="KRM68"/>
      <c r="KRN68"/>
      <c r="KRO68"/>
      <c r="KRP68"/>
      <c r="KRQ68"/>
      <c r="KRR68"/>
      <c r="KRS68"/>
      <c r="KRT68"/>
      <c r="KRU68"/>
      <c r="KRV68"/>
      <c r="KRW68"/>
      <c r="KRX68"/>
      <c r="KRY68"/>
      <c r="KRZ68"/>
      <c r="KSA68"/>
      <c r="KSB68"/>
      <c r="KSC68"/>
      <c r="KSD68"/>
      <c r="KSE68"/>
      <c r="KSF68"/>
      <c r="KSG68"/>
      <c r="KSH68"/>
      <c r="KSI68"/>
      <c r="KSJ68"/>
      <c r="KSK68"/>
      <c r="KSL68"/>
      <c r="KSM68"/>
      <c r="KSN68"/>
      <c r="KSO68"/>
      <c r="KSP68"/>
      <c r="KSQ68"/>
      <c r="KSR68"/>
      <c r="KSS68"/>
      <c r="KST68"/>
      <c r="KSU68"/>
      <c r="KSV68"/>
      <c r="KSW68"/>
      <c r="KSX68"/>
      <c r="KSY68"/>
      <c r="KSZ68"/>
      <c r="KTA68"/>
      <c r="KTB68"/>
      <c r="KTC68"/>
      <c r="KTD68"/>
      <c r="KTE68"/>
      <c r="KTF68"/>
      <c r="KTG68"/>
      <c r="KTH68"/>
      <c r="KTI68"/>
      <c r="KTJ68"/>
      <c r="KTK68"/>
      <c r="KTL68"/>
      <c r="KTM68"/>
      <c r="KTN68"/>
      <c r="KTO68"/>
      <c r="KTP68"/>
      <c r="KTQ68"/>
      <c r="KTR68"/>
      <c r="KTS68"/>
      <c r="KTT68"/>
      <c r="KTU68"/>
      <c r="KTV68"/>
      <c r="KTW68"/>
      <c r="KTX68"/>
      <c r="KTY68"/>
      <c r="KTZ68"/>
      <c r="KUA68"/>
      <c r="KUB68"/>
      <c r="KUC68"/>
      <c r="KUD68"/>
      <c r="KUE68"/>
      <c r="KUF68"/>
      <c r="KUG68"/>
      <c r="KUH68"/>
      <c r="KUI68"/>
      <c r="KUJ68"/>
      <c r="KUK68"/>
      <c r="KUL68"/>
      <c r="KUM68"/>
      <c r="KUN68"/>
      <c r="KUO68"/>
      <c r="KUP68"/>
      <c r="KUQ68"/>
      <c r="KUR68"/>
      <c r="KUS68"/>
      <c r="KUT68"/>
      <c r="KUU68"/>
      <c r="KUV68"/>
      <c r="KUW68"/>
      <c r="KUX68"/>
      <c r="KUY68"/>
      <c r="KUZ68"/>
      <c r="KVA68"/>
      <c r="KVB68"/>
      <c r="KVC68"/>
      <c r="KVD68"/>
      <c r="KVE68"/>
      <c r="KVF68"/>
      <c r="KVG68"/>
      <c r="KVH68"/>
      <c r="KVI68"/>
      <c r="KVJ68"/>
      <c r="KVK68"/>
      <c r="KVL68"/>
      <c r="KVM68"/>
      <c r="KVN68"/>
      <c r="KVO68"/>
      <c r="KVP68"/>
      <c r="KVQ68"/>
      <c r="KVR68"/>
      <c r="KVS68"/>
      <c r="KVT68"/>
      <c r="KVU68"/>
      <c r="KVV68"/>
      <c r="KVW68"/>
      <c r="KVX68"/>
      <c r="KVY68"/>
      <c r="KVZ68"/>
      <c r="KWA68"/>
      <c r="KWB68"/>
      <c r="KWC68"/>
      <c r="KWD68"/>
      <c r="KWE68"/>
      <c r="KWF68"/>
      <c r="KWG68"/>
      <c r="KWH68"/>
      <c r="KWI68"/>
      <c r="KWJ68"/>
      <c r="KWK68"/>
      <c r="KWL68"/>
      <c r="KWM68"/>
      <c r="KWN68"/>
      <c r="KWO68"/>
      <c r="KWP68"/>
      <c r="KWQ68"/>
      <c r="KWR68"/>
      <c r="KWS68"/>
      <c r="KWT68"/>
      <c r="KWU68"/>
      <c r="KWV68"/>
      <c r="KWW68"/>
      <c r="KWX68"/>
      <c r="KWY68"/>
      <c r="KWZ68"/>
      <c r="KXA68"/>
      <c r="KXB68"/>
      <c r="KXC68"/>
      <c r="KXD68"/>
      <c r="KXE68"/>
      <c r="KXF68"/>
      <c r="KXG68"/>
      <c r="KXH68"/>
      <c r="KXI68"/>
      <c r="KXJ68"/>
      <c r="KXK68"/>
      <c r="KXL68"/>
      <c r="KXM68"/>
      <c r="KXN68"/>
      <c r="KXO68"/>
      <c r="KXP68"/>
      <c r="KXQ68"/>
      <c r="KXR68"/>
      <c r="KXS68"/>
      <c r="KXT68"/>
      <c r="KXU68"/>
      <c r="KXV68"/>
      <c r="KXW68"/>
      <c r="KXX68"/>
      <c r="KXY68"/>
      <c r="KXZ68"/>
      <c r="KYA68"/>
      <c r="KYB68"/>
      <c r="KYC68"/>
      <c r="KYD68"/>
      <c r="KYE68"/>
      <c r="KYF68"/>
      <c r="KYG68"/>
      <c r="KYH68"/>
      <c r="KYI68"/>
      <c r="KYJ68"/>
      <c r="KYK68"/>
      <c r="KYL68"/>
      <c r="KYM68"/>
      <c r="KYN68"/>
      <c r="KYO68"/>
      <c r="KYP68"/>
      <c r="KYQ68"/>
      <c r="KYR68"/>
      <c r="KYS68"/>
      <c r="KYT68"/>
      <c r="KYU68"/>
      <c r="KYV68"/>
      <c r="KYW68"/>
      <c r="KYX68"/>
      <c r="KYY68"/>
      <c r="KYZ68"/>
      <c r="KZA68"/>
      <c r="KZB68"/>
      <c r="KZC68"/>
      <c r="KZD68"/>
      <c r="KZE68"/>
      <c r="KZF68"/>
      <c r="KZG68"/>
      <c r="KZH68"/>
      <c r="KZI68"/>
      <c r="KZJ68"/>
      <c r="KZK68"/>
      <c r="KZL68"/>
      <c r="KZM68"/>
      <c r="KZN68"/>
      <c r="KZO68"/>
      <c r="KZP68"/>
      <c r="KZQ68"/>
      <c r="KZR68"/>
      <c r="KZS68"/>
      <c r="KZT68"/>
      <c r="KZU68"/>
      <c r="KZV68"/>
      <c r="KZW68"/>
      <c r="KZX68"/>
      <c r="KZY68"/>
      <c r="KZZ68"/>
      <c r="LAA68"/>
      <c r="LAB68"/>
      <c r="LAC68"/>
      <c r="LAD68"/>
      <c r="LAE68"/>
      <c r="LAF68"/>
      <c r="LAG68"/>
      <c r="LAH68"/>
      <c r="LAI68"/>
      <c r="LAJ68"/>
      <c r="LAK68"/>
      <c r="LAL68"/>
      <c r="LAM68"/>
      <c r="LAN68"/>
      <c r="LAO68"/>
      <c r="LAP68"/>
      <c r="LAQ68"/>
      <c r="LAR68"/>
      <c r="LAS68"/>
      <c r="LAT68"/>
      <c r="LAU68"/>
      <c r="LAV68"/>
      <c r="LAW68"/>
      <c r="LAX68"/>
      <c r="LAY68"/>
      <c r="LAZ68"/>
      <c r="LBA68"/>
      <c r="LBB68"/>
      <c r="LBC68"/>
      <c r="LBD68"/>
      <c r="LBE68"/>
      <c r="LBF68"/>
      <c r="LBG68"/>
      <c r="LBH68"/>
      <c r="LBI68"/>
      <c r="LBJ68"/>
      <c r="LBK68"/>
      <c r="LBL68"/>
      <c r="LBM68"/>
      <c r="LBN68"/>
      <c r="LBO68"/>
      <c r="LBP68"/>
      <c r="LBQ68"/>
      <c r="LBR68"/>
      <c r="LBS68"/>
      <c r="LBT68"/>
      <c r="LBU68"/>
      <c r="LBV68"/>
      <c r="LBW68"/>
      <c r="LBX68"/>
      <c r="LBY68"/>
      <c r="LBZ68"/>
      <c r="LCA68"/>
      <c r="LCB68"/>
      <c r="LCC68"/>
      <c r="LCD68"/>
      <c r="LCE68"/>
      <c r="LCF68"/>
      <c r="LCG68"/>
      <c r="LCH68"/>
      <c r="LCI68"/>
      <c r="LCJ68"/>
      <c r="LCK68"/>
      <c r="LCL68"/>
      <c r="LCM68"/>
      <c r="LCN68"/>
      <c r="LCO68"/>
      <c r="LCP68"/>
      <c r="LCQ68"/>
      <c r="LCR68"/>
      <c r="LCS68"/>
      <c r="LCT68"/>
      <c r="LCU68"/>
      <c r="LCV68"/>
      <c r="LCW68"/>
      <c r="LCX68"/>
      <c r="LCY68"/>
      <c r="LCZ68"/>
      <c r="LDA68"/>
      <c r="LDB68"/>
      <c r="LDC68"/>
      <c r="LDD68"/>
      <c r="LDE68"/>
      <c r="LDF68"/>
      <c r="LDG68"/>
      <c r="LDH68"/>
      <c r="LDI68"/>
      <c r="LDJ68"/>
      <c r="LDK68"/>
      <c r="LDL68"/>
      <c r="LDM68"/>
      <c r="LDN68"/>
      <c r="LDO68"/>
      <c r="LDP68"/>
      <c r="LDQ68"/>
      <c r="LDR68"/>
      <c r="LDS68"/>
      <c r="LDT68"/>
      <c r="LDU68"/>
      <c r="LDV68"/>
      <c r="LDW68"/>
      <c r="LDX68"/>
      <c r="LDY68"/>
      <c r="LDZ68"/>
      <c r="LEA68"/>
      <c r="LEB68"/>
      <c r="LEC68"/>
      <c r="LED68"/>
      <c r="LEE68"/>
      <c r="LEF68"/>
      <c r="LEG68"/>
      <c r="LEH68"/>
      <c r="LEI68"/>
      <c r="LEJ68"/>
      <c r="LEK68"/>
      <c r="LEL68"/>
      <c r="LEM68"/>
      <c r="LEN68"/>
      <c r="LEO68"/>
      <c r="LEP68"/>
      <c r="LEQ68"/>
      <c r="LER68"/>
      <c r="LES68"/>
      <c r="LET68"/>
      <c r="LEU68"/>
      <c r="LEV68"/>
      <c r="LEW68"/>
      <c r="LEX68"/>
      <c r="LEY68"/>
      <c r="LEZ68"/>
      <c r="LFA68"/>
      <c r="LFB68"/>
      <c r="LFC68"/>
      <c r="LFD68"/>
      <c r="LFE68"/>
      <c r="LFF68"/>
      <c r="LFG68"/>
      <c r="LFH68"/>
      <c r="LFI68"/>
      <c r="LFJ68"/>
      <c r="LFK68"/>
      <c r="LFL68"/>
      <c r="LFM68"/>
      <c r="LFN68"/>
      <c r="LFO68"/>
      <c r="LFP68"/>
      <c r="LFQ68"/>
      <c r="LFR68"/>
      <c r="LFS68"/>
      <c r="LFT68"/>
      <c r="LFU68"/>
      <c r="LFV68"/>
      <c r="LFW68"/>
      <c r="LFX68"/>
      <c r="LFY68"/>
      <c r="LFZ68"/>
      <c r="LGA68"/>
      <c r="LGB68"/>
      <c r="LGC68"/>
      <c r="LGD68"/>
      <c r="LGE68"/>
      <c r="LGF68"/>
      <c r="LGG68"/>
      <c r="LGH68"/>
      <c r="LGI68"/>
      <c r="LGJ68"/>
      <c r="LGK68"/>
      <c r="LGL68"/>
      <c r="LGM68"/>
      <c r="LGN68"/>
      <c r="LGO68"/>
      <c r="LGP68"/>
      <c r="LGQ68"/>
      <c r="LGR68"/>
      <c r="LGS68"/>
      <c r="LGT68"/>
      <c r="LGU68"/>
      <c r="LGV68"/>
      <c r="LGW68"/>
      <c r="LGX68"/>
      <c r="LGY68"/>
      <c r="LGZ68"/>
      <c r="LHA68"/>
      <c r="LHB68"/>
      <c r="LHC68"/>
      <c r="LHD68"/>
      <c r="LHE68"/>
      <c r="LHF68"/>
      <c r="LHG68"/>
      <c r="LHH68"/>
      <c r="LHI68"/>
      <c r="LHJ68"/>
      <c r="LHK68"/>
      <c r="LHL68"/>
      <c r="LHM68"/>
      <c r="LHN68"/>
      <c r="LHO68"/>
      <c r="LHP68"/>
      <c r="LHQ68"/>
      <c r="LHR68"/>
      <c r="LHS68"/>
      <c r="LHT68"/>
      <c r="LHU68"/>
      <c r="LHV68"/>
      <c r="LHW68"/>
      <c r="LHX68"/>
      <c r="LHY68"/>
      <c r="LHZ68"/>
      <c r="LIA68"/>
      <c r="LIB68"/>
      <c r="LIC68"/>
      <c r="LID68"/>
      <c r="LIE68"/>
      <c r="LIF68"/>
      <c r="LIG68"/>
      <c r="LIH68"/>
      <c r="LII68"/>
      <c r="LIJ68"/>
      <c r="LIK68"/>
      <c r="LIL68"/>
      <c r="LIM68"/>
      <c r="LIN68"/>
      <c r="LIO68"/>
      <c r="LIP68"/>
      <c r="LIQ68"/>
      <c r="LIR68"/>
      <c r="LIS68"/>
      <c r="LIT68"/>
      <c r="LIU68"/>
      <c r="LIV68"/>
      <c r="LIW68"/>
      <c r="LIX68"/>
      <c r="LIY68"/>
      <c r="LIZ68"/>
      <c r="LJA68"/>
      <c r="LJB68"/>
      <c r="LJC68"/>
      <c r="LJD68"/>
      <c r="LJE68"/>
      <c r="LJF68"/>
      <c r="LJG68"/>
      <c r="LJH68"/>
      <c r="LJI68"/>
      <c r="LJJ68"/>
      <c r="LJK68"/>
      <c r="LJL68"/>
      <c r="LJM68"/>
      <c r="LJN68"/>
      <c r="LJO68"/>
      <c r="LJP68"/>
      <c r="LJQ68"/>
      <c r="LJR68"/>
      <c r="LJS68"/>
      <c r="LJT68"/>
      <c r="LJU68"/>
      <c r="LJV68"/>
      <c r="LJW68"/>
      <c r="LJX68"/>
      <c r="LJY68"/>
      <c r="LJZ68"/>
      <c r="LKA68"/>
      <c r="LKB68"/>
      <c r="LKC68"/>
      <c r="LKD68"/>
      <c r="LKE68"/>
      <c r="LKF68"/>
      <c r="LKG68"/>
      <c r="LKH68"/>
      <c r="LKI68"/>
      <c r="LKJ68"/>
      <c r="LKK68"/>
      <c r="LKL68"/>
      <c r="LKM68"/>
      <c r="LKN68"/>
      <c r="LKO68"/>
      <c r="LKP68"/>
      <c r="LKQ68"/>
      <c r="LKR68"/>
      <c r="LKS68"/>
      <c r="LKT68"/>
      <c r="LKU68"/>
      <c r="LKV68"/>
      <c r="LKW68"/>
      <c r="LKX68"/>
      <c r="LKY68"/>
      <c r="LKZ68"/>
      <c r="LLA68"/>
      <c r="LLB68"/>
      <c r="LLC68"/>
      <c r="LLD68"/>
      <c r="LLE68"/>
      <c r="LLF68"/>
      <c r="LLG68"/>
      <c r="LLH68"/>
      <c r="LLI68"/>
      <c r="LLJ68"/>
      <c r="LLK68"/>
      <c r="LLL68"/>
      <c r="LLM68"/>
      <c r="LLN68"/>
      <c r="LLO68"/>
      <c r="LLP68"/>
      <c r="LLQ68"/>
      <c r="LLR68"/>
      <c r="LLS68"/>
      <c r="LLT68"/>
      <c r="LLU68"/>
      <c r="LLV68"/>
      <c r="LLW68"/>
      <c r="LLX68"/>
      <c r="LLY68"/>
      <c r="LLZ68"/>
      <c r="LMA68"/>
      <c r="LMB68"/>
      <c r="LMC68"/>
      <c r="LMD68"/>
      <c r="LME68"/>
      <c r="LMF68"/>
      <c r="LMG68"/>
      <c r="LMH68"/>
      <c r="LMI68"/>
      <c r="LMJ68"/>
      <c r="LMK68"/>
      <c r="LML68"/>
      <c r="LMM68"/>
      <c r="LMN68"/>
      <c r="LMO68"/>
      <c r="LMP68"/>
      <c r="LMQ68"/>
      <c r="LMR68"/>
      <c r="LMS68"/>
      <c r="LMT68"/>
      <c r="LMU68"/>
      <c r="LMV68"/>
      <c r="LMW68"/>
      <c r="LMX68"/>
      <c r="LMY68"/>
      <c r="LMZ68"/>
      <c r="LNA68"/>
      <c r="LNB68"/>
      <c r="LNC68"/>
      <c r="LND68"/>
      <c r="LNE68"/>
      <c r="LNF68"/>
      <c r="LNG68"/>
      <c r="LNH68"/>
      <c r="LNI68"/>
      <c r="LNJ68"/>
      <c r="LNK68"/>
      <c r="LNL68"/>
      <c r="LNM68"/>
      <c r="LNN68"/>
      <c r="LNO68"/>
      <c r="LNP68"/>
      <c r="LNQ68"/>
      <c r="LNR68"/>
      <c r="LNS68"/>
      <c r="LNT68"/>
      <c r="LNU68"/>
      <c r="LNV68"/>
      <c r="LNW68"/>
      <c r="LNX68"/>
      <c r="LNY68"/>
      <c r="LNZ68"/>
      <c r="LOA68"/>
      <c r="LOB68"/>
      <c r="LOC68"/>
      <c r="LOD68"/>
      <c r="LOE68"/>
      <c r="LOF68"/>
      <c r="LOG68"/>
      <c r="LOH68"/>
      <c r="LOI68"/>
      <c r="LOJ68"/>
      <c r="LOK68"/>
      <c r="LOL68"/>
      <c r="LOM68"/>
      <c r="LON68"/>
      <c r="LOO68"/>
      <c r="LOP68"/>
      <c r="LOQ68"/>
      <c r="LOR68"/>
      <c r="LOS68"/>
      <c r="LOT68"/>
      <c r="LOU68"/>
      <c r="LOV68"/>
      <c r="LOW68"/>
      <c r="LOX68"/>
      <c r="LOY68"/>
      <c r="LOZ68"/>
      <c r="LPA68"/>
      <c r="LPB68"/>
      <c r="LPC68"/>
      <c r="LPD68"/>
      <c r="LPE68"/>
      <c r="LPF68"/>
      <c r="LPG68"/>
      <c r="LPH68"/>
      <c r="LPI68"/>
      <c r="LPJ68"/>
      <c r="LPK68"/>
      <c r="LPL68"/>
      <c r="LPM68"/>
      <c r="LPN68"/>
      <c r="LPO68"/>
      <c r="LPP68"/>
      <c r="LPQ68"/>
      <c r="LPR68"/>
      <c r="LPS68"/>
      <c r="LPT68"/>
      <c r="LPU68"/>
      <c r="LPV68"/>
      <c r="LPW68"/>
      <c r="LPX68"/>
      <c r="LPY68"/>
      <c r="LPZ68"/>
      <c r="LQA68"/>
      <c r="LQB68"/>
      <c r="LQC68"/>
      <c r="LQD68"/>
      <c r="LQE68"/>
      <c r="LQF68"/>
      <c r="LQG68"/>
      <c r="LQH68"/>
      <c r="LQI68"/>
      <c r="LQJ68"/>
      <c r="LQK68"/>
      <c r="LQL68"/>
      <c r="LQM68"/>
      <c r="LQN68"/>
      <c r="LQO68"/>
      <c r="LQP68"/>
      <c r="LQQ68"/>
      <c r="LQR68"/>
      <c r="LQS68"/>
      <c r="LQT68"/>
      <c r="LQU68"/>
      <c r="LQV68"/>
      <c r="LQW68"/>
      <c r="LQX68"/>
      <c r="LQY68"/>
      <c r="LQZ68"/>
      <c r="LRA68"/>
      <c r="LRB68"/>
      <c r="LRC68"/>
      <c r="LRD68"/>
      <c r="LRE68"/>
      <c r="LRF68"/>
      <c r="LRG68"/>
      <c r="LRH68"/>
      <c r="LRI68"/>
      <c r="LRJ68"/>
      <c r="LRK68"/>
      <c r="LRL68"/>
      <c r="LRM68"/>
      <c r="LRN68"/>
      <c r="LRO68"/>
      <c r="LRP68"/>
      <c r="LRQ68"/>
      <c r="LRR68"/>
      <c r="LRS68"/>
      <c r="LRT68"/>
      <c r="LRU68"/>
      <c r="LRV68"/>
      <c r="LRW68"/>
      <c r="LRX68"/>
      <c r="LRY68"/>
      <c r="LRZ68"/>
      <c r="LSA68"/>
      <c r="LSB68"/>
      <c r="LSC68"/>
      <c r="LSD68"/>
      <c r="LSE68"/>
      <c r="LSF68"/>
      <c r="LSG68"/>
      <c r="LSH68"/>
      <c r="LSI68"/>
      <c r="LSJ68"/>
      <c r="LSK68"/>
      <c r="LSL68"/>
      <c r="LSM68"/>
      <c r="LSN68"/>
      <c r="LSO68"/>
      <c r="LSP68"/>
      <c r="LSQ68"/>
      <c r="LSR68"/>
      <c r="LSS68"/>
      <c r="LST68"/>
      <c r="LSU68"/>
      <c r="LSV68"/>
      <c r="LSW68"/>
      <c r="LSX68"/>
      <c r="LSY68"/>
      <c r="LSZ68"/>
      <c r="LTA68"/>
      <c r="LTB68"/>
      <c r="LTC68"/>
      <c r="LTD68"/>
      <c r="LTE68"/>
      <c r="LTF68"/>
      <c r="LTG68"/>
      <c r="LTH68"/>
      <c r="LTI68"/>
      <c r="LTJ68"/>
      <c r="LTK68"/>
      <c r="LTL68"/>
      <c r="LTM68"/>
      <c r="LTN68"/>
      <c r="LTO68"/>
      <c r="LTP68"/>
      <c r="LTQ68"/>
      <c r="LTR68"/>
      <c r="LTS68"/>
      <c r="LTT68"/>
      <c r="LTU68"/>
      <c r="LTV68"/>
      <c r="LTW68"/>
      <c r="LTX68"/>
      <c r="LTY68"/>
      <c r="LTZ68"/>
      <c r="LUA68"/>
      <c r="LUB68"/>
      <c r="LUC68"/>
      <c r="LUD68"/>
      <c r="LUE68"/>
      <c r="LUF68"/>
      <c r="LUG68"/>
      <c r="LUH68"/>
      <c r="LUI68"/>
      <c r="LUJ68"/>
      <c r="LUK68"/>
      <c r="LUL68"/>
      <c r="LUM68"/>
      <c r="LUN68"/>
      <c r="LUO68"/>
      <c r="LUP68"/>
      <c r="LUQ68"/>
      <c r="LUR68"/>
      <c r="LUS68"/>
      <c r="LUT68"/>
      <c r="LUU68"/>
      <c r="LUV68"/>
      <c r="LUW68"/>
      <c r="LUX68"/>
      <c r="LUY68"/>
      <c r="LUZ68"/>
      <c r="LVA68"/>
      <c r="LVB68"/>
      <c r="LVC68"/>
      <c r="LVD68"/>
      <c r="LVE68"/>
      <c r="LVF68"/>
      <c r="LVG68"/>
      <c r="LVH68"/>
      <c r="LVI68"/>
      <c r="LVJ68"/>
      <c r="LVK68"/>
      <c r="LVL68"/>
      <c r="LVM68"/>
      <c r="LVN68"/>
      <c r="LVO68"/>
      <c r="LVP68"/>
      <c r="LVQ68"/>
      <c r="LVR68"/>
      <c r="LVS68"/>
      <c r="LVT68"/>
      <c r="LVU68"/>
      <c r="LVV68"/>
      <c r="LVW68"/>
      <c r="LVX68"/>
      <c r="LVY68"/>
      <c r="LVZ68"/>
      <c r="LWA68"/>
      <c r="LWB68"/>
      <c r="LWC68"/>
      <c r="LWD68"/>
      <c r="LWE68"/>
      <c r="LWF68"/>
      <c r="LWG68"/>
      <c r="LWH68"/>
      <c r="LWI68"/>
      <c r="LWJ68"/>
      <c r="LWK68"/>
      <c r="LWL68"/>
      <c r="LWM68"/>
      <c r="LWN68"/>
      <c r="LWO68"/>
      <c r="LWP68"/>
      <c r="LWQ68"/>
      <c r="LWR68"/>
      <c r="LWS68"/>
      <c r="LWT68"/>
      <c r="LWU68"/>
      <c r="LWV68"/>
      <c r="LWW68"/>
      <c r="LWX68"/>
      <c r="LWY68"/>
      <c r="LWZ68"/>
      <c r="LXA68"/>
      <c r="LXB68"/>
      <c r="LXC68"/>
      <c r="LXD68"/>
      <c r="LXE68"/>
      <c r="LXF68"/>
      <c r="LXG68"/>
      <c r="LXH68"/>
      <c r="LXI68"/>
      <c r="LXJ68"/>
      <c r="LXK68"/>
      <c r="LXL68"/>
      <c r="LXM68"/>
      <c r="LXN68"/>
      <c r="LXO68"/>
      <c r="LXP68"/>
      <c r="LXQ68"/>
      <c r="LXR68"/>
      <c r="LXS68"/>
      <c r="LXT68"/>
      <c r="LXU68"/>
      <c r="LXV68"/>
      <c r="LXW68"/>
      <c r="LXX68"/>
      <c r="LXY68"/>
      <c r="LXZ68"/>
      <c r="LYA68"/>
      <c r="LYB68"/>
      <c r="LYC68"/>
      <c r="LYD68"/>
      <c r="LYE68"/>
      <c r="LYF68"/>
      <c r="LYG68"/>
      <c r="LYH68"/>
      <c r="LYI68"/>
      <c r="LYJ68"/>
      <c r="LYK68"/>
      <c r="LYL68"/>
      <c r="LYM68"/>
      <c r="LYN68"/>
      <c r="LYO68"/>
      <c r="LYP68"/>
      <c r="LYQ68"/>
      <c r="LYR68"/>
      <c r="LYS68"/>
      <c r="LYT68"/>
      <c r="LYU68"/>
      <c r="LYV68"/>
      <c r="LYW68"/>
      <c r="LYX68"/>
      <c r="LYY68"/>
      <c r="LYZ68"/>
      <c r="LZA68"/>
      <c r="LZB68"/>
      <c r="LZC68"/>
      <c r="LZD68"/>
      <c r="LZE68"/>
      <c r="LZF68"/>
      <c r="LZG68"/>
      <c r="LZH68"/>
      <c r="LZI68"/>
      <c r="LZJ68"/>
      <c r="LZK68"/>
      <c r="LZL68"/>
      <c r="LZM68"/>
      <c r="LZN68"/>
      <c r="LZO68"/>
      <c r="LZP68"/>
      <c r="LZQ68"/>
      <c r="LZR68"/>
      <c r="LZS68"/>
      <c r="LZT68"/>
      <c r="LZU68"/>
      <c r="LZV68"/>
      <c r="LZW68"/>
      <c r="LZX68"/>
      <c r="LZY68"/>
      <c r="LZZ68"/>
      <c r="MAA68"/>
      <c r="MAB68"/>
      <c r="MAC68"/>
      <c r="MAD68"/>
      <c r="MAE68"/>
      <c r="MAF68"/>
      <c r="MAG68"/>
      <c r="MAH68"/>
      <c r="MAI68"/>
      <c r="MAJ68"/>
      <c r="MAK68"/>
      <c r="MAL68"/>
      <c r="MAM68"/>
      <c r="MAN68"/>
      <c r="MAO68"/>
      <c r="MAP68"/>
      <c r="MAQ68"/>
      <c r="MAR68"/>
      <c r="MAS68"/>
      <c r="MAT68"/>
      <c r="MAU68"/>
      <c r="MAV68"/>
      <c r="MAW68"/>
      <c r="MAX68"/>
      <c r="MAY68"/>
      <c r="MAZ68"/>
      <c r="MBA68"/>
      <c r="MBB68"/>
      <c r="MBC68"/>
      <c r="MBD68"/>
      <c r="MBE68"/>
      <c r="MBF68"/>
      <c r="MBG68"/>
      <c r="MBH68"/>
      <c r="MBI68"/>
      <c r="MBJ68"/>
      <c r="MBK68"/>
      <c r="MBL68"/>
      <c r="MBM68"/>
      <c r="MBN68"/>
      <c r="MBO68"/>
      <c r="MBP68"/>
      <c r="MBQ68"/>
      <c r="MBR68"/>
      <c r="MBS68"/>
      <c r="MBT68"/>
      <c r="MBU68"/>
      <c r="MBV68"/>
      <c r="MBW68"/>
      <c r="MBX68"/>
      <c r="MBY68"/>
      <c r="MBZ68"/>
      <c r="MCA68"/>
      <c r="MCB68"/>
      <c r="MCC68"/>
      <c r="MCD68"/>
      <c r="MCE68"/>
      <c r="MCF68"/>
      <c r="MCG68"/>
      <c r="MCH68"/>
      <c r="MCI68"/>
      <c r="MCJ68"/>
      <c r="MCK68"/>
      <c r="MCL68"/>
      <c r="MCM68"/>
      <c r="MCN68"/>
      <c r="MCO68"/>
      <c r="MCP68"/>
      <c r="MCQ68"/>
      <c r="MCR68"/>
      <c r="MCS68"/>
      <c r="MCT68"/>
      <c r="MCU68"/>
      <c r="MCV68"/>
      <c r="MCW68"/>
      <c r="MCX68"/>
      <c r="MCY68"/>
      <c r="MCZ68"/>
      <c r="MDA68"/>
      <c r="MDB68"/>
      <c r="MDC68"/>
      <c r="MDD68"/>
      <c r="MDE68"/>
      <c r="MDF68"/>
      <c r="MDG68"/>
      <c r="MDH68"/>
      <c r="MDI68"/>
      <c r="MDJ68"/>
      <c r="MDK68"/>
      <c r="MDL68"/>
      <c r="MDM68"/>
      <c r="MDN68"/>
      <c r="MDO68"/>
      <c r="MDP68"/>
      <c r="MDQ68"/>
      <c r="MDR68"/>
      <c r="MDS68"/>
      <c r="MDT68"/>
      <c r="MDU68"/>
      <c r="MDV68"/>
      <c r="MDW68"/>
      <c r="MDX68"/>
      <c r="MDY68"/>
      <c r="MDZ68"/>
      <c r="MEA68"/>
      <c r="MEB68"/>
      <c r="MEC68"/>
      <c r="MED68"/>
      <c r="MEE68"/>
      <c r="MEF68"/>
      <c r="MEG68"/>
      <c r="MEH68"/>
      <c r="MEI68"/>
      <c r="MEJ68"/>
      <c r="MEK68"/>
      <c r="MEL68"/>
      <c r="MEM68"/>
      <c r="MEN68"/>
      <c r="MEO68"/>
      <c r="MEP68"/>
      <c r="MEQ68"/>
      <c r="MER68"/>
      <c r="MES68"/>
      <c r="MET68"/>
      <c r="MEU68"/>
      <c r="MEV68"/>
      <c r="MEW68"/>
      <c r="MEX68"/>
      <c r="MEY68"/>
      <c r="MEZ68"/>
      <c r="MFA68"/>
      <c r="MFB68"/>
      <c r="MFC68"/>
      <c r="MFD68"/>
      <c r="MFE68"/>
      <c r="MFF68"/>
      <c r="MFG68"/>
      <c r="MFH68"/>
      <c r="MFI68"/>
      <c r="MFJ68"/>
      <c r="MFK68"/>
      <c r="MFL68"/>
      <c r="MFM68"/>
      <c r="MFN68"/>
      <c r="MFO68"/>
      <c r="MFP68"/>
      <c r="MFQ68"/>
      <c r="MFR68"/>
      <c r="MFS68"/>
      <c r="MFT68"/>
      <c r="MFU68"/>
      <c r="MFV68"/>
      <c r="MFW68"/>
      <c r="MFX68"/>
      <c r="MFY68"/>
      <c r="MFZ68"/>
      <c r="MGA68"/>
      <c r="MGB68"/>
      <c r="MGC68"/>
      <c r="MGD68"/>
      <c r="MGE68"/>
      <c r="MGF68"/>
      <c r="MGG68"/>
      <c r="MGH68"/>
      <c r="MGI68"/>
      <c r="MGJ68"/>
      <c r="MGK68"/>
      <c r="MGL68"/>
      <c r="MGM68"/>
      <c r="MGN68"/>
      <c r="MGO68"/>
      <c r="MGP68"/>
      <c r="MGQ68"/>
      <c r="MGR68"/>
      <c r="MGS68"/>
      <c r="MGT68"/>
      <c r="MGU68"/>
      <c r="MGV68"/>
      <c r="MGW68"/>
      <c r="MGX68"/>
      <c r="MGY68"/>
      <c r="MGZ68"/>
      <c r="MHA68"/>
      <c r="MHB68"/>
      <c r="MHC68"/>
      <c r="MHD68"/>
      <c r="MHE68"/>
      <c r="MHF68"/>
      <c r="MHG68"/>
      <c r="MHH68"/>
      <c r="MHI68"/>
      <c r="MHJ68"/>
      <c r="MHK68"/>
      <c r="MHL68"/>
      <c r="MHM68"/>
      <c r="MHN68"/>
      <c r="MHO68"/>
      <c r="MHP68"/>
      <c r="MHQ68"/>
      <c r="MHR68"/>
      <c r="MHS68"/>
      <c r="MHT68"/>
      <c r="MHU68"/>
      <c r="MHV68"/>
      <c r="MHW68"/>
      <c r="MHX68"/>
      <c r="MHY68"/>
      <c r="MHZ68"/>
      <c r="MIA68"/>
      <c r="MIB68"/>
      <c r="MIC68"/>
      <c r="MID68"/>
      <c r="MIE68"/>
      <c r="MIF68"/>
      <c r="MIG68"/>
      <c r="MIH68"/>
      <c r="MII68"/>
      <c r="MIJ68"/>
      <c r="MIK68"/>
      <c r="MIL68"/>
      <c r="MIM68"/>
      <c r="MIN68"/>
      <c r="MIO68"/>
      <c r="MIP68"/>
      <c r="MIQ68"/>
      <c r="MIR68"/>
      <c r="MIS68"/>
      <c r="MIT68"/>
      <c r="MIU68"/>
      <c r="MIV68"/>
      <c r="MIW68"/>
      <c r="MIX68"/>
      <c r="MIY68"/>
      <c r="MIZ68"/>
      <c r="MJA68"/>
      <c r="MJB68"/>
      <c r="MJC68"/>
      <c r="MJD68"/>
      <c r="MJE68"/>
      <c r="MJF68"/>
      <c r="MJG68"/>
      <c r="MJH68"/>
      <c r="MJI68"/>
      <c r="MJJ68"/>
      <c r="MJK68"/>
      <c r="MJL68"/>
      <c r="MJM68"/>
      <c r="MJN68"/>
      <c r="MJO68"/>
      <c r="MJP68"/>
      <c r="MJQ68"/>
      <c r="MJR68"/>
      <c r="MJS68"/>
      <c r="MJT68"/>
      <c r="MJU68"/>
      <c r="MJV68"/>
      <c r="MJW68"/>
      <c r="MJX68"/>
      <c r="MJY68"/>
      <c r="MJZ68"/>
      <c r="MKA68"/>
      <c r="MKB68"/>
      <c r="MKC68"/>
      <c r="MKD68"/>
      <c r="MKE68"/>
      <c r="MKF68"/>
      <c r="MKG68"/>
      <c r="MKH68"/>
      <c r="MKI68"/>
      <c r="MKJ68"/>
      <c r="MKK68"/>
      <c r="MKL68"/>
      <c r="MKM68"/>
      <c r="MKN68"/>
      <c r="MKO68"/>
      <c r="MKP68"/>
      <c r="MKQ68"/>
      <c r="MKR68"/>
      <c r="MKS68"/>
      <c r="MKT68"/>
      <c r="MKU68"/>
      <c r="MKV68"/>
      <c r="MKW68"/>
      <c r="MKX68"/>
      <c r="MKY68"/>
      <c r="MKZ68"/>
      <c r="MLA68"/>
      <c r="MLB68"/>
      <c r="MLC68"/>
      <c r="MLD68"/>
      <c r="MLE68"/>
      <c r="MLF68"/>
      <c r="MLG68"/>
      <c r="MLH68"/>
      <c r="MLI68"/>
      <c r="MLJ68"/>
      <c r="MLK68"/>
      <c r="MLL68"/>
      <c r="MLM68"/>
      <c r="MLN68"/>
      <c r="MLO68"/>
      <c r="MLP68"/>
      <c r="MLQ68"/>
      <c r="MLR68"/>
      <c r="MLS68"/>
      <c r="MLT68"/>
      <c r="MLU68"/>
      <c r="MLV68"/>
      <c r="MLW68"/>
      <c r="MLX68"/>
      <c r="MLY68"/>
      <c r="MLZ68"/>
      <c r="MMA68"/>
      <c r="MMB68"/>
      <c r="MMC68"/>
      <c r="MMD68"/>
      <c r="MME68"/>
      <c r="MMF68"/>
      <c r="MMG68"/>
      <c r="MMH68"/>
      <c r="MMI68"/>
      <c r="MMJ68"/>
      <c r="MMK68"/>
      <c r="MML68"/>
      <c r="MMM68"/>
      <c r="MMN68"/>
      <c r="MMO68"/>
      <c r="MMP68"/>
      <c r="MMQ68"/>
      <c r="MMR68"/>
      <c r="MMS68"/>
      <c r="MMT68"/>
      <c r="MMU68"/>
      <c r="MMV68"/>
      <c r="MMW68"/>
      <c r="MMX68"/>
      <c r="MMY68"/>
      <c r="MMZ68"/>
      <c r="MNA68"/>
      <c r="MNB68"/>
      <c r="MNC68"/>
      <c r="MND68"/>
      <c r="MNE68"/>
      <c r="MNF68"/>
      <c r="MNG68"/>
      <c r="MNH68"/>
      <c r="MNI68"/>
      <c r="MNJ68"/>
      <c r="MNK68"/>
      <c r="MNL68"/>
      <c r="MNM68"/>
      <c r="MNN68"/>
      <c r="MNO68"/>
      <c r="MNP68"/>
      <c r="MNQ68"/>
      <c r="MNR68"/>
      <c r="MNS68"/>
      <c r="MNT68"/>
      <c r="MNU68"/>
      <c r="MNV68"/>
      <c r="MNW68"/>
      <c r="MNX68"/>
      <c r="MNY68"/>
      <c r="MNZ68"/>
      <c r="MOA68"/>
      <c r="MOB68"/>
      <c r="MOC68"/>
      <c r="MOD68"/>
      <c r="MOE68"/>
      <c r="MOF68"/>
      <c r="MOG68"/>
      <c r="MOH68"/>
      <c r="MOI68"/>
      <c r="MOJ68"/>
      <c r="MOK68"/>
      <c r="MOL68"/>
      <c r="MOM68"/>
      <c r="MON68"/>
      <c r="MOO68"/>
      <c r="MOP68"/>
      <c r="MOQ68"/>
      <c r="MOR68"/>
      <c r="MOS68"/>
      <c r="MOT68"/>
      <c r="MOU68"/>
      <c r="MOV68"/>
      <c r="MOW68"/>
      <c r="MOX68"/>
      <c r="MOY68"/>
      <c r="MOZ68"/>
      <c r="MPA68"/>
      <c r="MPB68"/>
      <c r="MPC68"/>
      <c r="MPD68"/>
      <c r="MPE68"/>
      <c r="MPF68"/>
      <c r="MPG68"/>
      <c r="MPH68"/>
      <c r="MPI68"/>
      <c r="MPJ68"/>
      <c r="MPK68"/>
      <c r="MPL68"/>
      <c r="MPM68"/>
      <c r="MPN68"/>
      <c r="MPO68"/>
      <c r="MPP68"/>
      <c r="MPQ68"/>
      <c r="MPR68"/>
      <c r="MPS68"/>
      <c r="MPT68"/>
      <c r="MPU68"/>
      <c r="MPV68"/>
      <c r="MPW68"/>
      <c r="MPX68"/>
      <c r="MPY68"/>
      <c r="MPZ68"/>
      <c r="MQA68"/>
      <c r="MQB68"/>
      <c r="MQC68"/>
      <c r="MQD68"/>
      <c r="MQE68"/>
      <c r="MQF68"/>
      <c r="MQG68"/>
      <c r="MQH68"/>
      <c r="MQI68"/>
      <c r="MQJ68"/>
      <c r="MQK68"/>
      <c r="MQL68"/>
      <c r="MQM68"/>
      <c r="MQN68"/>
      <c r="MQO68"/>
      <c r="MQP68"/>
      <c r="MQQ68"/>
      <c r="MQR68"/>
      <c r="MQS68"/>
      <c r="MQT68"/>
      <c r="MQU68"/>
      <c r="MQV68"/>
      <c r="MQW68"/>
      <c r="MQX68"/>
      <c r="MQY68"/>
      <c r="MQZ68"/>
      <c r="MRA68"/>
      <c r="MRB68"/>
      <c r="MRC68"/>
      <c r="MRD68"/>
      <c r="MRE68"/>
      <c r="MRF68"/>
      <c r="MRG68"/>
      <c r="MRH68"/>
      <c r="MRI68"/>
      <c r="MRJ68"/>
      <c r="MRK68"/>
      <c r="MRL68"/>
      <c r="MRM68"/>
      <c r="MRN68"/>
      <c r="MRO68"/>
      <c r="MRP68"/>
      <c r="MRQ68"/>
      <c r="MRR68"/>
      <c r="MRS68"/>
      <c r="MRT68"/>
      <c r="MRU68"/>
      <c r="MRV68"/>
      <c r="MRW68"/>
      <c r="MRX68"/>
      <c r="MRY68"/>
      <c r="MRZ68"/>
      <c r="MSA68"/>
      <c r="MSB68"/>
      <c r="MSC68"/>
      <c r="MSD68"/>
      <c r="MSE68"/>
      <c r="MSF68"/>
      <c r="MSG68"/>
      <c r="MSH68"/>
      <c r="MSI68"/>
      <c r="MSJ68"/>
      <c r="MSK68"/>
      <c r="MSL68"/>
      <c r="MSM68"/>
      <c r="MSN68"/>
      <c r="MSO68"/>
      <c r="MSP68"/>
      <c r="MSQ68"/>
      <c r="MSR68"/>
      <c r="MSS68"/>
      <c r="MST68"/>
      <c r="MSU68"/>
      <c r="MSV68"/>
      <c r="MSW68"/>
      <c r="MSX68"/>
      <c r="MSY68"/>
      <c r="MSZ68"/>
      <c r="MTA68"/>
      <c r="MTB68"/>
      <c r="MTC68"/>
      <c r="MTD68"/>
      <c r="MTE68"/>
      <c r="MTF68"/>
      <c r="MTG68"/>
      <c r="MTH68"/>
      <c r="MTI68"/>
      <c r="MTJ68"/>
      <c r="MTK68"/>
      <c r="MTL68"/>
      <c r="MTM68"/>
      <c r="MTN68"/>
      <c r="MTO68"/>
      <c r="MTP68"/>
      <c r="MTQ68"/>
      <c r="MTR68"/>
      <c r="MTS68"/>
      <c r="MTT68"/>
      <c r="MTU68"/>
      <c r="MTV68"/>
      <c r="MTW68"/>
      <c r="MTX68"/>
      <c r="MTY68"/>
      <c r="MTZ68"/>
      <c r="MUA68"/>
      <c r="MUB68"/>
      <c r="MUC68"/>
      <c r="MUD68"/>
      <c r="MUE68"/>
      <c r="MUF68"/>
      <c r="MUG68"/>
      <c r="MUH68"/>
      <c r="MUI68"/>
      <c r="MUJ68"/>
      <c r="MUK68"/>
      <c r="MUL68"/>
      <c r="MUM68"/>
      <c r="MUN68"/>
      <c r="MUO68"/>
      <c r="MUP68"/>
      <c r="MUQ68"/>
      <c r="MUR68"/>
      <c r="MUS68"/>
      <c r="MUT68"/>
      <c r="MUU68"/>
      <c r="MUV68"/>
      <c r="MUW68"/>
      <c r="MUX68"/>
      <c r="MUY68"/>
      <c r="MUZ68"/>
      <c r="MVA68"/>
      <c r="MVB68"/>
      <c r="MVC68"/>
      <c r="MVD68"/>
      <c r="MVE68"/>
      <c r="MVF68"/>
      <c r="MVG68"/>
      <c r="MVH68"/>
      <c r="MVI68"/>
      <c r="MVJ68"/>
      <c r="MVK68"/>
      <c r="MVL68"/>
      <c r="MVM68"/>
      <c r="MVN68"/>
      <c r="MVO68"/>
      <c r="MVP68"/>
      <c r="MVQ68"/>
      <c r="MVR68"/>
      <c r="MVS68"/>
      <c r="MVT68"/>
      <c r="MVU68"/>
      <c r="MVV68"/>
      <c r="MVW68"/>
      <c r="MVX68"/>
      <c r="MVY68"/>
      <c r="MVZ68"/>
      <c r="MWA68"/>
      <c r="MWB68"/>
      <c r="MWC68"/>
      <c r="MWD68"/>
      <c r="MWE68"/>
      <c r="MWF68"/>
      <c r="MWG68"/>
      <c r="MWH68"/>
      <c r="MWI68"/>
      <c r="MWJ68"/>
      <c r="MWK68"/>
      <c r="MWL68"/>
      <c r="MWM68"/>
      <c r="MWN68"/>
      <c r="MWO68"/>
      <c r="MWP68"/>
      <c r="MWQ68"/>
      <c r="MWR68"/>
      <c r="MWS68"/>
      <c r="MWT68"/>
      <c r="MWU68"/>
      <c r="MWV68"/>
      <c r="MWW68"/>
      <c r="MWX68"/>
      <c r="MWY68"/>
      <c r="MWZ68"/>
      <c r="MXA68"/>
      <c r="MXB68"/>
      <c r="MXC68"/>
      <c r="MXD68"/>
      <c r="MXE68"/>
      <c r="MXF68"/>
      <c r="MXG68"/>
      <c r="MXH68"/>
      <c r="MXI68"/>
      <c r="MXJ68"/>
      <c r="MXK68"/>
      <c r="MXL68"/>
      <c r="MXM68"/>
      <c r="MXN68"/>
      <c r="MXO68"/>
      <c r="MXP68"/>
      <c r="MXQ68"/>
      <c r="MXR68"/>
      <c r="MXS68"/>
      <c r="MXT68"/>
      <c r="MXU68"/>
      <c r="MXV68"/>
      <c r="MXW68"/>
      <c r="MXX68"/>
      <c r="MXY68"/>
      <c r="MXZ68"/>
      <c r="MYA68"/>
      <c r="MYB68"/>
      <c r="MYC68"/>
      <c r="MYD68"/>
      <c r="MYE68"/>
      <c r="MYF68"/>
      <c r="MYG68"/>
      <c r="MYH68"/>
      <c r="MYI68"/>
      <c r="MYJ68"/>
      <c r="MYK68"/>
      <c r="MYL68"/>
      <c r="MYM68"/>
      <c r="MYN68"/>
      <c r="MYO68"/>
      <c r="MYP68"/>
      <c r="MYQ68"/>
      <c r="MYR68"/>
      <c r="MYS68"/>
      <c r="MYT68"/>
      <c r="MYU68"/>
      <c r="MYV68"/>
      <c r="MYW68"/>
      <c r="MYX68"/>
      <c r="MYY68"/>
      <c r="MYZ68"/>
      <c r="MZA68"/>
      <c r="MZB68"/>
      <c r="MZC68"/>
      <c r="MZD68"/>
      <c r="MZE68"/>
      <c r="MZF68"/>
      <c r="MZG68"/>
      <c r="MZH68"/>
      <c r="MZI68"/>
      <c r="MZJ68"/>
      <c r="MZK68"/>
      <c r="MZL68"/>
      <c r="MZM68"/>
      <c r="MZN68"/>
      <c r="MZO68"/>
      <c r="MZP68"/>
      <c r="MZQ68"/>
      <c r="MZR68"/>
      <c r="MZS68"/>
      <c r="MZT68"/>
      <c r="MZU68"/>
      <c r="MZV68"/>
      <c r="MZW68"/>
      <c r="MZX68"/>
      <c r="MZY68"/>
      <c r="MZZ68"/>
      <c r="NAA68"/>
      <c r="NAB68"/>
      <c r="NAC68"/>
      <c r="NAD68"/>
      <c r="NAE68"/>
      <c r="NAF68"/>
      <c r="NAG68"/>
      <c r="NAH68"/>
      <c r="NAI68"/>
      <c r="NAJ68"/>
      <c r="NAK68"/>
      <c r="NAL68"/>
      <c r="NAM68"/>
      <c r="NAN68"/>
      <c r="NAO68"/>
      <c r="NAP68"/>
      <c r="NAQ68"/>
      <c r="NAR68"/>
      <c r="NAS68"/>
      <c r="NAT68"/>
      <c r="NAU68"/>
      <c r="NAV68"/>
      <c r="NAW68"/>
      <c r="NAX68"/>
      <c r="NAY68"/>
      <c r="NAZ68"/>
      <c r="NBA68"/>
      <c r="NBB68"/>
      <c r="NBC68"/>
      <c r="NBD68"/>
      <c r="NBE68"/>
      <c r="NBF68"/>
      <c r="NBG68"/>
      <c r="NBH68"/>
      <c r="NBI68"/>
      <c r="NBJ68"/>
      <c r="NBK68"/>
      <c r="NBL68"/>
      <c r="NBM68"/>
      <c r="NBN68"/>
      <c r="NBO68"/>
      <c r="NBP68"/>
      <c r="NBQ68"/>
      <c r="NBR68"/>
      <c r="NBS68"/>
      <c r="NBT68"/>
      <c r="NBU68"/>
      <c r="NBV68"/>
      <c r="NBW68"/>
      <c r="NBX68"/>
      <c r="NBY68"/>
      <c r="NBZ68"/>
      <c r="NCA68"/>
      <c r="NCB68"/>
      <c r="NCC68"/>
      <c r="NCD68"/>
      <c r="NCE68"/>
      <c r="NCF68"/>
      <c r="NCG68"/>
      <c r="NCH68"/>
      <c r="NCI68"/>
      <c r="NCJ68"/>
      <c r="NCK68"/>
      <c r="NCL68"/>
      <c r="NCM68"/>
      <c r="NCN68"/>
      <c r="NCO68"/>
      <c r="NCP68"/>
      <c r="NCQ68"/>
      <c r="NCR68"/>
      <c r="NCS68"/>
      <c r="NCT68"/>
      <c r="NCU68"/>
      <c r="NCV68"/>
      <c r="NCW68"/>
      <c r="NCX68"/>
      <c r="NCY68"/>
      <c r="NCZ68"/>
      <c r="NDA68"/>
      <c r="NDB68"/>
      <c r="NDC68"/>
      <c r="NDD68"/>
      <c r="NDE68"/>
      <c r="NDF68"/>
      <c r="NDG68"/>
      <c r="NDH68"/>
      <c r="NDI68"/>
      <c r="NDJ68"/>
      <c r="NDK68"/>
      <c r="NDL68"/>
      <c r="NDM68"/>
      <c r="NDN68"/>
      <c r="NDO68"/>
      <c r="NDP68"/>
      <c r="NDQ68"/>
      <c r="NDR68"/>
      <c r="NDS68"/>
      <c r="NDT68"/>
      <c r="NDU68"/>
      <c r="NDV68"/>
      <c r="NDW68"/>
      <c r="NDX68"/>
      <c r="NDY68"/>
      <c r="NDZ68"/>
      <c r="NEA68"/>
      <c r="NEB68"/>
      <c r="NEC68"/>
      <c r="NED68"/>
      <c r="NEE68"/>
      <c r="NEF68"/>
      <c r="NEG68"/>
      <c r="NEH68"/>
      <c r="NEI68"/>
      <c r="NEJ68"/>
      <c r="NEK68"/>
      <c r="NEL68"/>
      <c r="NEM68"/>
      <c r="NEN68"/>
      <c r="NEO68"/>
      <c r="NEP68"/>
      <c r="NEQ68"/>
      <c r="NER68"/>
      <c r="NES68"/>
      <c r="NET68"/>
      <c r="NEU68"/>
      <c r="NEV68"/>
      <c r="NEW68"/>
      <c r="NEX68"/>
      <c r="NEY68"/>
      <c r="NEZ68"/>
      <c r="NFA68"/>
      <c r="NFB68"/>
      <c r="NFC68"/>
      <c r="NFD68"/>
      <c r="NFE68"/>
      <c r="NFF68"/>
      <c r="NFG68"/>
      <c r="NFH68"/>
      <c r="NFI68"/>
      <c r="NFJ68"/>
      <c r="NFK68"/>
      <c r="NFL68"/>
      <c r="NFM68"/>
      <c r="NFN68"/>
      <c r="NFO68"/>
      <c r="NFP68"/>
      <c r="NFQ68"/>
      <c r="NFR68"/>
      <c r="NFS68"/>
      <c r="NFT68"/>
      <c r="NFU68"/>
      <c r="NFV68"/>
      <c r="NFW68"/>
      <c r="NFX68"/>
      <c r="NFY68"/>
      <c r="NFZ68"/>
      <c r="NGA68"/>
      <c r="NGB68"/>
      <c r="NGC68"/>
      <c r="NGD68"/>
      <c r="NGE68"/>
      <c r="NGF68"/>
      <c r="NGG68"/>
      <c r="NGH68"/>
      <c r="NGI68"/>
      <c r="NGJ68"/>
      <c r="NGK68"/>
      <c r="NGL68"/>
      <c r="NGM68"/>
      <c r="NGN68"/>
      <c r="NGO68"/>
      <c r="NGP68"/>
      <c r="NGQ68"/>
      <c r="NGR68"/>
      <c r="NGS68"/>
      <c r="NGT68"/>
      <c r="NGU68"/>
      <c r="NGV68"/>
      <c r="NGW68"/>
      <c r="NGX68"/>
      <c r="NGY68"/>
      <c r="NGZ68"/>
      <c r="NHA68"/>
      <c r="NHB68"/>
      <c r="NHC68"/>
      <c r="NHD68"/>
      <c r="NHE68"/>
      <c r="NHF68"/>
      <c r="NHG68"/>
      <c r="NHH68"/>
      <c r="NHI68"/>
      <c r="NHJ68"/>
      <c r="NHK68"/>
      <c r="NHL68"/>
      <c r="NHM68"/>
      <c r="NHN68"/>
      <c r="NHO68"/>
      <c r="NHP68"/>
      <c r="NHQ68"/>
      <c r="NHR68"/>
      <c r="NHS68"/>
      <c r="NHT68"/>
      <c r="NHU68"/>
      <c r="NHV68"/>
      <c r="NHW68"/>
      <c r="NHX68"/>
      <c r="NHY68"/>
      <c r="NHZ68"/>
      <c r="NIA68"/>
      <c r="NIB68"/>
      <c r="NIC68"/>
      <c r="NID68"/>
      <c r="NIE68"/>
      <c r="NIF68"/>
      <c r="NIG68"/>
      <c r="NIH68"/>
      <c r="NII68"/>
      <c r="NIJ68"/>
      <c r="NIK68"/>
      <c r="NIL68"/>
      <c r="NIM68"/>
      <c r="NIN68"/>
      <c r="NIO68"/>
      <c r="NIP68"/>
      <c r="NIQ68"/>
      <c r="NIR68"/>
      <c r="NIS68"/>
      <c r="NIT68"/>
      <c r="NIU68"/>
      <c r="NIV68"/>
      <c r="NIW68"/>
      <c r="NIX68"/>
      <c r="NIY68"/>
      <c r="NIZ68"/>
      <c r="NJA68"/>
      <c r="NJB68"/>
      <c r="NJC68"/>
      <c r="NJD68"/>
      <c r="NJE68"/>
      <c r="NJF68"/>
      <c r="NJG68"/>
      <c r="NJH68"/>
      <c r="NJI68"/>
      <c r="NJJ68"/>
      <c r="NJK68"/>
      <c r="NJL68"/>
      <c r="NJM68"/>
      <c r="NJN68"/>
      <c r="NJO68"/>
      <c r="NJP68"/>
      <c r="NJQ68"/>
      <c r="NJR68"/>
      <c r="NJS68"/>
      <c r="NJT68"/>
      <c r="NJU68"/>
      <c r="NJV68"/>
      <c r="NJW68"/>
      <c r="NJX68"/>
      <c r="NJY68"/>
      <c r="NJZ68"/>
      <c r="NKA68"/>
      <c r="NKB68"/>
      <c r="NKC68"/>
      <c r="NKD68"/>
      <c r="NKE68"/>
      <c r="NKF68"/>
      <c r="NKG68"/>
      <c r="NKH68"/>
      <c r="NKI68"/>
      <c r="NKJ68"/>
      <c r="NKK68"/>
      <c r="NKL68"/>
      <c r="NKM68"/>
      <c r="NKN68"/>
      <c r="NKO68"/>
      <c r="NKP68"/>
      <c r="NKQ68"/>
      <c r="NKR68"/>
      <c r="NKS68"/>
      <c r="NKT68"/>
      <c r="NKU68"/>
      <c r="NKV68"/>
      <c r="NKW68"/>
      <c r="NKX68"/>
      <c r="NKY68"/>
      <c r="NKZ68"/>
      <c r="NLA68"/>
      <c r="NLB68"/>
      <c r="NLC68"/>
      <c r="NLD68"/>
      <c r="NLE68"/>
      <c r="NLF68"/>
      <c r="NLG68"/>
      <c r="NLH68"/>
      <c r="NLI68"/>
      <c r="NLJ68"/>
      <c r="NLK68"/>
      <c r="NLL68"/>
      <c r="NLM68"/>
      <c r="NLN68"/>
      <c r="NLO68"/>
      <c r="NLP68"/>
      <c r="NLQ68"/>
      <c r="NLR68"/>
      <c r="NLS68"/>
      <c r="NLT68"/>
      <c r="NLU68"/>
      <c r="NLV68"/>
      <c r="NLW68"/>
      <c r="NLX68"/>
      <c r="NLY68"/>
      <c r="NLZ68"/>
      <c r="NMA68"/>
      <c r="NMB68"/>
      <c r="NMC68"/>
      <c r="NMD68"/>
      <c r="NME68"/>
      <c r="NMF68"/>
      <c r="NMG68"/>
      <c r="NMH68"/>
      <c r="NMI68"/>
      <c r="NMJ68"/>
      <c r="NMK68"/>
      <c r="NML68"/>
      <c r="NMM68"/>
      <c r="NMN68"/>
      <c r="NMO68"/>
      <c r="NMP68"/>
      <c r="NMQ68"/>
      <c r="NMR68"/>
      <c r="NMS68"/>
      <c r="NMT68"/>
      <c r="NMU68"/>
      <c r="NMV68"/>
      <c r="NMW68"/>
      <c r="NMX68"/>
      <c r="NMY68"/>
      <c r="NMZ68"/>
      <c r="NNA68"/>
      <c r="NNB68"/>
      <c r="NNC68"/>
      <c r="NND68"/>
      <c r="NNE68"/>
      <c r="NNF68"/>
      <c r="NNG68"/>
      <c r="NNH68"/>
      <c r="NNI68"/>
      <c r="NNJ68"/>
      <c r="NNK68"/>
      <c r="NNL68"/>
      <c r="NNM68"/>
      <c r="NNN68"/>
      <c r="NNO68"/>
      <c r="NNP68"/>
      <c r="NNQ68"/>
      <c r="NNR68"/>
      <c r="NNS68"/>
      <c r="NNT68"/>
      <c r="NNU68"/>
      <c r="NNV68"/>
      <c r="NNW68"/>
      <c r="NNX68"/>
      <c r="NNY68"/>
      <c r="NNZ68"/>
      <c r="NOA68"/>
      <c r="NOB68"/>
      <c r="NOC68"/>
      <c r="NOD68"/>
      <c r="NOE68"/>
      <c r="NOF68"/>
      <c r="NOG68"/>
      <c r="NOH68"/>
      <c r="NOI68"/>
      <c r="NOJ68"/>
      <c r="NOK68"/>
      <c r="NOL68"/>
      <c r="NOM68"/>
      <c r="NON68"/>
      <c r="NOO68"/>
      <c r="NOP68"/>
      <c r="NOQ68"/>
      <c r="NOR68"/>
      <c r="NOS68"/>
      <c r="NOT68"/>
      <c r="NOU68"/>
      <c r="NOV68"/>
      <c r="NOW68"/>
      <c r="NOX68"/>
      <c r="NOY68"/>
      <c r="NOZ68"/>
      <c r="NPA68"/>
      <c r="NPB68"/>
      <c r="NPC68"/>
      <c r="NPD68"/>
      <c r="NPE68"/>
      <c r="NPF68"/>
      <c r="NPG68"/>
      <c r="NPH68"/>
      <c r="NPI68"/>
      <c r="NPJ68"/>
      <c r="NPK68"/>
      <c r="NPL68"/>
      <c r="NPM68"/>
      <c r="NPN68"/>
      <c r="NPO68"/>
      <c r="NPP68"/>
      <c r="NPQ68"/>
      <c r="NPR68"/>
      <c r="NPS68"/>
      <c r="NPT68"/>
      <c r="NPU68"/>
      <c r="NPV68"/>
      <c r="NPW68"/>
      <c r="NPX68"/>
      <c r="NPY68"/>
      <c r="NPZ68"/>
      <c r="NQA68"/>
      <c r="NQB68"/>
      <c r="NQC68"/>
      <c r="NQD68"/>
      <c r="NQE68"/>
      <c r="NQF68"/>
      <c r="NQG68"/>
      <c r="NQH68"/>
      <c r="NQI68"/>
      <c r="NQJ68"/>
      <c r="NQK68"/>
      <c r="NQL68"/>
      <c r="NQM68"/>
      <c r="NQN68"/>
      <c r="NQO68"/>
      <c r="NQP68"/>
      <c r="NQQ68"/>
      <c r="NQR68"/>
      <c r="NQS68"/>
      <c r="NQT68"/>
      <c r="NQU68"/>
      <c r="NQV68"/>
      <c r="NQW68"/>
      <c r="NQX68"/>
      <c r="NQY68"/>
      <c r="NQZ68"/>
      <c r="NRA68"/>
      <c r="NRB68"/>
      <c r="NRC68"/>
      <c r="NRD68"/>
      <c r="NRE68"/>
      <c r="NRF68"/>
      <c r="NRG68"/>
      <c r="NRH68"/>
      <c r="NRI68"/>
      <c r="NRJ68"/>
      <c r="NRK68"/>
      <c r="NRL68"/>
      <c r="NRM68"/>
      <c r="NRN68"/>
      <c r="NRO68"/>
      <c r="NRP68"/>
      <c r="NRQ68"/>
      <c r="NRR68"/>
      <c r="NRS68"/>
      <c r="NRT68"/>
      <c r="NRU68"/>
      <c r="NRV68"/>
      <c r="NRW68"/>
      <c r="NRX68"/>
      <c r="NRY68"/>
      <c r="NRZ68"/>
      <c r="NSA68"/>
      <c r="NSB68"/>
      <c r="NSC68"/>
      <c r="NSD68"/>
      <c r="NSE68"/>
      <c r="NSF68"/>
      <c r="NSG68"/>
      <c r="NSH68"/>
      <c r="NSI68"/>
      <c r="NSJ68"/>
      <c r="NSK68"/>
      <c r="NSL68"/>
      <c r="NSM68"/>
      <c r="NSN68"/>
      <c r="NSO68"/>
      <c r="NSP68"/>
      <c r="NSQ68"/>
      <c r="NSR68"/>
      <c r="NSS68"/>
      <c r="NST68"/>
      <c r="NSU68"/>
      <c r="NSV68"/>
      <c r="NSW68"/>
      <c r="NSX68"/>
      <c r="NSY68"/>
      <c r="NSZ68"/>
      <c r="NTA68"/>
      <c r="NTB68"/>
      <c r="NTC68"/>
      <c r="NTD68"/>
      <c r="NTE68"/>
      <c r="NTF68"/>
      <c r="NTG68"/>
      <c r="NTH68"/>
      <c r="NTI68"/>
      <c r="NTJ68"/>
      <c r="NTK68"/>
      <c r="NTL68"/>
      <c r="NTM68"/>
      <c r="NTN68"/>
      <c r="NTO68"/>
      <c r="NTP68"/>
      <c r="NTQ68"/>
      <c r="NTR68"/>
      <c r="NTS68"/>
      <c r="NTT68"/>
      <c r="NTU68"/>
      <c r="NTV68"/>
      <c r="NTW68"/>
      <c r="NTX68"/>
      <c r="NTY68"/>
      <c r="NTZ68"/>
      <c r="NUA68"/>
      <c r="NUB68"/>
      <c r="NUC68"/>
      <c r="NUD68"/>
      <c r="NUE68"/>
      <c r="NUF68"/>
      <c r="NUG68"/>
      <c r="NUH68"/>
      <c r="NUI68"/>
      <c r="NUJ68"/>
      <c r="NUK68"/>
      <c r="NUL68"/>
      <c r="NUM68"/>
      <c r="NUN68"/>
      <c r="NUO68"/>
      <c r="NUP68"/>
      <c r="NUQ68"/>
      <c r="NUR68"/>
      <c r="NUS68"/>
      <c r="NUT68"/>
      <c r="NUU68"/>
      <c r="NUV68"/>
      <c r="NUW68"/>
      <c r="NUX68"/>
      <c r="NUY68"/>
      <c r="NUZ68"/>
      <c r="NVA68"/>
      <c r="NVB68"/>
      <c r="NVC68"/>
      <c r="NVD68"/>
      <c r="NVE68"/>
      <c r="NVF68"/>
      <c r="NVG68"/>
      <c r="NVH68"/>
      <c r="NVI68"/>
      <c r="NVJ68"/>
      <c r="NVK68"/>
      <c r="NVL68"/>
      <c r="NVM68"/>
      <c r="NVN68"/>
      <c r="NVO68"/>
      <c r="NVP68"/>
      <c r="NVQ68"/>
      <c r="NVR68"/>
      <c r="NVS68"/>
      <c r="NVT68"/>
      <c r="NVU68"/>
      <c r="NVV68"/>
      <c r="NVW68"/>
      <c r="NVX68"/>
      <c r="NVY68"/>
      <c r="NVZ68"/>
      <c r="NWA68"/>
      <c r="NWB68"/>
      <c r="NWC68"/>
      <c r="NWD68"/>
      <c r="NWE68"/>
      <c r="NWF68"/>
      <c r="NWG68"/>
      <c r="NWH68"/>
      <c r="NWI68"/>
      <c r="NWJ68"/>
      <c r="NWK68"/>
      <c r="NWL68"/>
      <c r="NWM68"/>
      <c r="NWN68"/>
      <c r="NWO68"/>
      <c r="NWP68"/>
      <c r="NWQ68"/>
      <c r="NWR68"/>
      <c r="NWS68"/>
      <c r="NWT68"/>
      <c r="NWU68"/>
      <c r="NWV68"/>
      <c r="NWW68"/>
      <c r="NWX68"/>
      <c r="NWY68"/>
      <c r="NWZ68"/>
      <c r="NXA68"/>
      <c r="NXB68"/>
      <c r="NXC68"/>
      <c r="NXD68"/>
      <c r="NXE68"/>
      <c r="NXF68"/>
      <c r="NXG68"/>
      <c r="NXH68"/>
      <c r="NXI68"/>
      <c r="NXJ68"/>
      <c r="NXK68"/>
      <c r="NXL68"/>
      <c r="NXM68"/>
      <c r="NXN68"/>
      <c r="NXO68"/>
      <c r="NXP68"/>
      <c r="NXQ68"/>
      <c r="NXR68"/>
      <c r="NXS68"/>
      <c r="NXT68"/>
      <c r="NXU68"/>
      <c r="NXV68"/>
      <c r="NXW68"/>
      <c r="NXX68"/>
      <c r="NXY68"/>
      <c r="NXZ68"/>
      <c r="NYA68"/>
      <c r="NYB68"/>
      <c r="NYC68"/>
      <c r="NYD68"/>
      <c r="NYE68"/>
      <c r="NYF68"/>
      <c r="NYG68"/>
      <c r="NYH68"/>
      <c r="NYI68"/>
      <c r="NYJ68"/>
      <c r="NYK68"/>
      <c r="NYL68"/>
      <c r="NYM68"/>
      <c r="NYN68"/>
      <c r="NYO68"/>
      <c r="NYP68"/>
      <c r="NYQ68"/>
      <c r="NYR68"/>
      <c r="NYS68"/>
      <c r="NYT68"/>
      <c r="NYU68"/>
      <c r="NYV68"/>
      <c r="NYW68"/>
      <c r="NYX68"/>
      <c r="NYY68"/>
      <c r="NYZ68"/>
      <c r="NZA68"/>
      <c r="NZB68"/>
      <c r="NZC68"/>
      <c r="NZD68"/>
      <c r="NZE68"/>
      <c r="NZF68"/>
      <c r="NZG68"/>
      <c r="NZH68"/>
      <c r="NZI68"/>
      <c r="NZJ68"/>
      <c r="NZK68"/>
      <c r="NZL68"/>
      <c r="NZM68"/>
      <c r="NZN68"/>
      <c r="NZO68"/>
      <c r="NZP68"/>
      <c r="NZQ68"/>
      <c r="NZR68"/>
      <c r="NZS68"/>
      <c r="NZT68"/>
      <c r="NZU68"/>
      <c r="NZV68"/>
      <c r="NZW68"/>
      <c r="NZX68"/>
      <c r="NZY68"/>
      <c r="NZZ68"/>
      <c r="OAA68"/>
      <c r="OAB68"/>
      <c r="OAC68"/>
      <c r="OAD68"/>
      <c r="OAE68"/>
      <c r="OAF68"/>
      <c r="OAG68"/>
      <c r="OAH68"/>
      <c r="OAI68"/>
      <c r="OAJ68"/>
      <c r="OAK68"/>
      <c r="OAL68"/>
      <c r="OAM68"/>
      <c r="OAN68"/>
      <c r="OAO68"/>
      <c r="OAP68"/>
      <c r="OAQ68"/>
      <c r="OAR68"/>
      <c r="OAS68"/>
      <c r="OAT68"/>
      <c r="OAU68"/>
      <c r="OAV68"/>
      <c r="OAW68"/>
      <c r="OAX68"/>
      <c r="OAY68"/>
      <c r="OAZ68"/>
      <c r="OBA68"/>
      <c r="OBB68"/>
      <c r="OBC68"/>
      <c r="OBD68"/>
      <c r="OBE68"/>
      <c r="OBF68"/>
      <c r="OBG68"/>
      <c r="OBH68"/>
      <c r="OBI68"/>
      <c r="OBJ68"/>
      <c r="OBK68"/>
      <c r="OBL68"/>
      <c r="OBM68"/>
      <c r="OBN68"/>
      <c r="OBO68"/>
      <c r="OBP68"/>
      <c r="OBQ68"/>
      <c r="OBR68"/>
      <c r="OBS68"/>
      <c r="OBT68"/>
      <c r="OBU68"/>
      <c r="OBV68"/>
      <c r="OBW68"/>
      <c r="OBX68"/>
      <c r="OBY68"/>
      <c r="OBZ68"/>
      <c r="OCA68"/>
      <c r="OCB68"/>
      <c r="OCC68"/>
      <c r="OCD68"/>
      <c r="OCE68"/>
      <c r="OCF68"/>
      <c r="OCG68"/>
      <c r="OCH68"/>
      <c r="OCI68"/>
      <c r="OCJ68"/>
      <c r="OCK68"/>
      <c r="OCL68"/>
      <c r="OCM68"/>
      <c r="OCN68"/>
      <c r="OCO68"/>
      <c r="OCP68"/>
      <c r="OCQ68"/>
      <c r="OCR68"/>
      <c r="OCS68"/>
      <c r="OCT68"/>
      <c r="OCU68"/>
      <c r="OCV68"/>
      <c r="OCW68"/>
      <c r="OCX68"/>
      <c r="OCY68"/>
      <c r="OCZ68"/>
      <c r="ODA68"/>
      <c r="ODB68"/>
      <c r="ODC68"/>
      <c r="ODD68"/>
      <c r="ODE68"/>
      <c r="ODF68"/>
      <c r="ODG68"/>
      <c r="ODH68"/>
      <c r="ODI68"/>
      <c r="ODJ68"/>
      <c r="ODK68"/>
      <c r="ODL68"/>
      <c r="ODM68"/>
      <c r="ODN68"/>
      <c r="ODO68"/>
      <c r="ODP68"/>
      <c r="ODQ68"/>
      <c r="ODR68"/>
      <c r="ODS68"/>
      <c r="ODT68"/>
      <c r="ODU68"/>
      <c r="ODV68"/>
      <c r="ODW68"/>
      <c r="ODX68"/>
      <c r="ODY68"/>
      <c r="ODZ68"/>
      <c r="OEA68"/>
      <c r="OEB68"/>
      <c r="OEC68"/>
      <c r="OED68"/>
      <c r="OEE68"/>
      <c r="OEF68"/>
      <c r="OEG68"/>
      <c r="OEH68"/>
      <c r="OEI68"/>
      <c r="OEJ68"/>
      <c r="OEK68"/>
      <c r="OEL68"/>
      <c r="OEM68"/>
      <c r="OEN68"/>
      <c r="OEO68"/>
      <c r="OEP68"/>
      <c r="OEQ68"/>
      <c r="OER68"/>
      <c r="OES68"/>
      <c r="OET68"/>
      <c r="OEU68"/>
      <c r="OEV68"/>
      <c r="OEW68"/>
      <c r="OEX68"/>
      <c r="OEY68"/>
      <c r="OEZ68"/>
      <c r="OFA68"/>
      <c r="OFB68"/>
      <c r="OFC68"/>
      <c r="OFD68"/>
      <c r="OFE68"/>
      <c r="OFF68"/>
      <c r="OFG68"/>
      <c r="OFH68"/>
      <c r="OFI68"/>
      <c r="OFJ68"/>
      <c r="OFK68"/>
      <c r="OFL68"/>
      <c r="OFM68"/>
      <c r="OFN68"/>
      <c r="OFO68"/>
      <c r="OFP68"/>
      <c r="OFQ68"/>
      <c r="OFR68"/>
      <c r="OFS68"/>
      <c r="OFT68"/>
      <c r="OFU68"/>
      <c r="OFV68"/>
      <c r="OFW68"/>
      <c r="OFX68"/>
      <c r="OFY68"/>
      <c r="OFZ68"/>
      <c r="OGA68"/>
      <c r="OGB68"/>
      <c r="OGC68"/>
      <c r="OGD68"/>
      <c r="OGE68"/>
      <c r="OGF68"/>
      <c r="OGG68"/>
      <c r="OGH68"/>
      <c r="OGI68"/>
      <c r="OGJ68"/>
      <c r="OGK68"/>
      <c r="OGL68"/>
      <c r="OGM68"/>
      <c r="OGN68"/>
      <c r="OGO68"/>
      <c r="OGP68"/>
      <c r="OGQ68"/>
      <c r="OGR68"/>
      <c r="OGS68"/>
      <c r="OGT68"/>
      <c r="OGU68"/>
      <c r="OGV68"/>
      <c r="OGW68"/>
      <c r="OGX68"/>
      <c r="OGY68"/>
      <c r="OGZ68"/>
      <c r="OHA68"/>
      <c r="OHB68"/>
      <c r="OHC68"/>
      <c r="OHD68"/>
      <c r="OHE68"/>
      <c r="OHF68"/>
      <c r="OHG68"/>
      <c r="OHH68"/>
      <c r="OHI68"/>
      <c r="OHJ68"/>
      <c r="OHK68"/>
      <c r="OHL68"/>
      <c r="OHM68"/>
      <c r="OHN68"/>
      <c r="OHO68"/>
      <c r="OHP68"/>
      <c r="OHQ68"/>
      <c r="OHR68"/>
      <c r="OHS68"/>
      <c r="OHT68"/>
      <c r="OHU68"/>
      <c r="OHV68"/>
      <c r="OHW68"/>
      <c r="OHX68"/>
      <c r="OHY68"/>
      <c r="OHZ68"/>
      <c r="OIA68"/>
      <c r="OIB68"/>
      <c r="OIC68"/>
      <c r="OID68"/>
      <c r="OIE68"/>
      <c r="OIF68"/>
      <c r="OIG68"/>
      <c r="OIH68"/>
      <c r="OII68"/>
      <c r="OIJ68"/>
      <c r="OIK68"/>
      <c r="OIL68"/>
      <c r="OIM68"/>
      <c r="OIN68"/>
      <c r="OIO68"/>
      <c r="OIP68"/>
      <c r="OIQ68"/>
      <c r="OIR68"/>
      <c r="OIS68"/>
      <c r="OIT68"/>
      <c r="OIU68"/>
      <c r="OIV68"/>
      <c r="OIW68"/>
      <c r="OIX68"/>
      <c r="OIY68"/>
      <c r="OIZ68"/>
      <c r="OJA68"/>
      <c r="OJB68"/>
      <c r="OJC68"/>
      <c r="OJD68"/>
      <c r="OJE68"/>
      <c r="OJF68"/>
      <c r="OJG68"/>
      <c r="OJH68"/>
      <c r="OJI68"/>
      <c r="OJJ68"/>
      <c r="OJK68"/>
      <c r="OJL68"/>
      <c r="OJM68"/>
      <c r="OJN68"/>
      <c r="OJO68"/>
      <c r="OJP68"/>
      <c r="OJQ68"/>
      <c r="OJR68"/>
      <c r="OJS68"/>
      <c r="OJT68"/>
      <c r="OJU68"/>
      <c r="OJV68"/>
      <c r="OJW68"/>
      <c r="OJX68"/>
      <c r="OJY68"/>
      <c r="OJZ68"/>
      <c r="OKA68"/>
      <c r="OKB68"/>
      <c r="OKC68"/>
      <c r="OKD68"/>
      <c r="OKE68"/>
      <c r="OKF68"/>
      <c r="OKG68"/>
      <c r="OKH68"/>
      <c r="OKI68"/>
      <c r="OKJ68"/>
      <c r="OKK68"/>
      <c r="OKL68"/>
      <c r="OKM68"/>
      <c r="OKN68"/>
      <c r="OKO68"/>
      <c r="OKP68"/>
      <c r="OKQ68"/>
      <c r="OKR68"/>
      <c r="OKS68"/>
      <c r="OKT68"/>
      <c r="OKU68"/>
      <c r="OKV68"/>
      <c r="OKW68"/>
      <c r="OKX68"/>
      <c r="OKY68"/>
      <c r="OKZ68"/>
      <c r="OLA68"/>
      <c r="OLB68"/>
      <c r="OLC68"/>
      <c r="OLD68"/>
      <c r="OLE68"/>
      <c r="OLF68"/>
      <c r="OLG68"/>
      <c r="OLH68"/>
      <c r="OLI68"/>
      <c r="OLJ68"/>
      <c r="OLK68"/>
      <c r="OLL68"/>
      <c r="OLM68"/>
      <c r="OLN68"/>
      <c r="OLO68"/>
      <c r="OLP68"/>
      <c r="OLQ68"/>
      <c r="OLR68"/>
      <c r="OLS68"/>
      <c r="OLT68"/>
      <c r="OLU68"/>
      <c r="OLV68"/>
      <c r="OLW68"/>
      <c r="OLX68"/>
      <c r="OLY68"/>
      <c r="OLZ68"/>
      <c r="OMA68"/>
      <c r="OMB68"/>
      <c r="OMC68"/>
      <c r="OMD68"/>
      <c r="OME68"/>
      <c r="OMF68"/>
      <c r="OMG68"/>
      <c r="OMH68"/>
      <c r="OMI68"/>
      <c r="OMJ68"/>
      <c r="OMK68"/>
      <c r="OML68"/>
      <c r="OMM68"/>
      <c r="OMN68"/>
      <c r="OMO68"/>
      <c r="OMP68"/>
      <c r="OMQ68"/>
      <c r="OMR68"/>
      <c r="OMS68"/>
      <c r="OMT68"/>
      <c r="OMU68"/>
      <c r="OMV68"/>
      <c r="OMW68"/>
      <c r="OMX68"/>
      <c r="OMY68"/>
      <c r="OMZ68"/>
      <c r="ONA68"/>
      <c r="ONB68"/>
      <c r="ONC68"/>
      <c r="OND68"/>
      <c r="ONE68"/>
      <c r="ONF68"/>
      <c r="ONG68"/>
      <c r="ONH68"/>
      <c r="ONI68"/>
      <c r="ONJ68"/>
      <c r="ONK68"/>
      <c r="ONL68"/>
      <c r="ONM68"/>
      <c r="ONN68"/>
      <c r="ONO68"/>
      <c r="ONP68"/>
      <c r="ONQ68"/>
      <c r="ONR68"/>
      <c r="ONS68"/>
      <c r="ONT68"/>
      <c r="ONU68"/>
      <c r="ONV68"/>
      <c r="ONW68"/>
      <c r="ONX68"/>
      <c r="ONY68"/>
      <c r="ONZ68"/>
      <c r="OOA68"/>
      <c r="OOB68"/>
      <c r="OOC68"/>
      <c r="OOD68"/>
      <c r="OOE68"/>
      <c r="OOF68"/>
      <c r="OOG68"/>
      <c r="OOH68"/>
      <c r="OOI68"/>
      <c r="OOJ68"/>
      <c r="OOK68"/>
      <c r="OOL68"/>
      <c r="OOM68"/>
      <c r="OON68"/>
      <c r="OOO68"/>
      <c r="OOP68"/>
      <c r="OOQ68"/>
      <c r="OOR68"/>
      <c r="OOS68"/>
      <c r="OOT68"/>
      <c r="OOU68"/>
      <c r="OOV68"/>
      <c r="OOW68"/>
      <c r="OOX68"/>
      <c r="OOY68"/>
      <c r="OOZ68"/>
      <c r="OPA68"/>
      <c r="OPB68"/>
      <c r="OPC68"/>
      <c r="OPD68"/>
      <c r="OPE68"/>
      <c r="OPF68"/>
      <c r="OPG68"/>
      <c r="OPH68"/>
      <c r="OPI68"/>
      <c r="OPJ68"/>
      <c r="OPK68"/>
      <c r="OPL68"/>
      <c r="OPM68"/>
      <c r="OPN68"/>
      <c r="OPO68"/>
      <c r="OPP68"/>
      <c r="OPQ68"/>
      <c r="OPR68"/>
      <c r="OPS68"/>
      <c r="OPT68"/>
      <c r="OPU68"/>
      <c r="OPV68"/>
      <c r="OPW68"/>
      <c r="OPX68"/>
      <c r="OPY68"/>
      <c r="OPZ68"/>
      <c r="OQA68"/>
      <c r="OQB68"/>
      <c r="OQC68"/>
      <c r="OQD68"/>
      <c r="OQE68"/>
      <c r="OQF68"/>
      <c r="OQG68"/>
      <c r="OQH68"/>
      <c r="OQI68"/>
      <c r="OQJ68"/>
      <c r="OQK68"/>
      <c r="OQL68"/>
      <c r="OQM68"/>
      <c r="OQN68"/>
      <c r="OQO68"/>
      <c r="OQP68"/>
      <c r="OQQ68"/>
      <c r="OQR68"/>
      <c r="OQS68"/>
      <c r="OQT68"/>
      <c r="OQU68"/>
      <c r="OQV68"/>
      <c r="OQW68"/>
      <c r="OQX68"/>
      <c r="OQY68"/>
      <c r="OQZ68"/>
      <c r="ORA68"/>
      <c r="ORB68"/>
      <c r="ORC68"/>
      <c r="ORD68"/>
      <c r="ORE68"/>
      <c r="ORF68"/>
      <c r="ORG68"/>
      <c r="ORH68"/>
      <c r="ORI68"/>
      <c r="ORJ68"/>
      <c r="ORK68"/>
      <c r="ORL68"/>
      <c r="ORM68"/>
      <c r="ORN68"/>
      <c r="ORO68"/>
      <c r="ORP68"/>
      <c r="ORQ68"/>
      <c r="ORR68"/>
      <c r="ORS68"/>
      <c r="ORT68"/>
      <c r="ORU68"/>
      <c r="ORV68"/>
      <c r="ORW68"/>
      <c r="ORX68"/>
      <c r="ORY68"/>
      <c r="ORZ68"/>
      <c r="OSA68"/>
      <c r="OSB68"/>
      <c r="OSC68"/>
      <c r="OSD68"/>
      <c r="OSE68"/>
      <c r="OSF68"/>
      <c r="OSG68"/>
      <c r="OSH68"/>
      <c r="OSI68"/>
      <c r="OSJ68"/>
      <c r="OSK68"/>
      <c r="OSL68"/>
      <c r="OSM68"/>
      <c r="OSN68"/>
      <c r="OSO68"/>
      <c r="OSP68"/>
      <c r="OSQ68"/>
      <c r="OSR68"/>
      <c r="OSS68"/>
      <c r="OST68"/>
      <c r="OSU68"/>
      <c r="OSV68"/>
      <c r="OSW68"/>
      <c r="OSX68"/>
      <c r="OSY68"/>
      <c r="OSZ68"/>
      <c r="OTA68"/>
      <c r="OTB68"/>
      <c r="OTC68"/>
      <c r="OTD68"/>
      <c r="OTE68"/>
      <c r="OTF68"/>
      <c r="OTG68"/>
      <c r="OTH68"/>
      <c r="OTI68"/>
      <c r="OTJ68"/>
      <c r="OTK68"/>
      <c r="OTL68"/>
      <c r="OTM68"/>
      <c r="OTN68"/>
      <c r="OTO68"/>
      <c r="OTP68"/>
      <c r="OTQ68"/>
      <c r="OTR68"/>
      <c r="OTS68"/>
      <c r="OTT68"/>
      <c r="OTU68"/>
      <c r="OTV68"/>
      <c r="OTW68"/>
      <c r="OTX68"/>
      <c r="OTY68"/>
      <c r="OTZ68"/>
      <c r="OUA68"/>
      <c r="OUB68"/>
      <c r="OUC68"/>
      <c r="OUD68"/>
      <c r="OUE68"/>
      <c r="OUF68"/>
      <c r="OUG68"/>
      <c r="OUH68"/>
      <c r="OUI68"/>
      <c r="OUJ68"/>
      <c r="OUK68"/>
      <c r="OUL68"/>
      <c r="OUM68"/>
      <c r="OUN68"/>
      <c r="OUO68"/>
      <c r="OUP68"/>
      <c r="OUQ68"/>
      <c r="OUR68"/>
      <c r="OUS68"/>
      <c r="OUT68"/>
      <c r="OUU68"/>
      <c r="OUV68"/>
      <c r="OUW68"/>
      <c r="OUX68"/>
      <c r="OUY68"/>
      <c r="OUZ68"/>
      <c r="OVA68"/>
      <c r="OVB68"/>
      <c r="OVC68"/>
      <c r="OVD68"/>
      <c r="OVE68"/>
      <c r="OVF68"/>
      <c r="OVG68"/>
      <c r="OVH68"/>
      <c r="OVI68"/>
      <c r="OVJ68"/>
      <c r="OVK68"/>
      <c r="OVL68"/>
      <c r="OVM68"/>
      <c r="OVN68"/>
      <c r="OVO68"/>
      <c r="OVP68"/>
      <c r="OVQ68"/>
      <c r="OVR68"/>
      <c r="OVS68"/>
      <c r="OVT68"/>
      <c r="OVU68"/>
      <c r="OVV68"/>
      <c r="OVW68"/>
      <c r="OVX68"/>
      <c r="OVY68"/>
      <c r="OVZ68"/>
      <c r="OWA68"/>
      <c r="OWB68"/>
      <c r="OWC68"/>
      <c r="OWD68"/>
      <c r="OWE68"/>
      <c r="OWF68"/>
      <c r="OWG68"/>
      <c r="OWH68"/>
      <c r="OWI68"/>
      <c r="OWJ68"/>
      <c r="OWK68"/>
      <c r="OWL68"/>
      <c r="OWM68"/>
      <c r="OWN68"/>
      <c r="OWO68"/>
      <c r="OWP68"/>
      <c r="OWQ68"/>
      <c r="OWR68"/>
      <c r="OWS68"/>
      <c r="OWT68"/>
      <c r="OWU68"/>
      <c r="OWV68"/>
      <c r="OWW68"/>
      <c r="OWX68"/>
      <c r="OWY68"/>
      <c r="OWZ68"/>
      <c r="OXA68"/>
      <c r="OXB68"/>
      <c r="OXC68"/>
      <c r="OXD68"/>
      <c r="OXE68"/>
      <c r="OXF68"/>
      <c r="OXG68"/>
      <c r="OXH68"/>
      <c r="OXI68"/>
      <c r="OXJ68"/>
      <c r="OXK68"/>
      <c r="OXL68"/>
      <c r="OXM68"/>
      <c r="OXN68"/>
      <c r="OXO68"/>
      <c r="OXP68"/>
      <c r="OXQ68"/>
      <c r="OXR68"/>
      <c r="OXS68"/>
      <c r="OXT68"/>
      <c r="OXU68"/>
      <c r="OXV68"/>
      <c r="OXW68"/>
      <c r="OXX68"/>
      <c r="OXY68"/>
      <c r="OXZ68"/>
      <c r="OYA68"/>
      <c r="OYB68"/>
      <c r="OYC68"/>
      <c r="OYD68"/>
      <c r="OYE68"/>
      <c r="OYF68"/>
      <c r="OYG68"/>
      <c r="OYH68"/>
      <c r="OYI68"/>
      <c r="OYJ68"/>
      <c r="OYK68"/>
      <c r="OYL68"/>
      <c r="OYM68"/>
      <c r="OYN68"/>
      <c r="OYO68"/>
      <c r="OYP68"/>
      <c r="OYQ68"/>
      <c r="OYR68"/>
      <c r="OYS68"/>
      <c r="OYT68"/>
      <c r="OYU68"/>
      <c r="OYV68"/>
      <c r="OYW68"/>
      <c r="OYX68"/>
      <c r="OYY68"/>
      <c r="OYZ68"/>
      <c r="OZA68"/>
      <c r="OZB68"/>
      <c r="OZC68"/>
      <c r="OZD68"/>
      <c r="OZE68"/>
      <c r="OZF68"/>
      <c r="OZG68"/>
      <c r="OZH68"/>
      <c r="OZI68"/>
      <c r="OZJ68"/>
      <c r="OZK68"/>
      <c r="OZL68"/>
      <c r="OZM68"/>
      <c r="OZN68"/>
      <c r="OZO68"/>
      <c r="OZP68"/>
      <c r="OZQ68"/>
      <c r="OZR68"/>
      <c r="OZS68"/>
      <c r="OZT68"/>
      <c r="OZU68"/>
      <c r="OZV68"/>
      <c r="OZW68"/>
      <c r="OZX68"/>
      <c r="OZY68"/>
      <c r="OZZ68"/>
      <c r="PAA68"/>
      <c r="PAB68"/>
      <c r="PAC68"/>
      <c r="PAD68"/>
      <c r="PAE68"/>
      <c r="PAF68"/>
      <c r="PAG68"/>
      <c r="PAH68"/>
      <c r="PAI68"/>
      <c r="PAJ68"/>
      <c r="PAK68"/>
      <c r="PAL68"/>
      <c r="PAM68"/>
      <c r="PAN68"/>
      <c r="PAO68"/>
      <c r="PAP68"/>
      <c r="PAQ68"/>
      <c r="PAR68"/>
      <c r="PAS68"/>
      <c r="PAT68"/>
      <c r="PAU68"/>
      <c r="PAV68"/>
      <c r="PAW68"/>
      <c r="PAX68"/>
      <c r="PAY68"/>
      <c r="PAZ68"/>
      <c r="PBA68"/>
      <c r="PBB68"/>
      <c r="PBC68"/>
      <c r="PBD68"/>
      <c r="PBE68"/>
      <c r="PBF68"/>
      <c r="PBG68"/>
      <c r="PBH68"/>
      <c r="PBI68"/>
      <c r="PBJ68"/>
      <c r="PBK68"/>
      <c r="PBL68"/>
      <c r="PBM68"/>
      <c r="PBN68"/>
      <c r="PBO68"/>
      <c r="PBP68"/>
      <c r="PBQ68"/>
      <c r="PBR68"/>
      <c r="PBS68"/>
      <c r="PBT68"/>
      <c r="PBU68"/>
      <c r="PBV68"/>
      <c r="PBW68"/>
      <c r="PBX68"/>
      <c r="PBY68"/>
      <c r="PBZ68"/>
      <c r="PCA68"/>
      <c r="PCB68"/>
      <c r="PCC68"/>
      <c r="PCD68"/>
      <c r="PCE68"/>
      <c r="PCF68"/>
      <c r="PCG68"/>
      <c r="PCH68"/>
      <c r="PCI68"/>
      <c r="PCJ68"/>
      <c r="PCK68"/>
      <c r="PCL68"/>
      <c r="PCM68"/>
      <c r="PCN68"/>
      <c r="PCO68"/>
      <c r="PCP68"/>
      <c r="PCQ68"/>
      <c r="PCR68"/>
      <c r="PCS68"/>
      <c r="PCT68"/>
      <c r="PCU68"/>
      <c r="PCV68"/>
      <c r="PCW68"/>
      <c r="PCX68"/>
      <c r="PCY68"/>
      <c r="PCZ68"/>
      <c r="PDA68"/>
      <c r="PDB68"/>
      <c r="PDC68"/>
      <c r="PDD68"/>
      <c r="PDE68"/>
      <c r="PDF68"/>
      <c r="PDG68"/>
      <c r="PDH68"/>
      <c r="PDI68"/>
      <c r="PDJ68"/>
      <c r="PDK68"/>
      <c r="PDL68"/>
      <c r="PDM68"/>
      <c r="PDN68"/>
      <c r="PDO68"/>
      <c r="PDP68"/>
      <c r="PDQ68"/>
      <c r="PDR68"/>
      <c r="PDS68"/>
      <c r="PDT68"/>
      <c r="PDU68"/>
      <c r="PDV68"/>
      <c r="PDW68"/>
      <c r="PDX68"/>
      <c r="PDY68"/>
      <c r="PDZ68"/>
      <c r="PEA68"/>
      <c r="PEB68"/>
      <c r="PEC68"/>
      <c r="PED68"/>
      <c r="PEE68"/>
      <c r="PEF68"/>
      <c r="PEG68"/>
      <c r="PEH68"/>
      <c r="PEI68"/>
      <c r="PEJ68"/>
      <c r="PEK68"/>
      <c r="PEL68"/>
      <c r="PEM68"/>
      <c r="PEN68"/>
      <c r="PEO68"/>
      <c r="PEP68"/>
      <c r="PEQ68"/>
      <c r="PER68"/>
      <c r="PES68"/>
      <c r="PET68"/>
      <c r="PEU68"/>
      <c r="PEV68"/>
      <c r="PEW68"/>
      <c r="PEX68"/>
      <c r="PEY68"/>
      <c r="PEZ68"/>
      <c r="PFA68"/>
      <c r="PFB68"/>
      <c r="PFC68"/>
      <c r="PFD68"/>
      <c r="PFE68"/>
      <c r="PFF68"/>
      <c r="PFG68"/>
      <c r="PFH68"/>
      <c r="PFI68"/>
      <c r="PFJ68"/>
      <c r="PFK68"/>
      <c r="PFL68"/>
      <c r="PFM68"/>
      <c r="PFN68"/>
      <c r="PFO68"/>
      <c r="PFP68"/>
      <c r="PFQ68"/>
      <c r="PFR68"/>
      <c r="PFS68"/>
      <c r="PFT68"/>
      <c r="PFU68"/>
      <c r="PFV68"/>
      <c r="PFW68"/>
      <c r="PFX68"/>
      <c r="PFY68"/>
      <c r="PFZ68"/>
      <c r="PGA68"/>
      <c r="PGB68"/>
      <c r="PGC68"/>
      <c r="PGD68"/>
      <c r="PGE68"/>
      <c r="PGF68"/>
      <c r="PGG68"/>
      <c r="PGH68"/>
      <c r="PGI68"/>
      <c r="PGJ68"/>
      <c r="PGK68"/>
      <c r="PGL68"/>
      <c r="PGM68"/>
      <c r="PGN68"/>
      <c r="PGO68"/>
      <c r="PGP68"/>
      <c r="PGQ68"/>
      <c r="PGR68"/>
      <c r="PGS68"/>
      <c r="PGT68"/>
      <c r="PGU68"/>
      <c r="PGV68"/>
      <c r="PGW68"/>
      <c r="PGX68"/>
      <c r="PGY68"/>
      <c r="PGZ68"/>
      <c r="PHA68"/>
      <c r="PHB68"/>
      <c r="PHC68"/>
      <c r="PHD68"/>
      <c r="PHE68"/>
      <c r="PHF68"/>
      <c r="PHG68"/>
      <c r="PHH68"/>
      <c r="PHI68"/>
      <c r="PHJ68"/>
      <c r="PHK68"/>
      <c r="PHL68"/>
      <c r="PHM68"/>
      <c r="PHN68"/>
      <c r="PHO68"/>
      <c r="PHP68"/>
      <c r="PHQ68"/>
      <c r="PHR68"/>
      <c r="PHS68"/>
      <c r="PHT68"/>
      <c r="PHU68"/>
      <c r="PHV68"/>
      <c r="PHW68"/>
      <c r="PHX68"/>
      <c r="PHY68"/>
      <c r="PHZ68"/>
      <c r="PIA68"/>
      <c r="PIB68"/>
      <c r="PIC68"/>
      <c r="PID68"/>
      <c r="PIE68"/>
      <c r="PIF68"/>
      <c r="PIG68"/>
      <c r="PIH68"/>
      <c r="PII68"/>
      <c r="PIJ68"/>
      <c r="PIK68"/>
      <c r="PIL68"/>
      <c r="PIM68"/>
      <c r="PIN68"/>
      <c r="PIO68"/>
      <c r="PIP68"/>
      <c r="PIQ68"/>
      <c r="PIR68"/>
      <c r="PIS68"/>
      <c r="PIT68"/>
      <c r="PIU68"/>
      <c r="PIV68"/>
      <c r="PIW68"/>
      <c r="PIX68"/>
      <c r="PIY68"/>
      <c r="PIZ68"/>
      <c r="PJA68"/>
      <c r="PJB68"/>
      <c r="PJC68"/>
      <c r="PJD68"/>
      <c r="PJE68"/>
      <c r="PJF68"/>
      <c r="PJG68"/>
      <c r="PJH68"/>
      <c r="PJI68"/>
      <c r="PJJ68"/>
      <c r="PJK68"/>
      <c r="PJL68"/>
      <c r="PJM68"/>
      <c r="PJN68"/>
      <c r="PJO68"/>
      <c r="PJP68"/>
      <c r="PJQ68"/>
      <c r="PJR68"/>
      <c r="PJS68"/>
      <c r="PJT68"/>
      <c r="PJU68"/>
      <c r="PJV68"/>
      <c r="PJW68"/>
      <c r="PJX68"/>
      <c r="PJY68"/>
      <c r="PJZ68"/>
      <c r="PKA68"/>
      <c r="PKB68"/>
      <c r="PKC68"/>
      <c r="PKD68"/>
      <c r="PKE68"/>
      <c r="PKF68"/>
      <c r="PKG68"/>
      <c r="PKH68"/>
      <c r="PKI68"/>
      <c r="PKJ68"/>
      <c r="PKK68"/>
      <c r="PKL68"/>
      <c r="PKM68"/>
      <c r="PKN68"/>
      <c r="PKO68"/>
      <c r="PKP68"/>
      <c r="PKQ68"/>
      <c r="PKR68"/>
      <c r="PKS68"/>
      <c r="PKT68"/>
      <c r="PKU68"/>
      <c r="PKV68"/>
      <c r="PKW68"/>
      <c r="PKX68"/>
      <c r="PKY68"/>
      <c r="PKZ68"/>
      <c r="PLA68"/>
      <c r="PLB68"/>
      <c r="PLC68"/>
      <c r="PLD68"/>
      <c r="PLE68"/>
      <c r="PLF68"/>
      <c r="PLG68"/>
      <c r="PLH68"/>
      <c r="PLI68"/>
      <c r="PLJ68"/>
      <c r="PLK68"/>
      <c r="PLL68"/>
      <c r="PLM68"/>
      <c r="PLN68"/>
      <c r="PLO68"/>
      <c r="PLP68"/>
      <c r="PLQ68"/>
      <c r="PLR68"/>
      <c r="PLS68"/>
      <c r="PLT68"/>
      <c r="PLU68"/>
      <c r="PLV68"/>
      <c r="PLW68"/>
      <c r="PLX68"/>
      <c r="PLY68"/>
      <c r="PLZ68"/>
      <c r="PMA68"/>
      <c r="PMB68"/>
      <c r="PMC68"/>
      <c r="PMD68"/>
      <c r="PME68"/>
      <c r="PMF68"/>
      <c r="PMG68"/>
      <c r="PMH68"/>
      <c r="PMI68"/>
      <c r="PMJ68"/>
      <c r="PMK68"/>
      <c r="PML68"/>
      <c r="PMM68"/>
      <c r="PMN68"/>
      <c r="PMO68"/>
      <c r="PMP68"/>
      <c r="PMQ68"/>
      <c r="PMR68"/>
      <c r="PMS68"/>
      <c r="PMT68"/>
      <c r="PMU68"/>
      <c r="PMV68"/>
      <c r="PMW68"/>
      <c r="PMX68"/>
      <c r="PMY68"/>
      <c r="PMZ68"/>
      <c r="PNA68"/>
      <c r="PNB68"/>
      <c r="PNC68"/>
      <c r="PND68"/>
      <c r="PNE68"/>
      <c r="PNF68"/>
      <c r="PNG68"/>
      <c r="PNH68"/>
      <c r="PNI68"/>
      <c r="PNJ68"/>
      <c r="PNK68"/>
      <c r="PNL68"/>
      <c r="PNM68"/>
      <c r="PNN68"/>
      <c r="PNO68"/>
      <c r="PNP68"/>
      <c r="PNQ68"/>
      <c r="PNR68"/>
      <c r="PNS68"/>
      <c r="PNT68"/>
      <c r="PNU68"/>
      <c r="PNV68"/>
      <c r="PNW68"/>
      <c r="PNX68"/>
      <c r="PNY68"/>
      <c r="PNZ68"/>
      <c r="POA68"/>
      <c r="POB68"/>
      <c r="POC68"/>
      <c r="POD68"/>
      <c r="POE68"/>
      <c r="POF68"/>
      <c r="POG68"/>
      <c r="POH68"/>
      <c r="POI68"/>
      <c r="POJ68"/>
      <c r="POK68"/>
      <c r="POL68"/>
      <c r="POM68"/>
      <c r="PON68"/>
      <c r="POO68"/>
      <c r="POP68"/>
      <c r="POQ68"/>
      <c r="POR68"/>
      <c r="POS68"/>
      <c r="POT68"/>
      <c r="POU68"/>
      <c r="POV68"/>
      <c r="POW68"/>
      <c r="POX68"/>
      <c r="POY68"/>
      <c r="POZ68"/>
      <c r="PPA68"/>
      <c r="PPB68"/>
      <c r="PPC68"/>
      <c r="PPD68"/>
      <c r="PPE68"/>
      <c r="PPF68"/>
      <c r="PPG68"/>
      <c r="PPH68"/>
      <c r="PPI68"/>
      <c r="PPJ68"/>
      <c r="PPK68"/>
      <c r="PPL68"/>
      <c r="PPM68"/>
      <c r="PPN68"/>
      <c r="PPO68"/>
      <c r="PPP68"/>
      <c r="PPQ68"/>
      <c r="PPR68"/>
      <c r="PPS68"/>
      <c r="PPT68"/>
      <c r="PPU68"/>
      <c r="PPV68"/>
      <c r="PPW68"/>
      <c r="PPX68"/>
      <c r="PPY68"/>
      <c r="PPZ68"/>
      <c r="PQA68"/>
      <c r="PQB68"/>
      <c r="PQC68"/>
      <c r="PQD68"/>
      <c r="PQE68"/>
      <c r="PQF68"/>
      <c r="PQG68"/>
      <c r="PQH68"/>
      <c r="PQI68"/>
      <c r="PQJ68"/>
      <c r="PQK68"/>
      <c r="PQL68"/>
      <c r="PQM68"/>
      <c r="PQN68"/>
      <c r="PQO68"/>
      <c r="PQP68"/>
      <c r="PQQ68"/>
      <c r="PQR68"/>
      <c r="PQS68"/>
      <c r="PQT68"/>
      <c r="PQU68"/>
      <c r="PQV68"/>
      <c r="PQW68"/>
      <c r="PQX68"/>
      <c r="PQY68"/>
      <c r="PQZ68"/>
      <c r="PRA68"/>
      <c r="PRB68"/>
      <c r="PRC68"/>
      <c r="PRD68"/>
      <c r="PRE68"/>
      <c r="PRF68"/>
      <c r="PRG68"/>
      <c r="PRH68"/>
      <c r="PRI68"/>
      <c r="PRJ68"/>
      <c r="PRK68"/>
      <c r="PRL68"/>
      <c r="PRM68"/>
      <c r="PRN68"/>
      <c r="PRO68"/>
      <c r="PRP68"/>
      <c r="PRQ68"/>
      <c r="PRR68"/>
      <c r="PRS68"/>
      <c r="PRT68"/>
      <c r="PRU68"/>
      <c r="PRV68"/>
      <c r="PRW68"/>
      <c r="PRX68"/>
      <c r="PRY68"/>
      <c r="PRZ68"/>
      <c r="PSA68"/>
      <c r="PSB68"/>
      <c r="PSC68"/>
      <c r="PSD68"/>
      <c r="PSE68"/>
      <c r="PSF68"/>
      <c r="PSG68"/>
      <c r="PSH68"/>
      <c r="PSI68"/>
      <c r="PSJ68"/>
      <c r="PSK68"/>
      <c r="PSL68"/>
      <c r="PSM68"/>
      <c r="PSN68"/>
      <c r="PSO68"/>
      <c r="PSP68"/>
      <c r="PSQ68"/>
      <c r="PSR68"/>
      <c r="PSS68"/>
      <c r="PST68"/>
      <c r="PSU68"/>
      <c r="PSV68"/>
      <c r="PSW68"/>
      <c r="PSX68"/>
      <c r="PSY68"/>
      <c r="PSZ68"/>
      <c r="PTA68"/>
      <c r="PTB68"/>
      <c r="PTC68"/>
      <c r="PTD68"/>
      <c r="PTE68"/>
      <c r="PTF68"/>
      <c r="PTG68"/>
      <c r="PTH68"/>
      <c r="PTI68"/>
      <c r="PTJ68"/>
      <c r="PTK68"/>
      <c r="PTL68"/>
      <c r="PTM68"/>
      <c r="PTN68"/>
      <c r="PTO68"/>
      <c r="PTP68"/>
      <c r="PTQ68"/>
      <c r="PTR68"/>
      <c r="PTS68"/>
      <c r="PTT68"/>
      <c r="PTU68"/>
      <c r="PTV68"/>
      <c r="PTW68"/>
      <c r="PTX68"/>
      <c r="PTY68"/>
      <c r="PTZ68"/>
      <c r="PUA68"/>
      <c r="PUB68"/>
      <c r="PUC68"/>
      <c r="PUD68"/>
      <c r="PUE68"/>
      <c r="PUF68"/>
      <c r="PUG68"/>
      <c r="PUH68"/>
      <c r="PUI68"/>
      <c r="PUJ68"/>
      <c r="PUK68"/>
      <c r="PUL68"/>
      <c r="PUM68"/>
      <c r="PUN68"/>
      <c r="PUO68"/>
      <c r="PUP68"/>
      <c r="PUQ68"/>
      <c r="PUR68"/>
      <c r="PUS68"/>
      <c r="PUT68"/>
      <c r="PUU68"/>
      <c r="PUV68"/>
      <c r="PUW68"/>
      <c r="PUX68"/>
      <c r="PUY68"/>
      <c r="PUZ68"/>
      <c r="PVA68"/>
      <c r="PVB68"/>
      <c r="PVC68"/>
      <c r="PVD68"/>
      <c r="PVE68"/>
      <c r="PVF68"/>
      <c r="PVG68"/>
      <c r="PVH68"/>
      <c r="PVI68"/>
      <c r="PVJ68"/>
      <c r="PVK68"/>
      <c r="PVL68"/>
      <c r="PVM68"/>
      <c r="PVN68"/>
      <c r="PVO68"/>
      <c r="PVP68"/>
      <c r="PVQ68"/>
      <c r="PVR68"/>
      <c r="PVS68"/>
      <c r="PVT68"/>
      <c r="PVU68"/>
      <c r="PVV68"/>
      <c r="PVW68"/>
      <c r="PVX68"/>
      <c r="PVY68"/>
      <c r="PVZ68"/>
      <c r="PWA68"/>
      <c r="PWB68"/>
      <c r="PWC68"/>
      <c r="PWD68"/>
      <c r="PWE68"/>
      <c r="PWF68"/>
      <c r="PWG68"/>
      <c r="PWH68"/>
      <c r="PWI68"/>
      <c r="PWJ68"/>
      <c r="PWK68"/>
      <c r="PWL68"/>
      <c r="PWM68"/>
      <c r="PWN68"/>
      <c r="PWO68"/>
      <c r="PWP68"/>
      <c r="PWQ68"/>
      <c r="PWR68"/>
      <c r="PWS68"/>
      <c r="PWT68"/>
      <c r="PWU68"/>
      <c r="PWV68"/>
      <c r="PWW68"/>
      <c r="PWX68"/>
      <c r="PWY68"/>
      <c r="PWZ68"/>
      <c r="PXA68"/>
      <c r="PXB68"/>
      <c r="PXC68"/>
      <c r="PXD68"/>
      <c r="PXE68"/>
      <c r="PXF68"/>
      <c r="PXG68"/>
      <c r="PXH68"/>
      <c r="PXI68"/>
      <c r="PXJ68"/>
      <c r="PXK68"/>
      <c r="PXL68"/>
      <c r="PXM68"/>
      <c r="PXN68"/>
      <c r="PXO68"/>
      <c r="PXP68"/>
      <c r="PXQ68"/>
      <c r="PXR68"/>
      <c r="PXS68"/>
      <c r="PXT68"/>
      <c r="PXU68"/>
      <c r="PXV68"/>
      <c r="PXW68"/>
      <c r="PXX68"/>
      <c r="PXY68"/>
      <c r="PXZ68"/>
      <c r="PYA68"/>
      <c r="PYB68"/>
      <c r="PYC68"/>
      <c r="PYD68"/>
      <c r="PYE68"/>
      <c r="PYF68"/>
      <c r="PYG68"/>
      <c r="PYH68"/>
      <c r="PYI68"/>
      <c r="PYJ68"/>
      <c r="PYK68"/>
      <c r="PYL68"/>
      <c r="PYM68"/>
      <c r="PYN68"/>
      <c r="PYO68"/>
      <c r="PYP68"/>
      <c r="PYQ68"/>
      <c r="PYR68"/>
      <c r="PYS68"/>
      <c r="PYT68"/>
      <c r="PYU68"/>
      <c r="PYV68"/>
      <c r="PYW68"/>
      <c r="PYX68"/>
      <c r="PYY68"/>
      <c r="PYZ68"/>
      <c r="PZA68"/>
      <c r="PZB68"/>
      <c r="PZC68"/>
      <c r="PZD68"/>
      <c r="PZE68"/>
      <c r="PZF68"/>
      <c r="PZG68"/>
      <c r="PZH68"/>
      <c r="PZI68"/>
      <c r="PZJ68"/>
      <c r="PZK68"/>
      <c r="PZL68"/>
      <c r="PZM68"/>
      <c r="PZN68"/>
      <c r="PZO68"/>
      <c r="PZP68"/>
      <c r="PZQ68"/>
      <c r="PZR68"/>
      <c r="PZS68"/>
      <c r="PZT68"/>
      <c r="PZU68"/>
      <c r="PZV68"/>
      <c r="PZW68"/>
      <c r="PZX68"/>
      <c r="PZY68"/>
      <c r="PZZ68"/>
      <c r="QAA68"/>
      <c r="QAB68"/>
      <c r="QAC68"/>
      <c r="QAD68"/>
      <c r="QAE68"/>
      <c r="QAF68"/>
      <c r="QAG68"/>
      <c r="QAH68"/>
      <c r="QAI68"/>
      <c r="QAJ68"/>
      <c r="QAK68"/>
      <c r="QAL68"/>
      <c r="QAM68"/>
      <c r="QAN68"/>
      <c r="QAO68"/>
      <c r="QAP68"/>
      <c r="QAQ68"/>
      <c r="QAR68"/>
      <c r="QAS68"/>
      <c r="QAT68"/>
      <c r="QAU68"/>
      <c r="QAV68"/>
      <c r="QAW68"/>
      <c r="QAX68"/>
      <c r="QAY68"/>
      <c r="QAZ68"/>
      <c r="QBA68"/>
      <c r="QBB68"/>
      <c r="QBC68"/>
      <c r="QBD68"/>
      <c r="QBE68"/>
      <c r="QBF68"/>
      <c r="QBG68"/>
      <c r="QBH68"/>
      <c r="QBI68"/>
      <c r="QBJ68"/>
      <c r="QBK68"/>
      <c r="QBL68"/>
      <c r="QBM68"/>
      <c r="QBN68"/>
      <c r="QBO68"/>
      <c r="QBP68"/>
      <c r="QBQ68"/>
      <c r="QBR68"/>
      <c r="QBS68"/>
      <c r="QBT68"/>
      <c r="QBU68"/>
      <c r="QBV68"/>
      <c r="QBW68"/>
      <c r="QBX68"/>
      <c r="QBY68"/>
      <c r="QBZ68"/>
      <c r="QCA68"/>
      <c r="QCB68"/>
      <c r="QCC68"/>
      <c r="QCD68"/>
      <c r="QCE68"/>
      <c r="QCF68"/>
      <c r="QCG68"/>
      <c r="QCH68"/>
      <c r="QCI68"/>
      <c r="QCJ68"/>
      <c r="QCK68"/>
      <c r="QCL68"/>
      <c r="QCM68"/>
      <c r="QCN68"/>
      <c r="QCO68"/>
      <c r="QCP68"/>
      <c r="QCQ68"/>
      <c r="QCR68"/>
      <c r="QCS68"/>
      <c r="QCT68"/>
      <c r="QCU68"/>
      <c r="QCV68"/>
      <c r="QCW68"/>
      <c r="QCX68"/>
      <c r="QCY68"/>
      <c r="QCZ68"/>
      <c r="QDA68"/>
      <c r="QDB68"/>
      <c r="QDC68"/>
      <c r="QDD68"/>
      <c r="QDE68"/>
      <c r="QDF68"/>
      <c r="QDG68"/>
      <c r="QDH68"/>
      <c r="QDI68"/>
      <c r="QDJ68"/>
      <c r="QDK68"/>
      <c r="QDL68"/>
      <c r="QDM68"/>
      <c r="QDN68"/>
      <c r="QDO68"/>
      <c r="QDP68"/>
      <c r="QDQ68"/>
      <c r="QDR68"/>
      <c r="QDS68"/>
      <c r="QDT68"/>
      <c r="QDU68"/>
      <c r="QDV68"/>
      <c r="QDW68"/>
      <c r="QDX68"/>
      <c r="QDY68"/>
      <c r="QDZ68"/>
      <c r="QEA68"/>
      <c r="QEB68"/>
      <c r="QEC68"/>
      <c r="QED68"/>
      <c r="QEE68"/>
      <c r="QEF68"/>
      <c r="QEG68"/>
      <c r="QEH68"/>
      <c r="QEI68"/>
      <c r="QEJ68"/>
      <c r="QEK68"/>
      <c r="QEL68"/>
      <c r="QEM68"/>
      <c r="QEN68"/>
      <c r="QEO68"/>
      <c r="QEP68"/>
      <c r="QEQ68"/>
      <c r="QER68"/>
      <c r="QES68"/>
      <c r="QET68"/>
      <c r="QEU68"/>
      <c r="QEV68"/>
      <c r="QEW68"/>
      <c r="QEX68"/>
      <c r="QEY68"/>
      <c r="QEZ68"/>
      <c r="QFA68"/>
      <c r="QFB68"/>
      <c r="QFC68"/>
      <c r="QFD68"/>
      <c r="QFE68"/>
      <c r="QFF68"/>
      <c r="QFG68"/>
      <c r="QFH68"/>
      <c r="QFI68"/>
      <c r="QFJ68"/>
      <c r="QFK68"/>
      <c r="QFL68"/>
      <c r="QFM68"/>
      <c r="QFN68"/>
      <c r="QFO68"/>
      <c r="QFP68"/>
      <c r="QFQ68"/>
      <c r="QFR68"/>
      <c r="QFS68"/>
      <c r="QFT68"/>
      <c r="QFU68"/>
      <c r="QFV68"/>
      <c r="QFW68"/>
      <c r="QFX68"/>
      <c r="QFY68"/>
      <c r="QFZ68"/>
      <c r="QGA68"/>
      <c r="QGB68"/>
      <c r="QGC68"/>
      <c r="QGD68"/>
      <c r="QGE68"/>
      <c r="QGF68"/>
      <c r="QGG68"/>
      <c r="QGH68"/>
      <c r="QGI68"/>
      <c r="QGJ68"/>
      <c r="QGK68"/>
      <c r="QGL68"/>
      <c r="QGM68"/>
      <c r="QGN68"/>
      <c r="QGO68"/>
      <c r="QGP68"/>
      <c r="QGQ68"/>
      <c r="QGR68"/>
      <c r="QGS68"/>
      <c r="QGT68"/>
      <c r="QGU68"/>
      <c r="QGV68"/>
      <c r="QGW68"/>
      <c r="QGX68"/>
      <c r="QGY68"/>
      <c r="QGZ68"/>
      <c r="QHA68"/>
      <c r="QHB68"/>
      <c r="QHC68"/>
      <c r="QHD68"/>
      <c r="QHE68"/>
      <c r="QHF68"/>
      <c r="QHG68"/>
      <c r="QHH68"/>
      <c r="QHI68"/>
      <c r="QHJ68"/>
      <c r="QHK68"/>
      <c r="QHL68"/>
      <c r="QHM68"/>
      <c r="QHN68"/>
      <c r="QHO68"/>
      <c r="QHP68"/>
      <c r="QHQ68"/>
      <c r="QHR68"/>
      <c r="QHS68"/>
      <c r="QHT68"/>
      <c r="QHU68"/>
      <c r="QHV68"/>
      <c r="QHW68"/>
      <c r="QHX68"/>
      <c r="QHY68"/>
      <c r="QHZ68"/>
      <c r="QIA68"/>
      <c r="QIB68"/>
      <c r="QIC68"/>
      <c r="QID68"/>
      <c r="QIE68"/>
      <c r="QIF68"/>
      <c r="QIG68"/>
      <c r="QIH68"/>
      <c r="QII68"/>
      <c r="QIJ68"/>
      <c r="QIK68"/>
      <c r="QIL68"/>
      <c r="QIM68"/>
      <c r="QIN68"/>
      <c r="QIO68"/>
      <c r="QIP68"/>
      <c r="QIQ68"/>
      <c r="QIR68"/>
      <c r="QIS68"/>
      <c r="QIT68"/>
      <c r="QIU68"/>
      <c r="QIV68"/>
      <c r="QIW68"/>
      <c r="QIX68"/>
      <c r="QIY68"/>
      <c r="QIZ68"/>
      <c r="QJA68"/>
      <c r="QJB68"/>
      <c r="QJC68"/>
      <c r="QJD68"/>
      <c r="QJE68"/>
      <c r="QJF68"/>
      <c r="QJG68"/>
      <c r="QJH68"/>
      <c r="QJI68"/>
      <c r="QJJ68"/>
      <c r="QJK68"/>
      <c r="QJL68"/>
      <c r="QJM68"/>
      <c r="QJN68"/>
      <c r="QJO68"/>
      <c r="QJP68"/>
      <c r="QJQ68"/>
      <c r="QJR68"/>
      <c r="QJS68"/>
      <c r="QJT68"/>
      <c r="QJU68"/>
      <c r="QJV68"/>
      <c r="QJW68"/>
      <c r="QJX68"/>
      <c r="QJY68"/>
      <c r="QJZ68"/>
      <c r="QKA68"/>
      <c r="QKB68"/>
      <c r="QKC68"/>
      <c r="QKD68"/>
      <c r="QKE68"/>
      <c r="QKF68"/>
      <c r="QKG68"/>
      <c r="QKH68"/>
      <c r="QKI68"/>
      <c r="QKJ68"/>
      <c r="QKK68"/>
      <c r="QKL68"/>
      <c r="QKM68"/>
      <c r="QKN68"/>
      <c r="QKO68"/>
      <c r="QKP68"/>
      <c r="QKQ68"/>
      <c r="QKR68"/>
      <c r="QKS68"/>
      <c r="QKT68"/>
      <c r="QKU68"/>
      <c r="QKV68"/>
      <c r="QKW68"/>
      <c r="QKX68"/>
      <c r="QKY68"/>
      <c r="QKZ68"/>
      <c r="QLA68"/>
      <c r="QLB68"/>
      <c r="QLC68"/>
      <c r="QLD68"/>
      <c r="QLE68"/>
      <c r="QLF68"/>
      <c r="QLG68"/>
      <c r="QLH68"/>
      <c r="QLI68"/>
      <c r="QLJ68"/>
      <c r="QLK68"/>
      <c r="QLL68"/>
      <c r="QLM68"/>
      <c r="QLN68"/>
      <c r="QLO68"/>
      <c r="QLP68"/>
      <c r="QLQ68"/>
      <c r="QLR68"/>
      <c r="QLS68"/>
      <c r="QLT68"/>
      <c r="QLU68"/>
      <c r="QLV68"/>
      <c r="QLW68"/>
      <c r="QLX68"/>
      <c r="QLY68"/>
      <c r="QLZ68"/>
      <c r="QMA68"/>
      <c r="QMB68"/>
      <c r="QMC68"/>
      <c r="QMD68"/>
      <c r="QME68"/>
      <c r="QMF68"/>
      <c r="QMG68"/>
      <c r="QMH68"/>
      <c r="QMI68"/>
      <c r="QMJ68"/>
      <c r="QMK68"/>
      <c r="QML68"/>
      <c r="QMM68"/>
      <c r="QMN68"/>
      <c r="QMO68"/>
      <c r="QMP68"/>
      <c r="QMQ68"/>
      <c r="QMR68"/>
      <c r="QMS68"/>
      <c r="QMT68"/>
      <c r="QMU68"/>
      <c r="QMV68"/>
      <c r="QMW68"/>
      <c r="QMX68"/>
      <c r="QMY68"/>
      <c r="QMZ68"/>
      <c r="QNA68"/>
      <c r="QNB68"/>
      <c r="QNC68"/>
      <c r="QND68"/>
      <c r="QNE68"/>
      <c r="QNF68"/>
      <c r="QNG68"/>
      <c r="QNH68"/>
      <c r="QNI68"/>
      <c r="QNJ68"/>
      <c r="QNK68"/>
      <c r="QNL68"/>
      <c r="QNM68"/>
      <c r="QNN68"/>
      <c r="QNO68"/>
      <c r="QNP68"/>
      <c r="QNQ68"/>
      <c r="QNR68"/>
      <c r="QNS68"/>
      <c r="QNT68"/>
      <c r="QNU68"/>
      <c r="QNV68"/>
      <c r="QNW68"/>
      <c r="QNX68"/>
      <c r="QNY68"/>
      <c r="QNZ68"/>
      <c r="QOA68"/>
      <c r="QOB68"/>
      <c r="QOC68"/>
      <c r="QOD68"/>
      <c r="QOE68"/>
      <c r="QOF68"/>
      <c r="QOG68"/>
      <c r="QOH68"/>
      <c r="QOI68"/>
      <c r="QOJ68"/>
      <c r="QOK68"/>
      <c r="QOL68"/>
      <c r="QOM68"/>
      <c r="QON68"/>
      <c r="QOO68"/>
      <c r="QOP68"/>
      <c r="QOQ68"/>
      <c r="QOR68"/>
      <c r="QOS68"/>
      <c r="QOT68"/>
      <c r="QOU68"/>
      <c r="QOV68"/>
      <c r="QOW68"/>
      <c r="QOX68"/>
      <c r="QOY68"/>
      <c r="QOZ68"/>
      <c r="QPA68"/>
      <c r="QPB68"/>
      <c r="QPC68"/>
      <c r="QPD68"/>
      <c r="QPE68"/>
      <c r="QPF68"/>
      <c r="QPG68"/>
      <c r="QPH68"/>
      <c r="QPI68"/>
      <c r="QPJ68"/>
      <c r="QPK68"/>
      <c r="QPL68"/>
      <c r="QPM68"/>
      <c r="QPN68"/>
      <c r="QPO68"/>
      <c r="QPP68"/>
      <c r="QPQ68"/>
      <c r="QPR68"/>
      <c r="QPS68"/>
      <c r="QPT68"/>
      <c r="QPU68"/>
      <c r="QPV68"/>
      <c r="QPW68"/>
      <c r="QPX68"/>
      <c r="QPY68"/>
      <c r="QPZ68"/>
      <c r="QQA68"/>
      <c r="QQB68"/>
      <c r="QQC68"/>
      <c r="QQD68"/>
      <c r="QQE68"/>
      <c r="QQF68"/>
      <c r="QQG68"/>
      <c r="QQH68"/>
      <c r="QQI68"/>
      <c r="QQJ68"/>
      <c r="QQK68"/>
      <c r="QQL68"/>
      <c r="QQM68"/>
      <c r="QQN68"/>
      <c r="QQO68"/>
      <c r="QQP68"/>
      <c r="QQQ68"/>
      <c r="QQR68"/>
      <c r="QQS68"/>
      <c r="QQT68"/>
      <c r="QQU68"/>
      <c r="QQV68"/>
      <c r="QQW68"/>
      <c r="QQX68"/>
      <c r="QQY68"/>
      <c r="QQZ68"/>
      <c r="QRA68"/>
      <c r="QRB68"/>
      <c r="QRC68"/>
      <c r="QRD68"/>
      <c r="QRE68"/>
      <c r="QRF68"/>
      <c r="QRG68"/>
      <c r="QRH68"/>
      <c r="QRI68"/>
      <c r="QRJ68"/>
      <c r="QRK68"/>
      <c r="QRL68"/>
      <c r="QRM68"/>
      <c r="QRN68"/>
      <c r="QRO68"/>
      <c r="QRP68"/>
      <c r="QRQ68"/>
      <c r="QRR68"/>
      <c r="QRS68"/>
      <c r="QRT68"/>
      <c r="QRU68"/>
      <c r="QRV68"/>
      <c r="QRW68"/>
      <c r="QRX68"/>
      <c r="QRY68"/>
      <c r="QRZ68"/>
      <c r="QSA68"/>
      <c r="QSB68"/>
      <c r="QSC68"/>
      <c r="QSD68"/>
      <c r="QSE68"/>
      <c r="QSF68"/>
      <c r="QSG68"/>
      <c r="QSH68"/>
      <c r="QSI68"/>
      <c r="QSJ68"/>
      <c r="QSK68"/>
      <c r="QSL68"/>
      <c r="QSM68"/>
      <c r="QSN68"/>
      <c r="QSO68"/>
      <c r="QSP68"/>
      <c r="QSQ68"/>
      <c r="QSR68"/>
      <c r="QSS68"/>
      <c r="QST68"/>
      <c r="QSU68"/>
      <c r="QSV68"/>
      <c r="QSW68"/>
      <c r="QSX68"/>
      <c r="QSY68"/>
      <c r="QSZ68"/>
      <c r="QTA68"/>
      <c r="QTB68"/>
      <c r="QTC68"/>
      <c r="QTD68"/>
      <c r="QTE68"/>
      <c r="QTF68"/>
      <c r="QTG68"/>
      <c r="QTH68"/>
      <c r="QTI68"/>
      <c r="QTJ68"/>
      <c r="QTK68"/>
      <c r="QTL68"/>
      <c r="QTM68"/>
      <c r="QTN68"/>
      <c r="QTO68"/>
      <c r="QTP68"/>
      <c r="QTQ68"/>
      <c r="QTR68"/>
      <c r="QTS68"/>
      <c r="QTT68"/>
      <c r="QTU68"/>
      <c r="QTV68"/>
      <c r="QTW68"/>
      <c r="QTX68"/>
      <c r="QTY68"/>
      <c r="QTZ68"/>
      <c r="QUA68"/>
      <c r="QUB68"/>
      <c r="QUC68"/>
      <c r="QUD68"/>
      <c r="QUE68"/>
      <c r="QUF68"/>
      <c r="QUG68"/>
      <c r="QUH68"/>
      <c r="QUI68"/>
      <c r="QUJ68"/>
      <c r="QUK68"/>
      <c r="QUL68"/>
      <c r="QUM68"/>
      <c r="QUN68"/>
      <c r="QUO68"/>
      <c r="QUP68"/>
      <c r="QUQ68"/>
      <c r="QUR68"/>
      <c r="QUS68"/>
      <c r="QUT68"/>
      <c r="QUU68"/>
      <c r="QUV68"/>
      <c r="QUW68"/>
      <c r="QUX68"/>
      <c r="QUY68"/>
      <c r="QUZ68"/>
      <c r="QVA68"/>
      <c r="QVB68"/>
      <c r="QVC68"/>
      <c r="QVD68"/>
      <c r="QVE68"/>
      <c r="QVF68"/>
      <c r="QVG68"/>
      <c r="QVH68"/>
      <c r="QVI68"/>
      <c r="QVJ68"/>
      <c r="QVK68"/>
      <c r="QVL68"/>
      <c r="QVM68"/>
      <c r="QVN68"/>
      <c r="QVO68"/>
      <c r="QVP68"/>
      <c r="QVQ68"/>
      <c r="QVR68"/>
      <c r="QVS68"/>
      <c r="QVT68"/>
      <c r="QVU68"/>
      <c r="QVV68"/>
      <c r="QVW68"/>
      <c r="QVX68"/>
      <c r="QVY68"/>
      <c r="QVZ68"/>
      <c r="QWA68"/>
      <c r="QWB68"/>
      <c r="QWC68"/>
      <c r="QWD68"/>
      <c r="QWE68"/>
      <c r="QWF68"/>
      <c r="QWG68"/>
      <c r="QWH68"/>
      <c r="QWI68"/>
      <c r="QWJ68"/>
      <c r="QWK68"/>
      <c r="QWL68"/>
      <c r="QWM68"/>
      <c r="QWN68"/>
      <c r="QWO68"/>
      <c r="QWP68"/>
      <c r="QWQ68"/>
      <c r="QWR68"/>
      <c r="QWS68"/>
      <c r="QWT68"/>
      <c r="QWU68"/>
      <c r="QWV68"/>
      <c r="QWW68"/>
      <c r="QWX68"/>
      <c r="QWY68"/>
      <c r="QWZ68"/>
      <c r="QXA68"/>
      <c r="QXB68"/>
      <c r="QXC68"/>
      <c r="QXD68"/>
      <c r="QXE68"/>
      <c r="QXF68"/>
      <c r="QXG68"/>
      <c r="QXH68"/>
      <c r="QXI68"/>
      <c r="QXJ68"/>
      <c r="QXK68"/>
      <c r="QXL68"/>
      <c r="QXM68"/>
      <c r="QXN68"/>
      <c r="QXO68"/>
      <c r="QXP68"/>
      <c r="QXQ68"/>
      <c r="QXR68"/>
      <c r="QXS68"/>
      <c r="QXT68"/>
      <c r="QXU68"/>
      <c r="QXV68"/>
      <c r="QXW68"/>
      <c r="QXX68"/>
      <c r="QXY68"/>
      <c r="QXZ68"/>
      <c r="QYA68"/>
      <c r="QYB68"/>
      <c r="QYC68"/>
      <c r="QYD68"/>
      <c r="QYE68"/>
      <c r="QYF68"/>
      <c r="QYG68"/>
      <c r="QYH68"/>
      <c r="QYI68"/>
      <c r="QYJ68"/>
      <c r="QYK68"/>
      <c r="QYL68"/>
      <c r="QYM68"/>
      <c r="QYN68"/>
      <c r="QYO68"/>
      <c r="QYP68"/>
      <c r="QYQ68"/>
      <c r="QYR68"/>
      <c r="QYS68"/>
      <c r="QYT68"/>
      <c r="QYU68"/>
      <c r="QYV68"/>
      <c r="QYW68"/>
      <c r="QYX68"/>
      <c r="QYY68"/>
      <c r="QYZ68"/>
      <c r="QZA68"/>
      <c r="QZB68"/>
      <c r="QZC68"/>
      <c r="QZD68"/>
      <c r="QZE68"/>
      <c r="QZF68"/>
      <c r="QZG68"/>
      <c r="QZH68"/>
      <c r="QZI68"/>
      <c r="QZJ68"/>
      <c r="QZK68"/>
      <c r="QZL68"/>
      <c r="QZM68"/>
      <c r="QZN68"/>
      <c r="QZO68"/>
      <c r="QZP68"/>
      <c r="QZQ68"/>
      <c r="QZR68"/>
      <c r="QZS68"/>
      <c r="QZT68"/>
      <c r="QZU68"/>
      <c r="QZV68"/>
      <c r="QZW68"/>
      <c r="QZX68"/>
      <c r="QZY68"/>
      <c r="QZZ68"/>
      <c r="RAA68"/>
      <c r="RAB68"/>
      <c r="RAC68"/>
      <c r="RAD68"/>
      <c r="RAE68"/>
      <c r="RAF68"/>
      <c r="RAG68"/>
      <c r="RAH68"/>
      <c r="RAI68"/>
      <c r="RAJ68"/>
      <c r="RAK68"/>
      <c r="RAL68"/>
      <c r="RAM68"/>
      <c r="RAN68"/>
      <c r="RAO68"/>
      <c r="RAP68"/>
      <c r="RAQ68"/>
      <c r="RAR68"/>
      <c r="RAS68"/>
      <c r="RAT68"/>
      <c r="RAU68"/>
      <c r="RAV68"/>
      <c r="RAW68"/>
      <c r="RAX68"/>
      <c r="RAY68"/>
      <c r="RAZ68"/>
      <c r="RBA68"/>
      <c r="RBB68"/>
      <c r="RBC68"/>
      <c r="RBD68"/>
      <c r="RBE68"/>
      <c r="RBF68"/>
      <c r="RBG68"/>
      <c r="RBH68"/>
      <c r="RBI68"/>
      <c r="RBJ68"/>
      <c r="RBK68"/>
      <c r="RBL68"/>
      <c r="RBM68"/>
      <c r="RBN68"/>
      <c r="RBO68"/>
      <c r="RBP68"/>
      <c r="RBQ68"/>
      <c r="RBR68"/>
      <c r="RBS68"/>
      <c r="RBT68"/>
      <c r="RBU68"/>
      <c r="RBV68"/>
      <c r="RBW68"/>
      <c r="RBX68"/>
      <c r="RBY68"/>
      <c r="RBZ68"/>
      <c r="RCA68"/>
      <c r="RCB68"/>
      <c r="RCC68"/>
      <c r="RCD68"/>
      <c r="RCE68"/>
      <c r="RCF68"/>
      <c r="RCG68"/>
      <c r="RCH68"/>
      <c r="RCI68"/>
      <c r="RCJ68"/>
      <c r="RCK68"/>
      <c r="RCL68"/>
      <c r="RCM68"/>
      <c r="RCN68"/>
      <c r="RCO68"/>
      <c r="RCP68"/>
      <c r="RCQ68"/>
      <c r="RCR68"/>
      <c r="RCS68"/>
      <c r="RCT68"/>
      <c r="RCU68"/>
      <c r="RCV68"/>
      <c r="RCW68"/>
      <c r="RCX68"/>
      <c r="RCY68"/>
      <c r="RCZ68"/>
      <c r="RDA68"/>
      <c r="RDB68"/>
      <c r="RDC68"/>
      <c r="RDD68"/>
      <c r="RDE68"/>
      <c r="RDF68"/>
      <c r="RDG68"/>
      <c r="RDH68"/>
      <c r="RDI68"/>
      <c r="RDJ68"/>
      <c r="RDK68"/>
      <c r="RDL68"/>
      <c r="RDM68"/>
      <c r="RDN68"/>
      <c r="RDO68"/>
      <c r="RDP68"/>
      <c r="RDQ68"/>
      <c r="RDR68"/>
      <c r="RDS68"/>
      <c r="RDT68"/>
      <c r="RDU68"/>
      <c r="RDV68"/>
      <c r="RDW68"/>
      <c r="RDX68"/>
      <c r="RDY68"/>
      <c r="RDZ68"/>
      <c r="REA68"/>
      <c r="REB68"/>
      <c r="REC68"/>
      <c r="RED68"/>
      <c r="REE68"/>
      <c r="REF68"/>
      <c r="REG68"/>
      <c r="REH68"/>
      <c r="REI68"/>
      <c r="REJ68"/>
      <c r="REK68"/>
      <c r="REL68"/>
      <c r="REM68"/>
      <c r="REN68"/>
      <c r="REO68"/>
      <c r="REP68"/>
      <c r="REQ68"/>
      <c r="RER68"/>
      <c r="RES68"/>
      <c r="RET68"/>
      <c r="REU68"/>
      <c r="REV68"/>
      <c r="REW68"/>
      <c r="REX68"/>
      <c r="REY68"/>
      <c r="REZ68"/>
      <c r="RFA68"/>
      <c r="RFB68"/>
      <c r="RFC68"/>
      <c r="RFD68"/>
      <c r="RFE68"/>
      <c r="RFF68"/>
      <c r="RFG68"/>
      <c r="RFH68"/>
      <c r="RFI68"/>
      <c r="RFJ68"/>
      <c r="RFK68"/>
      <c r="RFL68"/>
      <c r="RFM68"/>
      <c r="RFN68"/>
      <c r="RFO68"/>
      <c r="RFP68"/>
      <c r="RFQ68"/>
      <c r="RFR68"/>
      <c r="RFS68"/>
      <c r="RFT68"/>
      <c r="RFU68"/>
      <c r="RFV68"/>
      <c r="RFW68"/>
      <c r="RFX68"/>
      <c r="RFY68"/>
      <c r="RFZ68"/>
      <c r="RGA68"/>
      <c r="RGB68"/>
      <c r="RGC68"/>
      <c r="RGD68"/>
      <c r="RGE68"/>
      <c r="RGF68"/>
      <c r="RGG68"/>
      <c r="RGH68"/>
      <c r="RGI68"/>
      <c r="RGJ68"/>
      <c r="RGK68"/>
      <c r="RGL68"/>
      <c r="RGM68"/>
      <c r="RGN68"/>
      <c r="RGO68"/>
      <c r="RGP68"/>
      <c r="RGQ68"/>
      <c r="RGR68"/>
      <c r="RGS68"/>
      <c r="RGT68"/>
      <c r="RGU68"/>
      <c r="RGV68"/>
      <c r="RGW68"/>
      <c r="RGX68"/>
      <c r="RGY68"/>
      <c r="RGZ68"/>
      <c r="RHA68"/>
      <c r="RHB68"/>
      <c r="RHC68"/>
      <c r="RHD68"/>
      <c r="RHE68"/>
      <c r="RHF68"/>
      <c r="RHG68"/>
      <c r="RHH68"/>
      <c r="RHI68"/>
      <c r="RHJ68"/>
      <c r="RHK68"/>
      <c r="RHL68"/>
      <c r="RHM68"/>
      <c r="RHN68"/>
      <c r="RHO68"/>
      <c r="RHP68"/>
      <c r="RHQ68"/>
      <c r="RHR68"/>
      <c r="RHS68"/>
      <c r="RHT68"/>
      <c r="RHU68"/>
      <c r="RHV68"/>
      <c r="RHW68"/>
      <c r="RHX68"/>
      <c r="RHY68"/>
      <c r="RHZ68"/>
      <c r="RIA68"/>
      <c r="RIB68"/>
      <c r="RIC68"/>
      <c r="RID68"/>
      <c r="RIE68"/>
      <c r="RIF68"/>
      <c r="RIG68"/>
      <c r="RIH68"/>
      <c r="RII68"/>
      <c r="RIJ68"/>
      <c r="RIK68"/>
      <c r="RIL68"/>
      <c r="RIM68"/>
      <c r="RIN68"/>
      <c r="RIO68"/>
      <c r="RIP68"/>
      <c r="RIQ68"/>
      <c r="RIR68"/>
      <c r="RIS68"/>
      <c r="RIT68"/>
      <c r="RIU68"/>
      <c r="RIV68"/>
      <c r="RIW68"/>
      <c r="RIX68"/>
      <c r="RIY68"/>
      <c r="RIZ68"/>
      <c r="RJA68"/>
      <c r="RJB68"/>
      <c r="RJC68"/>
      <c r="RJD68"/>
      <c r="RJE68"/>
      <c r="RJF68"/>
      <c r="RJG68"/>
      <c r="RJH68"/>
      <c r="RJI68"/>
      <c r="RJJ68"/>
      <c r="RJK68"/>
      <c r="RJL68"/>
      <c r="RJM68"/>
      <c r="RJN68"/>
      <c r="RJO68"/>
      <c r="RJP68"/>
      <c r="RJQ68"/>
      <c r="RJR68"/>
      <c r="RJS68"/>
      <c r="RJT68"/>
      <c r="RJU68"/>
      <c r="RJV68"/>
      <c r="RJW68"/>
      <c r="RJX68"/>
      <c r="RJY68"/>
      <c r="RJZ68"/>
      <c r="RKA68"/>
      <c r="RKB68"/>
      <c r="RKC68"/>
      <c r="RKD68"/>
      <c r="RKE68"/>
      <c r="RKF68"/>
      <c r="RKG68"/>
      <c r="RKH68"/>
      <c r="RKI68"/>
      <c r="RKJ68"/>
      <c r="RKK68"/>
      <c r="RKL68"/>
      <c r="RKM68"/>
      <c r="RKN68"/>
      <c r="RKO68"/>
      <c r="RKP68"/>
      <c r="RKQ68"/>
      <c r="RKR68"/>
      <c r="RKS68"/>
      <c r="RKT68"/>
      <c r="RKU68"/>
      <c r="RKV68"/>
      <c r="RKW68"/>
      <c r="RKX68"/>
      <c r="RKY68"/>
      <c r="RKZ68"/>
      <c r="RLA68"/>
      <c r="RLB68"/>
      <c r="RLC68"/>
      <c r="RLD68"/>
      <c r="RLE68"/>
      <c r="RLF68"/>
      <c r="RLG68"/>
      <c r="RLH68"/>
      <c r="RLI68"/>
      <c r="RLJ68"/>
      <c r="RLK68"/>
      <c r="RLL68"/>
      <c r="RLM68"/>
      <c r="RLN68"/>
      <c r="RLO68"/>
      <c r="RLP68"/>
      <c r="RLQ68"/>
      <c r="RLR68"/>
      <c r="RLS68"/>
      <c r="RLT68"/>
      <c r="RLU68"/>
      <c r="RLV68"/>
      <c r="RLW68"/>
      <c r="RLX68"/>
      <c r="RLY68"/>
      <c r="RLZ68"/>
      <c r="RMA68"/>
      <c r="RMB68"/>
      <c r="RMC68"/>
      <c r="RMD68"/>
      <c r="RME68"/>
      <c r="RMF68"/>
      <c r="RMG68"/>
      <c r="RMH68"/>
      <c r="RMI68"/>
      <c r="RMJ68"/>
      <c r="RMK68"/>
      <c r="RML68"/>
      <c r="RMM68"/>
      <c r="RMN68"/>
      <c r="RMO68"/>
      <c r="RMP68"/>
      <c r="RMQ68"/>
      <c r="RMR68"/>
      <c r="RMS68"/>
      <c r="RMT68"/>
      <c r="RMU68"/>
      <c r="RMV68"/>
      <c r="RMW68"/>
      <c r="RMX68"/>
      <c r="RMY68"/>
      <c r="RMZ68"/>
      <c r="RNA68"/>
      <c r="RNB68"/>
      <c r="RNC68"/>
      <c r="RND68"/>
      <c r="RNE68"/>
      <c r="RNF68"/>
      <c r="RNG68"/>
      <c r="RNH68"/>
      <c r="RNI68"/>
      <c r="RNJ68"/>
      <c r="RNK68"/>
      <c r="RNL68"/>
      <c r="RNM68"/>
      <c r="RNN68"/>
      <c r="RNO68"/>
      <c r="RNP68"/>
      <c r="RNQ68"/>
      <c r="RNR68"/>
      <c r="RNS68"/>
      <c r="RNT68"/>
      <c r="RNU68"/>
      <c r="RNV68"/>
      <c r="RNW68"/>
      <c r="RNX68"/>
      <c r="RNY68"/>
      <c r="RNZ68"/>
      <c r="ROA68"/>
      <c r="ROB68"/>
      <c r="ROC68"/>
      <c r="ROD68"/>
      <c r="ROE68"/>
      <c r="ROF68"/>
      <c r="ROG68"/>
      <c r="ROH68"/>
      <c r="ROI68"/>
      <c r="ROJ68"/>
      <c r="ROK68"/>
      <c r="ROL68"/>
      <c r="ROM68"/>
      <c r="RON68"/>
      <c r="ROO68"/>
      <c r="ROP68"/>
      <c r="ROQ68"/>
      <c r="ROR68"/>
      <c r="ROS68"/>
      <c r="ROT68"/>
      <c r="ROU68"/>
      <c r="ROV68"/>
      <c r="ROW68"/>
      <c r="ROX68"/>
      <c r="ROY68"/>
      <c r="ROZ68"/>
      <c r="RPA68"/>
      <c r="RPB68"/>
      <c r="RPC68"/>
      <c r="RPD68"/>
      <c r="RPE68"/>
      <c r="RPF68"/>
      <c r="RPG68"/>
      <c r="RPH68"/>
      <c r="RPI68"/>
      <c r="RPJ68"/>
      <c r="RPK68"/>
      <c r="RPL68"/>
      <c r="RPM68"/>
      <c r="RPN68"/>
      <c r="RPO68"/>
      <c r="RPP68"/>
      <c r="RPQ68"/>
      <c r="RPR68"/>
      <c r="RPS68"/>
      <c r="RPT68"/>
      <c r="RPU68"/>
      <c r="RPV68"/>
      <c r="RPW68"/>
      <c r="RPX68"/>
      <c r="RPY68"/>
      <c r="RPZ68"/>
      <c r="RQA68"/>
      <c r="RQB68"/>
      <c r="RQC68"/>
      <c r="RQD68"/>
      <c r="RQE68"/>
      <c r="RQF68"/>
      <c r="RQG68"/>
      <c r="RQH68"/>
      <c r="RQI68"/>
      <c r="RQJ68"/>
      <c r="RQK68"/>
      <c r="RQL68"/>
      <c r="RQM68"/>
      <c r="RQN68"/>
      <c r="RQO68"/>
      <c r="RQP68"/>
      <c r="RQQ68"/>
      <c r="RQR68"/>
      <c r="RQS68"/>
      <c r="RQT68"/>
      <c r="RQU68"/>
      <c r="RQV68"/>
      <c r="RQW68"/>
      <c r="RQX68"/>
      <c r="RQY68"/>
      <c r="RQZ68"/>
      <c r="RRA68"/>
      <c r="RRB68"/>
      <c r="RRC68"/>
      <c r="RRD68"/>
      <c r="RRE68"/>
      <c r="RRF68"/>
      <c r="RRG68"/>
      <c r="RRH68"/>
      <c r="RRI68"/>
      <c r="RRJ68"/>
      <c r="RRK68"/>
      <c r="RRL68"/>
      <c r="RRM68"/>
      <c r="RRN68"/>
      <c r="RRO68"/>
      <c r="RRP68"/>
      <c r="RRQ68"/>
      <c r="RRR68"/>
      <c r="RRS68"/>
      <c r="RRT68"/>
      <c r="RRU68"/>
      <c r="RRV68"/>
      <c r="RRW68"/>
      <c r="RRX68"/>
      <c r="RRY68"/>
      <c r="RRZ68"/>
      <c r="RSA68"/>
      <c r="RSB68"/>
      <c r="RSC68"/>
      <c r="RSD68"/>
      <c r="RSE68"/>
      <c r="RSF68"/>
      <c r="RSG68"/>
      <c r="RSH68"/>
      <c r="RSI68"/>
      <c r="RSJ68"/>
      <c r="RSK68"/>
      <c r="RSL68"/>
      <c r="RSM68"/>
      <c r="RSN68"/>
      <c r="RSO68"/>
      <c r="RSP68"/>
      <c r="RSQ68"/>
      <c r="RSR68"/>
      <c r="RSS68"/>
      <c r="RST68"/>
      <c r="RSU68"/>
      <c r="RSV68"/>
      <c r="RSW68"/>
      <c r="RSX68"/>
      <c r="RSY68"/>
      <c r="RSZ68"/>
      <c r="RTA68"/>
      <c r="RTB68"/>
      <c r="RTC68"/>
      <c r="RTD68"/>
      <c r="RTE68"/>
      <c r="RTF68"/>
      <c r="RTG68"/>
      <c r="RTH68"/>
      <c r="RTI68"/>
      <c r="RTJ68"/>
      <c r="RTK68"/>
      <c r="RTL68"/>
      <c r="RTM68"/>
      <c r="RTN68"/>
      <c r="RTO68"/>
      <c r="RTP68"/>
      <c r="RTQ68"/>
      <c r="RTR68"/>
      <c r="RTS68"/>
      <c r="RTT68"/>
      <c r="RTU68"/>
      <c r="RTV68"/>
      <c r="RTW68"/>
      <c r="RTX68"/>
      <c r="RTY68"/>
      <c r="RTZ68"/>
      <c r="RUA68"/>
      <c r="RUB68"/>
      <c r="RUC68"/>
      <c r="RUD68"/>
      <c r="RUE68"/>
      <c r="RUF68"/>
      <c r="RUG68"/>
      <c r="RUH68"/>
      <c r="RUI68"/>
      <c r="RUJ68"/>
      <c r="RUK68"/>
      <c r="RUL68"/>
      <c r="RUM68"/>
      <c r="RUN68"/>
      <c r="RUO68"/>
      <c r="RUP68"/>
      <c r="RUQ68"/>
      <c r="RUR68"/>
      <c r="RUS68"/>
      <c r="RUT68"/>
      <c r="RUU68"/>
      <c r="RUV68"/>
      <c r="RUW68"/>
      <c r="RUX68"/>
      <c r="RUY68"/>
      <c r="RUZ68"/>
      <c r="RVA68"/>
      <c r="RVB68"/>
      <c r="RVC68"/>
      <c r="RVD68"/>
      <c r="RVE68"/>
      <c r="RVF68"/>
      <c r="RVG68"/>
      <c r="RVH68"/>
      <c r="RVI68"/>
      <c r="RVJ68"/>
      <c r="RVK68"/>
      <c r="RVL68"/>
      <c r="RVM68"/>
      <c r="RVN68"/>
      <c r="RVO68"/>
      <c r="RVP68"/>
      <c r="RVQ68"/>
      <c r="RVR68"/>
      <c r="RVS68"/>
      <c r="RVT68"/>
      <c r="RVU68"/>
      <c r="RVV68"/>
      <c r="RVW68"/>
      <c r="RVX68"/>
      <c r="RVY68"/>
      <c r="RVZ68"/>
      <c r="RWA68"/>
      <c r="RWB68"/>
      <c r="RWC68"/>
      <c r="RWD68"/>
      <c r="RWE68"/>
      <c r="RWF68"/>
      <c r="RWG68"/>
      <c r="RWH68"/>
      <c r="RWI68"/>
      <c r="RWJ68"/>
      <c r="RWK68"/>
      <c r="RWL68"/>
      <c r="RWM68"/>
      <c r="RWN68"/>
      <c r="RWO68"/>
      <c r="RWP68"/>
      <c r="RWQ68"/>
      <c r="RWR68"/>
      <c r="RWS68"/>
      <c r="RWT68"/>
      <c r="RWU68"/>
      <c r="RWV68"/>
      <c r="RWW68"/>
      <c r="RWX68"/>
      <c r="RWY68"/>
      <c r="RWZ68"/>
      <c r="RXA68"/>
      <c r="RXB68"/>
      <c r="RXC68"/>
      <c r="RXD68"/>
      <c r="RXE68"/>
      <c r="RXF68"/>
      <c r="RXG68"/>
      <c r="RXH68"/>
      <c r="RXI68"/>
      <c r="RXJ68"/>
      <c r="RXK68"/>
      <c r="RXL68"/>
      <c r="RXM68"/>
      <c r="RXN68"/>
      <c r="RXO68"/>
      <c r="RXP68"/>
      <c r="RXQ68"/>
      <c r="RXR68"/>
      <c r="RXS68"/>
      <c r="RXT68"/>
      <c r="RXU68"/>
      <c r="RXV68"/>
      <c r="RXW68"/>
      <c r="RXX68"/>
      <c r="RXY68"/>
      <c r="RXZ68"/>
      <c r="RYA68"/>
      <c r="RYB68"/>
      <c r="RYC68"/>
      <c r="RYD68"/>
      <c r="RYE68"/>
      <c r="RYF68"/>
      <c r="RYG68"/>
      <c r="RYH68"/>
      <c r="RYI68"/>
      <c r="RYJ68"/>
      <c r="RYK68"/>
      <c r="RYL68"/>
      <c r="RYM68"/>
      <c r="RYN68"/>
      <c r="RYO68"/>
      <c r="RYP68"/>
      <c r="RYQ68"/>
      <c r="RYR68"/>
      <c r="RYS68"/>
      <c r="RYT68"/>
      <c r="RYU68"/>
      <c r="RYV68"/>
      <c r="RYW68"/>
      <c r="RYX68"/>
      <c r="RYY68"/>
      <c r="RYZ68"/>
      <c r="RZA68"/>
      <c r="RZB68"/>
      <c r="RZC68"/>
      <c r="RZD68"/>
      <c r="RZE68"/>
      <c r="RZF68"/>
      <c r="RZG68"/>
      <c r="RZH68"/>
      <c r="RZI68"/>
      <c r="RZJ68"/>
      <c r="RZK68"/>
      <c r="RZL68"/>
      <c r="RZM68"/>
      <c r="RZN68"/>
      <c r="RZO68"/>
      <c r="RZP68"/>
      <c r="RZQ68"/>
      <c r="RZR68"/>
      <c r="RZS68"/>
      <c r="RZT68"/>
      <c r="RZU68"/>
      <c r="RZV68"/>
      <c r="RZW68"/>
      <c r="RZX68"/>
      <c r="RZY68"/>
      <c r="RZZ68"/>
      <c r="SAA68"/>
      <c r="SAB68"/>
      <c r="SAC68"/>
      <c r="SAD68"/>
      <c r="SAE68"/>
      <c r="SAF68"/>
      <c r="SAG68"/>
      <c r="SAH68"/>
      <c r="SAI68"/>
      <c r="SAJ68"/>
      <c r="SAK68"/>
      <c r="SAL68"/>
      <c r="SAM68"/>
      <c r="SAN68"/>
      <c r="SAO68"/>
      <c r="SAP68"/>
      <c r="SAQ68"/>
      <c r="SAR68"/>
      <c r="SAS68"/>
      <c r="SAT68"/>
      <c r="SAU68"/>
      <c r="SAV68"/>
      <c r="SAW68"/>
      <c r="SAX68"/>
      <c r="SAY68"/>
      <c r="SAZ68"/>
      <c r="SBA68"/>
      <c r="SBB68"/>
      <c r="SBC68"/>
      <c r="SBD68"/>
      <c r="SBE68"/>
      <c r="SBF68"/>
      <c r="SBG68"/>
      <c r="SBH68"/>
      <c r="SBI68"/>
      <c r="SBJ68"/>
      <c r="SBK68"/>
      <c r="SBL68"/>
      <c r="SBM68"/>
      <c r="SBN68"/>
      <c r="SBO68"/>
      <c r="SBP68"/>
      <c r="SBQ68"/>
      <c r="SBR68"/>
      <c r="SBS68"/>
      <c r="SBT68"/>
      <c r="SBU68"/>
      <c r="SBV68"/>
      <c r="SBW68"/>
      <c r="SBX68"/>
      <c r="SBY68"/>
      <c r="SBZ68"/>
      <c r="SCA68"/>
      <c r="SCB68"/>
      <c r="SCC68"/>
      <c r="SCD68"/>
      <c r="SCE68"/>
      <c r="SCF68"/>
      <c r="SCG68"/>
      <c r="SCH68"/>
      <c r="SCI68"/>
      <c r="SCJ68"/>
      <c r="SCK68"/>
      <c r="SCL68"/>
      <c r="SCM68"/>
      <c r="SCN68"/>
      <c r="SCO68"/>
      <c r="SCP68"/>
      <c r="SCQ68"/>
      <c r="SCR68"/>
      <c r="SCS68"/>
      <c r="SCT68"/>
      <c r="SCU68"/>
      <c r="SCV68"/>
      <c r="SCW68"/>
      <c r="SCX68"/>
      <c r="SCY68"/>
      <c r="SCZ68"/>
      <c r="SDA68"/>
      <c r="SDB68"/>
      <c r="SDC68"/>
      <c r="SDD68"/>
      <c r="SDE68"/>
      <c r="SDF68"/>
      <c r="SDG68"/>
      <c r="SDH68"/>
      <c r="SDI68"/>
      <c r="SDJ68"/>
      <c r="SDK68"/>
      <c r="SDL68"/>
      <c r="SDM68"/>
      <c r="SDN68"/>
      <c r="SDO68"/>
      <c r="SDP68"/>
      <c r="SDQ68"/>
      <c r="SDR68"/>
      <c r="SDS68"/>
      <c r="SDT68"/>
      <c r="SDU68"/>
      <c r="SDV68"/>
      <c r="SDW68"/>
      <c r="SDX68"/>
      <c r="SDY68"/>
      <c r="SDZ68"/>
      <c r="SEA68"/>
      <c r="SEB68"/>
      <c r="SEC68"/>
      <c r="SED68"/>
      <c r="SEE68"/>
      <c r="SEF68"/>
      <c r="SEG68"/>
      <c r="SEH68"/>
      <c r="SEI68"/>
      <c r="SEJ68"/>
      <c r="SEK68"/>
      <c r="SEL68"/>
      <c r="SEM68"/>
      <c r="SEN68"/>
      <c r="SEO68"/>
      <c r="SEP68"/>
      <c r="SEQ68"/>
      <c r="SER68"/>
      <c r="SES68"/>
      <c r="SET68"/>
      <c r="SEU68"/>
      <c r="SEV68"/>
      <c r="SEW68"/>
      <c r="SEX68"/>
      <c r="SEY68"/>
      <c r="SEZ68"/>
      <c r="SFA68"/>
      <c r="SFB68"/>
      <c r="SFC68"/>
      <c r="SFD68"/>
      <c r="SFE68"/>
      <c r="SFF68"/>
      <c r="SFG68"/>
      <c r="SFH68"/>
      <c r="SFI68"/>
      <c r="SFJ68"/>
      <c r="SFK68"/>
      <c r="SFL68"/>
      <c r="SFM68"/>
      <c r="SFN68"/>
      <c r="SFO68"/>
      <c r="SFP68"/>
      <c r="SFQ68"/>
      <c r="SFR68"/>
      <c r="SFS68"/>
      <c r="SFT68"/>
      <c r="SFU68"/>
      <c r="SFV68"/>
      <c r="SFW68"/>
      <c r="SFX68"/>
      <c r="SFY68"/>
      <c r="SFZ68"/>
      <c r="SGA68"/>
      <c r="SGB68"/>
      <c r="SGC68"/>
      <c r="SGD68"/>
      <c r="SGE68"/>
      <c r="SGF68"/>
      <c r="SGG68"/>
      <c r="SGH68"/>
      <c r="SGI68"/>
      <c r="SGJ68"/>
      <c r="SGK68"/>
      <c r="SGL68"/>
      <c r="SGM68"/>
      <c r="SGN68"/>
      <c r="SGO68"/>
      <c r="SGP68"/>
      <c r="SGQ68"/>
      <c r="SGR68"/>
      <c r="SGS68"/>
      <c r="SGT68"/>
      <c r="SGU68"/>
      <c r="SGV68"/>
      <c r="SGW68"/>
      <c r="SGX68"/>
      <c r="SGY68"/>
      <c r="SGZ68"/>
      <c r="SHA68"/>
      <c r="SHB68"/>
      <c r="SHC68"/>
      <c r="SHD68"/>
      <c r="SHE68"/>
      <c r="SHF68"/>
      <c r="SHG68"/>
      <c r="SHH68"/>
      <c r="SHI68"/>
      <c r="SHJ68"/>
      <c r="SHK68"/>
      <c r="SHL68"/>
      <c r="SHM68"/>
      <c r="SHN68"/>
      <c r="SHO68"/>
      <c r="SHP68"/>
      <c r="SHQ68"/>
      <c r="SHR68"/>
      <c r="SHS68"/>
      <c r="SHT68"/>
      <c r="SHU68"/>
      <c r="SHV68"/>
      <c r="SHW68"/>
      <c r="SHX68"/>
      <c r="SHY68"/>
      <c r="SHZ68"/>
      <c r="SIA68"/>
      <c r="SIB68"/>
      <c r="SIC68"/>
      <c r="SID68"/>
      <c r="SIE68"/>
      <c r="SIF68"/>
      <c r="SIG68"/>
      <c r="SIH68"/>
      <c r="SII68"/>
      <c r="SIJ68"/>
      <c r="SIK68"/>
      <c r="SIL68"/>
      <c r="SIM68"/>
      <c r="SIN68"/>
      <c r="SIO68"/>
      <c r="SIP68"/>
      <c r="SIQ68"/>
      <c r="SIR68"/>
      <c r="SIS68"/>
      <c r="SIT68"/>
      <c r="SIU68"/>
      <c r="SIV68"/>
      <c r="SIW68"/>
      <c r="SIX68"/>
      <c r="SIY68"/>
      <c r="SIZ68"/>
      <c r="SJA68"/>
      <c r="SJB68"/>
      <c r="SJC68"/>
      <c r="SJD68"/>
      <c r="SJE68"/>
      <c r="SJF68"/>
      <c r="SJG68"/>
      <c r="SJH68"/>
      <c r="SJI68"/>
      <c r="SJJ68"/>
      <c r="SJK68"/>
      <c r="SJL68"/>
      <c r="SJM68"/>
      <c r="SJN68"/>
      <c r="SJO68"/>
      <c r="SJP68"/>
      <c r="SJQ68"/>
      <c r="SJR68"/>
      <c r="SJS68"/>
      <c r="SJT68"/>
      <c r="SJU68"/>
      <c r="SJV68"/>
      <c r="SJW68"/>
      <c r="SJX68"/>
      <c r="SJY68"/>
      <c r="SJZ68"/>
      <c r="SKA68"/>
      <c r="SKB68"/>
      <c r="SKC68"/>
      <c r="SKD68"/>
      <c r="SKE68"/>
      <c r="SKF68"/>
      <c r="SKG68"/>
      <c r="SKH68"/>
      <c r="SKI68"/>
      <c r="SKJ68"/>
      <c r="SKK68"/>
      <c r="SKL68"/>
      <c r="SKM68"/>
      <c r="SKN68"/>
      <c r="SKO68"/>
      <c r="SKP68"/>
      <c r="SKQ68"/>
      <c r="SKR68"/>
      <c r="SKS68"/>
      <c r="SKT68"/>
      <c r="SKU68"/>
      <c r="SKV68"/>
      <c r="SKW68"/>
      <c r="SKX68"/>
      <c r="SKY68"/>
      <c r="SKZ68"/>
      <c r="SLA68"/>
      <c r="SLB68"/>
      <c r="SLC68"/>
      <c r="SLD68"/>
      <c r="SLE68"/>
      <c r="SLF68"/>
      <c r="SLG68"/>
      <c r="SLH68"/>
      <c r="SLI68"/>
      <c r="SLJ68"/>
      <c r="SLK68"/>
      <c r="SLL68"/>
      <c r="SLM68"/>
      <c r="SLN68"/>
      <c r="SLO68"/>
      <c r="SLP68"/>
      <c r="SLQ68"/>
      <c r="SLR68"/>
      <c r="SLS68"/>
      <c r="SLT68"/>
      <c r="SLU68"/>
      <c r="SLV68"/>
      <c r="SLW68"/>
      <c r="SLX68"/>
      <c r="SLY68"/>
      <c r="SLZ68"/>
      <c r="SMA68"/>
      <c r="SMB68"/>
      <c r="SMC68"/>
      <c r="SMD68"/>
      <c r="SME68"/>
      <c r="SMF68"/>
      <c r="SMG68"/>
      <c r="SMH68"/>
      <c r="SMI68"/>
      <c r="SMJ68"/>
      <c r="SMK68"/>
      <c r="SML68"/>
      <c r="SMM68"/>
      <c r="SMN68"/>
      <c r="SMO68"/>
      <c r="SMP68"/>
      <c r="SMQ68"/>
      <c r="SMR68"/>
      <c r="SMS68"/>
      <c r="SMT68"/>
      <c r="SMU68"/>
      <c r="SMV68"/>
      <c r="SMW68"/>
      <c r="SMX68"/>
      <c r="SMY68"/>
      <c r="SMZ68"/>
      <c r="SNA68"/>
      <c r="SNB68"/>
      <c r="SNC68"/>
      <c r="SND68"/>
      <c r="SNE68"/>
      <c r="SNF68"/>
      <c r="SNG68"/>
      <c r="SNH68"/>
      <c r="SNI68"/>
      <c r="SNJ68"/>
      <c r="SNK68"/>
      <c r="SNL68"/>
      <c r="SNM68"/>
      <c r="SNN68"/>
      <c r="SNO68"/>
      <c r="SNP68"/>
      <c r="SNQ68"/>
      <c r="SNR68"/>
      <c r="SNS68"/>
      <c r="SNT68"/>
      <c r="SNU68"/>
      <c r="SNV68"/>
      <c r="SNW68"/>
      <c r="SNX68"/>
      <c r="SNY68"/>
      <c r="SNZ68"/>
      <c r="SOA68"/>
      <c r="SOB68"/>
      <c r="SOC68"/>
      <c r="SOD68"/>
      <c r="SOE68"/>
      <c r="SOF68"/>
      <c r="SOG68"/>
      <c r="SOH68"/>
      <c r="SOI68"/>
      <c r="SOJ68"/>
      <c r="SOK68"/>
      <c r="SOL68"/>
      <c r="SOM68"/>
      <c r="SON68"/>
      <c r="SOO68"/>
      <c r="SOP68"/>
      <c r="SOQ68"/>
      <c r="SOR68"/>
      <c r="SOS68"/>
      <c r="SOT68"/>
      <c r="SOU68"/>
      <c r="SOV68"/>
      <c r="SOW68"/>
      <c r="SOX68"/>
      <c r="SOY68"/>
      <c r="SOZ68"/>
      <c r="SPA68"/>
      <c r="SPB68"/>
      <c r="SPC68"/>
      <c r="SPD68"/>
      <c r="SPE68"/>
      <c r="SPF68"/>
      <c r="SPG68"/>
      <c r="SPH68"/>
      <c r="SPI68"/>
      <c r="SPJ68"/>
      <c r="SPK68"/>
      <c r="SPL68"/>
      <c r="SPM68"/>
      <c r="SPN68"/>
      <c r="SPO68"/>
      <c r="SPP68"/>
      <c r="SPQ68"/>
      <c r="SPR68"/>
      <c r="SPS68"/>
      <c r="SPT68"/>
      <c r="SPU68"/>
      <c r="SPV68"/>
      <c r="SPW68"/>
      <c r="SPX68"/>
      <c r="SPY68"/>
      <c r="SPZ68"/>
      <c r="SQA68"/>
      <c r="SQB68"/>
      <c r="SQC68"/>
      <c r="SQD68"/>
      <c r="SQE68"/>
      <c r="SQF68"/>
      <c r="SQG68"/>
      <c r="SQH68"/>
      <c r="SQI68"/>
      <c r="SQJ68"/>
      <c r="SQK68"/>
      <c r="SQL68"/>
      <c r="SQM68"/>
      <c r="SQN68"/>
      <c r="SQO68"/>
      <c r="SQP68"/>
      <c r="SQQ68"/>
      <c r="SQR68"/>
      <c r="SQS68"/>
      <c r="SQT68"/>
      <c r="SQU68"/>
      <c r="SQV68"/>
      <c r="SQW68"/>
      <c r="SQX68"/>
      <c r="SQY68"/>
      <c r="SQZ68"/>
      <c r="SRA68"/>
      <c r="SRB68"/>
      <c r="SRC68"/>
      <c r="SRD68"/>
      <c r="SRE68"/>
      <c r="SRF68"/>
      <c r="SRG68"/>
      <c r="SRH68"/>
      <c r="SRI68"/>
      <c r="SRJ68"/>
      <c r="SRK68"/>
      <c r="SRL68"/>
      <c r="SRM68"/>
      <c r="SRN68"/>
      <c r="SRO68"/>
      <c r="SRP68"/>
      <c r="SRQ68"/>
      <c r="SRR68"/>
      <c r="SRS68"/>
      <c r="SRT68"/>
      <c r="SRU68"/>
      <c r="SRV68"/>
      <c r="SRW68"/>
      <c r="SRX68"/>
      <c r="SRY68"/>
      <c r="SRZ68"/>
      <c r="SSA68"/>
      <c r="SSB68"/>
      <c r="SSC68"/>
      <c r="SSD68"/>
      <c r="SSE68"/>
      <c r="SSF68"/>
      <c r="SSG68"/>
      <c r="SSH68"/>
      <c r="SSI68"/>
      <c r="SSJ68"/>
      <c r="SSK68"/>
      <c r="SSL68"/>
      <c r="SSM68"/>
      <c r="SSN68"/>
      <c r="SSO68"/>
      <c r="SSP68"/>
      <c r="SSQ68"/>
      <c r="SSR68"/>
      <c r="SSS68"/>
      <c r="SST68"/>
      <c r="SSU68"/>
      <c r="SSV68"/>
      <c r="SSW68"/>
      <c r="SSX68"/>
      <c r="SSY68"/>
      <c r="SSZ68"/>
      <c r="STA68"/>
      <c r="STB68"/>
      <c r="STC68"/>
      <c r="STD68"/>
      <c r="STE68"/>
      <c r="STF68"/>
      <c r="STG68"/>
      <c r="STH68"/>
      <c r="STI68"/>
      <c r="STJ68"/>
      <c r="STK68"/>
      <c r="STL68"/>
      <c r="STM68"/>
      <c r="STN68"/>
      <c r="STO68"/>
      <c r="STP68"/>
      <c r="STQ68"/>
      <c r="STR68"/>
      <c r="STS68"/>
      <c r="STT68"/>
      <c r="STU68"/>
      <c r="STV68"/>
      <c r="STW68"/>
      <c r="STX68"/>
      <c r="STY68"/>
      <c r="STZ68"/>
      <c r="SUA68"/>
      <c r="SUB68"/>
      <c r="SUC68"/>
      <c r="SUD68"/>
      <c r="SUE68"/>
      <c r="SUF68"/>
      <c r="SUG68"/>
      <c r="SUH68"/>
      <c r="SUI68"/>
      <c r="SUJ68"/>
      <c r="SUK68"/>
      <c r="SUL68"/>
      <c r="SUM68"/>
      <c r="SUN68"/>
      <c r="SUO68"/>
      <c r="SUP68"/>
      <c r="SUQ68"/>
      <c r="SUR68"/>
      <c r="SUS68"/>
      <c r="SUT68"/>
      <c r="SUU68"/>
      <c r="SUV68"/>
      <c r="SUW68"/>
      <c r="SUX68"/>
      <c r="SUY68"/>
      <c r="SUZ68"/>
      <c r="SVA68"/>
      <c r="SVB68"/>
      <c r="SVC68"/>
      <c r="SVD68"/>
      <c r="SVE68"/>
      <c r="SVF68"/>
      <c r="SVG68"/>
      <c r="SVH68"/>
      <c r="SVI68"/>
      <c r="SVJ68"/>
      <c r="SVK68"/>
      <c r="SVL68"/>
      <c r="SVM68"/>
      <c r="SVN68"/>
      <c r="SVO68"/>
      <c r="SVP68"/>
      <c r="SVQ68"/>
      <c r="SVR68"/>
      <c r="SVS68"/>
      <c r="SVT68"/>
      <c r="SVU68"/>
      <c r="SVV68"/>
      <c r="SVW68"/>
      <c r="SVX68"/>
      <c r="SVY68"/>
      <c r="SVZ68"/>
      <c r="SWA68"/>
      <c r="SWB68"/>
      <c r="SWC68"/>
      <c r="SWD68"/>
      <c r="SWE68"/>
      <c r="SWF68"/>
      <c r="SWG68"/>
      <c r="SWH68"/>
      <c r="SWI68"/>
      <c r="SWJ68"/>
      <c r="SWK68"/>
      <c r="SWL68"/>
      <c r="SWM68"/>
      <c r="SWN68"/>
      <c r="SWO68"/>
      <c r="SWP68"/>
      <c r="SWQ68"/>
      <c r="SWR68"/>
      <c r="SWS68"/>
      <c r="SWT68"/>
      <c r="SWU68"/>
      <c r="SWV68"/>
      <c r="SWW68"/>
      <c r="SWX68"/>
      <c r="SWY68"/>
      <c r="SWZ68"/>
      <c r="SXA68"/>
      <c r="SXB68"/>
      <c r="SXC68"/>
      <c r="SXD68"/>
      <c r="SXE68"/>
      <c r="SXF68"/>
      <c r="SXG68"/>
      <c r="SXH68"/>
      <c r="SXI68"/>
      <c r="SXJ68"/>
      <c r="SXK68"/>
      <c r="SXL68"/>
      <c r="SXM68"/>
      <c r="SXN68"/>
      <c r="SXO68"/>
      <c r="SXP68"/>
      <c r="SXQ68"/>
      <c r="SXR68"/>
      <c r="SXS68"/>
      <c r="SXT68"/>
      <c r="SXU68"/>
      <c r="SXV68"/>
      <c r="SXW68"/>
      <c r="SXX68"/>
      <c r="SXY68"/>
      <c r="SXZ68"/>
      <c r="SYA68"/>
      <c r="SYB68"/>
      <c r="SYC68"/>
      <c r="SYD68"/>
      <c r="SYE68"/>
      <c r="SYF68"/>
      <c r="SYG68"/>
      <c r="SYH68"/>
      <c r="SYI68"/>
      <c r="SYJ68"/>
      <c r="SYK68"/>
      <c r="SYL68"/>
      <c r="SYM68"/>
      <c r="SYN68"/>
      <c r="SYO68"/>
      <c r="SYP68"/>
      <c r="SYQ68"/>
      <c r="SYR68"/>
      <c r="SYS68"/>
      <c r="SYT68"/>
      <c r="SYU68"/>
      <c r="SYV68"/>
      <c r="SYW68"/>
      <c r="SYX68"/>
      <c r="SYY68"/>
      <c r="SYZ68"/>
      <c r="SZA68"/>
      <c r="SZB68"/>
      <c r="SZC68"/>
      <c r="SZD68"/>
      <c r="SZE68"/>
      <c r="SZF68"/>
      <c r="SZG68"/>
      <c r="SZH68"/>
      <c r="SZI68"/>
      <c r="SZJ68"/>
      <c r="SZK68"/>
      <c r="SZL68"/>
      <c r="SZM68"/>
      <c r="SZN68"/>
      <c r="SZO68"/>
      <c r="SZP68"/>
      <c r="SZQ68"/>
      <c r="SZR68"/>
      <c r="SZS68"/>
      <c r="SZT68"/>
      <c r="SZU68"/>
      <c r="SZV68"/>
      <c r="SZW68"/>
      <c r="SZX68"/>
      <c r="SZY68"/>
      <c r="SZZ68"/>
      <c r="TAA68"/>
      <c r="TAB68"/>
      <c r="TAC68"/>
      <c r="TAD68"/>
      <c r="TAE68"/>
      <c r="TAF68"/>
      <c r="TAG68"/>
      <c r="TAH68"/>
      <c r="TAI68"/>
      <c r="TAJ68"/>
      <c r="TAK68"/>
      <c r="TAL68"/>
      <c r="TAM68"/>
      <c r="TAN68"/>
      <c r="TAO68"/>
      <c r="TAP68"/>
      <c r="TAQ68"/>
      <c r="TAR68"/>
      <c r="TAS68"/>
      <c r="TAT68"/>
      <c r="TAU68"/>
      <c r="TAV68"/>
      <c r="TAW68"/>
      <c r="TAX68"/>
      <c r="TAY68"/>
      <c r="TAZ68"/>
      <c r="TBA68"/>
      <c r="TBB68"/>
      <c r="TBC68"/>
      <c r="TBD68"/>
      <c r="TBE68"/>
      <c r="TBF68"/>
      <c r="TBG68"/>
      <c r="TBH68"/>
      <c r="TBI68"/>
      <c r="TBJ68"/>
      <c r="TBK68"/>
      <c r="TBL68"/>
      <c r="TBM68"/>
      <c r="TBN68"/>
      <c r="TBO68"/>
      <c r="TBP68"/>
      <c r="TBQ68"/>
      <c r="TBR68"/>
      <c r="TBS68"/>
      <c r="TBT68"/>
      <c r="TBU68"/>
      <c r="TBV68"/>
      <c r="TBW68"/>
      <c r="TBX68"/>
      <c r="TBY68"/>
      <c r="TBZ68"/>
      <c r="TCA68"/>
      <c r="TCB68"/>
      <c r="TCC68"/>
      <c r="TCD68"/>
      <c r="TCE68"/>
      <c r="TCF68"/>
      <c r="TCG68"/>
      <c r="TCH68"/>
      <c r="TCI68"/>
      <c r="TCJ68"/>
      <c r="TCK68"/>
      <c r="TCL68"/>
      <c r="TCM68"/>
      <c r="TCN68"/>
      <c r="TCO68"/>
      <c r="TCP68"/>
      <c r="TCQ68"/>
      <c r="TCR68"/>
      <c r="TCS68"/>
      <c r="TCT68"/>
      <c r="TCU68"/>
      <c r="TCV68"/>
      <c r="TCW68"/>
      <c r="TCX68"/>
      <c r="TCY68"/>
      <c r="TCZ68"/>
      <c r="TDA68"/>
      <c r="TDB68"/>
      <c r="TDC68"/>
      <c r="TDD68"/>
      <c r="TDE68"/>
      <c r="TDF68"/>
      <c r="TDG68"/>
      <c r="TDH68"/>
      <c r="TDI68"/>
      <c r="TDJ68"/>
      <c r="TDK68"/>
      <c r="TDL68"/>
      <c r="TDM68"/>
      <c r="TDN68"/>
      <c r="TDO68"/>
      <c r="TDP68"/>
      <c r="TDQ68"/>
      <c r="TDR68"/>
      <c r="TDS68"/>
      <c r="TDT68"/>
      <c r="TDU68"/>
      <c r="TDV68"/>
      <c r="TDW68"/>
      <c r="TDX68"/>
      <c r="TDY68"/>
      <c r="TDZ68"/>
      <c r="TEA68"/>
      <c r="TEB68"/>
      <c r="TEC68"/>
      <c r="TED68"/>
      <c r="TEE68"/>
      <c r="TEF68"/>
      <c r="TEG68"/>
      <c r="TEH68"/>
      <c r="TEI68"/>
      <c r="TEJ68"/>
      <c r="TEK68"/>
      <c r="TEL68"/>
      <c r="TEM68"/>
      <c r="TEN68"/>
      <c r="TEO68"/>
      <c r="TEP68"/>
      <c r="TEQ68"/>
      <c r="TER68"/>
      <c r="TES68"/>
      <c r="TET68"/>
      <c r="TEU68"/>
      <c r="TEV68"/>
      <c r="TEW68"/>
      <c r="TEX68"/>
      <c r="TEY68"/>
      <c r="TEZ68"/>
      <c r="TFA68"/>
      <c r="TFB68"/>
      <c r="TFC68"/>
      <c r="TFD68"/>
      <c r="TFE68"/>
      <c r="TFF68"/>
      <c r="TFG68"/>
      <c r="TFH68"/>
      <c r="TFI68"/>
      <c r="TFJ68"/>
      <c r="TFK68"/>
      <c r="TFL68"/>
      <c r="TFM68"/>
      <c r="TFN68"/>
      <c r="TFO68"/>
      <c r="TFP68"/>
      <c r="TFQ68"/>
      <c r="TFR68"/>
      <c r="TFS68"/>
      <c r="TFT68"/>
      <c r="TFU68"/>
      <c r="TFV68"/>
      <c r="TFW68"/>
      <c r="TFX68"/>
      <c r="TFY68"/>
      <c r="TFZ68"/>
      <c r="TGA68"/>
      <c r="TGB68"/>
      <c r="TGC68"/>
      <c r="TGD68"/>
      <c r="TGE68"/>
      <c r="TGF68"/>
      <c r="TGG68"/>
      <c r="TGH68"/>
      <c r="TGI68"/>
      <c r="TGJ68"/>
      <c r="TGK68"/>
      <c r="TGL68"/>
      <c r="TGM68"/>
      <c r="TGN68"/>
      <c r="TGO68"/>
      <c r="TGP68"/>
      <c r="TGQ68"/>
      <c r="TGR68"/>
      <c r="TGS68"/>
      <c r="TGT68"/>
      <c r="TGU68"/>
      <c r="TGV68"/>
      <c r="TGW68"/>
      <c r="TGX68"/>
      <c r="TGY68"/>
      <c r="TGZ68"/>
      <c r="THA68"/>
      <c r="THB68"/>
      <c r="THC68"/>
      <c r="THD68"/>
      <c r="THE68"/>
      <c r="THF68"/>
      <c r="THG68"/>
      <c r="THH68"/>
      <c r="THI68"/>
      <c r="THJ68"/>
      <c r="THK68"/>
      <c r="THL68"/>
      <c r="THM68"/>
      <c r="THN68"/>
      <c r="THO68"/>
      <c r="THP68"/>
      <c r="THQ68"/>
      <c r="THR68"/>
      <c r="THS68"/>
      <c r="THT68"/>
      <c r="THU68"/>
      <c r="THV68"/>
      <c r="THW68"/>
      <c r="THX68"/>
      <c r="THY68"/>
      <c r="THZ68"/>
      <c r="TIA68"/>
      <c r="TIB68"/>
      <c r="TIC68"/>
      <c r="TID68"/>
      <c r="TIE68"/>
      <c r="TIF68"/>
      <c r="TIG68"/>
      <c r="TIH68"/>
      <c r="TII68"/>
      <c r="TIJ68"/>
      <c r="TIK68"/>
      <c r="TIL68"/>
      <c r="TIM68"/>
      <c r="TIN68"/>
      <c r="TIO68"/>
      <c r="TIP68"/>
      <c r="TIQ68"/>
      <c r="TIR68"/>
      <c r="TIS68"/>
      <c r="TIT68"/>
      <c r="TIU68"/>
      <c r="TIV68"/>
      <c r="TIW68"/>
      <c r="TIX68"/>
      <c r="TIY68"/>
      <c r="TIZ68"/>
      <c r="TJA68"/>
      <c r="TJB68"/>
      <c r="TJC68"/>
      <c r="TJD68"/>
      <c r="TJE68"/>
      <c r="TJF68"/>
      <c r="TJG68"/>
      <c r="TJH68"/>
      <c r="TJI68"/>
      <c r="TJJ68"/>
      <c r="TJK68"/>
      <c r="TJL68"/>
      <c r="TJM68"/>
      <c r="TJN68"/>
      <c r="TJO68"/>
      <c r="TJP68"/>
      <c r="TJQ68"/>
      <c r="TJR68"/>
      <c r="TJS68"/>
      <c r="TJT68"/>
      <c r="TJU68"/>
      <c r="TJV68"/>
      <c r="TJW68"/>
      <c r="TJX68"/>
      <c r="TJY68"/>
      <c r="TJZ68"/>
      <c r="TKA68"/>
      <c r="TKB68"/>
      <c r="TKC68"/>
      <c r="TKD68"/>
      <c r="TKE68"/>
      <c r="TKF68"/>
      <c r="TKG68"/>
      <c r="TKH68"/>
      <c r="TKI68"/>
      <c r="TKJ68"/>
      <c r="TKK68"/>
      <c r="TKL68"/>
      <c r="TKM68"/>
      <c r="TKN68"/>
      <c r="TKO68"/>
      <c r="TKP68"/>
      <c r="TKQ68"/>
      <c r="TKR68"/>
      <c r="TKS68"/>
      <c r="TKT68"/>
      <c r="TKU68"/>
      <c r="TKV68"/>
      <c r="TKW68"/>
      <c r="TKX68"/>
      <c r="TKY68"/>
      <c r="TKZ68"/>
      <c r="TLA68"/>
      <c r="TLB68"/>
      <c r="TLC68"/>
      <c r="TLD68"/>
      <c r="TLE68"/>
      <c r="TLF68"/>
      <c r="TLG68"/>
      <c r="TLH68"/>
      <c r="TLI68"/>
      <c r="TLJ68"/>
      <c r="TLK68"/>
      <c r="TLL68"/>
      <c r="TLM68"/>
      <c r="TLN68"/>
      <c r="TLO68"/>
      <c r="TLP68"/>
      <c r="TLQ68"/>
      <c r="TLR68"/>
      <c r="TLS68"/>
      <c r="TLT68"/>
      <c r="TLU68"/>
      <c r="TLV68"/>
      <c r="TLW68"/>
      <c r="TLX68"/>
      <c r="TLY68"/>
      <c r="TLZ68"/>
      <c r="TMA68"/>
      <c r="TMB68"/>
      <c r="TMC68"/>
      <c r="TMD68"/>
      <c r="TME68"/>
      <c r="TMF68"/>
      <c r="TMG68"/>
      <c r="TMH68"/>
      <c r="TMI68"/>
      <c r="TMJ68"/>
      <c r="TMK68"/>
      <c r="TML68"/>
      <c r="TMM68"/>
      <c r="TMN68"/>
      <c r="TMO68"/>
      <c r="TMP68"/>
      <c r="TMQ68"/>
      <c r="TMR68"/>
      <c r="TMS68"/>
      <c r="TMT68"/>
      <c r="TMU68"/>
      <c r="TMV68"/>
      <c r="TMW68"/>
      <c r="TMX68"/>
      <c r="TMY68"/>
      <c r="TMZ68"/>
      <c r="TNA68"/>
      <c r="TNB68"/>
      <c r="TNC68"/>
      <c r="TND68"/>
      <c r="TNE68"/>
      <c r="TNF68"/>
      <c r="TNG68"/>
      <c r="TNH68"/>
      <c r="TNI68"/>
      <c r="TNJ68"/>
      <c r="TNK68"/>
      <c r="TNL68"/>
      <c r="TNM68"/>
      <c r="TNN68"/>
      <c r="TNO68"/>
      <c r="TNP68"/>
      <c r="TNQ68"/>
      <c r="TNR68"/>
      <c r="TNS68"/>
      <c r="TNT68"/>
      <c r="TNU68"/>
      <c r="TNV68"/>
      <c r="TNW68"/>
      <c r="TNX68"/>
      <c r="TNY68"/>
      <c r="TNZ68"/>
      <c r="TOA68"/>
      <c r="TOB68"/>
      <c r="TOC68"/>
      <c r="TOD68"/>
      <c r="TOE68"/>
      <c r="TOF68"/>
      <c r="TOG68"/>
      <c r="TOH68"/>
      <c r="TOI68"/>
      <c r="TOJ68"/>
      <c r="TOK68"/>
      <c r="TOL68"/>
      <c r="TOM68"/>
      <c r="TON68"/>
      <c r="TOO68"/>
      <c r="TOP68"/>
      <c r="TOQ68"/>
      <c r="TOR68"/>
      <c r="TOS68"/>
      <c r="TOT68"/>
      <c r="TOU68"/>
      <c r="TOV68"/>
      <c r="TOW68"/>
      <c r="TOX68"/>
      <c r="TOY68"/>
      <c r="TOZ68"/>
      <c r="TPA68"/>
      <c r="TPB68"/>
      <c r="TPC68"/>
      <c r="TPD68"/>
      <c r="TPE68"/>
      <c r="TPF68"/>
      <c r="TPG68"/>
      <c r="TPH68"/>
      <c r="TPI68"/>
      <c r="TPJ68"/>
      <c r="TPK68"/>
      <c r="TPL68"/>
      <c r="TPM68"/>
      <c r="TPN68"/>
      <c r="TPO68"/>
      <c r="TPP68"/>
      <c r="TPQ68"/>
      <c r="TPR68"/>
      <c r="TPS68"/>
      <c r="TPT68"/>
      <c r="TPU68"/>
      <c r="TPV68"/>
      <c r="TPW68"/>
      <c r="TPX68"/>
      <c r="TPY68"/>
      <c r="TPZ68"/>
      <c r="TQA68"/>
      <c r="TQB68"/>
      <c r="TQC68"/>
      <c r="TQD68"/>
      <c r="TQE68"/>
      <c r="TQF68"/>
      <c r="TQG68"/>
      <c r="TQH68"/>
      <c r="TQI68"/>
      <c r="TQJ68"/>
      <c r="TQK68"/>
      <c r="TQL68"/>
      <c r="TQM68"/>
      <c r="TQN68"/>
      <c r="TQO68"/>
      <c r="TQP68"/>
      <c r="TQQ68"/>
      <c r="TQR68"/>
      <c r="TQS68"/>
      <c r="TQT68"/>
      <c r="TQU68"/>
      <c r="TQV68"/>
      <c r="TQW68"/>
      <c r="TQX68"/>
      <c r="TQY68"/>
      <c r="TQZ68"/>
      <c r="TRA68"/>
      <c r="TRB68"/>
      <c r="TRC68"/>
      <c r="TRD68"/>
      <c r="TRE68"/>
      <c r="TRF68"/>
      <c r="TRG68"/>
      <c r="TRH68"/>
      <c r="TRI68"/>
      <c r="TRJ68"/>
      <c r="TRK68"/>
      <c r="TRL68"/>
      <c r="TRM68"/>
      <c r="TRN68"/>
      <c r="TRO68"/>
      <c r="TRP68"/>
      <c r="TRQ68"/>
      <c r="TRR68"/>
      <c r="TRS68"/>
      <c r="TRT68"/>
      <c r="TRU68"/>
      <c r="TRV68"/>
      <c r="TRW68"/>
      <c r="TRX68"/>
      <c r="TRY68"/>
      <c r="TRZ68"/>
      <c r="TSA68"/>
      <c r="TSB68"/>
      <c r="TSC68"/>
      <c r="TSD68"/>
      <c r="TSE68"/>
      <c r="TSF68"/>
      <c r="TSG68"/>
      <c r="TSH68"/>
      <c r="TSI68"/>
      <c r="TSJ68"/>
      <c r="TSK68"/>
      <c r="TSL68"/>
      <c r="TSM68"/>
      <c r="TSN68"/>
      <c r="TSO68"/>
      <c r="TSP68"/>
      <c r="TSQ68"/>
      <c r="TSR68"/>
      <c r="TSS68"/>
      <c r="TST68"/>
      <c r="TSU68"/>
      <c r="TSV68"/>
      <c r="TSW68"/>
      <c r="TSX68"/>
      <c r="TSY68"/>
      <c r="TSZ68"/>
      <c r="TTA68"/>
      <c r="TTB68"/>
      <c r="TTC68"/>
      <c r="TTD68"/>
      <c r="TTE68"/>
      <c r="TTF68"/>
      <c r="TTG68"/>
      <c r="TTH68"/>
      <c r="TTI68"/>
      <c r="TTJ68"/>
      <c r="TTK68"/>
      <c r="TTL68"/>
      <c r="TTM68"/>
      <c r="TTN68"/>
      <c r="TTO68"/>
      <c r="TTP68"/>
      <c r="TTQ68"/>
      <c r="TTR68"/>
      <c r="TTS68"/>
      <c r="TTT68"/>
      <c r="TTU68"/>
      <c r="TTV68"/>
      <c r="TTW68"/>
      <c r="TTX68"/>
      <c r="TTY68"/>
      <c r="TTZ68"/>
      <c r="TUA68"/>
      <c r="TUB68"/>
      <c r="TUC68"/>
      <c r="TUD68"/>
      <c r="TUE68"/>
      <c r="TUF68"/>
      <c r="TUG68"/>
      <c r="TUH68"/>
      <c r="TUI68"/>
      <c r="TUJ68"/>
      <c r="TUK68"/>
      <c r="TUL68"/>
      <c r="TUM68"/>
      <c r="TUN68"/>
      <c r="TUO68"/>
      <c r="TUP68"/>
      <c r="TUQ68"/>
      <c r="TUR68"/>
      <c r="TUS68"/>
      <c r="TUT68"/>
      <c r="TUU68"/>
      <c r="TUV68"/>
      <c r="TUW68"/>
      <c r="TUX68"/>
      <c r="TUY68"/>
      <c r="TUZ68"/>
      <c r="TVA68"/>
      <c r="TVB68"/>
      <c r="TVC68"/>
      <c r="TVD68"/>
      <c r="TVE68"/>
      <c r="TVF68"/>
      <c r="TVG68"/>
      <c r="TVH68"/>
      <c r="TVI68"/>
      <c r="TVJ68"/>
      <c r="TVK68"/>
      <c r="TVL68"/>
      <c r="TVM68"/>
      <c r="TVN68"/>
      <c r="TVO68"/>
      <c r="TVP68"/>
      <c r="TVQ68"/>
      <c r="TVR68"/>
      <c r="TVS68"/>
      <c r="TVT68"/>
      <c r="TVU68"/>
      <c r="TVV68"/>
      <c r="TVW68"/>
      <c r="TVX68"/>
      <c r="TVY68"/>
      <c r="TVZ68"/>
      <c r="TWA68"/>
      <c r="TWB68"/>
      <c r="TWC68"/>
      <c r="TWD68"/>
      <c r="TWE68"/>
      <c r="TWF68"/>
      <c r="TWG68"/>
      <c r="TWH68"/>
      <c r="TWI68"/>
      <c r="TWJ68"/>
      <c r="TWK68"/>
      <c r="TWL68"/>
      <c r="TWM68"/>
      <c r="TWN68"/>
      <c r="TWO68"/>
      <c r="TWP68"/>
      <c r="TWQ68"/>
      <c r="TWR68"/>
      <c r="TWS68"/>
      <c r="TWT68"/>
      <c r="TWU68"/>
      <c r="TWV68"/>
      <c r="TWW68"/>
      <c r="TWX68"/>
      <c r="TWY68"/>
      <c r="TWZ68"/>
      <c r="TXA68"/>
      <c r="TXB68"/>
      <c r="TXC68"/>
      <c r="TXD68"/>
      <c r="TXE68"/>
      <c r="TXF68"/>
      <c r="TXG68"/>
      <c r="TXH68"/>
      <c r="TXI68"/>
      <c r="TXJ68"/>
      <c r="TXK68"/>
      <c r="TXL68"/>
      <c r="TXM68"/>
      <c r="TXN68"/>
      <c r="TXO68"/>
      <c r="TXP68"/>
      <c r="TXQ68"/>
      <c r="TXR68"/>
      <c r="TXS68"/>
      <c r="TXT68"/>
      <c r="TXU68"/>
      <c r="TXV68"/>
      <c r="TXW68"/>
      <c r="TXX68"/>
      <c r="TXY68"/>
      <c r="TXZ68"/>
      <c r="TYA68"/>
      <c r="TYB68"/>
      <c r="TYC68"/>
      <c r="TYD68"/>
      <c r="TYE68"/>
      <c r="TYF68"/>
      <c r="TYG68"/>
      <c r="TYH68"/>
      <c r="TYI68"/>
      <c r="TYJ68"/>
      <c r="TYK68"/>
      <c r="TYL68"/>
      <c r="TYM68"/>
      <c r="TYN68"/>
      <c r="TYO68"/>
      <c r="TYP68"/>
      <c r="TYQ68"/>
      <c r="TYR68"/>
      <c r="TYS68"/>
      <c r="TYT68"/>
      <c r="TYU68"/>
      <c r="TYV68"/>
      <c r="TYW68"/>
      <c r="TYX68"/>
      <c r="TYY68"/>
      <c r="TYZ68"/>
      <c r="TZA68"/>
      <c r="TZB68"/>
      <c r="TZC68"/>
      <c r="TZD68"/>
      <c r="TZE68"/>
      <c r="TZF68"/>
      <c r="TZG68"/>
      <c r="TZH68"/>
      <c r="TZI68"/>
      <c r="TZJ68"/>
      <c r="TZK68"/>
      <c r="TZL68"/>
      <c r="TZM68"/>
      <c r="TZN68"/>
      <c r="TZO68"/>
      <c r="TZP68"/>
      <c r="TZQ68"/>
      <c r="TZR68"/>
      <c r="TZS68"/>
      <c r="TZT68"/>
      <c r="TZU68"/>
      <c r="TZV68"/>
      <c r="TZW68"/>
      <c r="TZX68"/>
      <c r="TZY68"/>
      <c r="TZZ68"/>
      <c r="UAA68"/>
      <c r="UAB68"/>
      <c r="UAC68"/>
      <c r="UAD68"/>
      <c r="UAE68"/>
      <c r="UAF68"/>
      <c r="UAG68"/>
      <c r="UAH68"/>
      <c r="UAI68"/>
      <c r="UAJ68"/>
      <c r="UAK68"/>
      <c r="UAL68"/>
      <c r="UAM68"/>
      <c r="UAN68"/>
      <c r="UAO68"/>
      <c r="UAP68"/>
      <c r="UAQ68"/>
      <c r="UAR68"/>
      <c r="UAS68"/>
      <c r="UAT68"/>
      <c r="UAU68"/>
      <c r="UAV68"/>
      <c r="UAW68"/>
      <c r="UAX68"/>
      <c r="UAY68"/>
      <c r="UAZ68"/>
      <c r="UBA68"/>
      <c r="UBB68"/>
      <c r="UBC68"/>
      <c r="UBD68"/>
      <c r="UBE68"/>
      <c r="UBF68"/>
      <c r="UBG68"/>
      <c r="UBH68"/>
      <c r="UBI68"/>
      <c r="UBJ68"/>
      <c r="UBK68"/>
      <c r="UBL68"/>
      <c r="UBM68"/>
      <c r="UBN68"/>
      <c r="UBO68"/>
      <c r="UBP68"/>
      <c r="UBQ68"/>
      <c r="UBR68"/>
      <c r="UBS68"/>
      <c r="UBT68"/>
      <c r="UBU68"/>
      <c r="UBV68"/>
      <c r="UBW68"/>
      <c r="UBX68"/>
      <c r="UBY68"/>
      <c r="UBZ68"/>
      <c r="UCA68"/>
      <c r="UCB68"/>
      <c r="UCC68"/>
      <c r="UCD68"/>
      <c r="UCE68"/>
      <c r="UCF68"/>
      <c r="UCG68"/>
      <c r="UCH68"/>
      <c r="UCI68"/>
      <c r="UCJ68"/>
      <c r="UCK68"/>
      <c r="UCL68"/>
      <c r="UCM68"/>
      <c r="UCN68"/>
      <c r="UCO68"/>
      <c r="UCP68"/>
      <c r="UCQ68"/>
      <c r="UCR68"/>
      <c r="UCS68"/>
      <c r="UCT68"/>
      <c r="UCU68"/>
      <c r="UCV68"/>
      <c r="UCW68"/>
      <c r="UCX68"/>
      <c r="UCY68"/>
      <c r="UCZ68"/>
      <c r="UDA68"/>
      <c r="UDB68"/>
      <c r="UDC68"/>
      <c r="UDD68"/>
      <c r="UDE68"/>
      <c r="UDF68"/>
      <c r="UDG68"/>
      <c r="UDH68"/>
      <c r="UDI68"/>
      <c r="UDJ68"/>
      <c r="UDK68"/>
      <c r="UDL68"/>
      <c r="UDM68"/>
      <c r="UDN68"/>
      <c r="UDO68"/>
      <c r="UDP68"/>
      <c r="UDQ68"/>
      <c r="UDR68"/>
      <c r="UDS68"/>
      <c r="UDT68"/>
      <c r="UDU68"/>
      <c r="UDV68"/>
      <c r="UDW68"/>
      <c r="UDX68"/>
      <c r="UDY68"/>
      <c r="UDZ68"/>
      <c r="UEA68"/>
      <c r="UEB68"/>
      <c r="UEC68"/>
      <c r="UED68"/>
      <c r="UEE68"/>
      <c r="UEF68"/>
      <c r="UEG68"/>
      <c r="UEH68"/>
      <c r="UEI68"/>
      <c r="UEJ68"/>
      <c r="UEK68"/>
      <c r="UEL68"/>
      <c r="UEM68"/>
      <c r="UEN68"/>
      <c r="UEO68"/>
      <c r="UEP68"/>
      <c r="UEQ68"/>
      <c r="UER68"/>
      <c r="UES68"/>
      <c r="UET68"/>
      <c r="UEU68"/>
      <c r="UEV68"/>
      <c r="UEW68"/>
      <c r="UEX68"/>
      <c r="UEY68"/>
      <c r="UEZ68"/>
      <c r="UFA68"/>
      <c r="UFB68"/>
      <c r="UFC68"/>
      <c r="UFD68"/>
      <c r="UFE68"/>
      <c r="UFF68"/>
      <c r="UFG68"/>
      <c r="UFH68"/>
      <c r="UFI68"/>
      <c r="UFJ68"/>
      <c r="UFK68"/>
      <c r="UFL68"/>
      <c r="UFM68"/>
      <c r="UFN68"/>
      <c r="UFO68"/>
      <c r="UFP68"/>
      <c r="UFQ68"/>
      <c r="UFR68"/>
      <c r="UFS68"/>
      <c r="UFT68"/>
      <c r="UFU68"/>
      <c r="UFV68"/>
      <c r="UFW68"/>
      <c r="UFX68"/>
      <c r="UFY68"/>
      <c r="UFZ68"/>
      <c r="UGA68"/>
      <c r="UGB68"/>
      <c r="UGC68"/>
      <c r="UGD68"/>
      <c r="UGE68"/>
      <c r="UGF68"/>
      <c r="UGG68"/>
      <c r="UGH68"/>
      <c r="UGI68"/>
      <c r="UGJ68"/>
      <c r="UGK68"/>
      <c r="UGL68"/>
      <c r="UGM68"/>
      <c r="UGN68"/>
      <c r="UGO68"/>
      <c r="UGP68"/>
      <c r="UGQ68"/>
      <c r="UGR68"/>
      <c r="UGS68"/>
      <c r="UGT68"/>
      <c r="UGU68"/>
      <c r="UGV68"/>
      <c r="UGW68"/>
      <c r="UGX68"/>
      <c r="UGY68"/>
      <c r="UGZ68"/>
      <c r="UHA68"/>
      <c r="UHB68"/>
      <c r="UHC68"/>
      <c r="UHD68"/>
      <c r="UHE68"/>
      <c r="UHF68"/>
      <c r="UHG68"/>
      <c r="UHH68"/>
      <c r="UHI68"/>
      <c r="UHJ68"/>
      <c r="UHK68"/>
      <c r="UHL68"/>
      <c r="UHM68"/>
      <c r="UHN68"/>
      <c r="UHO68"/>
      <c r="UHP68"/>
      <c r="UHQ68"/>
      <c r="UHR68"/>
      <c r="UHS68"/>
      <c r="UHT68"/>
      <c r="UHU68"/>
      <c r="UHV68"/>
      <c r="UHW68"/>
      <c r="UHX68"/>
      <c r="UHY68"/>
      <c r="UHZ68"/>
      <c r="UIA68"/>
      <c r="UIB68"/>
      <c r="UIC68"/>
      <c r="UID68"/>
      <c r="UIE68"/>
      <c r="UIF68"/>
      <c r="UIG68"/>
      <c r="UIH68"/>
      <c r="UII68"/>
      <c r="UIJ68"/>
      <c r="UIK68"/>
      <c r="UIL68"/>
      <c r="UIM68"/>
      <c r="UIN68"/>
      <c r="UIO68"/>
      <c r="UIP68"/>
      <c r="UIQ68"/>
      <c r="UIR68"/>
      <c r="UIS68"/>
      <c r="UIT68"/>
      <c r="UIU68"/>
      <c r="UIV68"/>
      <c r="UIW68"/>
      <c r="UIX68"/>
      <c r="UIY68"/>
      <c r="UIZ68"/>
      <c r="UJA68"/>
      <c r="UJB68"/>
      <c r="UJC68"/>
      <c r="UJD68"/>
      <c r="UJE68"/>
      <c r="UJF68"/>
      <c r="UJG68"/>
      <c r="UJH68"/>
      <c r="UJI68"/>
      <c r="UJJ68"/>
      <c r="UJK68"/>
      <c r="UJL68"/>
      <c r="UJM68"/>
      <c r="UJN68"/>
      <c r="UJO68"/>
      <c r="UJP68"/>
      <c r="UJQ68"/>
      <c r="UJR68"/>
      <c r="UJS68"/>
      <c r="UJT68"/>
      <c r="UJU68"/>
      <c r="UJV68"/>
      <c r="UJW68"/>
      <c r="UJX68"/>
      <c r="UJY68"/>
      <c r="UJZ68"/>
      <c r="UKA68"/>
      <c r="UKB68"/>
      <c r="UKC68"/>
      <c r="UKD68"/>
      <c r="UKE68"/>
      <c r="UKF68"/>
      <c r="UKG68"/>
      <c r="UKH68"/>
      <c r="UKI68"/>
      <c r="UKJ68"/>
      <c r="UKK68"/>
      <c r="UKL68"/>
      <c r="UKM68"/>
      <c r="UKN68"/>
      <c r="UKO68"/>
      <c r="UKP68"/>
      <c r="UKQ68"/>
      <c r="UKR68"/>
      <c r="UKS68"/>
      <c r="UKT68"/>
      <c r="UKU68"/>
      <c r="UKV68"/>
      <c r="UKW68"/>
      <c r="UKX68"/>
      <c r="UKY68"/>
      <c r="UKZ68"/>
      <c r="ULA68"/>
      <c r="ULB68"/>
      <c r="ULC68"/>
      <c r="ULD68"/>
      <c r="ULE68"/>
      <c r="ULF68"/>
      <c r="ULG68"/>
      <c r="ULH68"/>
      <c r="ULI68"/>
      <c r="ULJ68"/>
      <c r="ULK68"/>
      <c r="ULL68"/>
      <c r="ULM68"/>
      <c r="ULN68"/>
      <c r="ULO68"/>
      <c r="ULP68"/>
      <c r="ULQ68"/>
      <c r="ULR68"/>
      <c r="ULS68"/>
      <c r="ULT68"/>
      <c r="ULU68"/>
      <c r="ULV68"/>
      <c r="ULW68"/>
      <c r="ULX68"/>
      <c r="ULY68"/>
      <c r="ULZ68"/>
      <c r="UMA68"/>
      <c r="UMB68"/>
      <c r="UMC68"/>
      <c r="UMD68"/>
      <c r="UME68"/>
      <c r="UMF68"/>
      <c r="UMG68"/>
      <c r="UMH68"/>
      <c r="UMI68"/>
      <c r="UMJ68"/>
      <c r="UMK68"/>
      <c r="UML68"/>
      <c r="UMM68"/>
      <c r="UMN68"/>
      <c r="UMO68"/>
      <c r="UMP68"/>
      <c r="UMQ68"/>
      <c r="UMR68"/>
      <c r="UMS68"/>
      <c r="UMT68"/>
      <c r="UMU68"/>
      <c r="UMV68"/>
      <c r="UMW68"/>
      <c r="UMX68"/>
      <c r="UMY68"/>
      <c r="UMZ68"/>
      <c r="UNA68"/>
      <c r="UNB68"/>
      <c r="UNC68"/>
      <c r="UND68"/>
      <c r="UNE68"/>
      <c r="UNF68"/>
      <c r="UNG68"/>
      <c r="UNH68"/>
      <c r="UNI68"/>
      <c r="UNJ68"/>
      <c r="UNK68"/>
      <c r="UNL68"/>
      <c r="UNM68"/>
      <c r="UNN68"/>
      <c r="UNO68"/>
      <c r="UNP68"/>
      <c r="UNQ68"/>
      <c r="UNR68"/>
      <c r="UNS68"/>
      <c r="UNT68"/>
      <c r="UNU68"/>
      <c r="UNV68"/>
      <c r="UNW68"/>
      <c r="UNX68"/>
      <c r="UNY68"/>
      <c r="UNZ68"/>
      <c r="UOA68"/>
      <c r="UOB68"/>
      <c r="UOC68"/>
      <c r="UOD68"/>
      <c r="UOE68"/>
      <c r="UOF68"/>
      <c r="UOG68"/>
      <c r="UOH68"/>
      <c r="UOI68"/>
      <c r="UOJ68"/>
      <c r="UOK68"/>
      <c r="UOL68"/>
      <c r="UOM68"/>
      <c r="UON68"/>
      <c r="UOO68"/>
      <c r="UOP68"/>
      <c r="UOQ68"/>
      <c r="UOR68"/>
      <c r="UOS68"/>
      <c r="UOT68"/>
      <c r="UOU68"/>
      <c r="UOV68"/>
      <c r="UOW68"/>
      <c r="UOX68"/>
      <c r="UOY68"/>
      <c r="UOZ68"/>
      <c r="UPA68"/>
      <c r="UPB68"/>
      <c r="UPC68"/>
      <c r="UPD68"/>
      <c r="UPE68"/>
      <c r="UPF68"/>
      <c r="UPG68"/>
      <c r="UPH68"/>
      <c r="UPI68"/>
      <c r="UPJ68"/>
      <c r="UPK68"/>
      <c r="UPL68"/>
      <c r="UPM68"/>
      <c r="UPN68"/>
      <c r="UPO68"/>
      <c r="UPP68"/>
      <c r="UPQ68"/>
      <c r="UPR68"/>
      <c r="UPS68"/>
      <c r="UPT68"/>
      <c r="UPU68"/>
      <c r="UPV68"/>
      <c r="UPW68"/>
      <c r="UPX68"/>
      <c r="UPY68"/>
      <c r="UPZ68"/>
      <c r="UQA68"/>
      <c r="UQB68"/>
      <c r="UQC68"/>
      <c r="UQD68"/>
      <c r="UQE68"/>
      <c r="UQF68"/>
      <c r="UQG68"/>
      <c r="UQH68"/>
      <c r="UQI68"/>
      <c r="UQJ68"/>
      <c r="UQK68"/>
      <c r="UQL68"/>
      <c r="UQM68"/>
      <c r="UQN68"/>
      <c r="UQO68"/>
      <c r="UQP68"/>
      <c r="UQQ68"/>
      <c r="UQR68"/>
      <c r="UQS68"/>
      <c r="UQT68"/>
      <c r="UQU68"/>
      <c r="UQV68"/>
      <c r="UQW68"/>
      <c r="UQX68"/>
      <c r="UQY68"/>
      <c r="UQZ68"/>
      <c r="URA68"/>
      <c r="URB68"/>
      <c r="URC68"/>
      <c r="URD68"/>
      <c r="URE68"/>
      <c r="URF68"/>
      <c r="URG68"/>
      <c r="URH68"/>
      <c r="URI68"/>
      <c r="URJ68"/>
      <c r="URK68"/>
      <c r="URL68"/>
      <c r="URM68"/>
      <c r="URN68"/>
      <c r="URO68"/>
      <c r="URP68"/>
      <c r="URQ68"/>
      <c r="URR68"/>
      <c r="URS68"/>
      <c r="URT68"/>
      <c r="URU68"/>
      <c r="URV68"/>
      <c r="URW68"/>
      <c r="URX68"/>
      <c r="URY68"/>
      <c r="URZ68"/>
      <c r="USA68"/>
      <c r="USB68"/>
      <c r="USC68"/>
      <c r="USD68"/>
      <c r="USE68"/>
      <c r="USF68"/>
      <c r="USG68"/>
      <c r="USH68"/>
      <c r="USI68"/>
      <c r="USJ68"/>
      <c r="USK68"/>
      <c r="USL68"/>
      <c r="USM68"/>
      <c r="USN68"/>
      <c r="USO68"/>
      <c r="USP68"/>
      <c r="USQ68"/>
      <c r="USR68"/>
      <c r="USS68"/>
      <c r="UST68"/>
      <c r="USU68"/>
      <c r="USV68"/>
      <c r="USW68"/>
      <c r="USX68"/>
      <c r="USY68"/>
      <c r="USZ68"/>
      <c r="UTA68"/>
      <c r="UTB68"/>
      <c r="UTC68"/>
      <c r="UTD68"/>
      <c r="UTE68"/>
      <c r="UTF68"/>
      <c r="UTG68"/>
      <c r="UTH68"/>
      <c r="UTI68"/>
      <c r="UTJ68"/>
      <c r="UTK68"/>
      <c r="UTL68"/>
      <c r="UTM68"/>
      <c r="UTN68"/>
      <c r="UTO68"/>
      <c r="UTP68"/>
      <c r="UTQ68"/>
      <c r="UTR68"/>
      <c r="UTS68"/>
      <c r="UTT68"/>
      <c r="UTU68"/>
      <c r="UTV68"/>
      <c r="UTW68"/>
      <c r="UTX68"/>
      <c r="UTY68"/>
      <c r="UTZ68"/>
      <c r="UUA68"/>
      <c r="UUB68"/>
      <c r="UUC68"/>
      <c r="UUD68"/>
      <c r="UUE68"/>
      <c r="UUF68"/>
      <c r="UUG68"/>
      <c r="UUH68"/>
      <c r="UUI68"/>
      <c r="UUJ68"/>
      <c r="UUK68"/>
      <c r="UUL68"/>
      <c r="UUM68"/>
      <c r="UUN68"/>
      <c r="UUO68"/>
      <c r="UUP68"/>
      <c r="UUQ68"/>
      <c r="UUR68"/>
      <c r="UUS68"/>
      <c r="UUT68"/>
      <c r="UUU68"/>
      <c r="UUV68"/>
      <c r="UUW68"/>
      <c r="UUX68"/>
      <c r="UUY68"/>
      <c r="UUZ68"/>
      <c r="UVA68"/>
      <c r="UVB68"/>
      <c r="UVC68"/>
      <c r="UVD68"/>
      <c r="UVE68"/>
      <c r="UVF68"/>
      <c r="UVG68"/>
      <c r="UVH68"/>
      <c r="UVI68"/>
      <c r="UVJ68"/>
      <c r="UVK68"/>
      <c r="UVL68"/>
      <c r="UVM68"/>
      <c r="UVN68"/>
      <c r="UVO68"/>
      <c r="UVP68"/>
      <c r="UVQ68"/>
      <c r="UVR68"/>
      <c r="UVS68"/>
      <c r="UVT68"/>
      <c r="UVU68"/>
      <c r="UVV68"/>
      <c r="UVW68"/>
      <c r="UVX68"/>
      <c r="UVY68"/>
      <c r="UVZ68"/>
      <c r="UWA68"/>
      <c r="UWB68"/>
      <c r="UWC68"/>
      <c r="UWD68"/>
      <c r="UWE68"/>
      <c r="UWF68"/>
      <c r="UWG68"/>
      <c r="UWH68"/>
      <c r="UWI68"/>
      <c r="UWJ68"/>
      <c r="UWK68"/>
      <c r="UWL68"/>
      <c r="UWM68"/>
      <c r="UWN68"/>
      <c r="UWO68"/>
      <c r="UWP68"/>
      <c r="UWQ68"/>
      <c r="UWR68"/>
      <c r="UWS68"/>
      <c r="UWT68"/>
      <c r="UWU68"/>
      <c r="UWV68"/>
      <c r="UWW68"/>
      <c r="UWX68"/>
      <c r="UWY68"/>
      <c r="UWZ68"/>
      <c r="UXA68"/>
      <c r="UXB68"/>
      <c r="UXC68"/>
      <c r="UXD68"/>
      <c r="UXE68"/>
      <c r="UXF68"/>
      <c r="UXG68"/>
      <c r="UXH68"/>
      <c r="UXI68"/>
      <c r="UXJ68"/>
      <c r="UXK68"/>
      <c r="UXL68"/>
      <c r="UXM68"/>
      <c r="UXN68"/>
      <c r="UXO68"/>
      <c r="UXP68"/>
      <c r="UXQ68"/>
      <c r="UXR68"/>
      <c r="UXS68"/>
      <c r="UXT68"/>
      <c r="UXU68"/>
      <c r="UXV68"/>
      <c r="UXW68"/>
      <c r="UXX68"/>
      <c r="UXY68"/>
      <c r="UXZ68"/>
      <c r="UYA68"/>
      <c r="UYB68"/>
      <c r="UYC68"/>
      <c r="UYD68"/>
      <c r="UYE68"/>
      <c r="UYF68"/>
      <c r="UYG68"/>
      <c r="UYH68"/>
      <c r="UYI68"/>
      <c r="UYJ68"/>
      <c r="UYK68"/>
      <c r="UYL68"/>
      <c r="UYM68"/>
      <c r="UYN68"/>
      <c r="UYO68"/>
      <c r="UYP68"/>
      <c r="UYQ68"/>
      <c r="UYR68"/>
      <c r="UYS68"/>
      <c r="UYT68"/>
      <c r="UYU68"/>
      <c r="UYV68"/>
      <c r="UYW68"/>
      <c r="UYX68"/>
      <c r="UYY68"/>
      <c r="UYZ68"/>
      <c r="UZA68"/>
      <c r="UZB68"/>
      <c r="UZC68"/>
      <c r="UZD68"/>
      <c r="UZE68"/>
      <c r="UZF68"/>
      <c r="UZG68"/>
      <c r="UZH68"/>
      <c r="UZI68"/>
      <c r="UZJ68"/>
      <c r="UZK68"/>
      <c r="UZL68"/>
      <c r="UZM68"/>
      <c r="UZN68"/>
      <c r="UZO68"/>
      <c r="UZP68"/>
      <c r="UZQ68"/>
      <c r="UZR68"/>
      <c r="UZS68"/>
      <c r="UZT68"/>
      <c r="UZU68"/>
      <c r="UZV68"/>
      <c r="UZW68"/>
      <c r="UZX68"/>
      <c r="UZY68"/>
      <c r="UZZ68"/>
      <c r="VAA68"/>
      <c r="VAB68"/>
      <c r="VAC68"/>
      <c r="VAD68"/>
      <c r="VAE68"/>
      <c r="VAF68"/>
      <c r="VAG68"/>
      <c r="VAH68"/>
      <c r="VAI68"/>
      <c r="VAJ68"/>
      <c r="VAK68"/>
      <c r="VAL68"/>
      <c r="VAM68"/>
      <c r="VAN68"/>
      <c r="VAO68"/>
      <c r="VAP68"/>
      <c r="VAQ68"/>
      <c r="VAR68"/>
      <c r="VAS68"/>
      <c r="VAT68"/>
      <c r="VAU68"/>
      <c r="VAV68"/>
      <c r="VAW68"/>
      <c r="VAX68"/>
      <c r="VAY68"/>
      <c r="VAZ68"/>
      <c r="VBA68"/>
      <c r="VBB68"/>
      <c r="VBC68"/>
      <c r="VBD68"/>
      <c r="VBE68"/>
      <c r="VBF68"/>
      <c r="VBG68"/>
      <c r="VBH68"/>
      <c r="VBI68"/>
      <c r="VBJ68"/>
      <c r="VBK68"/>
      <c r="VBL68"/>
      <c r="VBM68"/>
      <c r="VBN68"/>
      <c r="VBO68"/>
      <c r="VBP68"/>
      <c r="VBQ68"/>
      <c r="VBR68"/>
      <c r="VBS68"/>
      <c r="VBT68"/>
      <c r="VBU68"/>
      <c r="VBV68"/>
      <c r="VBW68"/>
      <c r="VBX68"/>
      <c r="VBY68"/>
      <c r="VBZ68"/>
      <c r="VCA68"/>
      <c r="VCB68"/>
      <c r="VCC68"/>
      <c r="VCD68"/>
      <c r="VCE68"/>
      <c r="VCF68"/>
      <c r="VCG68"/>
      <c r="VCH68"/>
      <c r="VCI68"/>
      <c r="VCJ68"/>
      <c r="VCK68"/>
      <c r="VCL68"/>
      <c r="VCM68"/>
      <c r="VCN68"/>
      <c r="VCO68"/>
      <c r="VCP68"/>
      <c r="VCQ68"/>
      <c r="VCR68"/>
      <c r="VCS68"/>
      <c r="VCT68"/>
      <c r="VCU68"/>
      <c r="VCV68"/>
      <c r="VCW68"/>
      <c r="VCX68"/>
      <c r="VCY68"/>
      <c r="VCZ68"/>
      <c r="VDA68"/>
      <c r="VDB68"/>
      <c r="VDC68"/>
      <c r="VDD68"/>
      <c r="VDE68"/>
      <c r="VDF68"/>
      <c r="VDG68"/>
      <c r="VDH68"/>
      <c r="VDI68"/>
      <c r="VDJ68"/>
      <c r="VDK68"/>
      <c r="VDL68"/>
      <c r="VDM68"/>
      <c r="VDN68"/>
      <c r="VDO68"/>
      <c r="VDP68"/>
      <c r="VDQ68"/>
      <c r="VDR68"/>
      <c r="VDS68"/>
      <c r="VDT68"/>
      <c r="VDU68"/>
      <c r="VDV68"/>
      <c r="VDW68"/>
      <c r="VDX68"/>
      <c r="VDY68"/>
      <c r="VDZ68"/>
      <c r="VEA68"/>
      <c r="VEB68"/>
      <c r="VEC68"/>
      <c r="VED68"/>
      <c r="VEE68"/>
      <c r="VEF68"/>
      <c r="VEG68"/>
      <c r="VEH68"/>
      <c r="VEI68"/>
      <c r="VEJ68"/>
      <c r="VEK68"/>
      <c r="VEL68"/>
      <c r="VEM68"/>
      <c r="VEN68"/>
      <c r="VEO68"/>
      <c r="VEP68"/>
      <c r="VEQ68"/>
      <c r="VER68"/>
      <c r="VES68"/>
      <c r="VET68"/>
      <c r="VEU68"/>
      <c r="VEV68"/>
      <c r="VEW68"/>
      <c r="VEX68"/>
      <c r="VEY68"/>
      <c r="VEZ68"/>
      <c r="VFA68"/>
      <c r="VFB68"/>
      <c r="VFC68"/>
      <c r="VFD68"/>
      <c r="VFE68"/>
      <c r="VFF68"/>
      <c r="VFG68"/>
      <c r="VFH68"/>
      <c r="VFI68"/>
      <c r="VFJ68"/>
      <c r="VFK68"/>
      <c r="VFL68"/>
      <c r="VFM68"/>
      <c r="VFN68"/>
      <c r="VFO68"/>
      <c r="VFP68"/>
      <c r="VFQ68"/>
      <c r="VFR68"/>
      <c r="VFS68"/>
      <c r="VFT68"/>
      <c r="VFU68"/>
      <c r="VFV68"/>
      <c r="VFW68"/>
      <c r="VFX68"/>
      <c r="VFY68"/>
      <c r="VFZ68"/>
      <c r="VGA68"/>
      <c r="VGB68"/>
      <c r="VGC68"/>
      <c r="VGD68"/>
      <c r="VGE68"/>
      <c r="VGF68"/>
      <c r="VGG68"/>
      <c r="VGH68"/>
      <c r="VGI68"/>
      <c r="VGJ68"/>
      <c r="VGK68"/>
      <c r="VGL68"/>
      <c r="VGM68"/>
      <c r="VGN68"/>
      <c r="VGO68"/>
      <c r="VGP68"/>
      <c r="VGQ68"/>
      <c r="VGR68"/>
      <c r="VGS68"/>
      <c r="VGT68"/>
      <c r="VGU68"/>
      <c r="VGV68"/>
      <c r="VGW68"/>
      <c r="VGX68"/>
      <c r="VGY68"/>
      <c r="VGZ68"/>
      <c r="VHA68"/>
      <c r="VHB68"/>
      <c r="VHC68"/>
      <c r="VHD68"/>
      <c r="VHE68"/>
      <c r="VHF68"/>
      <c r="VHG68"/>
      <c r="VHH68"/>
      <c r="VHI68"/>
      <c r="VHJ68"/>
      <c r="VHK68"/>
      <c r="VHL68"/>
      <c r="VHM68"/>
      <c r="VHN68"/>
      <c r="VHO68"/>
      <c r="VHP68"/>
      <c r="VHQ68"/>
      <c r="VHR68"/>
      <c r="VHS68"/>
      <c r="VHT68"/>
      <c r="VHU68"/>
      <c r="VHV68"/>
      <c r="VHW68"/>
      <c r="VHX68"/>
      <c r="VHY68"/>
      <c r="VHZ68"/>
      <c r="VIA68"/>
      <c r="VIB68"/>
      <c r="VIC68"/>
      <c r="VID68"/>
      <c r="VIE68"/>
      <c r="VIF68"/>
      <c r="VIG68"/>
      <c r="VIH68"/>
      <c r="VII68"/>
      <c r="VIJ68"/>
      <c r="VIK68"/>
      <c r="VIL68"/>
      <c r="VIM68"/>
      <c r="VIN68"/>
      <c r="VIO68"/>
      <c r="VIP68"/>
      <c r="VIQ68"/>
      <c r="VIR68"/>
      <c r="VIS68"/>
      <c r="VIT68"/>
      <c r="VIU68"/>
      <c r="VIV68"/>
      <c r="VIW68"/>
      <c r="VIX68"/>
      <c r="VIY68"/>
      <c r="VIZ68"/>
      <c r="VJA68"/>
      <c r="VJB68"/>
      <c r="VJC68"/>
      <c r="VJD68"/>
      <c r="VJE68"/>
      <c r="VJF68"/>
      <c r="VJG68"/>
      <c r="VJH68"/>
      <c r="VJI68"/>
      <c r="VJJ68"/>
      <c r="VJK68"/>
      <c r="VJL68"/>
      <c r="VJM68"/>
      <c r="VJN68"/>
      <c r="VJO68"/>
      <c r="VJP68"/>
      <c r="VJQ68"/>
      <c r="VJR68"/>
      <c r="VJS68"/>
      <c r="VJT68"/>
      <c r="VJU68"/>
      <c r="VJV68"/>
      <c r="VJW68"/>
      <c r="VJX68"/>
      <c r="VJY68"/>
      <c r="VJZ68"/>
      <c r="VKA68"/>
      <c r="VKB68"/>
      <c r="VKC68"/>
      <c r="VKD68"/>
      <c r="VKE68"/>
      <c r="VKF68"/>
      <c r="VKG68"/>
      <c r="VKH68"/>
      <c r="VKI68"/>
      <c r="VKJ68"/>
      <c r="VKK68"/>
      <c r="VKL68"/>
      <c r="VKM68"/>
      <c r="VKN68"/>
      <c r="VKO68"/>
      <c r="VKP68"/>
      <c r="VKQ68"/>
      <c r="VKR68"/>
      <c r="VKS68"/>
      <c r="VKT68"/>
      <c r="VKU68"/>
      <c r="VKV68"/>
      <c r="VKW68"/>
      <c r="VKX68"/>
      <c r="VKY68"/>
      <c r="VKZ68"/>
      <c r="VLA68"/>
      <c r="VLB68"/>
      <c r="VLC68"/>
      <c r="VLD68"/>
      <c r="VLE68"/>
      <c r="VLF68"/>
      <c r="VLG68"/>
      <c r="VLH68"/>
      <c r="VLI68"/>
      <c r="VLJ68"/>
      <c r="VLK68"/>
      <c r="VLL68"/>
      <c r="VLM68"/>
      <c r="VLN68"/>
      <c r="VLO68"/>
      <c r="VLP68"/>
      <c r="VLQ68"/>
      <c r="VLR68"/>
      <c r="VLS68"/>
      <c r="VLT68"/>
      <c r="VLU68"/>
      <c r="VLV68"/>
      <c r="VLW68"/>
      <c r="VLX68"/>
      <c r="VLY68"/>
      <c r="VLZ68"/>
      <c r="VMA68"/>
      <c r="VMB68"/>
      <c r="VMC68"/>
      <c r="VMD68"/>
      <c r="VME68"/>
      <c r="VMF68"/>
      <c r="VMG68"/>
      <c r="VMH68"/>
      <c r="VMI68"/>
      <c r="VMJ68"/>
      <c r="VMK68"/>
      <c r="VML68"/>
      <c r="VMM68"/>
      <c r="VMN68"/>
      <c r="VMO68"/>
      <c r="VMP68"/>
      <c r="VMQ68"/>
      <c r="VMR68"/>
      <c r="VMS68"/>
      <c r="VMT68"/>
      <c r="VMU68"/>
      <c r="VMV68"/>
      <c r="VMW68"/>
      <c r="VMX68"/>
      <c r="VMY68"/>
      <c r="VMZ68"/>
      <c r="VNA68"/>
      <c r="VNB68"/>
      <c r="VNC68"/>
      <c r="VND68"/>
      <c r="VNE68"/>
      <c r="VNF68"/>
      <c r="VNG68"/>
      <c r="VNH68"/>
      <c r="VNI68"/>
      <c r="VNJ68"/>
      <c r="VNK68"/>
      <c r="VNL68"/>
      <c r="VNM68"/>
      <c r="VNN68"/>
      <c r="VNO68"/>
      <c r="VNP68"/>
      <c r="VNQ68"/>
      <c r="VNR68"/>
      <c r="VNS68"/>
      <c r="VNT68"/>
      <c r="VNU68"/>
      <c r="VNV68"/>
      <c r="VNW68"/>
      <c r="VNX68"/>
      <c r="VNY68"/>
      <c r="VNZ68"/>
      <c r="VOA68"/>
      <c r="VOB68"/>
      <c r="VOC68"/>
      <c r="VOD68"/>
      <c r="VOE68"/>
      <c r="VOF68"/>
      <c r="VOG68"/>
      <c r="VOH68"/>
      <c r="VOI68"/>
      <c r="VOJ68"/>
      <c r="VOK68"/>
      <c r="VOL68"/>
      <c r="VOM68"/>
      <c r="VON68"/>
      <c r="VOO68"/>
      <c r="VOP68"/>
      <c r="VOQ68"/>
      <c r="VOR68"/>
      <c r="VOS68"/>
      <c r="VOT68"/>
      <c r="VOU68"/>
      <c r="VOV68"/>
      <c r="VOW68"/>
      <c r="VOX68"/>
      <c r="VOY68"/>
      <c r="VOZ68"/>
      <c r="VPA68"/>
      <c r="VPB68"/>
      <c r="VPC68"/>
      <c r="VPD68"/>
      <c r="VPE68"/>
      <c r="VPF68"/>
      <c r="VPG68"/>
      <c r="VPH68"/>
      <c r="VPI68"/>
      <c r="VPJ68"/>
      <c r="VPK68"/>
      <c r="VPL68"/>
      <c r="VPM68"/>
      <c r="VPN68"/>
      <c r="VPO68"/>
      <c r="VPP68"/>
      <c r="VPQ68"/>
      <c r="VPR68"/>
      <c r="VPS68"/>
      <c r="VPT68"/>
      <c r="VPU68"/>
      <c r="VPV68"/>
      <c r="VPW68"/>
      <c r="VPX68"/>
      <c r="VPY68"/>
      <c r="VPZ68"/>
      <c r="VQA68"/>
      <c r="VQB68"/>
      <c r="VQC68"/>
      <c r="VQD68"/>
      <c r="VQE68"/>
      <c r="VQF68"/>
      <c r="VQG68"/>
      <c r="VQH68"/>
      <c r="VQI68"/>
      <c r="VQJ68"/>
      <c r="VQK68"/>
      <c r="VQL68"/>
      <c r="VQM68"/>
      <c r="VQN68"/>
      <c r="VQO68"/>
      <c r="VQP68"/>
      <c r="VQQ68"/>
      <c r="VQR68"/>
      <c r="VQS68"/>
      <c r="VQT68"/>
      <c r="VQU68"/>
      <c r="VQV68"/>
      <c r="VQW68"/>
      <c r="VQX68"/>
      <c r="VQY68"/>
      <c r="VQZ68"/>
      <c r="VRA68"/>
      <c r="VRB68"/>
      <c r="VRC68"/>
      <c r="VRD68"/>
      <c r="VRE68"/>
      <c r="VRF68"/>
      <c r="VRG68"/>
      <c r="VRH68"/>
      <c r="VRI68"/>
      <c r="VRJ68"/>
      <c r="VRK68"/>
      <c r="VRL68"/>
      <c r="VRM68"/>
      <c r="VRN68"/>
      <c r="VRO68"/>
      <c r="VRP68"/>
      <c r="VRQ68"/>
      <c r="VRR68"/>
      <c r="VRS68"/>
      <c r="VRT68"/>
      <c r="VRU68"/>
      <c r="VRV68"/>
      <c r="VRW68"/>
      <c r="VRX68"/>
      <c r="VRY68"/>
      <c r="VRZ68"/>
      <c r="VSA68"/>
      <c r="VSB68"/>
      <c r="VSC68"/>
      <c r="VSD68"/>
      <c r="VSE68"/>
      <c r="VSF68"/>
      <c r="VSG68"/>
      <c r="VSH68"/>
      <c r="VSI68"/>
      <c r="VSJ68"/>
      <c r="VSK68"/>
      <c r="VSL68"/>
      <c r="VSM68"/>
      <c r="VSN68"/>
      <c r="VSO68"/>
      <c r="VSP68"/>
      <c r="VSQ68"/>
      <c r="VSR68"/>
      <c r="VSS68"/>
      <c r="VST68"/>
      <c r="VSU68"/>
      <c r="VSV68"/>
      <c r="VSW68"/>
      <c r="VSX68"/>
      <c r="VSY68"/>
      <c r="VSZ68"/>
      <c r="VTA68"/>
      <c r="VTB68"/>
      <c r="VTC68"/>
      <c r="VTD68"/>
      <c r="VTE68"/>
      <c r="VTF68"/>
      <c r="VTG68"/>
      <c r="VTH68"/>
      <c r="VTI68"/>
      <c r="VTJ68"/>
      <c r="VTK68"/>
      <c r="VTL68"/>
      <c r="VTM68"/>
      <c r="VTN68"/>
      <c r="VTO68"/>
      <c r="VTP68"/>
      <c r="VTQ68"/>
      <c r="VTR68"/>
      <c r="VTS68"/>
      <c r="VTT68"/>
      <c r="VTU68"/>
      <c r="VTV68"/>
      <c r="VTW68"/>
      <c r="VTX68"/>
      <c r="VTY68"/>
      <c r="VTZ68"/>
      <c r="VUA68"/>
      <c r="VUB68"/>
      <c r="VUC68"/>
      <c r="VUD68"/>
      <c r="VUE68"/>
      <c r="VUF68"/>
      <c r="VUG68"/>
      <c r="VUH68"/>
      <c r="VUI68"/>
      <c r="VUJ68"/>
      <c r="VUK68"/>
      <c r="VUL68"/>
      <c r="VUM68"/>
      <c r="VUN68"/>
      <c r="VUO68"/>
      <c r="VUP68"/>
      <c r="VUQ68"/>
      <c r="VUR68"/>
      <c r="VUS68"/>
      <c r="VUT68"/>
      <c r="VUU68"/>
      <c r="VUV68"/>
      <c r="VUW68"/>
      <c r="VUX68"/>
      <c r="VUY68"/>
      <c r="VUZ68"/>
      <c r="VVA68"/>
      <c r="VVB68"/>
      <c r="VVC68"/>
      <c r="VVD68"/>
      <c r="VVE68"/>
      <c r="VVF68"/>
      <c r="VVG68"/>
      <c r="VVH68"/>
      <c r="VVI68"/>
      <c r="VVJ68"/>
      <c r="VVK68"/>
      <c r="VVL68"/>
      <c r="VVM68"/>
      <c r="VVN68"/>
      <c r="VVO68"/>
      <c r="VVP68"/>
      <c r="VVQ68"/>
      <c r="VVR68"/>
      <c r="VVS68"/>
      <c r="VVT68"/>
      <c r="VVU68"/>
      <c r="VVV68"/>
      <c r="VVW68"/>
      <c r="VVX68"/>
      <c r="VVY68"/>
      <c r="VVZ68"/>
      <c r="VWA68"/>
      <c r="VWB68"/>
      <c r="VWC68"/>
      <c r="VWD68"/>
      <c r="VWE68"/>
      <c r="VWF68"/>
      <c r="VWG68"/>
      <c r="VWH68"/>
      <c r="VWI68"/>
      <c r="VWJ68"/>
      <c r="VWK68"/>
      <c r="VWL68"/>
      <c r="VWM68"/>
      <c r="VWN68"/>
      <c r="VWO68"/>
      <c r="VWP68"/>
      <c r="VWQ68"/>
      <c r="VWR68"/>
      <c r="VWS68"/>
      <c r="VWT68"/>
      <c r="VWU68"/>
      <c r="VWV68"/>
      <c r="VWW68"/>
      <c r="VWX68"/>
      <c r="VWY68"/>
      <c r="VWZ68"/>
      <c r="VXA68"/>
      <c r="VXB68"/>
      <c r="VXC68"/>
      <c r="VXD68"/>
      <c r="VXE68"/>
      <c r="VXF68"/>
      <c r="VXG68"/>
      <c r="VXH68"/>
      <c r="VXI68"/>
      <c r="VXJ68"/>
      <c r="VXK68"/>
      <c r="VXL68"/>
      <c r="VXM68"/>
      <c r="VXN68"/>
      <c r="VXO68"/>
      <c r="VXP68"/>
      <c r="VXQ68"/>
      <c r="VXR68"/>
      <c r="VXS68"/>
      <c r="VXT68"/>
      <c r="VXU68"/>
      <c r="VXV68"/>
      <c r="VXW68"/>
      <c r="VXX68"/>
      <c r="VXY68"/>
      <c r="VXZ68"/>
      <c r="VYA68"/>
      <c r="VYB68"/>
      <c r="VYC68"/>
      <c r="VYD68"/>
      <c r="VYE68"/>
      <c r="VYF68"/>
      <c r="VYG68"/>
      <c r="VYH68"/>
      <c r="VYI68"/>
      <c r="VYJ68"/>
      <c r="VYK68"/>
      <c r="VYL68"/>
      <c r="VYM68"/>
      <c r="VYN68"/>
      <c r="VYO68"/>
      <c r="VYP68"/>
      <c r="VYQ68"/>
      <c r="VYR68"/>
      <c r="VYS68"/>
      <c r="VYT68"/>
      <c r="VYU68"/>
      <c r="VYV68"/>
      <c r="VYW68"/>
      <c r="VYX68"/>
      <c r="VYY68"/>
      <c r="VYZ68"/>
      <c r="VZA68"/>
      <c r="VZB68"/>
      <c r="VZC68"/>
      <c r="VZD68"/>
      <c r="VZE68"/>
      <c r="VZF68"/>
      <c r="VZG68"/>
      <c r="VZH68"/>
      <c r="VZI68"/>
      <c r="VZJ68"/>
      <c r="VZK68"/>
      <c r="VZL68"/>
      <c r="VZM68"/>
      <c r="VZN68"/>
      <c r="VZO68"/>
      <c r="VZP68"/>
      <c r="VZQ68"/>
      <c r="VZR68"/>
      <c r="VZS68"/>
      <c r="VZT68"/>
      <c r="VZU68"/>
      <c r="VZV68"/>
      <c r="VZW68"/>
      <c r="VZX68"/>
      <c r="VZY68"/>
      <c r="VZZ68"/>
      <c r="WAA68"/>
      <c r="WAB68"/>
      <c r="WAC68"/>
      <c r="WAD68"/>
      <c r="WAE68"/>
      <c r="WAF68"/>
      <c r="WAG68"/>
      <c r="WAH68"/>
      <c r="WAI68"/>
      <c r="WAJ68"/>
      <c r="WAK68"/>
      <c r="WAL68"/>
      <c r="WAM68"/>
      <c r="WAN68"/>
      <c r="WAO68"/>
      <c r="WAP68"/>
      <c r="WAQ68"/>
      <c r="WAR68"/>
      <c r="WAS68"/>
      <c r="WAT68"/>
      <c r="WAU68"/>
      <c r="WAV68"/>
      <c r="WAW68"/>
      <c r="WAX68"/>
      <c r="WAY68"/>
      <c r="WAZ68"/>
      <c r="WBA68"/>
      <c r="WBB68"/>
      <c r="WBC68"/>
      <c r="WBD68"/>
      <c r="WBE68"/>
      <c r="WBF68"/>
      <c r="WBG68"/>
      <c r="WBH68"/>
      <c r="WBI68"/>
      <c r="WBJ68"/>
      <c r="WBK68"/>
      <c r="WBL68"/>
      <c r="WBM68"/>
      <c r="WBN68"/>
      <c r="WBO68"/>
      <c r="WBP68"/>
      <c r="WBQ68"/>
      <c r="WBR68"/>
      <c r="WBS68"/>
      <c r="WBT68"/>
      <c r="WBU68"/>
      <c r="WBV68"/>
      <c r="WBW68"/>
      <c r="WBX68"/>
      <c r="WBY68"/>
      <c r="WBZ68"/>
      <c r="WCA68"/>
      <c r="WCB68"/>
      <c r="WCC68"/>
      <c r="WCD68"/>
      <c r="WCE68"/>
      <c r="WCF68"/>
      <c r="WCG68"/>
      <c r="WCH68"/>
      <c r="WCI68"/>
      <c r="WCJ68"/>
      <c r="WCK68"/>
      <c r="WCL68"/>
      <c r="WCM68"/>
      <c r="WCN68"/>
      <c r="WCO68"/>
      <c r="WCP68"/>
      <c r="WCQ68"/>
      <c r="WCR68"/>
      <c r="WCS68"/>
      <c r="WCT68"/>
      <c r="WCU68"/>
      <c r="WCV68"/>
      <c r="WCW68"/>
      <c r="WCX68"/>
      <c r="WCY68"/>
      <c r="WCZ68"/>
      <c r="WDA68"/>
      <c r="WDB68"/>
      <c r="WDC68"/>
      <c r="WDD68"/>
      <c r="WDE68"/>
      <c r="WDF68"/>
      <c r="WDG68"/>
      <c r="WDH68"/>
      <c r="WDI68"/>
      <c r="WDJ68"/>
      <c r="WDK68"/>
      <c r="WDL68"/>
      <c r="WDM68"/>
      <c r="WDN68"/>
      <c r="WDO68"/>
      <c r="WDP68"/>
      <c r="WDQ68"/>
      <c r="WDR68"/>
      <c r="WDS68"/>
      <c r="WDT68"/>
      <c r="WDU68"/>
      <c r="WDV68"/>
      <c r="WDW68"/>
      <c r="WDX68"/>
      <c r="WDY68"/>
      <c r="WDZ68"/>
      <c r="WEA68"/>
      <c r="WEB68"/>
      <c r="WEC68"/>
      <c r="WED68"/>
      <c r="WEE68"/>
      <c r="WEF68"/>
      <c r="WEG68"/>
      <c r="WEH68"/>
      <c r="WEI68"/>
      <c r="WEJ68"/>
      <c r="WEK68"/>
      <c r="WEL68"/>
      <c r="WEM68"/>
      <c r="WEN68"/>
      <c r="WEO68"/>
      <c r="WEP68"/>
      <c r="WEQ68"/>
      <c r="WER68"/>
      <c r="WES68"/>
      <c r="WET68"/>
      <c r="WEU68"/>
      <c r="WEV68"/>
      <c r="WEW68"/>
      <c r="WEX68"/>
      <c r="WEY68"/>
      <c r="WEZ68"/>
      <c r="WFA68"/>
      <c r="WFB68"/>
      <c r="WFC68"/>
      <c r="WFD68"/>
      <c r="WFE68"/>
      <c r="WFF68"/>
      <c r="WFG68"/>
      <c r="WFH68"/>
      <c r="WFI68"/>
      <c r="WFJ68"/>
      <c r="WFK68"/>
      <c r="WFL68"/>
      <c r="WFM68"/>
      <c r="WFN68"/>
      <c r="WFO68"/>
      <c r="WFP68"/>
      <c r="WFQ68"/>
      <c r="WFR68"/>
      <c r="WFS68"/>
      <c r="WFT68"/>
      <c r="WFU68"/>
      <c r="WFV68"/>
      <c r="WFW68"/>
      <c r="WFX68"/>
      <c r="WFY68"/>
      <c r="WFZ68"/>
      <c r="WGA68"/>
      <c r="WGB68"/>
      <c r="WGC68"/>
      <c r="WGD68"/>
      <c r="WGE68"/>
      <c r="WGF68"/>
      <c r="WGG68"/>
      <c r="WGH68"/>
      <c r="WGI68"/>
      <c r="WGJ68"/>
      <c r="WGK68"/>
      <c r="WGL68"/>
      <c r="WGM68"/>
      <c r="WGN68"/>
      <c r="WGO68"/>
      <c r="WGP68"/>
      <c r="WGQ68"/>
      <c r="WGR68"/>
      <c r="WGS68"/>
      <c r="WGT68"/>
      <c r="WGU68"/>
      <c r="WGV68"/>
      <c r="WGW68"/>
      <c r="WGX68"/>
      <c r="WGY68"/>
      <c r="WGZ68"/>
      <c r="WHA68"/>
      <c r="WHB68"/>
      <c r="WHC68"/>
      <c r="WHD68"/>
      <c r="WHE68"/>
      <c r="WHF68"/>
      <c r="WHG68"/>
      <c r="WHH68"/>
      <c r="WHI68"/>
      <c r="WHJ68"/>
      <c r="WHK68"/>
      <c r="WHL68"/>
      <c r="WHM68"/>
      <c r="WHN68"/>
      <c r="WHO68"/>
      <c r="WHP68"/>
      <c r="WHQ68"/>
      <c r="WHR68"/>
      <c r="WHS68"/>
      <c r="WHT68"/>
      <c r="WHU68"/>
      <c r="WHV68"/>
      <c r="WHW68"/>
      <c r="WHX68"/>
      <c r="WHY68"/>
      <c r="WHZ68"/>
      <c r="WIA68"/>
      <c r="WIB68"/>
      <c r="WIC68"/>
      <c r="WID68"/>
      <c r="WIE68"/>
      <c r="WIF68"/>
      <c r="WIG68"/>
      <c r="WIH68"/>
      <c r="WII68"/>
      <c r="WIJ68"/>
      <c r="WIK68"/>
      <c r="WIL68"/>
      <c r="WIM68"/>
      <c r="WIN68"/>
      <c r="WIO68"/>
      <c r="WIP68"/>
      <c r="WIQ68"/>
      <c r="WIR68"/>
      <c r="WIS68"/>
      <c r="WIT68"/>
      <c r="WIU68"/>
      <c r="WIV68"/>
      <c r="WIW68"/>
      <c r="WIX68"/>
      <c r="WIY68"/>
      <c r="WIZ68"/>
      <c r="WJA68"/>
      <c r="WJB68"/>
      <c r="WJC68"/>
      <c r="WJD68"/>
      <c r="WJE68"/>
      <c r="WJF68"/>
      <c r="WJG68"/>
      <c r="WJH68"/>
      <c r="WJI68"/>
      <c r="WJJ68"/>
      <c r="WJK68"/>
      <c r="WJL68"/>
      <c r="WJM68"/>
      <c r="WJN68"/>
      <c r="WJO68"/>
      <c r="WJP68"/>
      <c r="WJQ68"/>
      <c r="WJR68"/>
      <c r="WJS68"/>
      <c r="WJT68"/>
      <c r="WJU68"/>
      <c r="WJV68"/>
      <c r="WJW68"/>
      <c r="WJX68"/>
      <c r="WJY68"/>
      <c r="WJZ68"/>
      <c r="WKA68"/>
      <c r="WKB68"/>
      <c r="WKC68"/>
      <c r="WKD68"/>
      <c r="WKE68"/>
      <c r="WKF68"/>
      <c r="WKG68"/>
      <c r="WKH68"/>
      <c r="WKI68"/>
      <c r="WKJ68"/>
      <c r="WKK68"/>
      <c r="WKL68"/>
      <c r="WKM68"/>
      <c r="WKN68"/>
      <c r="WKO68"/>
      <c r="WKP68"/>
      <c r="WKQ68"/>
      <c r="WKR68"/>
      <c r="WKS68"/>
      <c r="WKT68"/>
      <c r="WKU68"/>
      <c r="WKV68"/>
      <c r="WKW68"/>
      <c r="WKX68"/>
      <c r="WKY68"/>
      <c r="WKZ68"/>
      <c r="WLA68"/>
      <c r="WLB68"/>
      <c r="WLC68"/>
      <c r="WLD68"/>
      <c r="WLE68"/>
      <c r="WLF68"/>
      <c r="WLG68"/>
      <c r="WLH68"/>
      <c r="WLI68"/>
      <c r="WLJ68"/>
      <c r="WLK68"/>
      <c r="WLL68"/>
      <c r="WLM68"/>
      <c r="WLN68"/>
      <c r="WLO68"/>
      <c r="WLP68"/>
      <c r="WLQ68"/>
      <c r="WLR68"/>
      <c r="WLS68"/>
      <c r="WLT68"/>
      <c r="WLU68"/>
      <c r="WLV68"/>
      <c r="WLW68"/>
      <c r="WLX68"/>
      <c r="WLY68"/>
      <c r="WLZ68"/>
      <c r="WMA68"/>
      <c r="WMB68"/>
      <c r="WMC68"/>
      <c r="WMD68"/>
      <c r="WME68"/>
      <c r="WMF68"/>
      <c r="WMG68"/>
      <c r="WMH68"/>
      <c r="WMI68"/>
      <c r="WMJ68"/>
      <c r="WMK68"/>
      <c r="WML68"/>
      <c r="WMM68"/>
      <c r="WMN68"/>
      <c r="WMO68"/>
      <c r="WMP68"/>
      <c r="WMQ68"/>
      <c r="WMR68"/>
      <c r="WMS68"/>
      <c r="WMT68"/>
      <c r="WMU68"/>
      <c r="WMV68"/>
      <c r="WMW68"/>
      <c r="WMX68"/>
      <c r="WMY68"/>
      <c r="WMZ68"/>
      <c r="WNA68"/>
      <c r="WNB68"/>
      <c r="WNC68"/>
      <c r="WND68"/>
      <c r="WNE68"/>
      <c r="WNF68"/>
      <c r="WNG68"/>
      <c r="WNH68"/>
      <c r="WNI68"/>
      <c r="WNJ68"/>
      <c r="WNK68"/>
      <c r="WNL68"/>
      <c r="WNM68"/>
      <c r="WNN68"/>
      <c r="WNO68"/>
      <c r="WNP68"/>
      <c r="WNQ68"/>
      <c r="WNR68"/>
      <c r="WNS68"/>
      <c r="WNT68"/>
      <c r="WNU68"/>
      <c r="WNV68"/>
      <c r="WNW68"/>
      <c r="WNX68"/>
      <c r="WNY68"/>
      <c r="WNZ68"/>
      <c r="WOA68"/>
      <c r="WOB68"/>
      <c r="WOC68"/>
      <c r="WOD68"/>
      <c r="WOE68"/>
      <c r="WOF68"/>
      <c r="WOG68"/>
      <c r="WOH68"/>
      <c r="WOI68"/>
      <c r="WOJ68"/>
      <c r="WOK68"/>
      <c r="WOL68"/>
      <c r="WOM68"/>
      <c r="WON68"/>
      <c r="WOO68"/>
      <c r="WOP68"/>
      <c r="WOQ68"/>
      <c r="WOR68"/>
      <c r="WOS68"/>
      <c r="WOT68"/>
      <c r="WOU68"/>
      <c r="WOV68"/>
      <c r="WOW68"/>
      <c r="WOX68"/>
      <c r="WOY68"/>
      <c r="WOZ68"/>
      <c r="WPA68"/>
      <c r="WPB68"/>
      <c r="WPC68"/>
      <c r="WPD68"/>
      <c r="WPE68"/>
      <c r="WPF68"/>
      <c r="WPG68"/>
      <c r="WPH68"/>
      <c r="WPI68"/>
      <c r="WPJ68"/>
      <c r="WPK68"/>
      <c r="WPL68"/>
      <c r="WPM68"/>
      <c r="WPN68"/>
      <c r="WPO68"/>
      <c r="WPP68"/>
      <c r="WPQ68"/>
      <c r="WPR68"/>
      <c r="WPS68"/>
      <c r="WPT68"/>
      <c r="WPU68"/>
      <c r="WPV68"/>
      <c r="WPW68"/>
      <c r="WPX68"/>
      <c r="WPY68"/>
      <c r="WPZ68"/>
      <c r="WQA68"/>
      <c r="WQB68"/>
      <c r="WQC68"/>
      <c r="WQD68"/>
      <c r="WQE68"/>
      <c r="WQF68"/>
      <c r="WQG68"/>
      <c r="WQH68"/>
      <c r="WQI68"/>
      <c r="WQJ68"/>
      <c r="WQK68"/>
      <c r="WQL68"/>
      <c r="WQM68"/>
      <c r="WQN68"/>
      <c r="WQO68"/>
      <c r="WQP68"/>
      <c r="WQQ68"/>
      <c r="WQR68"/>
      <c r="WQS68"/>
      <c r="WQT68"/>
      <c r="WQU68"/>
      <c r="WQV68"/>
      <c r="WQW68"/>
      <c r="WQX68"/>
      <c r="WQY68"/>
      <c r="WQZ68"/>
      <c r="WRA68"/>
      <c r="WRB68"/>
      <c r="WRC68"/>
      <c r="WRD68"/>
      <c r="WRE68"/>
      <c r="WRF68"/>
      <c r="WRG68"/>
      <c r="WRH68"/>
      <c r="WRI68"/>
      <c r="WRJ68"/>
      <c r="WRK68"/>
      <c r="WRL68"/>
      <c r="WRM68"/>
      <c r="WRN68"/>
      <c r="WRO68"/>
      <c r="WRP68"/>
      <c r="WRQ68"/>
      <c r="WRR68"/>
      <c r="WRS68"/>
      <c r="WRT68"/>
      <c r="WRU68"/>
      <c r="WRV68"/>
      <c r="WRW68"/>
      <c r="WRX68"/>
      <c r="WRY68"/>
      <c r="WRZ68"/>
      <c r="WSA68"/>
      <c r="WSB68"/>
      <c r="WSC68"/>
      <c r="WSD68"/>
      <c r="WSE68"/>
      <c r="WSF68"/>
      <c r="WSG68"/>
      <c r="WSH68"/>
      <c r="WSI68"/>
      <c r="WSJ68"/>
      <c r="WSK68"/>
      <c r="WSL68"/>
      <c r="WSM68"/>
      <c r="WSN68"/>
      <c r="WSO68"/>
      <c r="WSP68"/>
      <c r="WSQ68"/>
      <c r="WSR68"/>
      <c r="WSS68"/>
      <c r="WST68"/>
      <c r="WSU68"/>
      <c r="WSV68"/>
      <c r="WSW68"/>
      <c r="WSX68"/>
      <c r="WSY68"/>
      <c r="WSZ68"/>
      <c r="WTA68"/>
      <c r="WTB68"/>
      <c r="WTC68"/>
      <c r="WTD68"/>
      <c r="WTE68"/>
      <c r="WTF68"/>
      <c r="WTG68"/>
      <c r="WTH68"/>
      <c r="WTI68"/>
      <c r="WTJ68"/>
      <c r="WTK68"/>
      <c r="WTL68"/>
      <c r="WTM68"/>
      <c r="WTN68"/>
      <c r="WTO68"/>
      <c r="WTP68"/>
      <c r="WTQ68"/>
      <c r="WTR68"/>
      <c r="WTS68"/>
      <c r="WTT68"/>
      <c r="WTU68"/>
      <c r="WTV68"/>
      <c r="WTW68"/>
      <c r="WTX68"/>
      <c r="WTY68"/>
      <c r="WTZ68"/>
      <c r="WUA68"/>
      <c r="WUB68"/>
      <c r="WUC68"/>
      <c r="WUD68"/>
      <c r="WUE68"/>
      <c r="WUF68"/>
      <c r="WUG68"/>
      <c r="WUH68"/>
      <c r="WUI68"/>
      <c r="WUJ68"/>
      <c r="WUK68"/>
      <c r="WUL68"/>
      <c r="WUM68"/>
      <c r="WUN68"/>
      <c r="WUO68"/>
      <c r="WUP68"/>
      <c r="WUQ68"/>
      <c r="WUR68"/>
      <c r="WUS68"/>
      <c r="WUT68"/>
      <c r="WUU68"/>
      <c r="WUV68"/>
      <c r="WUW68"/>
      <c r="WUX68"/>
      <c r="WUY68"/>
      <c r="WUZ68"/>
      <c r="WVA68"/>
      <c r="WVB68"/>
      <c r="WVC68"/>
      <c r="WVD68"/>
      <c r="WVE68"/>
      <c r="WVF68"/>
      <c r="WVG68"/>
      <c r="WVH68"/>
      <c r="WVI68"/>
      <c r="WVJ68"/>
      <c r="WVK68"/>
      <c r="WVL68"/>
      <c r="WVM68"/>
      <c r="WVN68"/>
      <c r="WVO68"/>
      <c r="WVP68"/>
      <c r="WVQ68"/>
      <c r="WVR68"/>
      <c r="WVS68"/>
      <c r="WVT68"/>
      <c r="WVU68"/>
      <c r="WVV68"/>
      <c r="WVW68"/>
      <c r="WVX68"/>
      <c r="WVY68"/>
      <c r="WVZ68"/>
      <c r="WWA68"/>
      <c r="WWB68"/>
      <c r="WWC68"/>
      <c r="WWD68"/>
      <c r="WWE68"/>
      <c r="WWF68"/>
      <c r="WWG68"/>
      <c r="WWH68"/>
      <c r="WWI68"/>
      <c r="WWJ68"/>
      <c r="WWK68"/>
      <c r="WWL68"/>
      <c r="WWM68"/>
      <c r="WWN68"/>
      <c r="WWO68"/>
      <c r="WWP68"/>
      <c r="WWQ68"/>
      <c r="WWR68"/>
      <c r="WWS68"/>
      <c r="WWT68"/>
      <c r="WWU68"/>
      <c r="WWV68"/>
      <c r="WWW68"/>
      <c r="WWX68"/>
      <c r="WWY68"/>
      <c r="WWZ68"/>
      <c r="WXA68"/>
      <c r="WXB68"/>
      <c r="WXC68"/>
      <c r="WXD68"/>
      <c r="WXE68"/>
      <c r="WXF68"/>
      <c r="WXG68"/>
      <c r="WXH68"/>
      <c r="WXI68"/>
      <c r="WXJ68"/>
      <c r="WXK68"/>
      <c r="WXL68"/>
      <c r="WXM68"/>
      <c r="WXN68"/>
      <c r="WXO68"/>
      <c r="WXP68"/>
      <c r="WXQ68"/>
      <c r="WXR68"/>
      <c r="WXS68"/>
      <c r="WXT68"/>
      <c r="WXU68"/>
      <c r="WXV68"/>
      <c r="WXW68"/>
      <c r="WXX68"/>
      <c r="WXY68"/>
      <c r="WXZ68"/>
      <c r="WYA68"/>
      <c r="WYB68"/>
      <c r="WYC68"/>
      <c r="WYD68"/>
      <c r="WYE68"/>
      <c r="WYF68"/>
      <c r="WYG68"/>
      <c r="WYH68"/>
      <c r="WYI68"/>
      <c r="WYJ68"/>
      <c r="WYK68"/>
      <c r="WYL68"/>
      <c r="WYM68"/>
      <c r="WYN68"/>
      <c r="WYO68"/>
      <c r="WYP68"/>
      <c r="WYQ68"/>
      <c r="WYR68"/>
      <c r="WYS68"/>
      <c r="WYT68"/>
      <c r="WYU68"/>
      <c r="WYV68"/>
      <c r="WYW68"/>
      <c r="WYX68"/>
      <c r="WYY68"/>
      <c r="WYZ68"/>
      <c r="WZA68"/>
      <c r="WZB68"/>
      <c r="WZC68"/>
      <c r="WZD68"/>
      <c r="WZE68"/>
      <c r="WZF68"/>
      <c r="WZG68"/>
      <c r="WZH68"/>
      <c r="WZI68"/>
      <c r="WZJ68"/>
      <c r="WZK68"/>
      <c r="WZL68"/>
      <c r="WZM68"/>
      <c r="WZN68"/>
      <c r="WZO68"/>
      <c r="WZP68"/>
      <c r="WZQ68"/>
      <c r="WZR68"/>
      <c r="WZS68"/>
      <c r="WZT68"/>
      <c r="WZU68"/>
      <c r="WZV68"/>
      <c r="WZW68"/>
      <c r="WZX68"/>
      <c r="WZY68"/>
      <c r="WZZ68"/>
      <c r="XAA68"/>
      <c r="XAB68"/>
      <c r="XAC68"/>
      <c r="XAD68"/>
      <c r="XAE68"/>
      <c r="XAF68"/>
      <c r="XAG68"/>
      <c r="XAH68"/>
      <c r="XAI68"/>
      <c r="XAJ68"/>
      <c r="XAK68"/>
      <c r="XAL68"/>
      <c r="XAM68"/>
      <c r="XAN68"/>
      <c r="XAO68"/>
      <c r="XAP68"/>
      <c r="XAQ68"/>
      <c r="XAR68"/>
      <c r="XAS68"/>
      <c r="XAT68"/>
      <c r="XAU68"/>
      <c r="XAV68"/>
      <c r="XAW68"/>
      <c r="XAX68"/>
      <c r="XAY68"/>
      <c r="XAZ68"/>
      <c r="XBA68"/>
      <c r="XBB68"/>
      <c r="XBC68"/>
      <c r="XBD68"/>
      <c r="XBE68"/>
      <c r="XBF68"/>
      <c r="XBG68"/>
      <c r="XBH68"/>
      <c r="XBI68"/>
      <c r="XBJ68"/>
      <c r="XBK68"/>
      <c r="XBL68"/>
      <c r="XBM68"/>
      <c r="XBN68"/>
      <c r="XBO68"/>
      <c r="XBP68"/>
      <c r="XBQ68"/>
      <c r="XBR68"/>
      <c r="XBS68"/>
      <c r="XBT68"/>
      <c r="XBU68"/>
      <c r="XBV68"/>
      <c r="XBW68"/>
      <c r="XBX68"/>
      <c r="XBY68"/>
      <c r="XBZ68"/>
      <c r="XCA68"/>
      <c r="XCB68"/>
      <c r="XCC68"/>
      <c r="XCD68"/>
      <c r="XCE68"/>
      <c r="XCF68"/>
      <c r="XCG68"/>
      <c r="XCH68"/>
      <c r="XCI68"/>
      <c r="XCJ68"/>
      <c r="XCK68"/>
      <c r="XCL68"/>
      <c r="XCM68"/>
      <c r="XCN68"/>
      <c r="XCO68"/>
      <c r="XCP68"/>
      <c r="XCQ68"/>
      <c r="XCR68"/>
      <c r="XCS68"/>
      <c r="XCT68"/>
      <c r="XCU68"/>
      <c r="XCV68"/>
      <c r="XCW68"/>
      <c r="XCX68"/>
      <c r="XCY68"/>
      <c r="XCZ68"/>
      <c r="XDA68"/>
      <c r="XDB68"/>
      <c r="XDC68"/>
      <c r="XDD68"/>
      <c r="XDE68"/>
      <c r="XDF68"/>
      <c r="XDG68"/>
      <c r="XDH68"/>
      <c r="XDI68"/>
      <c r="XDJ68"/>
      <c r="XDK68"/>
      <c r="XDL68"/>
      <c r="XDM68"/>
      <c r="XDN68"/>
      <c r="XDO68"/>
      <c r="XDP68"/>
      <c r="XDQ68"/>
      <c r="XDR68"/>
      <c r="XDS68"/>
      <c r="XDT68"/>
      <c r="XDU68"/>
      <c r="XDV68"/>
      <c r="XDW68"/>
      <c r="XDX68"/>
      <c r="XDY68"/>
      <c r="XDZ68"/>
      <c r="XEA68"/>
      <c r="XEB68"/>
      <c r="XEC68"/>
      <c r="XED68"/>
      <c r="XEE68"/>
      <c r="XEF68"/>
      <c r="XEG68"/>
      <c r="XEH68"/>
      <c r="XEI68"/>
      <c r="XEJ68"/>
      <c r="XEK68"/>
      <c r="XEL68"/>
      <c r="XEM68"/>
      <c r="XEN68"/>
      <c r="XEO68"/>
      <c r="XEP68"/>
      <c r="XEQ68"/>
      <c r="XER68"/>
      <c r="XES68"/>
      <c r="XET68"/>
      <c r="XEU68"/>
      <c r="XEV68"/>
      <c r="XEW68"/>
      <c r="XEX68"/>
      <c r="XEY68"/>
      <c r="XEZ68"/>
      <c r="XFA68"/>
      <c r="XFB68"/>
      <c r="XFC68"/>
      <c r="XFD68"/>
    </row>
    <row r="69" spans="3:16384" ht="31.5">
      <c r="C69" s="1226" t="s">
        <v>1839</v>
      </c>
      <c r="D69" s="1213"/>
      <c r="E69" s="1214"/>
      <c r="F69" s="1214"/>
      <c r="G69" s="1214"/>
      <c r="H69" s="1214"/>
      <c r="I69" s="1214"/>
      <c r="J69" s="1214"/>
      <c r="K69" s="1213"/>
      <c r="L69" s="1213"/>
      <c r="M69" s="1213"/>
      <c r="N69" s="1235"/>
      <c r="O69" s="1214"/>
      <c r="P69" s="1235"/>
      <c r="Q69" s="1214"/>
      <c r="R69" s="1246" t="s">
        <v>1663</v>
      </c>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c r="GO69"/>
      <c r="GP69"/>
      <c r="GQ69"/>
      <c r="GR69"/>
      <c r="GS69"/>
      <c r="GT69"/>
      <c r="GU69"/>
      <c r="GV69"/>
      <c r="GW69"/>
      <c r="GX69"/>
      <c r="GY69"/>
      <c r="GZ69"/>
      <c r="HA69"/>
      <c r="HB69"/>
      <c r="HC69"/>
      <c r="HD69"/>
      <c r="HE69"/>
      <c r="HF69"/>
      <c r="HG69"/>
      <c r="HH69"/>
      <c r="HI69"/>
      <c r="HJ69"/>
      <c r="HK69"/>
      <c r="HL69"/>
      <c r="HM69"/>
      <c r="HN69"/>
      <c r="HO69"/>
      <c r="HP69"/>
      <c r="HQ69"/>
      <c r="HR69"/>
      <c r="HS69"/>
      <c r="HT69"/>
      <c r="HU69"/>
      <c r="HV69"/>
      <c r="HW69"/>
      <c r="HX69"/>
      <c r="HY69"/>
      <c r="HZ69"/>
      <c r="IA69"/>
      <c r="IB69"/>
      <c r="IC69"/>
      <c r="ID69"/>
      <c r="IE69"/>
      <c r="IF69"/>
      <c r="IG69"/>
      <c r="IH69"/>
      <c r="II69"/>
      <c r="IJ69"/>
      <c r="IK69"/>
      <c r="IL69"/>
      <c r="IM69"/>
      <c r="IN69"/>
      <c r="IO69"/>
      <c r="IP69"/>
      <c r="IQ69"/>
      <c r="IR69"/>
      <c r="IS69"/>
      <c r="IT69"/>
      <c r="IU69"/>
      <c r="IV69"/>
      <c r="IW69"/>
      <c r="IX69"/>
      <c r="IY69"/>
      <c r="IZ69"/>
      <c r="JA69"/>
      <c r="JB69"/>
      <c r="JC69"/>
      <c r="JD69"/>
      <c r="JE69"/>
      <c r="JF69"/>
      <c r="JG69"/>
      <c r="JH69"/>
      <c r="JI69"/>
      <c r="JJ69"/>
      <c r="JK69"/>
      <c r="JL69"/>
      <c r="JM69"/>
      <c r="JN69"/>
      <c r="JO69"/>
      <c r="JP69"/>
      <c r="JQ69"/>
      <c r="JR69"/>
      <c r="JS69"/>
      <c r="JT69"/>
      <c r="JU69"/>
      <c r="JV69"/>
      <c r="JW69"/>
      <c r="JX69"/>
      <c r="JY69"/>
      <c r="JZ69"/>
      <c r="KA69"/>
      <c r="KB69"/>
      <c r="KC69"/>
      <c r="KD69"/>
      <c r="KE69"/>
      <c r="KF69"/>
      <c r="KG69"/>
      <c r="KH69"/>
      <c r="KI69"/>
      <c r="KJ69"/>
      <c r="KK69"/>
      <c r="KL69"/>
      <c r="KM69"/>
      <c r="KN69"/>
      <c r="KO69"/>
      <c r="KP69"/>
      <c r="KQ69"/>
      <c r="KR69"/>
      <c r="KS69"/>
      <c r="KT69"/>
      <c r="KU69"/>
      <c r="KV69"/>
      <c r="KW69"/>
      <c r="KX69"/>
      <c r="KY69"/>
      <c r="KZ69"/>
      <c r="LA69"/>
      <c r="LB69"/>
      <c r="LC69"/>
      <c r="LD69"/>
      <c r="LE69"/>
      <c r="LF69"/>
      <c r="LG69"/>
      <c r="LH69"/>
      <c r="LI69"/>
      <c r="LJ69"/>
      <c r="LK69"/>
      <c r="LL69"/>
      <c r="LM69"/>
      <c r="LN69"/>
      <c r="LO69"/>
      <c r="LP69"/>
      <c r="LQ69"/>
      <c r="LR69"/>
      <c r="LS69"/>
      <c r="LT69"/>
      <c r="LU69"/>
      <c r="LV69"/>
      <c r="LW69"/>
      <c r="LX69"/>
      <c r="LY69"/>
      <c r="LZ69"/>
      <c r="MA69"/>
      <c r="MB69"/>
      <c r="MC69"/>
      <c r="MD69"/>
      <c r="ME69"/>
      <c r="MF69"/>
      <c r="MG69"/>
      <c r="MH69"/>
      <c r="MI69"/>
      <c r="MJ69"/>
      <c r="MK69"/>
      <c r="ML69"/>
      <c r="MM69"/>
      <c r="MN69"/>
      <c r="MO69"/>
      <c r="MP69"/>
      <c r="MQ69"/>
      <c r="MR69"/>
      <c r="MS69"/>
      <c r="MT69"/>
      <c r="MU69"/>
      <c r="MV69"/>
      <c r="MW69"/>
      <c r="MX69"/>
      <c r="MY69"/>
      <c r="MZ69"/>
      <c r="NA69"/>
      <c r="NB69"/>
      <c r="NC69"/>
      <c r="ND69"/>
      <c r="NE69"/>
      <c r="NF69"/>
      <c r="NG69"/>
      <c r="NH69"/>
      <c r="NI69"/>
      <c r="NJ69"/>
      <c r="NK69"/>
      <c r="NL69"/>
      <c r="NM69"/>
      <c r="NN69"/>
      <c r="NO69"/>
      <c r="NP69"/>
      <c r="NQ69"/>
      <c r="NR69"/>
      <c r="NS69"/>
      <c r="NT69"/>
      <c r="NU69"/>
      <c r="NV69"/>
      <c r="NW69"/>
      <c r="NX69"/>
      <c r="NY69"/>
      <c r="NZ69"/>
      <c r="OA69"/>
      <c r="OB69"/>
      <c r="OC69"/>
      <c r="OD69"/>
      <c r="OE69"/>
      <c r="OF69"/>
      <c r="OG69"/>
      <c r="OH69"/>
      <c r="OI69"/>
      <c r="OJ69"/>
      <c r="OK69"/>
      <c r="OL69"/>
      <c r="OM69"/>
      <c r="ON69"/>
      <c r="OO69"/>
      <c r="OP69"/>
      <c r="OQ69"/>
      <c r="OR69"/>
      <c r="OS69"/>
      <c r="OT69"/>
      <c r="OU69"/>
      <c r="OV69"/>
      <c r="OW69"/>
      <c r="OX69"/>
      <c r="OY69"/>
      <c r="OZ69"/>
      <c r="PA69"/>
      <c r="PB69"/>
      <c r="PC69"/>
      <c r="PD69"/>
      <c r="PE69"/>
      <c r="PF69"/>
      <c r="PG69"/>
      <c r="PH69"/>
      <c r="PI69"/>
      <c r="PJ69"/>
      <c r="PK69"/>
      <c r="PL69"/>
      <c r="PM69"/>
      <c r="PN69"/>
      <c r="PO69"/>
      <c r="PP69"/>
      <c r="PQ69"/>
      <c r="PR69"/>
      <c r="PS69"/>
      <c r="PT69"/>
      <c r="PU69"/>
      <c r="PV69"/>
      <c r="PW69"/>
      <c r="PX69"/>
      <c r="PY69"/>
      <c r="PZ69"/>
      <c r="QA69"/>
      <c r="QB69"/>
      <c r="QC69"/>
      <c r="QD69"/>
      <c r="QE69"/>
      <c r="QF69"/>
      <c r="QG69"/>
      <c r="QH69"/>
      <c r="QI69"/>
      <c r="QJ69"/>
      <c r="QK69"/>
      <c r="QL69"/>
      <c r="QM69"/>
      <c r="QN69"/>
      <c r="QO69"/>
      <c r="QP69"/>
      <c r="QQ69"/>
      <c r="QR69"/>
      <c r="QS69"/>
      <c r="QT69"/>
      <c r="QU69"/>
      <c r="QV69"/>
      <c r="QW69"/>
      <c r="QX69"/>
      <c r="QY69"/>
      <c r="QZ69"/>
      <c r="RA69"/>
      <c r="RB69"/>
      <c r="RC69"/>
      <c r="RD69"/>
      <c r="RE69"/>
      <c r="RF69"/>
      <c r="RG69"/>
      <c r="RH69"/>
      <c r="RI69"/>
      <c r="RJ69"/>
      <c r="RK69"/>
      <c r="RL69"/>
      <c r="RM69"/>
      <c r="RN69"/>
      <c r="RO69"/>
      <c r="RP69"/>
      <c r="RQ69"/>
      <c r="RR69"/>
      <c r="RS69"/>
      <c r="RT69"/>
      <c r="RU69"/>
      <c r="RV69"/>
      <c r="RW69"/>
      <c r="RX69"/>
      <c r="RY69"/>
      <c r="RZ69"/>
      <c r="SA69"/>
      <c r="SB69"/>
      <c r="SC69"/>
      <c r="SD69"/>
      <c r="SE69"/>
      <c r="SF69"/>
      <c r="SG69"/>
      <c r="SH69"/>
      <c r="SI69"/>
      <c r="SJ69"/>
      <c r="SK69"/>
      <c r="SL69"/>
      <c r="SM69"/>
      <c r="SN69"/>
      <c r="SO69"/>
      <c r="SP69"/>
      <c r="SQ69"/>
      <c r="SR69"/>
      <c r="SS69"/>
      <c r="ST69"/>
      <c r="SU69"/>
      <c r="SV69"/>
      <c r="SW69"/>
      <c r="SX69"/>
      <c r="SY69"/>
      <c r="SZ69"/>
      <c r="TA69"/>
      <c r="TB69"/>
      <c r="TC69"/>
      <c r="TD69"/>
      <c r="TE69"/>
      <c r="TF69"/>
      <c r="TG69"/>
      <c r="TH69"/>
      <c r="TI69"/>
      <c r="TJ69"/>
      <c r="TK69"/>
      <c r="TL69"/>
      <c r="TM69"/>
      <c r="TN69"/>
      <c r="TO69"/>
      <c r="TP69"/>
      <c r="TQ69"/>
      <c r="TR69"/>
      <c r="TS69"/>
      <c r="TT69"/>
      <c r="TU69"/>
      <c r="TV69"/>
      <c r="TW69"/>
      <c r="TX69"/>
      <c r="TY69"/>
      <c r="TZ69"/>
      <c r="UA69"/>
      <c r="UB69"/>
      <c r="UC69"/>
      <c r="UD69"/>
      <c r="UE69"/>
      <c r="UF69"/>
      <c r="UG69"/>
      <c r="UH69"/>
      <c r="UI69"/>
      <c r="UJ69"/>
      <c r="UK69"/>
      <c r="UL69"/>
      <c r="UM69"/>
      <c r="UN69"/>
      <c r="UO69"/>
      <c r="UP69"/>
      <c r="UQ69"/>
      <c r="UR69"/>
      <c r="US69"/>
      <c r="UT69"/>
      <c r="UU69"/>
      <c r="UV69"/>
      <c r="UW69"/>
      <c r="UX69"/>
      <c r="UY69"/>
      <c r="UZ69"/>
      <c r="VA69"/>
      <c r="VB69"/>
      <c r="VC69"/>
      <c r="VD69"/>
      <c r="VE69"/>
      <c r="VF69"/>
      <c r="VG69"/>
      <c r="VH69"/>
      <c r="VI69"/>
      <c r="VJ69"/>
      <c r="VK69"/>
      <c r="VL69"/>
      <c r="VM69"/>
      <c r="VN69"/>
      <c r="VO69"/>
      <c r="VP69"/>
      <c r="VQ69"/>
      <c r="VR69"/>
      <c r="VS69"/>
      <c r="VT69"/>
      <c r="VU69"/>
      <c r="VV69"/>
      <c r="VW69"/>
      <c r="VX69"/>
      <c r="VY69"/>
      <c r="VZ69"/>
      <c r="WA69"/>
      <c r="WB69"/>
      <c r="WC69"/>
      <c r="WD69"/>
      <c r="WE69"/>
      <c r="WF69"/>
      <c r="WG69"/>
      <c r="WH69"/>
      <c r="WI69"/>
      <c r="WJ69"/>
      <c r="WK69"/>
      <c r="WL69"/>
      <c r="WM69"/>
      <c r="WN69"/>
      <c r="WO69"/>
      <c r="WP69"/>
      <c r="WQ69"/>
      <c r="WR69"/>
      <c r="WS69"/>
      <c r="WT69"/>
      <c r="WU69"/>
      <c r="WV69"/>
      <c r="WW69"/>
      <c r="WX69"/>
      <c r="WY69"/>
      <c r="WZ69"/>
      <c r="XA69"/>
      <c r="XB69"/>
      <c r="XC69"/>
      <c r="XD69"/>
      <c r="XE69"/>
      <c r="XF69"/>
      <c r="XG69"/>
      <c r="XH69"/>
      <c r="XI69"/>
      <c r="XJ69"/>
      <c r="XK69"/>
      <c r="XL69"/>
      <c r="XM69"/>
      <c r="XN69"/>
      <c r="XO69"/>
      <c r="XP69"/>
      <c r="XQ69"/>
      <c r="XR69"/>
      <c r="XS69"/>
      <c r="XT69"/>
      <c r="XU69"/>
      <c r="XV69"/>
      <c r="XW69"/>
      <c r="XX69"/>
      <c r="XY69"/>
      <c r="XZ69"/>
      <c r="YA69"/>
      <c r="YB69"/>
      <c r="YC69"/>
      <c r="YD69"/>
      <c r="YE69"/>
      <c r="YF69"/>
      <c r="YG69"/>
      <c r="YH69"/>
      <c r="YI69"/>
      <c r="YJ69"/>
      <c r="YK69"/>
      <c r="YL69"/>
      <c r="YM69"/>
      <c r="YN69"/>
      <c r="YO69"/>
      <c r="YP69"/>
      <c r="YQ69"/>
      <c r="YR69"/>
      <c r="YS69"/>
      <c r="YT69"/>
      <c r="YU69"/>
      <c r="YV69"/>
      <c r="YW69"/>
      <c r="YX69"/>
      <c r="YY69"/>
      <c r="YZ69"/>
      <c r="ZA69"/>
      <c r="ZB69"/>
      <c r="ZC69"/>
      <c r="ZD69"/>
      <c r="ZE69"/>
      <c r="ZF69"/>
      <c r="ZG69"/>
      <c r="ZH69"/>
      <c r="ZI69"/>
      <c r="ZJ69"/>
      <c r="ZK69"/>
      <c r="ZL69"/>
      <c r="ZM69"/>
      <c r="ZN69"/>
      <c r="ZO69"/>
      <c r="ZP69"/>
      <c r="ZQ69"/>
      <c r="ZR69"/>
      <c r="ZS69"/>
      <c r="ZT69"/>
      <c r="ZU69"/>
      <c r="ZV69"/>
      <c r="ZW69"/>
      <c r="ZX69"/>
      <c r="ZY69"/>
      <c r="ZZ69"/>
      <c r="AAA69"/>
      <c r="AAB69"/>
      <c r="AAC69"/>
      <c r="AAD69"/>
      <c r="AAE69"/>
      <c r="AAF69"/>
      <c r="AAG69"/>
      <c r="AAH69"/>
      <c r="AAI69"/>
      <c r="AAJ69"/>
      <c r="AAK69"/>
      <c r="AAL69"/>
      <c r="AAM69"/>
      <c r="AAN69"/>
      <c r="AAO69"/>
      <c r="AAP69"/>
      <c r="AAQ69"/>
      <c r="AAR69"/>
      <c r="AAS69"/>
      <c r="AAT69"/>
      <c r="AAU69"/>
      <c r="AAV69"/>
      <c r="AAW69"/>
      <c r="AAX69"/>
      <c r="AAY69"/>
      <c r="AAZ69"/>
      <c r="ABA69"/>
      <c r="ABB69"/>
      <c r="ABC69"/>
      <c r="ABD69"/>
      <c r="ABE69"/>
      <c r="ABF69"/>
      <c r="ABG69"/>
      <c r="ABH69"/>
      <c r="ABI69"/>
      <c r="ABJ69"/>
      <c r="ABK69"/>
      <c r="ABL69"/>
      <c r="ABM69"/>
      <c r="ABN69"/>
      <c r="ABO69"/>
      <c r="ABP69"/>
      <c r="ABQ69"/>
      <c r="ABR69"/>
      <c r="ABS69"/>
      <c r="ABT69"/>
      <c r="ABU69"/>
      <c r="ABV69"/>
      <c r="ABW69"/>
      <c r="ABX69"/>
      <c r="ABY69"/>
      <c r="ABZ69"/>
      <c r="ACA69"/>
      <c r="ACB69"/>
      <c r="ACC69"/>
      <c r="ACD69"/>
      <c r="ACE69"/>
      <c r="ACF69"/>
      <c r="ACG69"/>
      <c r="ACH69"/>
      <c r="ACI69"/>
      <c r="ACJ69"/>
      <c r="ACK69"/>
      <c r="ACL69"/>
      <c r="ACM69"/>
      <c r="ACN69"/>
      <c r="ACO69"/>
      <c r="ACP69"/>
      <c r="ACQ69"/>
      <c r="ACR69"/>
      <c r="ACS69"/>
      <c r="ACT69"/>
      <c r="ACU69"/>
      <c r="ACV69"/>
      <c r="ACW69"/>
      <c r="ACX69"/>
      <c r="ACY69"/>
      <c r="ACZ69"/>
      <c r="ADA69"/>
      <c r="ADB69"/>
      <c r="ADC69"/>
      <c r="ADD69"/>
      <c r="ADE69"/>
      <c r="ADF69"/>
      <c r="ADG69"/>
      <c r="ADH69"/>
      <c r="ADI69"/>
      <c r="ADJ69"/>
      <c r="ADK69"/>
      <c r="ADL69"/>
      <c r="ADM69"/>
      <c r="ADN69"/>
      <c r="ADO69"/>
      <c r="ADP69"/>
      <c r="ADQ69"/>
      <c r="ADR69"/>
      <c r="ADS69"/>
      <c r="ADT69"/>
      <c r="ADU69"/>
      <c r="ADV69"/>
      <c r="ADW69"/>
      <c r="ADX69"/>
      <c r="ADY69"/>
      <c r="ADZ69"/>
      <c r="AEA69"/>
      <c r="AEB69"/>
      <c r="AEC69"/>
      <c r="AED69"/>
      <c r="AEE69"/>
      <c r="AEF69"/>
      <c r="AEG69"/>
      <c r="AEH69"/>
      <c r="AEI69"/>
      <c r="AEJ69"/>
      <c r="AEK69"/>
      <c r="AEL69"/>
      <c r="AEM69"/>
      <c r="AEN69"/>
      <c r="AEO69"/>
      <c r="AEP69"/>
      <c r="AEQ69"/>
      <c r="AER69"/>
      <c r="AES69"/>
      <c r="AET69"/>
      <c r="AEU69"/>
      <c r="AEV69"/>
      <c r="AEW69"/>
      <c r="AEX69"/>
      <c r="AEY69"/>
      <c r="AEZ69"/>
      <c r="AFA69"/>
      <c r="AFB69"/>
      <c r="AFC69"/>
      <c r="AFD69"/>
      <c r="AFE69"/>
      <c r="AFF69"/>
      <c r="AFG69"/>
      <c r="AFH69"/>
      <c r="AFI69"/>
      <c r="AFJ69"/>
      <c r="AFK69"/>
      <c r="AFL69"/>
      <c r="AFM69"/>
      <c r="AFN69"/>
      <c r="AFO69"/>
      <c r="AFP69"/>
      <c r="AFQ69"/>
      <c r="AFR69"/>
      <c r="AFS69"/>
      <c r="AFT69"/>
      <c r="AFU69"/>
      <c r="AFV69"/>
      <c r="AFW69"/>
      <c r="AFX69"/>
      <c r="AFY69"/>
      <c r="AFZ69"/>
      <c r="AGA69"/>
      <c r="AGB69"/>
      <c r="AGC69"/>
      <c r="AGD69"/>
      <c r="AGE69"/>
      <c r="AGF69"/>
      <c r="AGG69"/>
      <c r="AGH69"/>
      <c r="AGI69"/>
      <c r="AGJ69"/>
      <c r="AGK69"/>
      <c r="AGL69"/>
      <c r="AGM69"/>
      <c r="AGN69"/>
      <c r="AGO69"/>
      <c r="AGP69"/>
      <c r="AGQ69"/>
      <c r="AGR69"/>
      <c r="AGS69"/>
      <c r="AGT69"/>
      <c r="AGU69"/>
      <c r="AGV69"/>
      <c r="AGW69"/>
      <c r="AGX69"/>
      <c r="AGY69"/>
      <c r="AGZ69"/>
      <c r="AHA69"/>
      <c r="AHB69"/>
      <c r="AHC69"/>
      <c r="AHD69"/>
      <c r="AHE69"/>
      <c r="AHF69"/>
      <c r="AHG69"/>
      <c r="AHH69"/>
      <c r="AHI69"/>
      <c r="AHJ69"/>
      <c r="AHK69"/>
      <c r="AHL69"/>
      <c r="AHM69"/>
      <c r="AHN69"/>
      <c r="AHO69"/>
      <c r="AHP69"/>
      <c r="AHQ69"/>
      <c r="AHR69"/>
      <c r="AHS69"/>
      <c r="AHT69"/>
      <c r="AHU69"/>
      <c r="AHV69"/>
      <c r="AHW69"/>
      <c r="AHX69"/>
      <c r="AHY69"/>
      <c r="AHZ69"/>
      <c r="AIA69"/>
      <c r="AIB69"/>
      <c r="AIC69"/>
      <c r="AID69"/>
      <c r="AIE69"/>
      <c r="AIF69"/>
      <c r="AIG69"/>
      <c r="AIH69"/>
      <c r="AII69"/>
      <c r="AIJ69"/>
      <c r="AIK69"/>
      <c r="AIL69"/>
      <c r="AIM69"/>
      <c r="AIN69"/>
      <c r="AIO69"/>
      <c r="AIP69"/>
      <c r="AIQ69"/>
      <c r="AIR69"/>
      <c r="AIS69"/>
      <c r="AIT69"/>
      <c r="AIU69"/>
      <c r="AIV69"/>
      <c r="AIW69"/>
      <c r="AIX69"/>
      <c r="AIY69"/>
      <c r="AIZ69"/>
      <c r="AJA69"/>
      <c r="AJB69"/>
      <c r="AJC69"/>
      <c r="AJD69"/>
      <c r="AJE69"/>
      <c r="AJF69"/>
      <c r="AJG69"/>
      <c r="AJH69"/>
      <c r="AJI69"/>
      <c r="AJJ69"/>
      <c r="AJK69"/>
      <c r="AJL69"/>
      <c r="AJM69"/>
      <c r="AJN69"/>
      <c r="AJO69"/>
      <c r="AJP69"/>
      <c r="AJQ69"/>
      <c r="AJR69"/>
      <c r="AJS69"/>
      <c r="AJT69"/>
      <c r="AJU69"/>
      <c r="AJV69"/>
      <c r="AJW69"/>
      <c r="AJX69"/>
      <c r="AJY69"/>
      <c r="AJZ69"/>
      <c r="AKA69"/>
      <c r="AKB69"/>
      <c r="AKC69"/>
      <c r="AKD69"/>
      <c r="AKE69"/>
      <c r="AKF69"/>
      <c r="AKG69"/>
      <c r="AKH69"/>
      <c r="AKI69"/>
      <c r="AKJ69"/>
      <c r="AKK69"/>
      <c r="AKL69"/>
      <c r="AKM69"/>
      <c r="AKN69"/>
      <c r="AKO69"/>
      <c r="AKP69"/>
      <c r="AKQ69"/>
      <c r="AKR69"/>
      <c r="AKS69"/>
      <c r="AKT69"/>
      <c r="AKU69"/>
      <c r="AKV69"/>
      <c r="AKW69"/>
      <c r="AKX69"/>
      <c r="AKY69"/>
      <c r="AKZ69"/>
      <c r="ALA69"/>
      <c r="ALB69"/>
      <c r="ALC69"/>
      <c r="ALD69"/>
      <c r="ALE69"/>
      <c r="ALF69"/>
      <c r="ALG69"/>
      <c r="ALH69"/>
      <c r="ALI69"/>
      <c r="ALJ69"/>
      <c r="ALK69"/>
      <c r="ALL69"/>
      <c r="ALM69"/>
      <c r="ALN69"/>
      <c r="ALO69"/>
      <c r="ALP69"/>
      <c r="ALQ69"/>
      <c r="ALR69"/>
      <c r="ALS69"/>
      <c r="ALT69"/>
      <c r="ALU69"/>
      <c r="ALV69"/>
      <c r="ALW69"/>
      <c r="ALX69"/>
      <c r="ALY69"/>
      <c r="ALZ69"/>
      <c r="AMA69"/>
      <c r="AMB69"/>
      <c r="AMC69"/>
      <c r="AMD69"/>
      <c r="AME69"/>
      <c r="AMF69"/>
      <c r="AMG69"/>
      <c r="AMH69"/>
      <c r="AMI69"/>
      <c r="AMJ69"/>
      <c r="AMK69"/>
      <c r="AML69"/>
      <c r="AMM69"/>
      <c r="AMN69"/>
      <c r="AMO69"/>
      <c r="AMP69"/>
      <c r="AMQ69"/>
      <c r="AMR69"/>
      <c r="AMS69"/>
      <c r="AMT69"/>
      <c r="AMU69"/>
      <c r="AMV69"/>
      <c r="AMW69"/>
      <c r="AMX69"/>
      <c r="AMY69"/>
      <c r="AMZ69"/>
      <c r="ANA69"/>
      <c r="ANB69"/>
      <c r="ANC69"/>
      <c r="AND69"/>
      <c r="ANE69"/>
      <c r="ANF69"/>
      <c r="ANG69"/>
      <c r="ANH69"/>
      <c r="ANI69"/>
      <c r="ANJ69"/>
      <c r="ANK69"/>
      <c r="ANL69"/>
      <c r="ANM69"/>
      <c r="ANN69"/>
      <c r="ANO69"/>
      <c r="ANP69"/>
      <c r="ANQ69"/>
      <c r="ANR69"/>
      <c r="ANS69"/>
      <c r="ANT69"/>
      <c r="ANU69"/>
      <c r="ANV69"/>
      <c r="ANW69"/>
      <c r="ANX69"/>
      <c r="ANY69"/>
      <c r="ANZ69"/>
      <c r="AOA69"/>
      <c r="AOB69"/>
      <c r="AOC69"/>
      <c r="AOD69"/>
      <c r="AOE69"/>
      <c r="AOF69"/>
      <c r="AOG69"/>
      <c r="AOH69"/>
      <c r="AOI69"/>
      <c r="AOJ69"/>
      <c r="AOK69"/>
      <c r="AOL69"/>
      <c r="AOM69"/>
      <c r="AON69"/>
      <c r="AOO69"/>
      <c r="AOP69"/>
      <c r="AOQ69"/>
      <c r="AOR69"/>
      <c r="AOS69"/>
      <c r="AOT69"/>
      <c r="AOU69"/>
      <c r="AOV69"/>
      <c r="AOW69"/>
      <c r="AOX69"/>
      <c r="AOY69"/>
      <c r="AOZ69"/>
      <c r="APA69"/>
      <c r="APB69"/>
      <c r="APC69"/>
      <c r="APD69"/>
      <c r="APE69"/>
      <c r="APF69"/>
      <c r="APG69"/>
      <c r="APH69"/>
      <c r="API69"/>
      <c r="APJ69"/>
      <c r="APK69"/>
      <c r="APL69"/>
      <c r="APM69"/>
      <c r="APN69"/>
      <c r="APO69"/>
      <c r="APP69"/>
      <c r="APQ69"/>
      <c r="APR69"/>
      <c r="APS69"/>
      <c r="APT69"/>
      <c r="APU69"/>
      <c r="APV69"/>
      <c r="APW69"/>
      <c r="APX69"/>
      <c r="APY69"/>
      <c r="APZ69"/>
      <c r="AQA69"/>
      <c r="AQB69"/>
      <c r="AQC69"/>
      <c r="AQD69"/>
      <c r="AQE69"/>
      <c r="AQF69"/>
      <c r="AQG69"/>
      <c r="AQH69"/>
      <c r="AQI69"/>
      <c r="AQJ69"/>
      <c r="AQK69"/>
      <c r="AQL69"/>
      <c r="AQM69"/>
      <c r="AQN69"/>
      <c r="AQO69"/>
      <c r="AQP69"/>
      <c r="AQQ69"/>
      <c r="AQR69"/>
      <c r="AQS69"/>
      <c r="AQT69"/>
      <c r="AQU69"/>
      <c r="AQV69"/>
      <c r="AQW69"/>
      <c r="AQX69"/>
      <c r="AQY69"/>
      <c r="AQZ69"/>
      <c r="ARA69"/>
      <c r="ARB69"/>
      <c r="ARC69"/>
      <c r="ARD69"/>
      <c r="ARE69"/>
      <c r="ARF69"/>
      <c r="ARG69"/>
      <c r="ARH69"/>
      <c r="ARI69"/>
      <c r="ARJ69"/>
      <c r="ARK69"/>
      <c r="ARL69"/>
      <c r="ARM69"/>
      <c r="ARN69"/>
      <c r="ARO69"/>
      <c r="ARP69"/>
      <c r="ARQ69"/>
      <c r="ARR69"/>
      <c r="ARS69"/>
      <c r="ART69"/>
      <c r="ARU69"/>
      <c r="ARV69"/>
      <c r="ARW69"/>
      <c r="ARX69"/>
      <c r="ARY69"/>
      <c r="ARZ69"/>
      <c r="ASA69"/>
      <c r="ASB69"/>
      <c r="ASC69"/>
      <c r="ASD69"/>
      <c r="ASE69"/>
      <c r="ASF69"/>
      <c r="ASG69"/>
      <c r="ASH69"/>
      <c r="ASI69"/>
      <c r="ASJ69"/>
      <c r="ASK69"/>
      <c r="ASL69"/>
      <c r="ASM69"/>
      <c r="ASN69"/>
      <c r="ASO69"/>
      <c r="ASP69"/>
      <c r="ASQ69"/>
      <c r="ASR69"/>
      <c r="ASS69"/>
      <c r="AST69"/>
      <c r="ASU69"/>
      <c r="ASV69"/>
      <c r="ASW69"/>
      <c r="ASX69"/>
      <c r="ASY69"/>
      <c r="ASZ69"/>
      <c r="ATA69"/>
      <c r="ATB69"/>
      <c r="ATC69"/>
      <c r="ATD69"/>
      <c r="ATE69"/>
      <c r="ATF69"/>
      <c r="ATG69"/>
      <c r="ATH69"/>
      <c r="ATI69"/>
      <c r="ATJ69"/>
      <c r="ATK69"/>
      <c r="ATL69"/>
      <c r="ATM69"/>
      <c r="ATN69"/>
      <c r="ATO69"/>
      <c r="ATP69"/>
      <c r="ATQ69"/>
      <c r="ATR69"/>
      <c r="ATS69"/>
      <c r="ATT69"/>
      <c r="ATU69"/>
      <c r="ATV69"/>
      <c r="ATW69"/>
      <c r="ATX69"/>
      <c r="ATY69"/>
      <c r="ATZ69"/>
      <c r="AUA69"/>
      <c r="AUB69"/>
      <c r="AUC69"/>
      <c r="AUD69"/>
      <c r="AUE69"/>
      <c r="AUF69"/>
      <c r="AUG69"/>
      <c r="AUH69"/>
      <c r="AUI69"/>
      <c r="AUJ69"/>
      <c r="AUK69"/>
      <c r="AUL69"/>
      <c r="AUM69"/>
      <c r="AUN69"/>
      <c r="AUO69"/>
      <c r="AUP69"/>
      <c r="AUQ69"/>
      <c r="AUR69"/>
      <c r="AUS69"/>
      <c r="AUT69"/>
      <c r="AUU69"/>
      <c r="AUV69"/>
      <c r="AUW69"/>
      <c r="AUX69"/>
      <c r="AUY69"/>
      <c r="AUZ69"/>
      <c r="AVA69"/>
      <c r="AVB69"/>
      <c r="AVC69"/>
      <c r="AVD69"/>
      <c r="AVE69"/>
      <c r="AVF69"/>
      <c r="AVG69"/>
      <c r="AVH69"/>
      <c r="AVI69"/>
      <c r="AVJ69"/>
      <c r="AVK69"/>
      <c r="AVL69"/>
      <c r="AVM69"/>
      <c r="AVN69"/>
      <c r="AVO69"/>
      <c r="AVP69"/>
      <c r="AVQ69"/>
      <c r="AVR69"/>
      <c r="AVS69"/>
      <c r="AVT69"/>
      <c r="AVU69"/>
      <c r="AVV69"/>
      <c r="AVW69"/>
      <c r="AVX69"/>
      <c r="AVY69"/>
      <c r="AVZ69"/>
      <c r="AWA69"/>
      <c r="AWB69"/>
      <c r="AWC69"/>
      <c r="AWD69"/>
      <c r="AWE69"/>
      <c r="AWF69"/>
      <c r="AWG69"/>
      <c r="AWH69"/>
      <c r="AWI69"/>
      <c r="AWJ69"/>
      <c r="AWK69"/>
      <c r="AWL69"/>
      <c r="AWM69"/>
      <c r="AWN69"/>
      <c r="AWO69"/>
      <c r="AWP69"/>
      <c r="AWQ69"/>
      <c r="AWR69"/>
      <c r="AWS69"/>
      <c r="AWT69"/>
      <c r="AWU69"/>
      <c r="AWV69"/>
      <c r="AWW69"/>
      <c r="AWX69"/>
      <c r="AWY69"/>
      <c r="AWZ69"/>
      <c r="AXA69"/>
      <c r="AXB69"/>
      <c r="AXC69"/>
      <c r="AXD69"/>
      <c r="AXE69"/>
      <c r="AXF69"/>
      <c r="AXG69"/>
      <c r="AXH69"/>
      <c r="AXI69"/>
      <c r="AXJ69"/>
      <c r="AXK69"/>
      <c r="AXL69"/>
      <c r="AXM69"/>
      <c r="AXN69"/>
      <c r="AXO69"/>
      <c r="AXP69"/>
      <c r="AXQ69"/>
      <c r="AXR69"/>
      <c r="AXS69"/>
      <c r="AXT69"/>
      <c r="AXU69"/>
      <c r="AXV69"/>
      <c r="AXW69"/>
      <c r="AXX69"/>
      <c r="AXY69"/>
      <c r="AXZ69"/>
      <c r="AYA69"/>
      <c r="AYB69"/>
      <c r="AYC69"/>
      <c r="AYD69"/>
      <c r="AYE69"/>
      <c r="AYF69"/>
      <c r="AYG69"/>
      <c r="AYH69"/>
      <c r="AYI69"/>
      <c r="AYJ69"/>
      <c r="AYK69"/>
      <c r="AYL69"/>
      <c r="AYM69"/>
      <c r="AYN69"/>
      <c r="AYO69"/>
      <c r="AYP69"/>
      <c r="AYQ69"/>
      <c r="AYR69"/>
      <c r="AYS69"/>
      <c r="AYT69"/>
      <c r="AYU69"/>
      <c r="AYV69"/>
      <c r="AYW69"/>
      <c r="AYX69"/>
      <c r="AYY69"/>
      <c r="AYZ69"/>
      <c r="AZA69"/>
      <c r="AZB69"/>
      <c r="AZC69"/>
      <c r="AZD69"/>
      <c r="AZE69"/>
      <c r="AZF69"/>
      <c r="AZG69"/>
      <c r="AZH69"/>
      <c r="AZI69"/>
      <c r="AZJ69"/>
      <c r="AZK69"/>
      <c r="AZL69"/>
      <c r="AZM69"/>
      <c r="AZN69"/>
      <c r="AZO69"/>
      <c r="AZP69"/>
      <c r="AZQ69"/>
      <c r="AZR69"/>
      <c r="AZS69"/>
      <c r="AZT69"/>
      <c r="AZU69"/>
      <c r="AZV69"/>
      <c r="AZW69"/>
      <c r="AZX69"/>
      <c r="AZY69"/>
      <c r="AZZ69"/>
      <c r="BAA69"/>
      <c r="BAB69"/>
      <c r="BAC69"/>
      <c r="BAD69"/>
      <c r="BAE69"/>
      <c r="BAF69"/>
      <c r="BAG69"/>
      <c r="BAH69"/>
      <c r="BAI69"/>
      <c r="BAJ69"/>
      <c r="BAK69"/>
      <c r="BAL69"/>
      <c r="BAM69"/>
      <c r="BAN69"/>
      <c r="BAO69"/>
      <c r="BAP69"/>
      <c r="BAQ69"/>
      <c r="BAR69"/>
      <c r="BAS69"/>
      <c r="BAT69"/>
      <c r="BAU69"/>
      <c r="BAV69"/>
      <c r="BAW69"/>
      <c r="BAX69"/>
      <c r="BAY69"/>
      <c r="BAZ69"/>
      <c r="BBA69"/>
      <c r="BBB69"/>
      <c r="BBC69"/>
      <c r="BBD69"/>
      <c r="BBE69"/>
      <c r="BBF69"/>
      <c r="BBG69"/>
      <c r="BBH69"/>
      <c r="BBI69"/>
      <c r="BBJ69"/>
      <c r="BBK69"/>
      <c r="BBL69"/>
      <c r="BBM69"/>
      <c r="BBN69"/>
      <c r="BBO69"/>
      <c r="BBP69"/>
      <c r="BBQ69"/>
      <c r="BBR69"/>
      <c r="BBS69"/>
      <c r="BBT69"/>
      <c r="BBU69"/>
      <c r="BBV69"/>
      <c r="BBW69"/>
      <c r="BBX69"/>
      <c r="BBY69"/>
      <c r="BBZ69"/>
      <c r="BCA69"/>
      <c r="BCB69"/>
      <c r="BCC69"/>
      <c r="BCD69"/>
      <c r="BCE69"/>
      <c r="BCF69"/>
      <c r="BCG69"/>
      <c r="BCH69"/>
      <c r="BCI69"/>
      <c r="BCJ69"/>
      <c r="BCK69"/>
      <c r="BCL69"/>
      <c r="BCM69"/>
      <c r="BCN69"/>
      <c r="BCO69"/>
      <c r="BCP69"/>
      <c r="BCQ69"/>
      <c r="BCR69"/>
      <c r="BCS69"/>
      <c r="BCT69"/>
      <c r="BCU69"/>
      <c r="BCV69"/>
      <c r="BCW69"/>
      <c r="BCX69"/>
      <c r="BCY69"/>
      <c r="BCZ69"/>
      <c r="BDA69"/>
      <c r="BDB69"/>
      <c r="BDC69"/>
      <c r="BDD69"/>
      <c r="BDE69"/>
      <c r="BDF69"/>
      <c r="BDG69"/>
      <c r="BDH69"/>
      <c r="BDI69"/>
      <c r="BDJ69"/>
      <c r="BDK69"/>
      <c r="BDL69"/>
      <c r="BDM69"/>
      <c r="BDN69"/>
      <c r="BDO69"/>
      <c r="BDP69"/>
      <c r="BDQ69"/>
      <c r="BDR69"/>
      <c r="BDS69"/>
      <c r="BDT69"/>
      <c r="BDU69"/>
      <c r="BDV69"/>
      <c r="BDW69"/>
      <c r="BDX69"/>
      <c r="BDY69"/>
      <c r="BDZ69"/>
      <c r="BEA69"/>
      <c r="BEB69"/>
      <c r="BEC69"/>
      <c r="BED69"/>
      <c r="BEE69"/>
      <c r="BEF69"/>
      <c r="BEG69"/>
      <c r="BEH69"/>
      <c r="BEI69"/>
      <c r="BEJ69"/>
      <c r="BEK69"/>
      <c r="BEL69"/>
      <c r="BEM69"/>
      <c r="BEN69"/>
      <c r="BEO69"/>
      <c r="BEP69"/>
      <c r="BEQ69"/>
      <c r="BER69"/>
      <c r="BES69"/>
      <c r="BET69"/>
      <c r="BEU69"/>
      <c r="BEV69"/>
      <c r="BEW69"/>
      <c r="BEX69"/>
      <c r="BEY69"/>
      <c r="BEZ69"/>
      <c r="BFA69"/>
      <c r="BFB69"/>
      <c r="BFC69"/>
      <c r="BFD69"/>
      <c r="BFE69"/>
      <c r="BFF69"/>
      <c r="BFG69"/>
      <c r="BFH69"/>
      <c r="BFI69"/>
      <c r="BFJ69"/>
      <c r="BFK69"/>
      <c r="BFL69"/>
      <c r="BFM69"/>
      <c r="BFN69"/>
      <c r="BFO69"/>
      <c r="BFP69"/>
      <c r="BFQ69"/>
      <c r="BFR69"/>
      <c r="BFS69"/>
      <c r="BFT69"/>
      <c r="BFU69"/>
      <c r="BFV69"/>
      <c r="BFW69"/>
      <c r="BFX69"/>
      <c r="BFY69"/>
      <c r="BFZ69"/>
      <c r="BGA69"/>
      <c r="BGB69"/>
      <c r="BGC69"/>
      <c r="BGD69"/>
      <c r="BGE69"/>
      <c r="BGF69"/>
      <c r="BGG69"/>
      <c r="BGH69"/>
      <c r="BGI69"/>
      <c r="BGJ69"/>
      <c r="BGK69"/>
      <c r="BGL69"/>
      <c r="BGM69"/>
      <c r="BGN69"/>
      <c r="BGO69"/>
      <c r="BGP69"/>
      <c r="BGQ69"/>
      <c r="BGR69"/>
      <c r="BGS69"/>
      <c r="BGT69"/>
      <c r="BGU69"/>
      <c r="BGV69"/>
      <c r="BGW69"/>
      <c r="BGX69"/>
      <c r="BGY69"/>
      <c r="BGZ69"/>
      <c r="BHA69"/>
      <c r="BHB69"/>
      <c r="BHC69"/>
      <c r="BHD69"/>
      <c r="BHE69"/>
      <c r="BHF69"/>
      <c r="BHG69"/>
      <c r="BHH69"/>
      <c r="BHI69"/>
      <c r="BHJ69"/>
      <c r="BHK69"/>
      <c r="BHL69"/>
      <c r="BHM69"/>
      <c r="BHN69"/>
      <c r="BHO69"/>
      <c r="BHP69"/>
      <c r="BHQ69"/>
      <c r="BHR69"/>
      <c r="BHS69"/>
      <c r="BHT69"/>
      <c r="BHU69"/>
      <c r="BHV69"/>
      <c r="BHW69"/>
      <c r="BHX69"/>
      <c r="BHY69"/>
      <c r="BHZ69"/>
      <c r="BIA69"/>
      <c r="BIB69"/>
      <c r="BIC69"/>
      <c r="BID69"/>
      <c r="BIE69"/>
      <c r="BIF69"/>
      <c r="BIG69"/>
      <c r="BIH69"/>
      <c r="BII69"/>
      <c r="BIJ69"/>
      <c r="BIK69"/>
      <c r="BIL69"/>
      <c r="BIM69"/>
      <c r="BIN69"/>
      <c r="BIO69"/>
      <c r="BIP69"/>
      <c r="BIQ69"/>
      <c r="BIR69"/>
      <c r="BIS69"/>
      <c r="BIT69"/>
      <c r="BIU69"/>
      <c r="BIV69"/>
      <c r="BIW69"/>
      <c r="BIX69"/>
      <c r="BIY69"/>
      <c r="BIZ69"/>
      <c r="BJA69"/>
      <c r="BJB69"/>
      <c r="BJC69"/>
      <c r="BJD69"/>
      <c r="BJE69"/>
      <c r="BJF69"/>
      <c r="BJG69"/>
      <c r="BJH69"/>
      <c r="BJI69"/>
      <c r="BJJ69"/>
      <c r="BJK69"/>
      <c r="BJL69"/>
      <c r="BJM69"/>
      <c r="BJN69"/>
      <c r="BJO69"/>
      <c r="BJP69"/>
      <c r="BJQ69"/>
      <c r="BJR69"/>
      <c r="BJS69"/>
      <c r="BJT69"/>
      <c r="BJU69"/>
      <c r="BJV69"/>
      <c r="BJW69"/>
      <c r="BJX69"/>
      <c r="BJY69"/>
      <c r="BJZ69"/>
      <c r="BKA69"/>
      <c r="BKB69"/>
      <c r="BKC69"/>
      <c r="BKD69"/>
      <c r="BKE69"/>
      <c r="BKF69"/>
      <c r="BKG69"/>
      <c r="BKH69"/>
      <c r="BKI69"/>
      <c r="BKJ69"/>
      <c r="BKK69"/>
      <c r="BKL69"/>
      <c r="BKM69"/>
      <c r="BKN69"/>
      <c r="BKO69"/>
      <c r="BKP69"/>
      <c r="BKQ69"/>
      <c r="BKR69"/>
      <c r="BKS69"/>
      <c r="BKT69"/>
      <c r="BKU69"/>
      <c r="BKV69"/>
      <c r="BKW69"/>
      <c r="BKX69"/>
      <c r="BKY69"/>
      <c r="BKZ69"/>
      <c r="BLA69"/>
      <c r="BLB69"/>
      <c r="BLC69"/>
      <c r="BLD69"/>
      <c r="BLE69"/>
      <c r="BLF69"/>
      <c r="BLG69"/>
      <c r="BLH69"/>
      <c r="BLI69"/>
      <c r="BLJ69"/>
      <c r="BLK69"/>
      <c r="BLL69"/>
      <c r="BLM69"/>
      <c r="BLN69"/>
      <c r="BLO69"/>
      <c r="BLP69"/>
      <c r="BLQ69"/>
      <c r="BLR69"/>
      <c r="BLS69"/>
      <c r="BLT69"/>
      <c r="BLU69"/>
      <c r="BLV69"/>
      <c r="BLW69"/>
      <c r="BLX69"/>
      <c r="BLY69"/>
      <c r="BLZ69"/>
      <c r="BMA69"/>
      <c r="BMB69"/>
      <c r="BMC69"/>
      <c r="BMD69"/>
      <c r="BME69"/>
      <c r="BMF69"/>
      <c r="BMG69"/>
      <c r="BMH69"/>
      <c r="BMI69"/>
      <c r="BMJ69"/>
      <c r="BMK69"/>
      <c r="BML69"/>
      <c r="BMM69"/>
      <c r="BMN69"/>
      <c r="BMO69"/>
      <c r="BMP69"/>
      <c r="BMQ69"/>
      <c r="BMR69"/>
      <c r="BMS69"/>
      <c r="BMT69"/>
      <c r="BMU69"/>
      <c r="BMV69"/>
      <c r="BMW69"/>
      <c r="BMX69"/>
      <c r="BMY69"/>
      <c r="BMZ69"/>
      <c r="BNA69"/>
      <c r="BNB69"/>
      <c r="BNC69"/>
      <c r="BND69"/>
      <c r="BNE69"/>
      <c r="BNF69"/>
      <c r="BNG69"/>
      <c r="BNH69"/>
      <c r="BNI69"/>
      <c r="BNJ69"/>
      <c r="BNK69"/>
      <c r="BNL69"/>
      <c r="BNM69"/>
      <c r="BNN69"/>
      <c r="BNO69"/>
      <c r="BNP69"/>
      <c r="BNQ69"/>
      <c r="BNR69"/>
      <c r="BNS69"/>
      <c r="BNT69"/>
      <c r="BNU69"/>
      <c r="BNV69"/>
      <c r="BNW69"/>
      <c r="BNX69"/>
      <c r="BNY69"/>
      <c r="BNZ69"/>
      <c r="BOA69"/>
      <c r="BOB69"/>
      <c r="BOC69"/>
      <c r="BOD69"/>
      <c r="BOE69"/>
      <c r="BOF69"/>
      <c r="BOG69"/>
      <c r="BOH69"/>
      <c r="BOI69"/>
      <c r="BOJ69"/>
      <c r="BOK69"/>
      <c r="BOL69"/>
      <c r="BOM69"/>
      <c r="BON69"/>
      <c r="BOO69"/>
      <c r="BOP69"/>
      <c r="BOQ69"/>
      <c r="BOR69"/>
      <c r="BOS69"/>
      <c r="BOT69"/>
      <c r="BOU69"/>
      <c r="BOV69"/>
      <c r="BOW69"/>
      <c r="BOX69"/>
      <c r="BOY69"/>
      <c r="BOZ69"/>
      <c r="BPA69"/>
      <c r="BPB69"/>
      <c r="BPC69"/>
      <c r="BPD69"/>
      <c r="BPE69"/>
      <c r="BPF69"/>
      <c r="BPG69"/>
      <c r="BPH69"/>
      <c r="BPI69"/>
      <c r="BPJ69"/>
      <c r="BPK69"/>
      <c r="BPL69"/>
      <c r="BPM69"/>
      <c r="BPN69"/>
      <c r="BPO69"/>
      <c r="BPP69"/>
      <c r="BPQ69"/>
      <c r="BPR69"/>
      <c r="BPS69"/>
      <c r="BPT69"/>
      <c r="BPU69"/>
      <c r="BPV69"/>
      <c r="BPW69"/>
      <c r="BPX69"/>
      <c r="BPY69"/>
      <c r="BPZ69"/>
      <c r="BQA69"/>
      <c r="BQB69"/>
      <c r="BQC69"/>
      <c r="BQD69"/>
      <c r="BQE69"/>
      <c r="BQF69"/>
      <c r="BQG69"/>
      <c r="BQH69"/>
      <c r="BQI69"/>
      <c r="BQJ69"/>
      <c r="BQK69"/>
      <c r="BQL69"/>
      <c r="BQM69"/>
      <c r="BQN69"/>
      <c r="BQO69"/>
      <c r="BQP69"/>
      <c r="BQQ69"/>
      <c r="BQR69"/>
      <c r="BQS69"/>
      <c r="BQT69"/>
      <c r="BQU69"/>
      <c r="BQV69"/>
      <c r="BQW69"/>
      <c r="BQX69"/>
      <c r="BQY69"/>
      <c r="BQZ69"/>
      <c r="BRA69"/>
      <c r="BRB69"/>
      <c r="BRC69"/>
      <c r="BRD69"/>
      <c r="BRE69"/>
      <c r="BRF69"/>
      <c r="BRG69"/>
      <c r="BRH69"/>
      <c r="BRI69"/>
      <c r="BRJ69"/>
      <c r="BRK69"/>
      <c r="BRL69"/>
      <c r="BRM69"/>
      <c r="BRN69"/>
      <c r="BRO69"/>
      <c r="BRP69"/>
      <c r="BRQ69"/>
      <c r="BRR69"/>
      <c r="BRS69"/>
      <c r="BRT69"/>
      <c r="BRU69"/>
      <c r="BRV69"/>
      <c r="BRW69"/>
      <c r="BRX69"/>
      <c r="BRY69"/>
      <c r="BRZ69"/>
      <c r="BSA69"/>
      <c r="BSB69"/>
      <c r="BSC69"/>
      <c r="BSD69"/>
      <c r="BSE69"/>
      <c r="BSF69"/>
      <c r="BSG69"/>
      <c r="BSH69"/>
      <c r="BSI69"/>
      <c r="BSJ69"/>
      <c r="BSK69"/>
      <c r="BSL69"/>
      <c r="BSM69"/>
      <c r="BSN69"/>
      <c r="BSO69"/>
      <c r="BSP69"/>
      <c r="BSQ69"/>
      <c r="BSR69"/>
      <c r="BSS69"/>
      <c r="BST69"/>
      <c r="BSU69"/>
      <c r="BSV69"/>
      <c r="BSW69"/>
      <c r="BSX69"/>
      <c r="BSY69"/>
      <c r="BSZ69"/>
      <c r="BTA69"/>
      <c r="BTB69"/>
      <c r="BTC69"/>
      <c r="BTD69"/>
      <c r="BTE69"/>
      <c r="BTF69"/>
      <c r="BTG69"/>
      <c r="BTH69"/>
      <c r="BTI69"/>
      <c r="BTJ69"/>
      <c r="BTK69"/>
      <c r="BTL69"/>
      <c r="BTM69"/>
      <c r="BTN69"/>
      <c r="BTO69"/>
      <c r="BTP69"/>
      <c r="BTQ69"/>
      <c r="BTR69"/>
      <c r="BTS69"/>
      <c r="BTT69"/>
      <c r="BTU69"/>
      <c r="BTV69"/>
      <c r="BTW69"/>
      <c r="BTX69"/>
      <c r="BTY69"/>
      <c r="BTZ69"/>
      <c r="BUA69"/>
      <c r="BUB69"/>
      <c r="BUC69"/>
      <c r="BUD69"/>
      <c r="BUE69"/>
      <c r="BUF69"/>
      <c r="BUG69"/>
      <c r="BUH69"/>
      <c r="BUI69"/>
      <c r="BUJ69"/>
      <c r="BUK69"/>
      <c r="BUL69"/>
      <c r="BUM69"/>
      <c r="BUN69"/>
      <c r="BUO69"/>
      <c r="BUP69"/>
      <c r="BUQ69"/>
      <c r="BUR69"/>
      <c r="BUS69"/>
      <c r="BUT69"/>
      <c r="BUU69"/>
      <c r="BUV69"/>
      <c r="BUW69"/>
      <c r="BUX69"/>
      <c r="BUY69"/>
      <c r="BUZ69"/>
      <c r="BVA69"/>
      <c r="BVB69"/>
      <c r="BVC69"/>
      <c r="BVD69"/>
      <c r="BVE69"/>
      <c r="BVF69"/>
      <c r="BVG69"/>
      <c r="BVH69"/>
      <c r="BVI69"/>
      <c r="BVJ69"/>
      <c r="BVK69"/>
      <c r="BVL69"/>
      <c r="BVM69"/>
      <c r="BVN69"/>
      <c r="BVO69"/>
      <c r="BVP69"/>
      <c r="BVQ69"/>
      <c r="BVR69"/>
      <c r="BVS69"/>
      <c r="BVT69"/>
      <c r="BVU69"/>
      <c r="BVV69"/>
      <c r="BVW69"/>
      <c r="BVX69"/>
      <c r="BVY69"/>
      <c r="BVZ69"/>
      <c r="BWA69"/>
      <c r="BWB69"/>
      <c r="BWC69"/>
      <c r="BWD69"/>
      <c r="BWE69"/>
      <c r="BWF69"/>
      <c r="BWG69"/>
      <c r="BWH69"/>
      <c r="BWI69"/>
      <c r="BWJ69"/>
      <c r="BWK69"/>
      <c r="BWL69"/>
      <c r="BWM69"/>
      <c r="BWN69"/>
      <c r="BWO69"/>
      <c r="BWP69"/>
      <c r="BWQ69"/>
      <c r="BWR69"/>
      <c r="BWS69"/>
      <c r="BWT69"/>
      <c r="BWU69"/>
      <c r="BWV69"/>
      <c r="BWW69"/>
      <c r="BWX69"/>
      <c r="BWY69"/>
      <c r="BWZ69"/>
      <c r="BXA69"/>
      <c r="BXB69"/>
      <c r="BXC69"/>
      <c r="BXD69"/>
      <c r="BXE69"/>
      <c r="BXF69"/>
      <c r="BXG69"/>
      <c r="BXH69"/>
      <c r="BXI69"/>
      <c r="BXJ69"/>
      <c r="BXK69"/>
      <c r="BXL69"/>
      <c r="BXM69"/>
      <c r="BXN69"/>
      <c r="BXO69"/>
      <c r="BXP69"/>
      <c r="BXQ69"/>
      <c r="BXR69"/>
      <c r="BXS69"/>
      <c r="BXT69"/>
      <c r="BXU69"/>
      <c r="BXV69"/>
      <c r="BXW69"/>
      <c r="BXX69"/>
      <c r="BXY69"/>
      <c r="BXZ69"/>
      <c r="BYA69"/>
      <c r="BYB69"/>
      <c r="BYC69"/>
      <c r="BYD69"/>
      <c r="BYE69"/>
      <c r="BYF69"/>
      <c r="BYG69"/>
      <c r="BYH69"/>
      <c r="BYI69"/>
      <c r="BYJ69"/>
      <c r="BYK69"/>
      <c r="BYL69"/>
      <c r="BYM69"/>
      <c r="BYN69"/>
      <c r="BYO69"/>
      <c r="BYP69"/>
      <c r="BYQ69"/>
      <c r="BYR69"/>
      <c r="BYS69"/>
      <c r="BYT69"/>
      <c r="BYU69"/>
      <c r="BYV69"/>
      <c r="BYW69"/>
      <c r="BYX69"/>
      <c r="BYY69"/>
      <c r="BYZ69"/>
      <c r="BZA69"/>
      <c r="BZB69"/>
      <c r="BZC69"/>
      <c r="BZD69"/>
      <c r="BZE69"/>
      <c r="BZF69"/>
      <c r="BZG69"/>
      <c r="BZH69"/>
      <c r="BZI69"/>
      <c r="BZJ69"/>
      <c r="BZK69"/>
      <c r="BZL69"/>
      <c r="BZM69"/>
      <c r="BZN69"/>
      <c r="BZO69"/>
      <c r="BZP69"/>
      <c r="BZQ69"/>
      <c r="BZR69"/>
      <c r="BZS69"/>
      <c r="BZT69"/>
      <c r="BZU69"/>
      <c r="BZV69"/>
      <c r="BZW69"/>
      <c r="BZX69"/>
      <c r="BZY69"/>
      <c r="BZZ69"/>
      <c r="CAA69"/>
      <c r="CAB69"/>
      <c r="CAC69"/>
      <c r="CAD69"/>
      <c r="CAE69"/>
      <c r="CAF69"/>
      <c r="CAG69"/>
      <c r="CAH69"/>
      <c r="CAI69"/>
      <c r="CAJ69"/>
      <c r="CAK69"/>
      <c r="CAL69"/>
      <c r="CAM69"/>
      <c r="CAN69"/>
      <c r="CAO69"/>
      <c r="CAP69"/>
      <c r="CAQ69"/>
      <c r="CAR69"/>
      <c r="CAS69"/>
      <c r="CAT69"/>
      <c r="CAU69"/>
      <c r="CAV69"/>
      <c r="CAW69"/>
      <c r="CAX69"/>
      <c r="CAY69"/>
      <c r="CAZ69"/>
      <c r="CBA69"/>
      <c r="CBB69"/>
      <c r="CBC69"/>
      <c r="CBD69"/>
      <c r="CBE69"/>
      <c r="CBF69"/>
      <c r="CBG69"/>
      <c r="CBH69"/>
      <c r="CBI69"/>
      <c r="CBJ69"/>
      <c r="CBK69"/>
      <c r="CBL69"/>
      <c r="CBM69"/>
      <c r="CBN69"/>
      <c r="CBO69"/>
      <c r="CBP69"/>
      <c r="CBQ69"/>
      <c r="CBR69"/>
      <c r="CBS69"/>
      <c r="CBT69"/>
      <c r="CBU69"/>
      <c r="CBV69"/>
      <c r="CBW69"/>
      <c r="CBX69"/>
      <c r="CBY69"/>
      <c r="CBZ69"/>
      <c r="CCA69"/>
      <c r="CCB69"/>
      <c r="CCC69"/>
      <c r="CCD69"/>
      <c r="CCE69"/>
      <c r="CCF69"/>
      <c r="CCG69"/>
      <c r="CCH69"/>
      <c r="CCI69"/>
      <c r="CCJ69"/>
      <c r="CCK69"/>
      <c r="CCL69"/>
      <c r="CCM69"/>
      <c r="CCN69"/>
      <c r="CCO69"/>
      <c r="CCP69"/>
      <c r="CCQ69"/>
      <c r="CCR69"/>
      <c r="CCS69"/>
      <c r="CCT69"/>
      <c r="CCU69"/>
      <c r="CCV69"/>
      <c r="CCW69"/>
      <c r="CCX69"/>
      <c r="CCY69"/>
      <c r="CCZ69"/>
      <c r="CDA69"/>
      <c r="CDB69"/>
      <c r="CDC69"/>
      <c r="CDD69"/>
      <c r="CDE69"/>
      <c r="CDF69"/>
      <c r="CDG69"/>
      <c r="CDH69"/>
      <c r="CDI69"/>
      <c r="CDJ69"/>
      <c r="CDK69"/>
      <c r="CDL69"/>
      <c r="CDM69"/>
      <c r="CDN69"/>
      <c r="CDO69"/>
      <c r="CDP69"/>
      <c r="CDQ69"/>
      <c r="CDR69"/>
      <c r="CDS69"/>
      <c r="CDT69"/>
      <c r="CDU69"/>
      <c r="CDV69"/>
      <c r="CDW69"/>
      <c r="CDX69"/>
      <c r="CDY69"/>
      <c r="CDZ69"/>
      <c r="CEA69"/>
      <c r="CEB69"/>
      <c r="CEC69"/>
      <c r="CED69"/>
      <c r="CEE69"/>
      <c r="CEF69"/>
      <c r="CEG69"/>
      <c r="CEH69"/>
      <c r="CEI69"/>
      <c r="CEJ69"/>
      <c r="CEK69"/>
      <c r="CEL69"/>
      <c r="CEM69"/>
      <c r="CEN69"/>
      <c r="CEO69"/>
      <c r="CEP69"/>
      <c r="CEQ69"/>
      <c r="CER69"/>
      <c r="CES69"/>
      <c r="CET69"/>
      <c r="CEU69"/>
      <c r="CEV69"/>
      <c r="CEW69"/>
      <c r="CEX69"/>
      <c r="CEY69"/>
      <c r="CEZ69"/>
      <c r="CFA69"/>
      <c r="CFB69"/>
      <c r="CFC69"/>
      <c r="CFD69"/>
      <c r="CFE69"/>
      <c r="CFF69"/>
      <c r="CFG69"/>
      <c r="CFH69"/>
      <c r="CFI69"/>
      <c r="CFJ69"/>
      <c r="CFK69"/>
      <c r="CFL69"/>
      <c r="CFM69"/>
      <c r="CFN69"/>
      <c r="CFO69"/>
      <c r="CFP69"/>
      <c r="CFQ69"/>
      <c r="CFR69"/>
      <c r="CFS69"/>
      <c r="CFT69"/>
      <c r="CFU69"/>
      <c r="CFV69"/>
      <c r="CFW69"/>
      <c r="CFX69"/>
      <c r="CFY69"/>
      <c r="CFZ69"/>
      <c r="CGA69"/>
      <c r="CGB69"/>
      <c r="CGC69"/>
      <c r="CGD69"/>
      <c r="CGE69"/>
      <c r="CGF69"/>
      <c r="CGG69"/>
      <c r="CGH69"/>
      <c r="CGI69"/>
      <c r="CGJ69"/>
      <c r="CGK69"/>
      <c r="CGL69"/>
      <c r="CGM69"/>
      <c r="CGN69"/>
      <c r="CGO69"/>
      <c r="CGP69"/>
      <c r="CGQ69"/>
      <c r="CGR69"/>
      <c r="CGS69"/>
      <c r="CGT69"/>
      <c r="CGU69"/>
      <c r="CGV69"/>
      <c r="CGW69"/>
      <c r="CGX69"/>
      <c r="CGY69"/>
      <c r="CGZ69"/>
      <c r="CHA69"/>
      <c r="CHB69"/>
      <c r="CHC69"/>
      <c r="CHD69"/>
      <c r="CHE69"/>
      <c r="CHF69"/>
      <c r="CHG69"/>
      <c r="CHH69"/>
      <c r="CHI69"/>
      <c r="CHJ69"/>
      <c r="CHK69"/>
      <c r="CHL69"/>
      <c r="CHM69"/>
      <c r="CHN69"/>
      <c r="CHO69"/>
      <c r="CHP69"/>
      <c r="CHQ69"/>
      <c r="CHR69"/>
      <c r="CHS69"/>
      <c r="CHT69"/>
      <c r="CHU69"/>
      <c r="CHV69"/>
      <c r="CHW69"/>
      <c r="CHX69"/>
      <c r="CHY69"/>
      <c r="CHZ69"/>
      <c r="CIA69"/>
      <c r="CIB69"/>
      <c r="CIC69"/>
      <c r="CID69"/>
      <c r="CIE69"/>
      <c r="CIF69"/>
      <c r="CIG69"/>
      <c r="CIH69"/>
      <c r="CII69"/>
      <c r="CIJ69"/>
      <c r="CIK69"/>
      <c r="CIL69"/>
      <c r="CIM69"/>
      <c r="CIN69"/>
      <c r="CIO69"/>
      <c r="CIP69"/>
      <c r="CIQ69"/>
      <c r="CIR69"/>
      <c r="CIS69"/>
      <c r="CIT69"/>
      <c r="CIU69"/>
      <c r="CIV69"/>
      <c r="CIW69"/>
      <c r="CIX69"/>
      <c r="CIY69"/>
      <c r="CIZ69"/>
      <c r="CJA69"/>
      <c r="CJB69"/>
      <c r="CJC69"/>
      <c r="CJD69"/>
      <c r="CJE69"/>
      <c r="CJF69"/>
      <c r="CJG69"/>
      <c r="CJH69"/>
      <c r="CJI69"/>
      <c r="CJJ69"/>
      <c r="CJK69"/>
      <c r="CJL69"/>
      <c r="CJM69"/>
      <c r="CJN69"/>
      <c r="CJO69"/>
      <c r="CJP69"/>
      <c r="CJQ69"/>
      <c r="CJR69"/>
      <c r="CJS69"/>
      <c r="CJT69"/>
      <c r="CJU69"/>
      <c r="CJV69"/>
      <c r="CJW69"/>
      <c r="CJX69"/>
      <c r="CJY69"/>
      <c r="CJZ69"/>
      <c r="CKA69"/>
      <c r="CKB69"/>
      <c r="CKC69"/>
      <c r="CKD69"/>
      <c r="CKE69"/>
      <c r="CKF69"/>
      <c r="CKG69"/>
      <c r="CKH69"/>
      <c r="CKI69"/>
      <c r="CKJ69"/>
      <c r="CKK69"/>
      <c r="CKL69"/>
      <c r="CKM69"/>
      <c r="CKN69"/>
      <c r="CKO69"/>
      <c r="CKP69"/>
      <c r="CKQ69"/>
      <c r="CKR69"/>
      <c r="CKS69"/>
      <c r="CKT69"/>
      <c r="CKU69"/>
      <c r="CKV69"/>
      <c r="CKW69"/>
      <c r="CKX69"/>
      <c r="CKY69"/>
      <c r="CKZ69"/>
      <c r="CLA69"/>
      <c r="CLB69"/>
      <c r="CLC69"/>
      <c r="CLD69"/>
      <c r="CLE69"/>
      <c r="CLF69"/>
      <c r="CLG69"/>
      <c r="CLH69"/>
      <c r="CLI69"/>
      <c r="CLJ69"/>
      <c r="CLK69"/>
      <c r="CLL69"/>
      <c r="CLM69"/>
      <c r="CLN69"/>
      <c r="CLO69"/>
      <c r="CLP69"/>
      <c r="CLQ69"/>
      <c r="CLR69"/>
      <c r="CLS69"/>
      <c r="CLT69"/>
      <c r="CLU69"/>
      <c r="CLV69"/>
      <c r="CLW69"/>
      <c r="CLX69"/>
      <c r="CLY69"/>
      <c r="CLZ69"/>
      <c r="CMA69"/>
      <c r="CMB69"/>
      <c r="CMC69"/>
      <c r="CMD69"/>
      <c r="CME69"/>
      <c r="CMF69"/>
      <c r="CMG69"/>
      <c r="CMH69"/>
      <c r="CMI69"/>
      <c r="CMJ69"/>
      <c r="CMK69"/>
      <c r="CML69"/>
      <c r="CMM69"/>
      <c r="CMN69"/>
      <c r="CMO69"/>
      <c r="CMP69"/>
      <c r="CMQ69"/>
      <c r="CMR69"/>
      <c r="CMS69"/>
      <c r="CMT69"/>
      <c r="CMU69"/>
      <c r="CMV69"/>
      <c r="CMW69"/>
      <c r="CMX69"/>
      <c r="CMY69"/>
      <c r="CMZ69"/>
      <c r="CNA69"/>
      <c r="CNB69"/>
      <c r="CNC69"/>
      <c r="CND69"/>
      <c r="CNE69"/>
      <c r="CNF69"/>
      <c r="CNG69"/>
      <c r="CNH69"/>
      <c r="CNI69"/>
      <c r="CNJ69"/>
      <c r="CNK69"/>
      <c r="CNL69"/>
      <c r="CNM69"/>
      <c r="CNN69"/>
      <c r="CNO69"/>
      <c r="CNP69"/>
      <c r="CNQ69"/>
      <c r="CNR69"/>
      <c r="CNS69"/>
      <c r="CNT69"/>
      <c r="CNU69"/>
      <c r="CNV69"/>
      <c r="CNW69"/>
      <c r="CNX69"/>
      <c r="CNY69"/>
      <c r="CNZ69"/>
      <c r="COA69"/>
      <c r="COB69"/>
      <c r="COC69"/>
      <c r="COD69"/>
      <c r="COE69"/>
      <c r="COF69"/>
      <c r="COG69"/>
      <c r="COH69"/>
      <c r="COI69"/>
      <c r="COJ69"/>
      <c r="COK69"/>
      <c r="COL69"/>
      <c r="COM69"/>
      <c r="CON69"/>
      <c r="COO69"/>
      <c r="COP69"/>
      <c r="COQ69"/>
      <c r="COR69"/>
      <c r="COS69"/>
      <c r="COT69"/>
      <c r="COU69"/>
      <c r="COV69"/>
      <c r="COW69"/>
      <c r="COX69"/>
      <c r="COY69"/>
      <c r="COZ69"/>
      <c r="CPA69"/>
      <c r="CPB69"/>
      <c r="CPC69"/>
      <c r="CPD69"/>
      <c r="CPE69"/>
      <c r="CPF69"/>
      <c r="CPG69"/>
      <c r="CPH69"/>
      <c r="CPI69"/>
      <c r="CPJ69"/>
      <c r="CPK69"/>
      <c r="CPL69"/>
      <c r="CPM69"/>
      <c r="CPN69"/>
      <c r="CPO69"/>
      <c r="CPP69"/>
      <c r="CPQ69"/>
      <c r="CPR69"/>
      <c r="CPS69"/>
      <c r="CPT69"/>
      <c r="CPU69"/>
      <c r="CPV69"/>
      <c r="CPW69"/>
      <c r="CPX69"/>
      <c r="CPY69"/>
      <c r="CPZ69"/>
      <c r="CQA69"/>
      <c r="CQB69"/>
      <c r="CQC69"/>
      <c r="CQD69"/>
      <c r="CQE69"/>
      <c r="CQF69"/>
      <c r="CQG69"/>
      <c r="CQH69"/>
      <c r="CQI69"/>
      <c r="CQJ69"/>
      <c r="CQK69"/>
      <c r="CQL69"/>
      <c r="CQM69"/>
      <c r="CQN69"/>
      <c r="CQO69"/>
      <c r="CQP69"/>
      <c r="CQQ69"/>
      <c r="CQR69"/>
      <c r="CQS69"/>
      <c r="CQT69"/>
      <c r="CQU69"/>
      <c r="CQV69"/>
      <c r="CQW69"/>
      <c r="CQX69"/>
      <c r="CQY69"/>
      <c r="CQZ69"/>
      <c r="CRA69"/>
      <c r="CRB69"/>
      <c r="CRC69"/>
      <c r="CRD69"/>
      <c r="CRE69"/>
      <c r="CRF69"/>
      <c r="CRG69"/>
      <c r="CRH69"/>
      <c r="CRI69"/>
      <c r="CRJ69"/>
      <c r="CRK69"/>
      <c r="CRL69"/>
      <c r="CRM69"/>
      <c r="CRN69"/>
      <c r="CRO69"/>
      <c r="CRP69"/>
      <c r="CRQ69"/>
      <c r="CRR69"/>
      <c r="CRS69"/>
      <c r="CRT69"/>
      <c r="CRU69"/>
      <c r="CRV69"/>
      <c r="CRW69"/>
      <c r="CRX69"/>
      <c r="CRY69"/>
      <c r="CRZ69"/>
      <c r="CSA69"/>
      <c r="CSB69"/>
      <c r="CSC69"/>
      <c r="CSD69"/>
      <c r="CSE69"/>
      <c r="CSF69"/>
      <c r="CSG69"/>
      <c r="CSH69"/>
      <c r="CSI69"/>
      <c r="CSJ69"/>
      <c r="CSK69"/>
      <c r="CSL69"/>
      <c r="CSM69"/>
      <c r="CSN69"/>
      <c r="CSO69"/>
      <c r="CSP69"/>
      <c r="CSQ69"/>
      <c r="CSR69"/>
      <c r="CSS69"/>
      <c r="CST69"/>
      <c r="CSU69"/>
      <c r="CSV69"/>
      <c r="CSW69"/>
      <c r="CSX69"/>
      <c r="CSY69"/>
      <c r="CSZ69"/>
      <c r="CTA69"/>
      <c r="CTB69"/>
      <c r="CTC69"/>
      <c r="CTD69"/>
      <c r="CTE69"/>
      <c r="CTF69"/>
      <c r="CTG69"/>
      <c r="CTH69"/>
      <c r="CTI69"/>
      <c r="CTJ69"/>
      <c r="CTK69"/>
      <c r="CTL69"/>
      <c r="CTM69"/>
      <c r="CTN69"/>
      <c r="CTO69"/>
      <c r="CTP69"/>
      <c r="CTQ69"/>
      <c r="CTR69"/>
      <c r="CTS69"/>
      <c r="CTT69"/>
      <c r="CTU69"/>
      <c r="CTV69"/>
      <c r="CTW69"/>
      <c r="CTX69"/>
      <c r="CTY69"/>
      <c r="CTZ69"/>
      <c r="CUA69"/>
      <c r="CUB69"/>
      <c r="CUC69"/>
      <c r="CUD69"/>
      <c r="CUE69"/>
      <c r="CUF69"/>
      <c r="CUG69"/>
      <c r="CUH69"/>
      <c r="CUI69"/>
      <c r="CUJ69"/>
      <c r="CUK69"/>
      <c r="CUL69"/>
      <c r="CUM69"/>
      <c r="CUN69"/>
      <c r="CUO69"/>
      <c r="CUP69"/>
      <c r="CUQ69"/>
      <c r="CUR69"/>
      <c r="CUS69"/>
      <c r="CUT69"/>
      <c r="CUU69"/>
      <c r="CUV69"/>
      <c r="CUW69"/>
      <c r="CUX69"/>
      <c r="CUY69"/>
      <c r="CUZ69"/>
      <c r="CVA69"/>
      <c r="CVB69"/>
      <c r="CVC69"/>
      <c r="CVD69"/>
      <c r="CVE69"/>
      <c r="CVF69"/>
      <c r="CVG69"/>
      <c r="CVH69"/>
      <c r="CVI69"/>
      <c r="CVJ69"/>
      <c r="CVK69"/>
      <c r="CVL69"/>
      <c r="CVM69"/>
      <c r="CVN69"/>
      <c r="CVO69"/>
      <c r="CVP69"/>
      <c r="CVQ69"/>
      <c r="CVR69"/>
      <c r="CVS69"/>
      <c r="CVT69"/>
      <c r="CVU69"/>
      <c r="CVV69"/>
      <c r="CVW69"/>
      <c r="CVX69"/>
      <c r="CVY69"/>
      <c r="CVZ69"/>
      <c r="CWA69"/>
      <c r="CWB69"/>
      <c r="CWC69"/>
      <c r="CWD69"/>
      <c r="CWE69"/>
      <c r="CWF69"/>
      <c r="CWG69"/>
      <c r="CWH69"/>
      <c r="CWI69"/>
      <c r="CWJ69"/>
      <c r="CWK69"/>
      <c r="CWL69"/>
      <c r="CWM69"/>
      <c r="CWN69"/>
      <c r="CWO69"/>
      <c r="CWP69"/>
      <c r="CWQ69"/>
      <c r="CWR69"/>
      <c r="CWS69"/>
      <c r="CWT69"/>
      <c r="CWU69"/>
      <c r="CWV69"/>
      <c r="CWW69"/>
      <c r="CWX69"/>
      <c r="CWY69"/>
      <c r="CWZ69"/>
      <c r="CXA69"/>
      <c r="CXB69"/>
      <c r="CXC69"/>
      <c r="CXD69"/>
      <c r="CXE69"/>
      <c r="CXF69"/>
      <c r="CXG69"/>
      <c r="CXH69"/>
      <c r="CXI69"/>
      <c r="CXJ69"/>
      <c r="CXK69"/>
      <c r="CXL69"/>
      <c r="CXM69"/>
      <c r="CXN69"/>
      <c r="CXO69"/>
      <c r="CXP69"/>
      <c r="CXQ69"/>
      <c r="CXR69"/>
      <c r="CXS69"/>
      <c r="CXT69"/>
      <c r="CXU69"/>
      <c r="CXV69"/>
      <c r="CXW69"/>
      <c r="CXX69"/>
      <c r="CXY69"/>
      <c r="CXZ69"/>
      <c r="CYA69"/>
      <c r="CYB69"/>
      <c r="CYC69"/>
      <c r="CYD69"/>
      <c r="CYE69"/>
      <c r="CYF69"/>
      <c r="CYG69"/>
      <c r="CYH69"/>
      <c r="CYI69"/>
      <c r="CYJ69"/>
      <c r="CYK69"/>
      <c r="CYL69"/>
      <c r="CYM69"/>
      <c r="CYN69"/>
      <c r="CYO69"/>
      <c r="CYP69"/>
      <c r="CYQ69"/>
      <c r="CYR69"/>
      <c r="CYS69"/>
      <c r="CYT69"/>
      <c r="CYU69"/>
      <c r="CYV69"/>
      <c r="CYW69"/>
      <c r="CYX69"/>
      <c r="CYY69"/>
      <c r="CYZ69"/>
      <c r="CZA69"/>
      <c r="CZB69"/>
      <c r="CZC69"/>
      <c r="CZD69"/>
      <c r="CZE69"/>
      <c r="CZF69"/>
      <c r="CZG69"/>
      <c r="CZH69"/>
      <c r="CZI69"/>
      <c r="CZJ69"/>
      <c r="CZK69"/>
      <c r="CZL69"/>
      <c r="CZM69"/>
      <c r="CZN69"/>
      <c r="CZO69"/>
      <c r="CZP69"/>
      <c r="CZQ69"/>
      <c r="CZR69"/>
      <c r="CZS69"/>
      <c r="CZT69"/>
      <c r="CZU69"/>
      <c r="CZV69"/>
      <c r="CZW69"/>
      <c r="CZX69"/>
      <c r="CZY69"/>
      <c r="CZZ69"/>
      <c r="DAA69"/>
      <c r="DAB69"/>
      <c r="DAC69"/>
      <c r="DAD69"/>
      <c r="DAE69"/>
      <c r="DAF69"/>
      <c r="DAG69"/>
      <c r="DAH69"/>
      <c r="DAI69"/>
      <c r="DAJ69"/>
      <c r="DAK69"/>
      <c r="DAL69"/>
      <c r="DAM69"/>
      <c r="DAN69"/>
      <c r="DAO69"/>
      <c r="DAP69"/>
      <c r="DAQ69"/>
      <c r="DAR69"/>
      <c r="DAS69"/>
      <c r="DAT69"/>
      <c r="DAU69"/>
      <c r="DAV69"/>
      <c r="DAW69"/>
      <c r="DAX69"/>
      <c r="DAY69"/>
      <c r="DAZ69"/>
      <c r="DBA69"/>
      <c r="DBB69"/>
      <c r="DBC69"/>
      <c r="DBD69"/>
      <c r="DBE69"/>
      <c r="DBF69"/>
      <c r="DBG69"/>
      <c r="DBH69"/>
      <c r="DBI69"/>
      <c r="DBJ69"/>
      <c r="DBK69"/>
      <c r="DBL69"/>
      <c r="DBM69"/>
      <c r="DBN69"/>
      <c r="DBO69"/>
      <c r="DBP69"/>
      <c r="DBQ69"/>
      <c r="DBR69"/>
      <c r="DBS69"/>
      <c r="DBT69"/>
      <c r="DBU69"/>
      <c r="DBV69"/>
      <c r="DBW69"/>
      <c r="DBX69"/>
      <c r="DBY69"/>
      <c r="DBZ69"/>
      <c r="DCA69"/>
      <c r="DCB69"/>
      <c r="DCC69"/>
      <c r="DCD69"/>
      <c r="DCE69"/>
      <c r="DCF69"/>
      <c r="DCG69"/>
      <c r="DCH69"/>
      <c r="DCI69"/>
      <c r="DCJ69"/>
      <c r="DCK69"/>
      <c r="DCL69"/>
      <c r="DCM69"/>
      <c r="DCN69"/>
      <c r="DCO69"/>
      <c r="DCP69"/>
      <c r="DCQ69"/>
      <c r="DCR69"/>
      <c r="DCS69"/>
      <c r="DCT69"/>
      <c r="DCU69"/>
      <c r="DCV69"/>
      <c r="DCW69"/>
      <c r="DCX69"/>
      <c r="DCY69"/>
      <c r="DCZ69"/>
      <c r="DDA69"/>
      <c r="DDB69"/>
      <c r="DDC69"/>
      <c r="DDD69"/>
      <c r="DDE69"/>
      <c r="DDF69"/>
      <c r="DDG69"/>
      <c r="DDH69"/>
      <c r="DDI69"/>
      <c r="DDJ69"/>
      <c r="DDK69"/>
      <c r="DDL69"/>
      <c r="DDM69"/>
      <c r="DDN69"/>
      <c r="DDO69"/>
      <c r="DDP69"/>
      <c r="DDQ69"/>
      <c r="DDR69"/>
      <c r="DDS69"/>
      <c r="DDT69"/>
      <c r="DDU69"/>
      <c r="DDV69"/>
      <c r="DDW69"/>
      <c r="DDX69"/>
      <c r="DDY69"/>
      <c r="DDZ69"/>
      <c r="DEA69"/>
      <c r="DEB69"/>
      <c r="DEC69"/>
      <c r="DED69"/>
      <c r="DEE69"/>
      <c r="DEF69"/>
      <c r="DEG69"/>
      <c r="DEH69"/>
      <c r="DEI69"/>
      <c r="DEJ69"/>
      <c r="DEK69"/>
      <c r="DEL69"/>
      <c r="DEM69"/>
      <c r="DEN69"/>
      <c r="DEO69"/>
      <c r="DEP69"/>
      <c r="DEQ69"/>
      <c r="DER69"/>
      <c r="DES69"/>
      <c r="DET69"/>
      <c r="DEU69"/>
      <c r="DEV69"/>
      <c r="DEW69"/>
      <c r="DEX69"/>
      <c r="DEY69"/>
      <c r="DEZ69"/>
      <c r="DFA69"/>
      <c r="DFB69"/>
      <c r="DFC69"/>
      <c r="DFD69"/>
      <c r="DFE69"/>
      <c r="DFF69"/>
      <c r="DFG69"/>
      <c r="DFH69"/>
      <c r="DFI69"/>
      <c r="DFJ69"/>
      <c r="DFK69"/>
      <c r="DFL69"/>
      <c r="DFM69"/>
      <c r="DFN69"/>
      <c r="DFO69"/>
      <c r="DFP69"/>
      <c r="DFQ69"/>
      <c r="DFR69"/>
      <c r="DFS69"/>
      <c r="DFT69"/>
      <c r="DFU69"/>
      <c r="DFV69"/>
      <c r="DFW69"/>
      <c r="DFX69"/>
      <c r="DFY69"/>
      <c r="DFZ69"/>
      <c r="DGA69"/>
      <c r="DGB69"/>
      <c r="DGC69"/>
      <c r="DGD69"/>
      <c r="DGE69"/>
      <c r="DGF69"/>
      <c r="DGG69"/>
      <c r="DGH69"/>
      <c r="DGI69"/>
      <c r="DGJ69"/>
      <c r="DGK69"/>
      <c r="DGL69"/>
      <c r="DGM69"/>
      <c r="DGN69"/>
      <c r="DGO69"/>
      <c r="DGP69"/>
      <c r="DGQ69"/>
      <c r="DGR69"/>
      <c r="DGS69"/>
      <c r="DGT69"/>
      <c r="DGU69"/>
      <c r="DGV69"/>
      <c r="DGW69"/>
      <c r="DGX69"/>
      <c r="DGY69"/>
      <c r="DGZ69"/>
      <c r="DHA69"/>
      <c r="DHB69"/>
      <c r="DHC69"/>
      <c r="DHD69"/>
      <c r="DHE69"/>
      <c r="DHF69"/>
      <c r="DHG69"/>
      <c r="DHH69"/>
      <c r="DHI69"/>
      <c r="DHJ69"/>
      <c r="DHK69"/>
      <c r="DHL69"/>
      <c r="DHM69"/>
      <c r="DHN69"/>
      <c r="DHO69"/>
      <c r="DHP69"/>
      <c r="DHQ69"/>
      <c r="DHR69"/>
      <c r="DHS69"/>
      <c r="DHT69"/>
      <c r="DHU69"/>
      <c r="DHV69"/>
      <c r="DHW69"/>
      <c r="DHX69"/>
      <c r="DHY69"/>
      <c r="DHZ69"/>
      <c r="DIA69"/>
      <c r="DIB69"/>
      <c r="DIC69"/>
      <c r="DID69"/>
      <c r="DIE69"/>
      <c r="DIF69"/>
      <c r="DIG69"/>
      <c r="DIH69"/>
      <c r="DII69"/>
      <c r="DIJ69"/>
      <c r="DIK69"/>
      <c r="DIL69"/>
      <c r="DIM69"/>
      <c r="DIN69"/>
      <c r="DIO69"/>
      <c r="DIP69"/>
      <c r="DIQ69"/>
      <c r="DIR69"/>
      <c r="DIS69"/>
      <c r="DIT69"/>
      <c r="DIU69"/>
      <c r="DIV69"/>
      <c r="DIW69"/>
      <c r="DIX69"/>
      <c r="DIY69"/>
      <c r="DIZ69"/>
      <c r="DJA69"/>
      <c r="DJB69"/>
      <c r="DJC69"/>
      <c r="DJD69"/>
      <c r="DJE69"/>
      <c r="DJF69"/>
      <c r="DJG69"/>
      <c r="DJH69"/>
      <c r="DJI69"/>
      <c r="DJJ69"/>
      <c r="DJK69"/>
      <c r="DJL69"/>
      <c r="DJM69"/>
      <c r="DJN69"/>
      <c r="DJO69"/>
      <c r="DJP69"/>
      <c r="DJQ69"/>
      <c r="DJR69"/>
      <c r="DJS69"/>
      <c r="DJT69"/>
      <c r="DJU69"/>
      <c r="DJV69"/>
      <c r="DJW69"/>
      <c r="DJX69"/>
      <c r="DJY69"/>
      <c r="DJZ69"/>
      <c r="DKA69"/>
      <c r="DKB69"/>
      <c r="DKC69"/>
      <c r="DKD69"/>
      <c r="DKE69"/>
      <c r="DKF69"/>
      <c r="DKG69"/>
      <c r="DKH69"/>
      <c r="DKI69"/>
      <c r="DKJ69"/>
      <c r="DKK69"/>
      <c r="DKL69"/>
      <c r="DKM69"/>
      <c r="DKN69"/>
      <c r="DKO69"/>
      <c r="DKP69"/>
      <c r="DKQ69"/>
      <c r="DKR69"/>
      <c r="DKS69"/>
      <c r="DKT69"/>
      <c r="DKU69"/>
      <c r="DKV69"/>
      <c r="DKW69"/>
      <c r="DKX69"/>
      <c r="DKY69"/>
      <c r="DKZ69"/>
      <c r="DLA69"/>
      <c r="DLB69"/>
      <c r="DLC69"/>
      <c r="DLD69"/>
      <c r="DLE69"/>
      <c r="DLF69"/>
      <c r="DLG69"/>
      <c r="DLH69"/>
      <c r="DLI69"/>
      <c r="DLJ69"/>
      <c r="DLK69"/>
      <c r="DLL69"/>
      <c r="DLM69"/>
      <c r="DLN69"/>
      <c r="DLO69"/>
      <c r="DLP69"/>
      <c r="DLQ69"/>
      <c r="DLR69"/>
      <c r="DLS69"/>
      <c r="DLT69"/>
      <c r="DLU69"/>
      <c r="DLV69"/>
      <c r="DLW69"/>
      <c r="DLX69"/>
      <c r="DLY69"/>
      <c r="DLZ69"/>
      <c r="DMA69"/>
      <c r="DMB69"/>
      <c r="DMC69"/>
      <c r="DMD69"/>
      <c r="DME69"/>
      <c r="DMF69"/>
      <c r="DMG69"/>
      <c r="DMH69"/>
      <c r="DMI69"/>
      <c r="DMJ69"/>
      <c r="DMK69"/>
      <c r="DML69"/>
      <c r="DMM69"/>
      <c r="DMN69"/>
      <c r="DMO69"/>
      <c r="DMP69"/>
      <c r="DMQ69"/>
      <c r="DMR69"/>
      <c r="DMS69"/>
      <c r="DMT69"/>
      <c r="DMU69"/>
      <c r="DMV69"/>
      <c r="DMW69"/>
      <c r="DMX69"/>
      <c r="DMY69"/>
      <c r="DMZ69"/>
      <c r="DNA69"/>
      <c r="DNB69"/>
      <c r="DNC69"/>
      <c r="DND69"/>
      <c r="DNE69"/>
      <c r="DNF69"/>
      <c r="DNG69"/>
      <c r="DNH69"/>
      <c r="DNI69"/>
      <c r="DNJ69"/>
      <c r="DNK69"/>
      <c r="DNL69"/>
      <c r="DNM69"/>
      <c r="DNN69"/>
      <c r="DNO69"/>
      <c r="DNP69"/>
      <c r="DNQ69"/>
      <c r="DNR69"/>
      <c r="DNS69"/>
      <c r="DNT69"/>
      <c r="DNU69"/>
      <c r="DNV69"/>
      <c r="DNW69"/>
      <c r="DNX69"/>
      <c r="DNY69"/>
      <c r="DNZ69"/>
      <c r="DOA69"/>
      <c r="DOB69"/>
      <c r="DOC69"/>
      <c r="DOD69"/>
      <c r="DOE69"/>
      <c r="DOF69"/>
      <c r="DOG69"/>
      <c r="DOH69"/>
      <c r="DOI69"/>
      <c r="DOJ69"/>
      <c r="DOK69"/>
      <c r="DOL69"/>
      <c r="DOM69"/>
      <c r="DON69"/>
      <c r="DOO69"/>
      <c r="DOP69"/>
      <c r="DOQ69"/>
      <c r="DOR69"/>
      <c r="DOS69"/>
      <c r="DOT69"/>
      <c r="DOU69"/>
      <c r="DOV69"/>
      <c r="DOW69"/>
      <c r="DOX69"/>
      <c r="DOY69"/>
      <c r="DOZ69"/>
      <c r="DPA69"/>
      <c r="DPB69"/>
      <c r="DPC69"/>
      <c r="DPD69"/>
      <c r="DPE69"/>
      <c r="DPF69"/>
      <c r="DPG69"/>
      <c r="DPH69"/>
      <c r="DPI69"/>
      <c r="DPJ69"/>
      <c r="DPK69"/>
      <c r="DPL69"/>
      <c r="DPM69"/>
      <c r="DPN69"/>
      <c r="DPO69"/>
      <c r="DPP69"/>
      <c r="DPQ69"/>
      <c r="DPR69"/>
      <c r="DPS69"/>
      <c r="DPT69"/>
      <c r="DPU69"/>
      <c r="DPV69"/>
      <c r="DPW69"/>
      <c r="DPX69"/>
      <c r="DPY69"/>
      <c r="DPZ69"/>
      <c r="DQA69"/>
      <c r="DQB69"/>
      <c r="DQC69"/>
      <c r="DQD69"/>
      <c r="DQE69"/>
      <c r="DQF69"/>
      <c r="DQG69"/>
      <c r="DQH69"/>
      <c r="DQI69"/>
      <c r="DQJ69"/>
      <c r="DQK69"/>
      <c r="DQL69"/>
      <c r="DQM69"/>
      <c r="DQN69"/>
      <c r="DQO69"/>
      <c r="DQP69"/>
      <c r="DQQ69"/>
      <c r="DQR69"/>
      <c r="DQS69"/>
      <c r="DQT69"/>
      <c r="DQU69"/>
      <c r="DQV69"/>
      <c r="DQW69"/>
      <c r="DQX69"/>
      <c r="DQY69"/>
      <c r="DQZ69"/>
      <c r="DRA69"/>
      <c r="DRB69"/>
      <c r="DRC69"/>
      <c r="DRD69"/>
      <c r="DRE69"/>
      <c r="DRF69"/>
      <c r="DRG69"/>
      <c r="DRH69"/>
      <c r="DRI69"/>
      <c r="DRJ69"/>
      <c r="DRK69"/>
      <c r="DRL69"/>
      <c r="DRM69"/>
      <c r="DRN69"/>
      <c r="DRO69"/>
      <c r="DRP69"/>
      <c r="DRQ69"/>
      <c r="DRR69"/>
      <c r="DRS69"/>
      <c r="DRT69"/>
      <c r="DRU69"/>
      <c r="DRV69"/>
      <c r="DRW69"/>
      <c r="DRX69"/>
      <c r="DRY69"/>
      <c r="DRZ69"/>
      <c r="DSA69"/>
      <c r="DSB69"/>
      <c r="DSC69"/>
      <c r="DSD69"/>
      <c r="DSE69"/>
      <c r="DSF69"/>
      <c r="DSG69"/>
      <c r="DSH69"/>
      <c r="DSI69"/>
      <c r="DSJ69"/>
      <c r="DSK69"/>
      <c r="DSL69"/>
      <c r="DSM69"/>
      <c r="DSN69"/>
      <c r="DSO69"/>
      <c r="DSP69"/>
      <c r="DSQ69"/>
      <c r="DSR69"/>
      <c r="DSS69"/>
      <c r="DST69"/>
      <c r="DSU69"/>
      <c r="DSV69"/>
      <c r="DSW69"/>
      <c r="DSX69"/>
      <c r="DSY69"/>
      <c r="DSZ69"/>
      <c r="DTA69"/>
      <c r="DTB69"/>
      <c r="DTC69"/>
      <c r="DTD69"/>
      <c r="DTE69"/>
      <c r="DTF69"/>
      <c r="DTG69"/>
      <c r="DTH69"/>
      <c r="DTI69"/>
      <c r="DTJ69"/>
      <c r="DTK69"/>
      <c r="DTL69"/>
      <c r="DTM69"/>
      <c r="DTN69"/>
      <c r="DTO69"/>
      <c r="DTP69"/>
      <c r="DTQ69"/>
      <c r="DTR69"/>
      <c r="DTS69"/>
      <c r="DTT69"/>
      <c r="DTU69"/>
      <c r="DTV69"/>
      <c r="DTW69"/>
      <c r="DTX69"/>
      <c r="DTY69"/>
      <c r="DTZ69"/>
      <c r="DUA69"/>
      <c r="DUB69"/>
      <c r="DUC69"/>
      <c r="DUD69"/>
      <c r="DUE69"/>
      <c r="DUF69"/>
      <c r="DUG69"/>
      <c r="DUH69"/>
      <c r="DUI69"/>
      <c r="DUJ69"/>
      <c r="DUK69"/>
      <c r="DUL69"/>
      <c r="DUM69"/>
      <c r="DUN69"/>
      <c r="DUO69"/>
      <c r="DUP69"/>
      <c r="DUQ69"/>
      <c r="DUR69"/>
      <c r="DUS69"/>
      <c r="DUT69"/>
      <c r="DUU69"/>
      <c r="DUV69"/>
      <c r="DUW69"/>
      <c r="DUX69"/>
      <c r="DUY69"/>
      <c r="DUZ69"/>
      <c r="DVA69"/>
      <c r="DVB69"/>
      <c r="DVC69"/>
      <c r="DVD69"/>
      <c r="DVE69"/>
      <c r="DVF69"/>
      <c r="DVG69"/>
      <c r="DVH69"/>
      <c r="DVI69"/>
      <c r="DVJ69"/>
      <c r="DVK69"/>
      <c r="DVL69"/>
      <c r="DVM69"/>
      <c r="DVN69"/>
      <c r="DVO69"/>
      <c r="DVP69"/>
      <c r="DVQ69"/>
      <c r="DVR69"/>
      <c r="DVS69"/>
      <c r="DVT69"/>
      <c r="DVU69"/>
      <c r="DVV69"/>
      <c r="DVW69"/>
      <c r="DVX69"/>
      <c r="DVY69"/>
      <c r="DVZ69"/>
      <c r="DWA69"/>
      <c r="DWB69"/>
      <c r="DWC69"/>
      <c r="DWD69"/>
      <c r="DWE69"/>
      <c r="DWF69"/>
      <c r="DWG69"/>
      <c r="DWH69"/>
      <c r="DWI69"/>
      <c r="DWJ69"/>
      <c r="DWK69"/>
      <c r="DWL69"/>
      <c r="DWM69"/>
      <c r="DWN69"/>
      <c r="DWO69"/>
      <c r="DWP69"/>
      <c r="DWQ69"/>
      <c r="DWR69"/>
      <c r="DWS69"/>
      <c r="DWT69"/>
      <c r="DWU69"/>
      <c r="DWV69"/>
      <c r="DWW69"/>
      <c r="DWX69"/>
      <c r="DWY69"/>
      <c r="DWZ69"/>
      <c r="DXA69"/>
      <c r="DXB69"/>
      <c r="DXC69"/>
      <c r="DXD69"/>
      <c r="DXE69"/>
      <c r="DXF69"/>
      <c r="DXG69"/>
      <c r="DXH69"/>
      <c r="DXI69"/>
      <c r="DXJ69"/>
      <c r="DXK69"/>
      <c r="DXL69"/>
      <c r="DXM69"/>
      <c r="DXN69"/>
      <c r="DXO69"/>
      <c r="DXP69"/>
      <c r="DXQ69"/>
      <c r="DXR69"/>
      <c r="DXS69"/>
      <c r="DXT69"/>
      <c r="DXU69"/>
      <c r="DXV69"/>
      <c r="DXW69"/>
      <c r="DXX69"/>
      <c r="DXY69"/>
      <c r="DXZ69"/>
      <c r="DYA69"/>
      <c r="DYB69"/>
      <c r="DYC69"/>
      <c r="DYD69"/>
      <c r="DYE69"/>
      <c r="DYF69"/>
      <c r="DYG69"/>
      <c r="DYH69"/>
      <c r="DYI69"/>
      <c r="DYJ69"/>
      <c r="DYK69"/>
      <c r="DYL69"/>
      <c r="DYM69"/>
      <c r="DYN69"/>
      <c r="DYO69"/>
      <c r="DYP69"/>
      <c r="DYQ69"/>
      <c r="DYR69"/>
      <c r="DYS69"/>
      <c r="DYT69"/>
      <c r="DYU69"/>
      <c r="DYV69"/>
      <c r="DYW69"/>
      <c r="DYX69"/>
      <c r="DYY69"/>
      <c r="DYZ69"/>
      <c r="DZA69"/>
      <c r="DZB69"/>
      <c r="DZC69"/>
      <c r="DZD69"/>
      <c r="DZE69"/>
      <c r="DZF69"/>
      <c r="DZG69"/>
      <c r="DZH69"/>
      <c r="DZI69"/>
      <c r="DZJ69"/>
      <c r="DZK69"/>
      <c r="DZL69"/>
      <c r="DZM69"/>
      <c r="DZN69"/>
      <c r="DZO69"/>
      <c r="DZP69"/>
      <c r="DZQ69"/>
      <c r="DZR69"/>
      <c r="DZS69"/>
      <c r="DZT69"/>
      <c r="DZU69"/>
      <c r="DZV69"/>
      <c r="DZW69"/>
      <c r="DZX69"/>
      <c r="DZY69"/>
      <c r="DZZ69"/>
      <c r="EAA69"/>
      <c r="EAB69"/>
      <c r="EAC69"/>
      <c r="EAD69"/>
      <c r="EAE69"/>
      <c r="EAF69"/>
      <c r="EAG69"/>
      <c r="EAH69"/>
      <c r="EAI69"/>
      <c r="EAJ69"/>
      <c r="EAK69"/>
      <c r="EAL69"/>
      <c r="EAM69"/>
      <c r="EAN69"/>
      <c r="EAO69"/>
      <c r="EAP69"/>
      <c r="EAQ69"/>
      <c r="EAR69"/>
      <c r="EAS69"/>
      <c r="EAT69"/>
      <c r="EAU69"/>
      <c r="EAV69"/>
      <c r="EAW69"/>
      <c r="EAX69"/>
      <c r="EAY69"/>
      <c r="EAZ69"/>
      <c r="EBA69"/>
      <c r="EBB69"/>
      <c r="EBC69"/>
      <c r="EBD69"/>
      <c r="EBE69"/>
      <c r="EBF69"/>
      <c r="EBG69"/>
      <c r="EBH69"/>
      <c r="EBI69"/>
      <c r="EBJ69"/>
      <c r="EBK69"/>
      <c r="EBL69"/>
      <c r="EBM69"/>
      <c r="EBN69"/>
      <c r="EBO69"/>
      <c r="EBP69"/>
      <c r="EBQ69"/>
      <c r="EBR69"/>
      <c r="EBS69"/>
      <c r="EBT69"/>
      <c r="EBU69"/>
      <c r="EBV69"/>
      <c r="EBW69"/>
      <c r="EBX69"/>
      <c r="EBY69"/>
      <c r="EBZ69"/>
      <c r="ECA69"/>
      <c r="ECB69"/>
      <c r="ECC69"/>
      <c r="ECD69"/>
      <c r="ECE69"/>
      <c r="ECF69"/>
      <c r="ECG69"/>
      <c r="ECH69"/>
      <c r="ECI69"/>
      <c r="ECJ69"/>
      <c r="ECK69"/>
      <c r="ECL69"/>
      <c r="ECM69"/>
      <c r="ECN69"/>
      <c r="ECO69"/>
      <c r="ECP69"/>
      <c r="ECQ69"/>
      <c r="ECR69"/>
      <c r="ECS69"/>
      <c r="ECT69"/>
      <c r="ECU69"/>
      <c r="ECV69"/>
      <c r="ECW69"/>
      <c r="ECX69"/>
      <c r="ECY69"/>
      <c r="ECZ69"/>
      <c r="EDA69"/>
      <c r="EDB69"/>
      <c r="EDC69"/>
      <c r="EDD69"/>
      <c r="EDE69"/>
      <c r="EDF69"/>
      <c r="EDG69"/>
      <c r="EDH69"/>
      <c r="EDI69"/>
      <c r="EDJ69"/>
      <c r="EDK69"/>
      <c r="EDL69"/>
      <c r="EDM69"/>
      <c r="EDN69"/>
      <c r="EDO69"/>
      <c r="EDP69"/>
      <c r="EDQ69"/>
      <c r="EDR69"/>
      <c r="EDS69"/>
      <c r="EDT69"/>
      <c r="EDU69"/>
      <c r="EDV69"/>
      <c r="EDW69"/>
      <c r="EDX69"/>
      <c r="EDY69"/>
      <c r="EDZ69"/>
      <c r="EEA69"/>
      <c r="EEB69"/>
      <c r="EEC69"/>
      <c r="EED69"/>
      <c r="EEE69"/>
      <c r="EEF69"/>
      <c r="EEG69"/>
      <c r="EEH69"/>
      <c r="EEI69"/>
      <c r="EEJ69"/>
      <c r="EEK69"/>
      <c r="EEL69"/>
      <c r="EEM69"/>
      <c r="EEN69"/>
      <c r="EEO69"/>
      <c r="EEP69"/>
      <c r="EEQ69"/>
      <c r="EER69"/>
      <c r="EES69"/>
      <c r="EET69"/>
      <c r="EEU69"/>
      <c r="EEV69"/>
      <c r="EEW69"/>
      <c r="EEX69"/>
      <c r="EEY69"/>
      <c r="EEZ69"/>
      <c r="EFA69"/>
      <c r="EFB69"/>
      <c r="EFC69"/>
      <c r="EFD69"/>
      <c r="EFE69"/>
      <c r="EFF69"/>
      <c r="EFG69"/>
      <c r="EFH69"/>
      <c r="EFI69"/>
      <c r="EFJ69"/>
      <c r="EFK69"/>
      <c r="EFL69"/>
      <c r="EFM69"/>
      <c r="EFN69"/>
      <c r="EFO69"/>
      <c r="EFP69"/>
      <c r="EFQ69"/>
      <c r="EFR69"/>
      <c r="EFS69"/>
      <c r="EFT69"/>
      <c r="EFU69"/>
      <c r="EFV69"/>
      <c r="EFW69"/>
      <c r="EFX69"/>
      <c r="EFY69"/>
      <c r="EFZ69"/>
      <c r="EGA69"/>
      <c r="EGB69"/>
      <c r="EGC69"/>
      <c r="EGD69"/>
      <c r="EGE69"/>
      <c r="EGF69"/>
      <c r="EGG69"/>
      <c r="EGH69"/>
      <c r="EGI69"/>
      <c r="EGJ69"/>
      <c r="EGK69"/>
      <c r="EGL69"/>
      <c r="EGM69"/>
      <c r="EGN69"/>
      <c r="EGO69"/>
      <c r="EGP69"/>
      <c r="EGQ69"/>
      <c r="EGR69"/>
      <c r="EGS69"/>
      <c r="EGT69"/>
      <c r="EGU69"/>
      <c r="EGV69"/>
      <c r="EGW69"/>
      <c r="EGX69"/>
      <c r="EGY69"/>
      <c r="EGZ69"/>
      <c r="EHA69"/>
      <c r="EHB69"/>
      <c r="EHC69"/>
      <c r="EHD69"/>
      <c r="EHE69"/>
      <c r="EHF69"/>
      <c r="EHG69"/>
      <c r="EHH69"/>
      <c r="EHI69"/>
      <c r="EHJ69"/>
      <c r="EHK69"/>
      <c r="EHL69"/>
      <c r="EHM69"/>
      <c r="EHN69"/>
      <c r="EHO69"/>
      <c r="EHP69"/>
      <c r="EHQ69"/>
      <c r="EHR69"/>
      <c r="EHS69"/>
      <c r="EHT69"/>
      <c r="EHU69"/>
      <c r="EHV69"/>
      <c r="EHW69"/>
      <c r="EHX69"/>
      <c r="EHY69"/>
      <c r="EHZ69"/>
      <c r="EIA69"/>
      <c r="EIB69"/>
      <c r="EIC69"/>
      <c r="EID69"/>
      <c r="EIE69"/>
      <c r="EIF69"/>
      <c r="EIG69"/>
      <c r="EIH69"/>
      <c r="EII69"/>
      <c r="EIJ69"/>
      <c r="EIK69"/>
      <c r="EIL69"/>
      <c r="EIM69"/>
      <c r="EIN69"/>
      <c r="EIO69"/>
      <c r="EIP69"/>
      <c r="EIQ69"/>
      <c r="EIR69"/>
      <c r="EIS69"/>
      <c r="EIT69"/>
      <c r="EIU69"/>
      <c r="EIV69"/>
      <c r="EIW69"/>
      <c r="EIX69"/>
      <c r="EIY69"/>
      <c r="EIZ69"/>
      <c r="EJA69"/>
      <c r="EJB69"/>
      <c r="EJC69"/>
      <c r="EJD69"/>
      <c r="EJE69"/>
      <c r="EJF69"/>
      <c r="EJG69"/>
      <c r="EJH69"/>
      <c r="EJI69"/>
      <c r="EJJ69"/>
      <c r="EJK69"/>
      <c r="EJL69"/>
      <c r="EJM69"/>
      <c r="EJN69"/>
      <c r="EJO69"/>
      <c r="EJP69"/>
      <c r="EJQ69"/>
      <c r="EJR69"/>
      <c r="EJS69"/>
      <c r="EJT69"/>
      <c r="EJU69"/>
      <c r="EJV69"/>
      <c r="EJW69"/>
      <c r="EJX69"/>
      <c r="EJY69"/>
      <c r="EJZ69"/>
      <c r="EKA69"/>
      <c r="EKB69"/>
      <c r="EKC69"/>
      <c r="EKD69"/>
      <c r="EKE69"/>
      <c r="EKF69"/>
      <c r="EKG69"/>
      <c r="EKH69"/>
      <c r="EKI69"/>
      <c r="EKJ69"/>
      <c r="EKK69"/>
      <c r="EKL69"/>
      <c r="EKM69"/>
      <c r="EKN69"/>
      <c r="EKO69"/>
      <c r="EKP69"/>
      <c r="EKQ69"/>
      <c r="EKR69"/>
      <c r="EKS69"/>
      <c r="EKT69"/>
      <c r="EKU69"/>
      <c r="EKV69"/>
      <c r="EKW69"/>
      <c r="EKX69"/>
      <c r="EKY69"/>
      <c r="EKZ69"/>
      <c r="ELA69"/>
      <c r="ELB69"/>
      <c r="ELC69"/>
      <c r="ELD69"/>
      <c r="ELE69"/>
      <c r="ELF69"/>
      <c r="ELG69"/>
      <c r="ELH69"/>
      <c r="ELI69"/>
      <c r="ELJ69"/>
      <c r="ELK69"/>
      <c r="ELL69"/>
      <c r="ELM69"/>
      <c r="ELN69"/>
      <c r="ELO69"/>
      <c r="ELP69"/>
      <c r="ELQ69"/>
      <c r="ELR69"/>
      <c r="ELS69"/>
      <c r="ELT69"/>
      <c r="ELU69"/>
      <c r="ELV69"/>
      <c r="ELW69"/>
      <c r="ELX69"/>
      <c r="ELY69"/>
      <c r="ELZ69"/>
      <c r="EMA69"/>
      <c r="EMB69"/>
      <c r="EMC69"/>
      <c r="EMD69"/>
      <c r="EME69"/>
      <c r="EMF69"/>
      <c r="EMG69"/>
      <c r="EMH69"/>
      <c r="EMI69"/>
      <c r="EMJ69"/>
      <c r="EMK69"/>
      <c r="EML69"/>
      <c r="EMM69"/>
      <c r="EMN69"/>
      <c r="EMO69"/>
      <c r="EMP69"/>
      <c r="EMQ69"/>
      <c r="EMR69"/>
      <c r="EMS69"/>
      <c r="EMT69"/>
      <c r="EMU69"/>
      <c r="EMV69"/>
      <c r="EMW69"/>
      <c r="EMX69"/>
      <c r="EMY69"/>
      <c r="EMZ69"/>
      <c r="ENA69"/>
      <c r="ENB69"/>
      <c r="ENC69"/>
      <c r="END69"/>
      <c r="ENE69"/>
      <c r="ENF69"/>
      <c r="ENG69"/>
      <c r="ENH69"/>
      <c r="ENI69"/>
      <c r="ENJ69"/>
      <c r="ENK69"/>
      <c r="ENL69"/>
      <c r="ENM69"/>
      <c r="ENN69"/>
      <c r="ENO69"/>
      <c r="ENP69"/>
      <c r="ENQ69"/>
      <c r="ENR69"/>
      <c r="ENS69"/>
      <c r="ENT69"/>
      <c r="ENU69"/>
      <c r="ENV69"/>
      <c r="ENW69"/>
      <c r="ENX69"/>
      <c r="ENY69"/>
      <c r="ENZ69"/>
      <c r="EOA69"/>
      <c r="EOB69"/>
      <c r="EOC69"/>
      <c r="EOD69"/>
      <c r="EOE69"/>
      <c r="EOF69"/>
      <c r="EOG69"/>
      <c r="EOH69"/>
      <c r="EOI69"/>
      <c r="EOJ69"/>
      <c r="EOK69"/>
      <c r="EOL69"/>
      <c r="EOM69"/>
      <c r="EON69"/>
      <c r="EOO69"/>
      <c r="EOP69"/>
      <c r="EOQ69"/>
      <c r="EOR69"/>
      <c r="EOS69"/>
      <c r="EOT69"/>
      <c r="EOU69"/>
      <c r="EOV69"/>
      <c r="EOW69"/>
      <c r="EOX69"/>
      <c r="EOY69"/>
      <c r="EOZ69"/>
      <c r="EPA69"/>
      <c r="EPB69"/>
      <c r="EPC69"/>
      <c r="EPD69"/>
      <c r="EPE69"/>
      <c r="EPF69"/>
      <c r="EPG69"/>
      <c r="EPH69"/>
      <c r="EPI69"/>
      <c r="EPJ69"/>
      <c r="EPK69"/>
      <c r="EPL69"/>
      <c r="EPM69"/>
      <c r="EPN69"/>
      <c r="EPO69"/>
      <c r="EPP69"/>
      <c r="EPQ69"/>
      <c r="EPR69"/>
      <c r="EPS69"/>
      <c r="EPT69"/>
      <c r="EPU69"/>
      <c r="EPV69"/>
      <c r="EPW69"/>
      <c r="EPX69"/>
      <c r="EPY69"/>
      <c r="EPZ69"/>
      <c r="EQA69"/>
      <c r="EQB69"/>
      <c r="EQC69"/>
      <c r="EQD69"/>
      <c r="EQE69"/>
      <c r="EQF69"/>
      <c r="EQG69"/>
      <c r="EQH69"/>
      <c r="EQI69"/>
      <c r="EQJ69"/>
      <c r="EQK69"/>
      <c r="EQL69"/>
      <c r="EQM69"/>
      <c r="EQN69"/>
      <c r="EQO69"/>
      <c r="EQP69"/>
      <c r="EQQ69"/>
      <c r="EQR69"/>
      <c r="EQS69"/>
      <c r="EQT69"/>
      <c r="EQU69"/>
      <c r="EQV69"/>
      <c r="EQW69"/>
      <c r="EQX69"/>
      <c r="EQY69"/>
      <c r="EQZ69"/>
      <c r="ERA69"/>
      <c r="ERB69"/>
      <c r="ERC69"/>
      <c r="ERD69"/>
      <c r="ERE69"/>
      <c r="ERF69"/>
      <c r="ERG69"/>
      <c r="ERH69"/>
      <c r="ERI69"/>
      <c r="ERJ69"/>
      <c r="ERK69"/>
      <c r="ERL69"/>
      <c r="ERM69"/>
      <c r="ERN69"/>
      <c r="ERO69"/>
      <c r="ERP69"/>
      <c r="ERQ69"/>
      <c r="ERR69"/>
      <c r="ERS69"/>
      <c r="ERT69"/>
      <c r="ERU69"/>
      <c r="ERV69"/>
      <c r="ERW69"/>
      <c r="ERX69"/>
      <c r="ERY69"/>
      <c r="ERZ69"/>
      <c r="ESA69"/>
      <c r="ESB69"/>
      <c r="ESC69"/>
      <c r="ESD69"/>
      <c r="ESE69"/>
      <c r="ESF69"/>
      <c r="ESG69"/>
      <c r="ESH69"/>
      <c r="ESI69"/>
      <c r="ESJ69"/>
      <c r="ESK69"/>
      <c r="ESL69"/>
      <c r="ESM69"/>
      <c r="ESN69"/>
      <c r="ESO69"/>
      <c r="ESP69"/>
      <c r="ESQ69"/>
      <c r="ESR69"/>
      <c r="ESS69"/>
      <c r="EST69"/>
      <c r="ESU69"/>
      <c r="ESV69"/>
      <c r="ESW69"/>
      <c r="ESX69"/>
      <c r="ESY69"/>
      <c r="ESZ69"/>
      <c r="ETA69"/>
      <c r="ETB69"/>
      <c r="ETC69"/>
      <c r="ETD69"/>
      <c r="ETE69"/>
      <c r="ETF69"/>
      <c r="ETG69"/>
      <c r="ETH69"/>
      <c r="ETI69"/>
      <c r="ETJ69"/>
      <c r="ETK69"/>
      <c r="ETL69"/>
      <c r="ETM69"/>
      <c r="ETN69"/>
      <c r="ETO69"/>
      <c r="ETP69"/>
      <c r="ETQ69"/>
      <c r="ETR69"/>
      <c r="ETS69"/>
      <c r="ETT69"/>
      <c r="ETU69"/>
      <c r="ETV69"/>
      <c r="ETW69"/>
      <c r="ETX69"/>
      <c r="ETY69"/>
      <c r="ETZ69"/>
      <c r="EUA69"/>
      <c r="EUB69"/>
      <c r="EUC69"/>
      <c r="EUD69"/>
      <c r="EUE69"/>
      <c r="EUF69"/>
      <c r="EUG69"/>
      <c r="EUH69"/>
      <c r="EUI69"/>
      <c r="EUJ69"/>
      <c r="EUK69"/>
      <c r="EUL69"/>
      <c r="EUM69"/>
      <c r="EUN69"/>
      <c r="EUO69"/>
      <c r="EUP69"/>
      <c r="EUQ69"/>
      <c r="EUR69"/>
      <c r="EUS69"/>
      <c r="EUT69"/>
      <c r="EUU69"/>
      <c r="EUV69"/>
      <c r="EUW69"/>
      <c r="EUX69"/>
      <c r="EUY69"/>
      <c r="EUZ69"/>
      <c r="EVA69"/>
      <c r="EVB69"/>
      <c r="EVC69"/>
      <c r="EVD69"/>
      <c r="EVE69"/>
      <c r="EVF69"/>
      <c r="EVG69"/>
      <c r="EVH69"/>
      <c r="EVI69"/>
      <c r="EVJ69"/>
      <c r="EVK69"/>
      <c r="EVL69"/>
      <c r="EVM69"/>
      <c r="EVN69"/>
      <c r="EVO69"/>
      <c r="EVP69"/>
      <c r="EVQ69"/>
      <c r="EVR69"/>
      <c r="EVS69"/>
      <c r="EVT69"/>
      <c r="EVU69"/>
      <c r="EVV69"/>
      <c r="EVW69"/>
      <c r="EVX69"/>
      <c r="EVY69"/>
      <c r="EVZ69"/>
      <c r="EWA69"/>
      <c r="EWB69"/>
      <c r="EWC69"/>
      <c r="EWD69"/>
      <c r="EWE69"/>
      <c r="EWF69"/>
      <c r="EWG69"/>
      <c r="EWH69"/>
      <c r="EWI69"/>
      <c r="EWJ69"/>
      <c r="EWK69"/>
      <c r="EWL69"/>
      <c r="EWM69"/>
      <c r="EWN69"/>
      <c r="EWO69"/>
      <c r="EWP69"/>
      <c r="EWQ69"/>
      <c r="EWR69"/>
      <c r="EWS69"/>
      <c r="EWT69"/>
      <c r="EWU69"/>
      <c r="EWV69"/>
      <c r="EWW69"/>
      <c r="EWX69"/>
      <c r="EWY69"/>
      <c r="EWZ69"/>
      <c r="EXA69"/>
      <c r="EXB69"/>
      <c r="EXC69"/>
      <c r="EXD69"/>
      <c r="EXE69"/>
      <c r="EXF69"/>
      <c r="EXG69"/>
      <c r="EXH69"/>
      <c r="EXI69"/>
      <c r="EXJ69"/>
      <c r="EXK69"/>
      <c r="EXL69"/>
      <c r="EXM69"/>
      <c r="EXN69"/>
      <c r="EXO69"/>
      <c r="EXP69"/>
      <c r="EXQ69"/>
      <c r="EXR69"/>
      <c r="EXS69"/>
      <c r="EXT69"/>
      <c r="EXU69"/>
      <c r="EXV69"/>
      <c r="EXW69"/>
      <c r="EXX69"/>
      <c r="EXY69"/>
      <c r="EXZ69"/>
      <c r="EYA69"/>
      <c r="EYB69"/>
      <c r="EYC69"/>
      <c r="EYD69"/>
      <c r="EYE69"/>
      <c r="EYF69"/>
      <c r="EYG69"/>
      <c r="EYH69"/>
      <c r="EYI69"/>
      <c r="EYJ69"/>
      <c r="EYK69"/>
      <c r="EYL69"/>
      <c r="EYM69"/>
      <c r="EYN69"/>
      <c r="EYO69"/>
      <c r="EYP69"/>
      <c r="EYQ69"/>
      <c r="EYR69"/>
      <c r="EYS69"/>
      <c r="EYT69"/>
      <c r="EYU69"/>
      <c r="EYV69"/>
      <c r="EYW69"/>
      <c r="EYX69"/>
      <c r="EYY69"/>
      <c r="EYZ69"/>
      <c r="EZA69"/>
      <c r="EZB69"/>
      <c r="EZC69"/>
      <c r="EZD69"/>
      <c r="EZE69"/>
      <c r="EZF69"/>
      <c r="EZG69"/>
      <c r="EZH69"/>
      <c r="EZI69"/>
      <c r="EZJ69"/>
      <c r="EZK69"/>
      <c r="EZL69"/>
      <c r="EZM69"/>
      <c r="EZN69"/>
      <c r="EZO69"/>
      <c r="EZP69"/>
      <c r="EZQ69"/>
      <c r="EZR69"/>
      <c r="EZS69"/>
      <c r="EZT69"/>
      <c r="EZU69"/>
      <c r="EZV69"/>
      <c r="EZW69"/>
      <c r="EZX69"/>
      <c r="EZY69"/>
      <c r="EZZ69"/>
      <c r="FAA69"/>
      <c r="FAB69"/>
      <c r="FAC69"/>
      <c r="FAD69"/>
      <c r="FAE69"/>
      <c r="FAF69"/>
      <c r="FAG69"/>
      <c r="FAH69"/>
      <c r="FAI69"/>
      <c r="FAJ69"/>
      <c r="FAK69"/>
      <c r="FAL69"/>
      <c r="FAM69"/>
      <c r="FAN69"/>
      <c r="FAO69"/>
      <c r="FAP69"/>
      <c r="FAQ69"/>
      <c r="FAR69"/>
      <c r="FAS69"/>
      <c r="FAT69"/>
      <c r="FAU69"/>
      <c r="FAV69"/>
      <c r="FAW69"/>
      <c r="FAX69"/>
      <c r="FAY69"/>
      <c r="FAZ69"/>
      <c r="FBA69"/>
      <c r="FBB69"/>
      <c r="FBC69"/>
      <c r="FBD69"/>
      <c r="FBE69"/>
      <c r="FBF69"/>
      <c r="FBG69"/>
      <c r="FBH69"/>
      <c r="FBI69"/>
      <c r="FBJ69"/>
      <c r="FBK69"/>
      <c r="FBL69"/>
      <c r="FBM69"/>
      <c r="FBN69"/>
      <c r="FBO69"/>
      <c r="FBP69"/>
      <c r="FBQ69"/>
      <c r="FBR69"/>
      <c r="FBS69"/>
      <c r="FBT69"/>
      <c r="FBU69"/>
      <c r="FBV69"/>
      <c r="FBW69"/>
      <c r="FBX69"/>
      <c r="FBY69"/>
      <c r="FBZ69"/>
      <c r="FCA69"/>
      <c r="FCB69"/>
      <c r="FCC69"/>
      <c r="FCD69"/>
      <c r="FCE69"/>
      <c r="FCF69"/>
      <c r="FCG69"/>
      <c r="FCH69"/>
      <c r="FCI69"/>
      <c r="FCJ69"/>
      <c r="FCK69"/>
      <c r="FCL69"/>
      <c r="FCM69"/>
      <c r="FCN69"/>
      <c r="FCO69"/>
      <c r="FCP69"/>
      <c r="FCQ69"/>
      <c r="FCR69"/>
      <c r="FCS69"/>
      <c r="FCT69"/>
      <c r="FCU69"/>
      <c r="FCV69"/>
      <c r="FCW69"/>
      <c r="FCX69"/>
      <c r="FCY69"/>
      <c r="FCZ69"/>
      <c r="FDA69"/>
      <c r="FDB69"/>
      <c r="FDC69"/>
      <c r="FDD69"/>
      <c r="FDE69"/>
      <c r="FDF69"/>
      <c r="FDG69"/>
      <c r="FDH69"/>
      <c r="FDI69"/>
      <c r="FDJ69"/>
      <c r="FDK69"/>
      <c r="FDL69"/>
      <c r="FDM69"/>
      <c r="FDN69"/>
      <c r="FDO69"/>
      <c r="FDP69"/>
      <c r="FDQ69"/>
      <c r="FDR69"/>
      <c r="FDS69"/>
      <c r="FDT69"/>
      <c r="FDU69"/>
      <c r="FDV69"/>
      <c r="FDW69"/>
      <c r="FDX69"/>
      <c r="FDY69"/>
      <c r="FDZ69"/>
      <c r="FEA69"/>
      <c r="FEB69"/>
      <c r="FEC69"/>
      <c r="FED69"/>
      <c r="FEE69"/>
      <c r="FEF69"/>
      <c r="FEG69"/>
      <c r="FEH69"/>
      <c r="FEI69"/>
      <c r="FEJ69"/>
      <c r="FEK69"/>
      <c r="FEL69"/>
      <c r="FEM69"/>
      <c r="FEN69"/>
      <c r="FEO69"/>
      <c r="FEP69"/>
      <c r="FEQ69"/>
      <c r="FER69"/>
      <c r="FES69"/>
      <c r="FET69"/>
      <c r="FEU69"/>
      <c r="FEV69"/>
      <c r="FEW69"/>
      <c r="FEX69"/>
      <c r="FEY69"/>
      <c r="FEZ69"/>
      <c r="FFA69"/>
      <c r="FFB69"/>
      <c r="FFC69"/>
      <c r="FFD69"/>
      <c r="FFE69"/>
      <c r="FFF69"/>
      <c r="FFG69"/>
      <c r="FFH69"/>
      <c r="FFI69"/>
      <c r="FFJ69"/>
      <c r="FFK69"/>
      <c r="FFL69"/>
      <c r="FFM69"/>
      <c r="FFN69"/>
      <c r="FFO69"/>
      <c r="FFP69"/>
      <c r="FFQ69"/>
      <c r="FFR69"/>
      <c r="FFS69"/>
      <c r="FFT69"/>
      <c r="FFU69"/>
      <c r="FFV69"/>
      <c r="FFW69"/>
      <c r="FFX69"/>
      <c r="FFY69"/>
      <c r="FFZ69"/>
      <c r="FGA69"/>
      <c r="FGB69"/>
      <c r="FGC69"/>
      <c r="FGD69"/>
      <c r="FGE69"/>
      <c r="FGF69"/>
      <c r="FGG69"/>
      <c r="FGH69"/>
      <c r="FGI69"/>
      <c r="FGJ69"/>
      <c r="FGK69"/>
      <c r="FGL69"/>
      <c r="FGM69"/>
      <c r="FGN69"/>
      <c r="FGO69"/>
      <c r="FGP69"/>
      <c r="FGQ69"/>
      <c r="FGR69"/>
      <c r="FGS69"/>
      <c r="FGT69"/>
      <c r="FGU69"/>
      <c r="FGV69"/>
      <c r="FGW69"/>
      <c r="FGX69"/>
      <c r="FGY69"/>
      <c r="FGZ69"/>
      <c r="FHA69"/>
      <c r="FHB69"/>
      <c r="FHC69"/>
      <c r="FHD69"/>
      <c r="FHE69"/>
      <c r="FHF69"/>
      <c r="FHG69"/>
      <c r="FHH69"/>
      <c r="FHI69"/>
      <c r="FHJ69"/>
      <c r="FHK69"/>
      <c r="FHL69"/>
      <c r="FHM69"/>
      <c r="FHN69"/>
      <c r="FHO69"/>
      <c r="FHP69"/>
      <c r="FHQ69"/>
      <c r="FHR69"/>
      <c r="FHS69"/>
      <c r="FHT69"/>
      <c r="FHU69"/>
      <c r="FHV69"/>
      <c r="FHW69"/>
      <c r="FHX69"/>
      <c r="FHY69"/>
      <c r="FHZ69"/>
      <c r="FIA69"/>
      <c r="FIB69"/>
      <c r="FIC69"/>
      <c r="FID69"/>
      <c r="FIE69"/>
      <c r="FIF69"/>
      <c r="FIG69"/>
      <c r="FIH69"/>
      <c r="FII69"/>
      <c r="FIJ69"/>
      <c r="FIK69"/>
      <c r="FIL69"/>
      <c r="FIM69"/>
      <c r="FIN69"/>
      <c r="FIO69"/>
      <c r="FIP69"/>
      <c r="FIQ69"/>
      <c r="FIR69"/>
      <c r="FIS69"/>
      <c r="FIT69"/>
      <c r="FIU69"/>
      <c r="FIV69"/>
      <c r="FIW69"/>
      <c r="FIX69"/>
      <c r="FIY69"/>
      <c r="FIZ69"/>
      <c r="FJA69"/>
      <c r="FJB69"/>
      <c r="FJC69"/>
      <c r="FJD69"/>
      <c r="FJE69"/>
      <c r="FJF69"/>
      <c r="FJG69"/>
      <c r="FJH69"/>
      <c r="FJI69"/>
      <c r="FJJ69"/>
      <c r="FJK69"/>
      <c r="FJL69"/>
      <c r="FJM69"/>
      <c r="FJN69"/>
      <c r="FJO69"/>
      <c r="FJP69"/>
      <c r="FJQ69"/>
      <c r="FJR69"/>
      <c r="FJS69"/>
      <c r="FJT69"/>
      <c r="FJU69"/>
      <c r="FJV69"/>
      <c r="FJW69"/>
      <c r="FJX69"/>
      <c r="FJY69"/>
      <c r="FJZ69"/>
      <c r="FKA69"/>
      <c r="FKB69"/>
      <c r="FKC69"/>
      <c r="FKD69"/>
      <c r="FKE69"/>
      <c r="FKF69"/>
      <c r="FKG69"/>
      <c r="FKH69"/>
      <c r="FKI69"/>
      <c r="FKJ69"/>
      <c r="FKK69"/>
      <c r="FKL69"/>
      <c r="FKM69"/>
      <c r="FKN69"/>
      <c r="FKO69"/>
      <c r="FKP69"/>
      <c r="FKQ69"/>
      <c r="FKR69"/>
      <c r="FKS69"/>
      <c r="FKT69"/>
      <c r="FKU69"/>
      <c r="FKV69"/>
      <c r="FKW69"/>
      <c r="FKX69"/>
      <c r="FKY69"/>
      <c r="FKZ69"/>
      <c r="FLA69"/>
      <c r="FLB69"/>
      <c r="FLC69"/>
      <c r="FLD69"/>
      <c r="FLE69"/>
      <c r="FLF69"/>
      <c r="FLG69"/>
      <c r="FLH69"/>
      <c r="FLI69"/>
      <c r="FLJ69"/>
      <c r="FLK69"/>
      <c r="FLL69"/>
      <c r="FLM69"/>
      <c r="FLN69"/>
      <c r="FLO69"/>
      <c r="FLP69"/>
      <c r="FLQ69"/>
      <c r="FLR69"/>
      <c r="FLS69"/>
      <c r="FLT69"/>
      <c r="FLU69"/>
      <c r="FLV69"/>
      <c r="FLW69"/>
      <c r="FLX69"/>
      <c r="FLY69"/>
      <c r="FLZ69"/>
      <c r="FMA69"/>
      <c r="FMB69"/>
      <c r="FMC69"/>
      <c r="FMD69"/>
      <c r="FME69"/>
      <c r="FMF69"/>
      <c r="FMG69"/>
      <c r="FMH69"/>
      <c r="FMI69"/>
      <c r="FMJ69"/>
      <c r="FMK69"/>
      <c r="FML69"/>
      <c r="FMM69"/>
      <c r="FMN69"/>
      <c r="FMO69"/>
      <c r="FMP69"/>
      <c r="FMQ69"/>
      <c r="FMR69"/>
      <c r="FMS69"/>
      <c r="FMT69"/>
      <c r="FMU69"/>
      <c r="FMV69"/>
      <c r="FMW69"/>
      <c r="FMX69"/>
      <c r="FMY69"/>
      <c r="FMZ69"/>
      <c r="FNA69"/>
      <c r="FNB69"/>
      <c r="FNC69"/>
      <c r="FND69"/>
      <c r="FNE69"/>
      <c r="FNF69"/>
      <c r="FNG69"/>
      <c r="FNH69"/>
      <c r="FNI69"/>
      <c r="FNJ69"/>
      <c r="FNK69"/>
      <c r="FNL69"/>
      <c r="FNM69"/>
      <c r="FNN69"/>
      <c r="FNO69"/>
      <c r="FNP69"/>
      <c r="FNQ69"/>
      <c r="FNR69"/>
      <c r="FNS69"/>
      <c r="FNT69"/>
      <c r="FNU69"/>
      <c r="FNV69"/>
      <c r="FNW69"/>
      <c r="FNX69"/>
      <c r="FNY69"/>
      <c r="FNZ69"/>
      <c r="FOA69"/>
      <c r="FOB69"/>
      <c r="FOC69"/>
      <c r="FOD69"/>
      <c r="FOE69"/>
      <c r="FOF69"/>
      <c r="FOG69"/>
      <c r="FOH69"/>
      <c r="FOI69"/>
      <c r="FOJ69"/>
      <c r="FOK69"/>
      <c r="FOL69"/>
      <c r="FOM69"/>
      <c r="FON69"/>
      <c r="FOO69"/>
      <c r="FOP69"/>
      <c r="FOQ69"/>
      <c r="FOR69"/>
      <c r="FOS69"/>
      <c r="FOT69"/>
      <c r="FOU69"/>
      <c r="FOV69"/>
      <c r="FOW69"/>
      <c r="FOX69"/>
      <c r="FOY69"/>
      <c r="FOZ69"/>
      <c r="FPA69"/>
      <c r="FPB69"/>
      <c r="FPC69"/>
      <c r="FPD69"/>
      <c r="FPE69"/>
      <c r="FPF69"/>
      <c r="FPG69"/>
      <c r="FPH69"/>
      <c r="FPI69"/>
      <c r="FPJ69"/>
      <c r="FPK69"/>
      <c r="FPL69"/>
      <c r="FPM69"/>
      <c r="FPN69"/>
      <c r="FPO69"/>
      <c r="FPP69"/>
      <c r="FPQ69"/>
      <c r="FPR69"/>
      <c r="FPS69"/>
      <c r="FPT69"/>
      <c r="FPU69"/>
      <c r="FPV69"/>
      <c r="FPW69"/>
      <c r="FPX69"/>
      <c r="FPY69"/>
      <c r="FPZ69"/>
      <c r="FQA69"/>
      <c r="FQB69"/>
      <c r="FQC69"/>
      <c r="FQD69"/>
      <c r="FQE69"/>
      <c r="FQF69"/>
      <c r="FQG69"/>
      <c r="FQH69"/>
      <c r="FQI69"/>
      <c r="FQJ69"/>
      <c r="FQK69"/>
      <c r="FQL69"/>
      <c r="FQM69"/>
      <c r="FQN69"/>
      <c r="FQO69"/>
      <c r="FQP69"/>
      <c r="FQQ69"/>
      <c r="FQR69"/>
      <c r="FQS69"/>
      <c r="FQT69"/>
      <c r="FQU69"/>
      <c r="FQV69"/>
      <c r="FQW69"/>
      <c r="FQX69"/>
      <c r="FQY69"/>
      <c r="FQZ69"/>
      <c r="FRA69"/>
      <c r="FRB69"/>
      <c r="FRC69"/>
      <c r="FRD69"/>
      <c r="FRE69"/>
      <c r="FRF69"/>
      <c r="FRG69"/>
      <c r="FRH69"/>
      <c r="FRI69"/>
      <c r="FRJ69"/>
      <c r="FRK69"/>
      <c r="FRL69"/>
      <c r="FRM69"/>
      <c r="FRN69"/>
      <c r="FRO69"/>
      <c r="FRP69"/>
      <c r="FRQ69"/>
      <c r="FRR69"/>
      <c r="FRS69"/>
      <c r="FRT69"/>
      <c r="FRU69"/>
      <c r="FRV69"/>
      <c r="FRW69"/>
      <c r="FRX69"/>
      <c r="FRY69"/>
      <c r="FRZ69"/>
      <c r="FSA69"/>
      <c r="FSB69"/>
      <c r="FSC69"/>
      <c r="FSD69"/>
      <c r="FSE69"/>
      <c r="FSF69"/>
      <c r="FSG69"/>
      <c r="FSH69"/>
      <c r="FSI69"/>
      <c r="FSJ69"/>
      <c r="FSK69"/>
      <c r="FSL69"/>
      <c r="FSM69"/>
      <c r="FSN69"/>
      <c r="FSO69"/>
      <c r="FSP69"/>
      <c r="FSQ69"/>
      <c r="FSR69"/>
      <c r="FSS69"/>
      <c r="FST69"/>
      <c r="FSU69"/>
      <c r="FSV69"/>
      <c r="FSW69"/>
      <c r="FSX69"/>
      <c r="FSY69"/>
      <c r="FSZ69"/>
      <c r="FTA69"/>
      <c r="FTB69"/>
      <c r="FTC69"/>
      <c r="FTD69"/>
      <c r="FTE69"/>
      <c r="FTF69"/>
      <c r="FTG69"/>
      <c r="FTH69"/>
      <c r="FTI69"/>
      <c r="FTJ69"/>
      <c r="FTK69"/>
      <c r="FTL69"/>
      <c r="FTM69"/>
      <c r="FTN69"/>
      <c r="FTO69"/>
      <c r="FTP69"/>
      <c r="FTQ69"/>
      <c r="FTR69"/>
      <c r="FTS69"/>
      <c r="FTT69"/>
      <c r="FTU69"/>
      <c r="FTV69"/>
      <c r="FTW69"/>
      <c r="FTX69"/>
      <c r="FTY69"/>
      <c r="FTZ69"/>
      <c r="FUA69"/>
      <c r="FUB69"/>
      <c r="FUC69"/>
      <c r="FUD69"/>
      <c r="FUE69"/>
      <c r="FUF69"/>
      <c r="FUG69"/>
      <c r="FUH69"/>
      <c r="FUI69"/>
      <c r="FUJ69"/>
      <c r="FUK69"/>
      <c r="FUL69"/>
      <c r="FUM69"/>
      <c r="FUN69"/>
      <c r="FUO69"/>
      <c r="FUP69"/>
      <c r="FUQ69"/>
      <c r="FUR69"/>
      <c r="FUS69"/>
      <c r="FUT69"/>
      <c r="FUU69"/>
      <c r="FUV69"/>
      <c r="FUW69"/>
      <c r="FUX69"/>
      <c r="FUY69"/>
      <c r="FUZ69"/>
      <c r="FVA69"/>
      <c r="FVB69"/>
      <c r="FVC69"/>
      <c r="FVD69"/>
      <c r="FVE69"/>
      <c r="FVF69"/>
      <c r="FVG69"/>
      <c r="FVH69"/>
      <c r="FVI69"/>
      <c r="FVJ69"/>
      <c r="FVK69"/>
      <c r="FVL69"/>
      <c r="FVM69"/>
      <c r="FVN69"/>
      <c r="FVO69"/>
      <c r="FVP69"/>
      <c r="FVQ69"/>
      <c r="FVR69"/>
      <c r="FVS69"/>
      <c r="FVT69"/>
      <c r="FVU69"/>
      <c r="FVV69"/>
      <c r="FVW69"/>
      <c r="FVX69"/>
      <c r="FVY69"/>
      <c r="FVZ69"/>
      <c r="FWA69"/>
      <c r="FWB69"/>
      <c r="FWC69"/>
      <c r="FWD69"/>
      <c r="FWE69"/>
      <c r="FWF69"/>
      <c r="FWG69"/>
      <c r="FWH69"/>
      <c r="FWI69"/>
      <c r="FWJ69"/>
      <c r="FWK69"/>
      <c r="FWL69"/>
      <c r="FWM69"/>
      <c r="FWN69"/>
      <c r="FWO69"/>
      <c r="FWP69"/>
      <c r="FWQ69"/>
      <c r="FWR69"/>
      <c r="FWS69"/>
      <c r="FWT69"/>
      <c r="FWU69"/>
      <c r="FWV69"/>
      <c r="FWW69"/>
      <c r="FWX69"/>
      <c r="FWY69"/>
      <c r="FWZ69"/>
      <c r="FXA69"/>
      <c r="FXB69"/>
      <c r="FXC69"/>
      <c r="FXD69"/>
      <c r="FXE69"/>
      <c r="FXF69"/>
      <c r="FXG69"/>
      <c r="FXH69"/>
      <c r="FXI69"/>
      <c r="FXJ69"/>
      <c r="FXK69"/>
      <c r="FXL69"/>
      <c r="FXM69"/>
      <c r="FXN69"/>
      <c r="FXO69"/>
      <c r="FXP69"/>
      <c r="FXQ69"/>
      <c r="FXR69"/>
      <c r="FXS69"/>
      <c r="FXT69"/>
      <c r="FXU69"/>
      <c r="FXV69"/>
      <c r="FXW69"/>
      <c r="FXX69"/>
      <c r="FXY69"/>
      <c r="FXZ69"/>
      <c r="FYA69"/>
      <c r="FYB69"/>
      <c r="FYC69"/>
      <c r="FYD69"/>
      <c r="FYE69"/>
      <c r="FYF69"/>
      <c r="FYG69"/>
      <c r="FYH69"/>
      <c r="FYI69"/>
      <c r="FYJ69"/>
      <c r="FYK69"/>
      <c r="FYL69"/>
      <c r="FYM69"/>
      <c r="FYN69"/>
      <c r="FYO69"/>
      <c r="FYP69"/>
      <c r="FYQ69"/>
      <c r="FYR69"/>
      <c r="FYS69"/>
      <c r="FYT69"/>
      <c r="FYU69"/>
      <c r="FYV69"/>
      <c r="FYW69"/>
      <c r="FYX69"/>
      <c r="FYY69"/>
      <c r="FYZ69"/>
      <c r="FZA69"/>
      <c r="FZB69"/>
      <c r="FZC69"/>
      <c r="FZD69"/>
      <c r="FZE69"/>
      <c r="FZF69"/>
      <c r="FZG69"/>
      <c r="FZH69"/>
      <c r="FZI69"/>
      <c r="FZJ69"/>
      <c r="FZK69"/>
      <c r="FZL69"/>
      <c r="FZM69"/>
      <c r="FZN69"/>
      <c r="FZO69"/>
      <c r="FZP69"/>
      <c r="FZQ69"/>
      <c r="FZR69"/>
      <c r="FZS69"/>
      <c r="FZT69"/>
      <c r="FZU69"/>
      <c r="FZV69"/>
      <c r="FZW69"/>
      <c r="FZX69"/>
      <c r="FZY69"/>
      <c r="FZZ69"/>
      <c r="GAA69"/>
      <c r="GAB69"/>
      <c r="GAC69"/>
      <c r="GAD69"/>
      <c r="GAE69"/>
      <c r="GAF69"/>
      <c r="GAG69"/>
      <c r="GAH69"/>
      <c r="GAI69"/>
      <c r="GAJ69"/>
      <c r="GAK69"/>
      <c r="GAL69"/>
      <c r="GAM69"/>
      <c r="GAN69"/>
      <c r="GAO69"/>
      <c r="GAP69"/>
      <c r="GAQ69"/>
      <c r="GAR69"/>
      <c r="GAS69"/>
      <c r="GAT69"/>
      <c r="GAU69"/>
      <c r="GAV69"/>
      <c r="GAW69"/>
      <c r="GAX69"/>
      <c r="GAY69"/>
      <c r="GAZ69"/>
      <c r="GBA69"/>
      <c r="GBB69"/>
      <c r="GBC69"/>
      <c r="GBD69"/>
      <c r="GBE69"/>
      <c r="GBF69"/>
      <c r="GBG69"/>
      <c r="GBH69"/>
      <c r="GBI69"/>
      <c r="GBJ69"/>
      <c r="GBK69"/>
      <c r="GBL69"/>
      <c r="GBM69"/>
      <c r="GBN69"/>
      <c r="GBO69"/>
      <c r="GBP69"/>
      <c r="GBQ69"/>
      <c r="GBR69"/>
      <c r="GBS69"/>
      <c r="GBT69"/>
      <c r="GBU69"/>
      <c r="GBV69"/>
      <c r="GBW69"/>
      <c r="GBX69"/>
      <c r="GBY69"/>
      <c r="GBZ69"/>
      <c r="GCA69"/>
      <c r="GCB69"/>
      <c r="GCC69"/>
      <c r="GCD69"/>
      <c r="GCE69"/>
      <c r="GCF69"/>
      <c r="GCG69"/>
      <c r="GCH69"/>
      <c r="GCI69"/>
      <c r="GCJ69"/>
      <c r="GCK69"/>
      <c r="GCL69"/>
      <c r="GCM69"/>
      <c r="GCN69"/>
      <c r="GCO69"/>
      <c r="GCP69"/>
      <c r="GCQ69"/>
      <c r="GCR69"/>
      <c r="GCS69"/>
      <c r="GCT69"/>
      <c r="GCU69"/>
      <c r="GCV69"/>
      <c r="GCW69"/>
      <c r="GCX69"/>
      <c r="GCY69"/>
      <c r="GCZ69"/>
      <c r="GDA69"/>
      <c r="GDB69"/>
      <c r="GDC69"/>
      <c r="GDD69"/>
      <c r="GDE69"/>
      <c r="GDF69"/>
      <c r="GDG69"/>
      <c r="GDH69"/>
      <c r="GDI69"/>
      <c r="GDJ69"/>
      <c r="GDK69"/>
      <c r="GDL69"/>
      <c r="GDM69"/>
      <c r="GDN69"/>
      <c r="GDO69"/>
      <c r="GDP69"/>
      <c r="GDQ69"/>
      <c r="GDR69"/>
      <c r="GDS69"/>
      <c r="GDT69"/>
      <c r="GDU69"/>
      <c r="GDV69"/>
      <c r="GDW69"/>
      <c r="GDX69"/>
      <c r="GDY69"/>
      <c r="GDZ69"/>
      <c r="GEA69"/>
      <c r="GEB69"/>
      <c r="GEC69"/>
      <c r="GED69"/>
      <c r="GEE69"/>
      <c r="GEF69"/>
      <c r="GEG69"/>
      <c r="GEH69"/>
      <c r="GEI69"/>
      <c r="GEJ69"/>
      <c r="GEK69"/>
      <c r="GEL69"/>
      <c r="GEM69"/>
      <c r="GEN69"/>
      <c r="GEO69"/>
      <c r="GEP69"/>
      <c r="GEQ69"/>
      <c r="GER69"/>
      <c r="GES69"/>
      <c r="GET69"/>
      <c r="GEU69"/>
      <c r="GEV69"/>
      <c r="GEW69"/>
      <c r="GEX69"/>
      <c r="GEY69"/>
      <c r="GEZ69"/>
      <c r="GFA69"/>
      <c r="GFB69"/>
      <c r="GFC69"/>
      <c r="GFD69"/>
      <c r="GFE69"/>
      <c r="GFF69"/>
      <c r="GFG69"/>
      <c r="GFH69"/>
      <c r="GFI69"/>
      <c r="GFJ69"/>
      <c r="GFK69"/>
      <c r="GFL69"/>
      <c r="GFM69"/>
      <c r="GFN69"/>
      <c r="GFO69"/>
      <c r="GFP69"/>
      <c r="GFQ69"/>
      <c r="GFR69"/>
      <c r="GFS69"/>
      <c r="GFT69"/>
      <c r="GFU69"/>
      <c r="GFV69"/>
      <c r="GFW69"/>
      <c r="GFX69"/>
      <c r="GFY69"/>
      <c r="GFZ69"/>
      <c r="GGA69"/>
      <c r="GGB69"/>
      <c r="GGC69"/>
      <c r="GGD69"/>
      <c r="GGE69"/>
      <c r="GGF69"/>
      <c r="GGG69"/>
      <c r="GGH69"/>
      <c r="GGI69"/>
      <c r="GGJ69"/>
      <c r="GGK69"/>
      <c r="GGL69"/>
      <c r="GGM69"/>
      <c r="GGN69"/>
      <c r="GGO69"/>
      <c r="GGP69"/>
      <c r="GGQ69"/>
      <c r="GGR69"/>
      <c r="GGS69"/>
      <c r="GGT69"/>
      <c r="GGU69"/>
      <c r="GGV69"/>
      <c r="GGW69"/>
      <c r="GGX69"/>
      <c r="GGY69"/>
      <c r="GGZ69"/>
      <c r="GHA69"/>
      <c r="GHB69"/>
      <c r="GHC69"/>
      <c r="GHD69"/>
      <c r="GHE69"/>
      <c r="GHF69"/>
      <c r="GHG69"/>
      <c r="GHH69"/>
      <c r="GHI69"/>
      <c r="GHJ69"/>
      <c r="GHK69"/>
      <c r="GHL69"/>
      <c r="GHM69"/>
      <c r="GHN69"/>
      <c r="GHO69"/>
      <c r="GHP69"/>
      <c r="GHQ69"/>
      <c r="GHR69"/>
      <c r="GHS69"/>
      <c r="GHT69"/>
      <c r="GHU69"/>
      <c r="GHV69"/>
      <c r="GHW69"/>
      <c r="GHX69"/>
      <c r="GHY69"/>
      <c r="GHZ69"/>
      <c r="GIA69"/>
      <c r="GIB69"/>
      <c r="GIC69"/>
      <c r="GID69"/>
      <c r="GIE69"/>
      <c r="GIF69"/>
      <c r="GIG69"/>
      <c r="GIH69"/>
      <c r="GII69"/>
      <c r="GIJ69"/>
      <c r="GIK69"/>
      <c r="GIL69"/>
      <c r="GIM69"/>
      <c r="GIN69"/>
      <c r="GIO69"/>
      <c r="GIP69"/>
      <c r="GIQ69"/>
      <c r="GIR69"/>
      <c r="GIS69"/>
      <c r="GIT69"/>
      <c r="GIU69"/>
      <c r="GIV69"/>
      <c r="GIW69"/>
      <c r="GIX69"/>
      <c r="GIY69"/>
      <c r="GIZ69"/>
      <c r="GJA69"/>
      <c r="GJB69"/>
      <c r="GJC69"/>
      <c r="GJD69"/>
      <c r="GJE69"/>
      <c r="GJF69"/>
      <c r="GJG69"/>
      <c r="GJH69"/>
      <c r="GJI69"/>
      <c r="GJJ69"/>
      <c r="GJK69"/>
      <c r="GJL69"/>
      <c r="GJM69"/>
      <c r="GJN69"/>
      <c r="GJO69"/>
      <c r="GJP69"/>
      <c r="GJQ69"/>
      <c r="GJR69"/>
      <c r="GJS69"/>
      <c r="GJT69"/>
      <c r="GJU69"/>
      <c r="GJV69"/>
      <c r="GJW69"/>
      <c r="GJX69"/>
      <c r="GJY69"/>
      <c r="GJZ69"/>
      <c r="GKA69"/>
      <c r="GKB69"/>
      <c r="GKC69"/>
      <c r="GKD69"/>
      <c r="GKE69"/>
      <c r="GKF69"/>
      <c r="GKG69"/>
      <c r="GKH69"/>
      <c r="GKI69"/>
      <c r="GKJ69"/>
      <c r="GKK69"/>
      <c r="GKL69"/>
      <c r="GKM69"/>
      <c r="GKN69"/>
      <c r="GKO69"/>
      <c r="GKP69"/>
      <c r="GKQ69"/>
      <c r="GKR69"/>
      <c r="GKS69"/>
      <c r="GKT69"/>
      <c r="GKU69"/>
      <c r="GKV69"/>
      <c r="GKW69"/>
      <c r="GKX69"/>
      <c r="GKY69"/>
      <c r="GKZ69"/>
      <c r="GLA69"/>
      <c r="GLB69"/>
      <c r="GLC69"/>
      <c r="GLD69"/>
      <c r="GLE69"/>
      <c r="GLF69"/>
      <c r="GLG69"/>
      <c r="GLH69"/>
      <c r="GLI69"/>
      <c r="GLJ69"/>
      <c r="GLK69"/>
      <c r="GLL69"/>
      <c r="GLM69"/>
      <c r="GLN69"/>
      <c r="GLO69"/>
      <c r="GLP69"/>
      <c r="GLQ69"/>
      <c r="GLR69"/>
      <c r="GLS69"/>
      <c r="GLT69"/>
      <c r="GLU69"/>
      <c r="GLV69"/>
      <c r="GLW69"/>
      <c r="GLX69"/>
      <c r="GLY69"/>
      <c r="GLZ69"/>
      <c r="GMA69"/>
      <c r="GMB69"/>
      <c r="GMC69"/>
      <c r="GMD69"/>
      <c r="GME69"/>
      <c r="GMF69"/>
      <c r="GMG69"/>
      <c r="GMH69"/>
      <c r="GMI69"/>
      <c r="GMJ69"/>
      <c r="GMK69"/>
      <c r="GML69"/>
      <c r="GMM69"/>
      <c r="GMN69"/>
      <c r="GMO69"/>
      <c r="GMP69"/>
      <c r="GMQ69"/>
      <c r="GMR69"/>
      <c r="GMS69"/>
      <c r="GMT69"/>
      <c r="GMU69"/>
      <c r="GMV69"/>
      <c r="GMW69"/>
      <c r="GMX69"/>
      <c r="GMY69"/>
      <c r="GMZ69"/>
      <c r="GNA69"/>
      <c r="GNB69"/>
      <c r="GNC69"/>
      <c r="GND69"/>
      <c r="GNE69"/>
      <c r="GNF69"/>
      <c r="GNG69"/>
      <c r="GNH69"/>
      <c r="GNI69"/>
      <c r="GNJ69"/>
      <c r="GNK69"/>
      <c r="GNL69"/>
      <c r="GNM69"/>
      <c r="GNN69"/>
      <c r="GNO69"/>
      <c r="GNP69"/>
      <c r="GNQ69"/>
      <c r="GNR69"/>
      <c r="GNS69"/>
      <c r="GNT69"/>
      <c r="GNU69"/>
      <c r="GNV69"/>
      <c r="GNW69"/>
      <c r="GNX69"/>
      <c r="GNY69"/>
      <c r="GNZ69"/>
      <c r="GOA69"/>
      <c r="GOB69"/>
      <c r="GOC69"/>
      <c r="GOD69"/>
      <c r="GOE69"/>
      <c r="GOF69"/>
      <c r="GOG69"/>
      <c r="GOH69"/>
      <c r="GOI69"/>
      <c r="GOJ69"/>
      <c r="GOK69"/>
      <c r="GOL69"/>
      <c r="GOM69"/>
      <c r="GON69"/>
      <c r="GOO69"/>
      <c r="GOP69"/>
      <c r="GOQ69"/>
      <c r="GOR69"/>
      <c r="GOS69"/>
      <c r="GOT69"/>
      <c r="GOU69"/>
      <c r="GOV69"/>
      <c r="GOW69"/>
      <c r="GOX69"/>
      <c r="GOY69"/>
      <c r="GOZ69"/>
      <c r="GPA69"/>
      <c r="GPB69"/>
      <c r="GPC69"/>
      <c r="GPD69"/>
      <c r="GPE69"/>
      <c r="GPF69"/>
      <c r="GPG69"/>
      <c r="GPH69"/>
      <c r="GPI69"/>
      <c r="GPJ69"/>
      <c r="GPK69"/>
      <c r="GPL69"/>
      <c r="GPM69"/>
      <c r="GPN69"/>
      <c r="GPO69"/>
      <c r="GPP69"/>
      <c r="GPQ69"/>
      <c r="GPR69"/>
      <c r="GPS69"/>
      <c r="GPT69"/>
      <c r="GPU69"/>
      <c r="GPV69"/>
      <c r="GPW69"/>
      <c r="GPX69"/>
      <c r="GPY69"/>
      <c r="GPZ69"/>
      <c r="GQA69"/>
      <c r="GQB69"/>
      <c r="GQC69"/>
      <c r="GQD69"/>
      <c r="GQE69"/>
      <c r="GQF69"/>
      <c r="GQG69"/>
      <c r="GQH69"/>
      <c r="GQI69"/>
      <c r="GQJ69"/>
      <c r="GQK69"/>
      <c r="GQL69"/>
      <c r="GQM69"/>
      <c r="GQN69"/>
      <c r="GQO69"/>
      <c r="GQP69"/>
      <c r="GQQ69"/>
      <c r="GQR69"/>
      <c r="GQS69"/>
      <c r="GQT69"/>
      <c r="GQU69"/>
      <c r="GQV69"/>
      <c r="GQW69"/>
      <c r="GQX69"/>
      <c r="GQY69"/>
      <c r="GQZ69"/>
      <c r="GRA69"/>
      <c r="GRB69"/>
      <c r="GRC69"/>
      <c r="GRD69"/>
      <c r="GRE69"/>
      <c r="GRF69"/>
      <c r="GRG69"/>
      <c r="GRH69"/>
      <c r="GRI69"/>
      <c r="GRJ69"/>
      <c r="GRK69"/>
      <c r="GRL69"/>
      <c r="GRM69"/>
      <c r="GRN69"/>
      <c r="GRO69"/>
      <c r="GRP69"/>
      <c r="GRQ69"/>
      <c r="GRR69"/>
      <c r="GRS69"/>
      <c r="GRT69"/>
      <c r="GRU69"/>
      <c r="GRV69"/>
      <c r="GRW69"/>
      <c r="GRX69"/>
      <c r="GRY69"/>
      <c r="GRZ69"/>
      <c r="GSA69"/>
      <c r="GSB69"/>
      <c r="GSC69"/>
      <c r="GSD69"/>
      <c r="GSE69"/>
      <c r="GSF69"/>
      <c r="GSG69"/>
      <c r="GSH69"/>
      <c r="GSI69"/>
      <c r="GSJ69"/>
      <c r="GSK69"/>
      <c r="GSL69"/>
      <c r="GSM69"/>
      <c r="GSN69"/>
      <c r="GSO69"/>
      <c r="GSP69"/>
      <c r="GSQ69"/>
      <c r="GSR69"/>
      <c r="GSS69"/>
      <c r="GST69"/>
      <c r="GSU69"/>
      <c r="GSV69"/>
      <c r="GSW69"/>
      <c r="GSX69"/>
      <c r="GSY69"/>
      <c r="GSZ69"/>
      <c r="GTA69"/>
      <c r="GTB69"/>
      <c r="GTC69"/>
      <c r="GTD69"/>
      <c r="GTE69"/>
      <c r="GTF69"/>
      <c r="GTG69"/>
      <c r="GTH69"/>
      <c r="GTI69"/>
      <c r="GTJ69"/>
      <c r="GTK69"/>
      <c r="GTL69"/>
      <c r="GTM69"/>
      <c r="GTN69"/>
      <c r="GTO69"/>
      <c r="GTP69"/>
      <c r="GTQ69"/>
      <c r="GTR69"/>
      <c r="GTS69"/>
      <c r="GTT69"/>
      <c r="GTU69"/>
      <c r="GTV69"/>
      <c r="GTW69"/>
      <c r="GTX69"/>
      <c r="GTY69"/>
      <c r="GTZ69"/>
      <c r="GUA69"/>
      <c r="GUB69"/>
      <c r="GUC69"/>
      <c r="GUD69"/>
      <c r="GUE69"/>
      <c r="GUF69"/>
      <c r="GUG69"/>
      <c r="GUH69"/>
      <c r="GUI69"/>
      <c r="GUJ69"/>
      <c r="GUK69"/>
      <c r="GUL69"/>
      <c r="GUM69"/>
      <c r="GUN69"/>
      <c r="GUO69"/>
      <c r="GUP69"/>
      <c r="GUQ69"/>
      <c r="GUR69"/>
      <c r="GUS69"/>
      <c r="GUT69"/>
      <c r="GUU69"/>
      <c r="GUV69"/>
      <c r="GUW69"/>
      <c r="GUX69"/>
      <c r="GUY69"/>
      <c r="GUZ69"/>
      <c r="GVA69"/>
      <c r="GVB69"/>
      <c r="GVC69"/>
      <c r="GVD69"/>
      <c r="GVE69"/>
      <c r="GVF69"/>
      <c r="GVG69"/>
      <c r="GVH69"/>
      <c r="GVI69"/>
      <c r="GVJ69"/>
      <c r="GVK69"/>
      <c r="GVL69"/>
      <c r="GVM69"/>
      <c r="GVN69"/>
      <c r="GVO69"/>
      <c r="GVP69"/>
      <c r="GVQ69"/>
      <c r="GVR69"/>
      <c r="GVS69"/>
      <c r="GVT69"/>
      <c r="GVU69"/>
      <c r="GVV69"/>
      <c r="GVW69"/>
      <c r="GVX69"/>
      <c r="GVY69"/>
      <c r="GVZ69"/>
      <c r="GWA69"/>
      <c r="GWB69"/>
      <c r="GWC69"/>
      <c r="GWD69"/>
      <c r="GWE69"/>
      <c r="GWF69"/>
      <c r="GWG69"/>
      <c r="GWH69"/>
      <c r="GWI69"/>
      <c r="GWJ69"/>
      <c r="GWK69"/>
      <c r="GWL69"/>
      <c r="GWM69"/>
      <c r="GWN69"/>
      <c r="GWO69"/>
      <c r="GWP69"/>
      <c r="GWQ69"/>
      <c r="GWR69"/>
      <c r="GWS69"/>
      <c r="GWT69"/>
      <c r="GWU69"/>
      <c r="GWV69"/>
      <c r="GWW69"/>
      <c r="GWX69"/>
      <c r="GWY69"/>
      <c r="GWZ69"/>
      <c r="GXA69"/>
      <c r="GXB69"/>
      <c r="GXC69"/>
      <c r="GXD69"/>
      <c r="GXE69"/>
      <c r="GXF69"/>
      <c r="GXG69"/>
      <c r="GXH69"/>
      <c r="GXI69"/>
      <c r="GXJ69"/>
      <c r="GXK69"/>
      <c r="GXL69"/>
      <c r="GXM69"/>
      <c r="GXN69"/>
      <c r="GXO69"/>
      <c r="GXP69"/>
      <c r="GXQ69"/>
      <c r="GXR69"/>
      <c r="GXS69"/>
      <c r="GXT69"/>
      <c r="GXU69"/>
      <c r="GXV69"/>
      <c r="GXW69"/>
      <c r="GXX69"/>
      <c r="GXY69"/>
      <c r="GXZ69"/>
      <c r="GYA69"/>
      <c r="GYB69"/>
      <c r="GYC69"/>
      <c r="GYD69"/>
      <c r="GYE69"/>
      <c r="GYF69"/>
      <c r="GYG69"/>
      <c r="GYH69"/>
      <c r="GYI69"/>
      <c r="GYJ69"/>
      <c r="GYK69"/>
      <c r="GYL69"/>
      <c r="GYM69"/>
      <c r="GYN69"/>
      <c r="GYO69"/>
      <c r="GYP69"/>
      <c r="GYQ69"/>
      <c r="GYR69"/>
      <c r="GYS69"/>
      <c r="GYT69"/>
      <c r="GYU69"/>
      <c r="GYV69"/>
      <c r="GYW69"/>
      <c r="GYX69"/>
      <c r="GYY69"/>
      <c r="GYZ69"/>
      <c r="GZA69"/>
      <c r="GZB69"/>
      <c r="GZC69"/>
      <c r="GZD69"/>
      <c r="GZE69"/>
      <c r="GZF69"/>
      <c r="GZG69"/>
      <c r="GZH69"/>
      <c r="GZI69"/>
      <c r="GZJ69"/>
      <c r="GZK69"/>
      <c r="GZL69"/>
      <c r="GZM69"/>
      <c r="GZN69"/>
      <c r="GZO69"/>
      <c r="GZP69"/>
      <c r="GZQ69"/>
      <c r="GZR69"/>
      <c r="GZS69"/>
      <c r="GZT69"/>
      <c r="GZU69"/>
      <c r="GZV69"/>
      <c r="GZW69"/>
      <c r="GZX69"/>
      <c r="GZY69"/>
      <c r="GZZ69"/>
      <c r="HAA69"/>
      <c r="HAB69"/>
      <c r="HAC69"/>
      <c r="HAD69"/>
      <c r="HAE69"/>
      <c r="HAF69"/>
      <c r="HAG69"/>
      <c r="HAH69"/>
      <c r="HAI69"/>
      <c r="HAJ69"/>
      <c r="HAK69"/>
      <c r="HAL69"/>
      <c r="HAM69"/>
      <c r="HAN69"/>
      <c r="HAO69"/>
      <c r="HAP69"/>
      <c r="HAQ69"/>
      <c r="HAR69"/>
      <c r="HAS69"/>
      <c r="HAT69"/>
      <c r="HAU69"/>
      <c r="HAV69"/>
      <c r="HAW69"/>
      <c r="HAX69"/>
      <c r="HAY69"/>
      <c r="HAZ69"/>
      <c r="HBA69"/>
      <c r="HBB69"/>
      <c r="HBC69"/>
      <c r="HBD69"/>
      <c r="HBE69"/>
      <c r="HBF69"/>
      <c r="HBG69"/>
      <c r="HBH69"/>
      <c r="HBI69"/>
      <c r="HBJ69"/>
      <c r="HBK69"/>
      <c r="HBL69"/>
      <c r="HBM69"/>
      <c r="HBN69"/>
      <c r="HBO69"/>
      <c r="HBP69"/>
      <c r="HBQ69"/>
      <c r="HBR69"/>
      <c r="HBS69"/>
      <c r="HBT69"/>
      <c r="HBU69"/>
      <c r="HBV69"/>
      <c r="HBW69"/>
      <c r="HBX69"/>
      <c r="HBY69"/>
      <c r="HBZ69"/>
      <c r="HCA69"/>
      <c r="HCB69"/>
      <c r="HCC69"/>
      <c r="HCD69"/>
      <c r="HCE69"/>
      <c r="HCF69"/>
      <c r="HCG69"/>
      <c r="HCH69"/>
      <c r="HCI69"/>
      <c r="HCJ69"/>
      <c r="HCK69"/>
      <c r="HCL69"/>
      <c r="HCM69"/>
      <c r="HCN69"/>
      <c r="HCO69"/>
      <c r="HCP69"/>
      <c r="HCQ69"/>
      <c r="HCR69"/>
      <c r="HCS69"/>
      <c r="HCT69"/>
      <c r="HCU69"/>
      <c r="HCV69"/>
      <c r="HCW69"/>
      <c r="HCX69"/>
      <c r="HCY69"/>
      <c r="HCZ69"/>
      <c r="HDA69"/>
      <c r="HDB69"/>
      <c r="HDC69"/>
      <c r="HDD69"/>
      <c r="HDE69"/>
      <c r="HDF69"/>
      <c r="HDG69"/>
      <c r="HDH69"/>
      <c r="HDI69"/>
      <c r="HDJ69"/>
      <c r="HDK69"/>
      <c r="HDL69"/>
      <c r="HDM69"/>
      <c r="HDN69"/>
      <c r="HDO69"/>
      <c r="HDP69"/>
      <c r="HDQ69"/>
      <c r="HDR69"/>
      <c r="HDS69"/>
      <c r="HDT69"/>
      <c r="HDU69"/>
      <c r="HDV69"/>
      <c r="HDW69"/>
      <c r="HDX69"/>
      <c r="HDY69"/>
      <c r="HDZ69"/>
      <c r="HEA69"/>
      <c r="HEB69"/>
      <c r="HEC69"/>
      <c r="HED69"/>
      <c r="HEE69"/>
      <c r="HEF69"/>
      <c r="HEG69"/>
      <c r="HEH69"/>
      <c r="HEI69"/>
      <c r="HEJ69"/>
      <c r="HEK69"/>
      <c r="HEL69"/>
      <c r="HEM69"/>
      <c r="HEN69"/>
      <c r="HEO69"/>
      <c r="HEP69"/>
      <c r="HEQ69"/>
      <c r="HER69"/>
      <c r="HES69"/>
      <c r="HET69"/>
      <c r="HEU69"/>
      <c r="HEV69"/>
      <c r="HEW69"/>
      <c r="HEX69"/>
      <c r="HEY69"/>
      <c r="HEZ69"/>
      <c r="HFA69"/>
      <c r="HFB69"/>
      <c r="HFC69"/>
      <c r="HFD69"/>
      <c r="HFE69"/>
      <c r="HFF69"/>
      <c r="HFG69"/>
      <c r="HFH69"/>
      <c r="HFI69"/>
      <c r="HFJ69"/>
      <c r="HFK69"/>
      <c r="HFL69"/>
      <c r="HFM69"/>
      <c r="HFN69"/>
      <c r="HFO69"/>
      <c r="HFP69"/>
      <c r="HFQ69"/>
      <c r="HFR69"/>
      <c r="HFS69"/>
      <c r="HFT69"/>
      <c r="HFU69"/>
      <c r="HFV69"/>
      <c r="HFW69"/>
      <c r="HFX69"/>
      <c r="HFY69"/>
      <c r="HFZ69"/>
      <c r="HGA69"/>
      <c r="HGB69"/>
      <c r="HGC69"/>
      <c r="HGD69"/>
      <c r="HGE69"/>
      <c r="HGF69"/>
      <c r="HGG69"/>
      <c r="HGH69"/>
      <c r="HGI69"/>
      <c r="HGJ69"/>
      <c r="HGK69"/>
      <c r="HGL69"/>
      <c r="HGM69"/>
      <c r="HGN69"/>
      <c r="HGO69"/>
      <c r="HGP69"/>
      <c r="HGQ69"/>
      <c r="HGR69"/>
      <c r="HGS69"/>
      <c r="HGT69"/>
      <c r="HGU69"/>
      <c r="HGV69"/>
      <c r="HGW69"/>
      <c r="HGX69"/>
      <c r="HGY69"/>
      <c r="HGZ69"/>
      <c r="HHA69"/>
      <c r="HHB69"/>
      <c r="HHC69"/>
      <c r="HHD69"/>
      <c r="HHE69"/>
      <c r="HHF69"/>
      <c r="HHG69"/>
      <c r="HHH69"/>
      <c r="HHI69"/>
      <c r="HHJ69"/>
      <c r="HHK69"/>
      <c r="HHL69"/>
      <c r="HHM69"/>
      <c r="HHN69"/>
      <c r="HHO69"/>
      <c r="HHP69"/>
      <c r="HHQ69"/>
      <c r="HHR69"/>
      <c r="HHS69"/>
      <c r="HHT69"/>
      <c r="HHU69"/>
      <c r="HHV69"/>
      <c r="HHW69"/>
      <c r="HHX69"/>
      <c r="HHY69"/>
      <c r="HHZ69"/>
      <c r="HIA69"/>
      <c r="HIB69"/>
      <c r="HIC69"/>
      <c r="HID69"/>
      <c r="HIE69"/>
      <c r="HIF69"/>
      <c r="HIG69"/>
      <c r="HIH69"/>
      <c r="HII69"/>
      <c r="HIJ69"/>
      <c r="HIK69"/>
      <c r="HIL69"/>
      <c r="HIM69"/>
      <c r="HIN69"/>
      <c r="HIO69"/>
      <c r="HIP69"/>
      <c r="HIQ69"/>
      <c r="HIR69"/>
      <c r="HIS69"/>
      <c r="HIT69"/>
      <c r="HIU69"/>
      <c r="HIV69"/>
      <c r="HIW69"/>
      <c r="HIX69"/>
      <c r="HIY69"/>
      <c r="HIZ69"/>
      <c r="HJA69"/>
      <c r="HJB69"/>
      <c r="HJC69"/>
      <c r="HJD69"/>
      <c r="HJE69"/>
      <c r="HJF69"/>
      <c r="HJG69"/>
      <c r="HJH69"/>
      <c r="HJI69"/>
      <c r="HJJ69"/>
      <c r="HJK69"/>
      <c r="HJL69"/>
      <c r="HJM69"/>
      <c r="HJN69"/>
      <c r="HJO69"/>
      <c r="HJP69"/>
      <c r="HJQ69"/>
      <c r="HJR69"/>
      <c r="HJS69"/>
      <c r="HJT69"/>
      <c r="HJU69"/>
      <c r="HJV69"/>
      <c r="HJW69"/>
      <c r="HJX69"/>
      <c r="HJY69"/>
      <c r="HJZ69"/>
      <c r="HKA69"/>
      <c r="HKB69"/>
      <c r="HKC69"/>
      <c r="HKD69"/>
      <c r="HKE69"/>
      <c r="HKF69"/>
      <c r="HKG69"/>
      <c r="HKH69"/>
      <c r="HKI69"/>
      <c r="HKJ69"/>
      <c r="HKK69"/>
      <c r="HKL69"/>
      <c r="HKM69"/>
      <c r="HKN69"/>
      <c r="HKO69"/>
      <c r="HKP69"/>
      <c r="HKQ69"/>
      <c r="HKR69"/>
      <c r="HKS69"/>
      <c r="HKT69"/>
      <c r="HKU69"/>
      <c r="HKV69"/>
      <c r="HKW69"/>
      <c r="HKX69"/>
      <c r="HKY69"/>
      <c r="HKZ69"/>
      <c r="HLA69"/>
      <c r="HLB69"/>
      <c r="HLC69"/>
      <c r="HLD69"/>
      <c r="HLE69"/>
      <c r="HLF69"/>
      <c r="HLG69"/>
      <c r="HLH69"/>
      <c r="HLI69"/>
      <c r="HLJ69"/>
      <c r="HLK69"/>
      <c r="HLL69"/>
      <c r="HLM69"/>
      <c r="HLN69"/>
      <c r="HLO69"/>
      <c r="HLP69"/>
      <c r="HLQ69"/>
      <c r="HLR69"/>
      <c r="HLS69"/>
      <c r="HLT69"/>
      <c r="HLU69"/>
      <c r="HLV69"/>
      <c r="HLW69"/>
      <c r="HLX69"/>
      <c r="HLY69"/>
      <c r="HLZ69"/>
      <c r="HMA69"/>
      <c r="HMB69"/>
      <c r="HMC69"/>
      <c r="HMD69"/>
      <c r="HME69"/>
      <c r="HMF69"/>
      <c r="HMG69"/>
      <c r="HMH69"/>
      <c r="HMI69"/>
      <c r="HMJ69"/>
      <c r="HMK69"/>
      <c r="HML69"/>
      <c r="HMM69"/>
      <c r="HMN69"/>
      <c r="HMO69"/>
      <c r="HMP69"/>
      <c r="HMQ69"/>
      <c r="HMR69"/>
      <c r="HMS69"/>
      <c r="HMT69"/>
      <c r="HMU69"/>
      <c r="HMV69"/>
      <c r="HMW69"/>
      <c r="HMX69"/>
      <c r="HMY69"/>
      <c r="HMZ69"/>
      <c r="HNA69"/>
      <c r="HNB69"/>
      <c r="HNC69"/>
      <c r="HND69"/>
      <c r="HNE69"/>
      <c r="HNF69"/>
      <c r="HNG69"/>
      <c r="HNH69"/>
      <c r="HNI69"/>
      <c r="HNJ69"/>
      <c r="HNK69"/>
      <c r="HNL69"/>
      <c r="HNM69"/>
      <c r="HNN69"/>
      <c r="HNO69"/>
      <c r="HNP69"/>
      <c r="HNQ69"/>
      <c r="HNR69"/>
      <c r="HNS69"/>
      <c r="HNT69"/>
      <c r="HNU69"/>
      <c r="HNV69"/>
      <c r="HNW69"/>
      <c r="HNX69"/>
      <c r="HNY69"/>
      <c r="HNZ69"/>
      <c r="HOA69"/>
      <c r="HOB69"/>
      <c r="HOC69"/>
      <c r="HOD69"/>
      <c r="HOE69"/>
      <c r="HOF69"/>
      <c r="HOG69"/>
      <c r="HOH69"/>
      <c r="HOI69"/>
      <c r="HOJ69"/>
      <c r="HOK69"/>
      <c r="HOL69"/>
      <c r="HOM69"/>
      <c r="HON69"/>
      <c r="HOO69"/>
      <c r="HOP69"/>
      <c r="HOQ69"/>
      <c r="HOR69"/>
      <c r="HOS69"/>
      <c r="HOT69"/>
      <c r="HOU69"/>
      <c r="HOV69"/>
      <c r="HOW69"/>
      <c r="HOX69"/>
      <c r="HOY69"/>
      <c r="HOZ69"/>
      <c r="HPA69"/>
      <c r="HPB69"/>
      <c r="HPC69"/>
      <c r="HPD69"/>
      <c r="HPE69"/>
      <c r="HPF69"/>
      <c r="HPG69"/>
      <c r="HPH69"/>
      <c r="HPI69"/>
      <c r="HPJ69"/>
      <c r="HPK69"/>
      <c r="HPL69"/>
      <c r="HPM69"/>
      <c r="HPN69"/>
      <c r="HPO69"/>
      <c r="HPP69"/>
      <c r="HPQ69"/>
      <c r="HPR69"/>
      <c r="HPS69"/>
      <c r="HPT69"/>
      <c r="HPU69"/>
      <c r="HPV69"/>
      <c r="HPW69"/>
      <c r="HPX69"/>
      <c r="HPY69"/>
      <c r="HPZ69"/>
      <c r="HQA69"/>
      <c r="HQB69"/>
      <c r="HQC69"/>
      <c r="HQD69"/>
      <c r="HQE69"/>
      <c r="HQF69"/>
      <c r="HQG69"/>
      <c r="HQH69"/>
      <c r="HQI69"/>
      <c r="HQJ69"/>
      <c r="HQK69"/>
      <c r="HQL69"/>
      <c r="HQM69"/>
      <c r="HQN69"/>
      <c r="HQO69"/>
      <c r="HQP69"/>
      <c r="HQQ69"/>
      <c r="HQR69"/>
      <c r="HQS69"/>
      <c r="HQT69"/>
      <c r="HQU69"/>
      <c r="HQV69"/>
      <c r="HQW69"/>
      <c r="HQX69"/>
      <c r="HQY69"/>
      <c r="HQZ69"/>
      <c r="HRA69"/>
      <c r="HRB69"/>
      <c r="HRC69"/>
      <c r="HRD69"/>
      <c r="HRE69"/>
      <c r="HRF69"/>
      <c r="HRG69"/>
      <c r="HRH69"/>
      <c r="HRI69"/>
      <c r="HRJ69"/>
      <c r="HRK69"/>
      <c r="HRL69"/>
      <c r="HRM69"/>
      <c r="HRN69"/>
      <c r="HRO69"/>
      <c r="HRP69"/>
      <c r="HRQ69"/>
      <c r="HRR69"/>
      <c r="HRS69"/>
      <c r="HRT69"/>
      <c r="HRU69"/>
      <c r="HRV69"/>
      <c r="HRW69"/>
      <c r="HRX69"/>
      <c r="HRY69"/>
      <c r="HRZ69"/>
      <c r="HSA69"/>
      <c r="HSB69"/>
      <c r="HSC69"/>
      <c r="HSD69"/>
      <c r="HSE69"/>
      <c r="HSF69"/>
      <c r="HSG69"/>
      <c r="HSH69"/>
      <c r="HSI69"/>
      <c r="HSJ69"/>
      <c r="HSK69"/>
      <c r="HSL69"/>
      <c r="HSM69"/>
      <c r="HSN69"/>
      <c r="HSO69"/>
      <c r="HSP69"/>
      <c r="HSQ69"/>
      <c r="HSR69"/>
      <c r="HSS69"/>
      <c r="HST69"/>
      <c r="HSU69"/>
      <c r="HSV69"/>
      <c r="HSW69"/>
      <c r="HSX69"/>
      <c r="HSY69"/>
      <c r="HSZ69"/>
      <c r="HTA69"/>
      <c r="HTB69"/>
      <c r="HTC69"/>
      <c r="HTD69"/>
      <c r="HTE69"/>
      <c r="HTF69"/>
      <c r="HTG69"/>
      <c r="HTH69"/>
      <c r="HTI69"/>
      <c r="HTJ69"/>
      <c r="HTK69"/>
      <c r="HTL69"/>
      <c r="HTM69"/>
      <c r="HTN69"/>
      <c r="HTO69"/>
      <c r="HTP69"/>
      <c r="HTQ69"/>
      <c r="HTR69"/>
      <c r="HTS69"/>
      <c r="HTT69"/>
      <c r="HTU69"/>
      <c r="HTV69"/>
      <c r="HTW69"/>
      <c r="HTX69"/>
      <c r="HTY69"/>
      <c r="HTZ69"/>
      <c r="HUA69"/>
      <c r="HUB69"/>
      <c r="HUC69"/>
      <c r="HUD69"/>
      <c r="HUE69"/>
      <c r="HUF69"/>
      <c r="HUG69"/>
      <c r="HUH69"/>
      <c r="HUI69"/>
      <c r="HUJ69"/>
      <c r="HUK69"/>
      <c r="HUL69"/>
      <c r="HUM69"/>
      <c r="HUN69"/>
      <c r="HUO69"/>
      <c r="HUP69"/>
      <c r="HUQ69"/>
      <c r="HUR69"/>
      <c r="HUS69"/>
      <c r="HUT69"/>
      <c r="HUU69"/>
      <c r="HUV69"/>
      <c r="HUW69"/>
      <c r="HUX69"/>
      <c r="HUY69"/>
      <c r="HUZ69"/>
      <c r="HVA69"/>
      <c r="HVB69"/>
      <c r="HVC69"/>
      <c r="HVD69"/>
      <c r="HVE69"/>
      <c r="HVF69"/>
      <c r="HVG69"/>
      <c r="HVH69"/>
      <c r="HVI69"/>
      <c r="HVJ69"/>
      <c r="HVK69"/>
      <c r="HVL69"/>
      <c r="HVM69"/>
      <c r="HVN69"/>
      <c r="HVO69"/>
      <c r="HVP69"/>
      <c r="HVQ69"/>
      <c r="HVR69"/>
      <c r="HVS69"/>
      <c r="HVT69"/>
      <c r="HVU69"/>
      <c r="HVV69"/>
      <c r="HVW69"/>
      <c r="HVX69"/>
      <c r="HVY69"/>
      <c r="HVZ69"/>
      <c r="HWA69"/>
      <c r="HWB69"/>
      <c r="HWC69"/>
      <c r="HWD69"/>
      <c r="HWE69"/>
      <c r="HWF69"/>
      <c r="HWG69"/>
      <c r="HWH69"/>
      <c r="HWI69"/>
      <c r="HWJ69"/>
      <c r="HWK69"/>
      <c r="HWL69"/>
      <c r="HWM69"/>
      <c r="HWN69"/>
      <c r="HWO69"/>
      <c r="HWP69"/>
      <c r="HWQ69"/>
      <c r="HWR69"/>
      <c r="HWS69"/>
      <c r="HWT69"/>
      <c r="HWU69"/>
      <c r="HWV69"/>
      <c r="HWW69"/>
      <c r="HWX69"/>
      <c r="HWY69"/>
      <c r="HWZ69"/>
      <c r="HXA69"/>
      <c r="HXB69"/>
      <c r="HXC69"/>
      <c r="HXD69"/>
      <c r="HXE69"/>
      <c r="HXF69"/>
      <c r="HXG69"/>
      <c r="HXH69"/>
      <c r="HXI69"/>
      <c r="HXJ69"/>
      <c r="HXK69"/>
      <c r="HXL69"/>
      <c r="HXM69"/>
      <c r="HXN69"/>
      <c r="HXO69"/>
      <c r="HXP69"/>
      <c r="HXQ69"/>
      <c r="HXR69"/>
      <c r="HXS69"/>
      <c r="HXT69"/>
      <c r="HXU69"/>
      <c r="HXV69"/>
      <c r="HXW69"/>
      <c r="HXX69"/>
      <c r="HXY69"/>
      <c r="HXZ69"/>
      <c r="HYA69"/>
      <c r="HYB69"/>
      <c r="HYC69"/>
      <c r="HYD69"/>
      <c r="HYE69"/>
      <c r="HYF69"/>
      <c r="HYG69"/>
      <c r="HYH69"/>
      <c r="HYI69"/>
      <c r="HYJ69"/>
      <c r="HYK69"/>
      <c r="HYL69"/>
      <c r="HYM69"/>
      <c r="HYN69"/>
      <c r="HYO69"/>
      <c r="HYP69"/>
      <c r="HYQ69"/>
      <c r="HYR69"/>
      <c r="HYS69"/>
      <c r="HYT69"/>
      <c r="HYU69"/>
      <c r="HYV69"/>
      <c r="HYW69"/>
      <c r="HYX69"/>
      <c r="HYY69"/>
      <c r="HYZ69"/>
      <c r="HZA69"/>
      <c r="HZB69"/>
      <c r="HZC69"/>
      <c r="HZD69"/>
      <c r="HZE69"/>
      <c r="HZF69"/>
      <c r="HZG69"/>
      <c r="HZH69"/>
      <c r="HZI69"/>
      <c r="HZJ69"/>
      <c r="HZK69"/>
      <c r="HZL69"/>
      <c r="HZM69"/>
      <c r="HZN69"/>
      <c r="HZO69"/>
      <c r="HZP69"/>
      <c r="HZQ69"/>
      <c r="HZR69"/>
      <c r="HZS69"/>
      <c r="HZT69"/>
      <c r="HZU69"/>
      <c r="HZV69"/>
      <c r="HZW69"/>
      <c r="HZX69"/>
      <c r="HZY69"/>
      <c r="HZZ69"/>
      <c r="IAA69"/>
      <c r="IAB69"/>
      <c r="IAC69"/>
      <c r="IAD69"/>
      <c r="IAE69"/>
      <c r="IAF69"/>
      <c r="IAG69"/>
      <c r="IAH69"/>
      <c r="IAI69"/>
      <c r="IAJ69"/>
      <c r="IAK69"/>
      <c r="IAL69"/>
      <c r="IAM69"/>
      <c r="IAN69"/>
      <c r="IAO69"/>
      <c r="IAP69"/>
      <c r="IAQ69"/>
      <c r="IAR69"/>
      <c r="IAS69"/>
      <c r="IAT69"/>
      <c r="IAU69"/>
      <c r="IAV69"/>
      <c r="IAW69"/>
      <c r="IAX69"/>
      <c r="IAY69"/>
      <c r="IAZ69"/>
      <c r="IBA69"/>
      <c r="IBB69"/>
      <c r="IBC69"/>
      <c r="IBD69"/>
      <c r="IBE69"/>
      <c r="IBF69"/>
      <c r="IBG69"/>
      <c r="IBH69"/>
      <c r="IBI69"/>
      <c r="IBJ69"/>
      <c r="IBK69"/>
      <c r="IBL69"/>
      <c r="IBM69"/>
      <c r="IBN69"/>
      <c r="IBO69"/>
      <c r="IBP69"/>
      <c r="IBQ69"/>
      <c r="IBR69"/>
      <c r="IBS69"/>
      <c r="IBT69"/>
      <c r="IBU69"/>
      <c r="IBV69"/>
      <c r="IBW69"/>
      <c r="IBX69"/>
      <c r="IBY69"/>
      <c r="IBZ69"/>
      <c r="ICA69"/>
      <c r="ICB69"/>
      <c r="ICC69"/>
      <c r="ICD69"/>
      <c r="ICE69"/>
      <c r="ICF69"/>
      <c r="ICG69"/>
      <c r="ICH69"/>
      <c r="ICI69"/>
      <c r="ICJ69"/>
      <c r="ICK69"/>
      <c r="ICL69"/>
      <c r="ICM69"/>
      <c r="ICN69"/>
      <c r="ICO69"/>
      <c r="ICP69"/>
      <c r="ICQ69"/>
      <c r="ICR69"/>
      <c r="ICS69"/>
      <c r="ICT69"/>
      <c r="ICU69"/>
      <c r="ICV69"/>
      <c r="ICW69"/>
      <c r="ICX69"/>
      <c r="ICY69"/>
      <c r="ICZ69"/>
      <c r="IDA69"/>
      <c r="IDB69"/>
      <c r="IDC69"/>
      <c r="IDD69"/>
      <c r="IDE69"/>
      <c r="IDF69"/>
      <c r="IDG69"/>
      <c r="IDH69"/>
      <c r="IDI69"/>
      <c r="IDJ69"/>
      <c r="IDK69"/>
      <c r="IDL69"/>
      <c r="IDM69"/>
      <c r="IDN69"/>
      <c r="IDO69"/>
      <c r="IDP69"/>
      <c r="IDQ69"/>
      <c r="IDR69"/>
      <c r="IDS69"/>
      <c r="IDT69"/>
      <c r="IDU69"/>
      <c r="IDV69"/>
      <c r="IDW69"/>
      <c r="IDX69"/>
      <c r="IDY69"/>
      <c r="IDZ69"/>
      <c r="IEA69"/>
      <c r="IEB69"/>
      <c r="IEC69"/>
      <c r="IED69"/>
      <c r="IEE69"/>
      <c r="IEF69"/>
      <c r="IEG69"/>
      <c r="IEH69"/>
      <c r="IEI69"/>
      <c r="IEJ69"/>
      <c r="IEK69"/>
      <c r="IEL69"/>
      <c r="IEM69"/>
      <c r="IEN69"/>
      <c r="IEO69"/>
      <c r="IEP69"/>
      <c r="IEQ69"/>
      <c r="IER69"/>
      <c r="IES69"/>
      <c r="IET69"/>
      <c r="IEU69"/>
      <c r="IEV69"/>
      <c r="IEW69"/>
      <c r="IEX69"/>
      <c r="IEY69"/>
      <c r="IEZ69"/>
      <c r="IFA69"/>
      <c r="IFB69"/>
      <c r="IFC69"/>
      <c r="IFD69"/>
      <c r="IFE69"/>
      <c r="IFF69"/>
      <c r="IFG69"/>
      <c r="IFH69"/>
      <c r="IFI69"/>
      <c r="IFJ69"/>
      <c r="IFK69"/>
      <c r="IFL69"/>
      <c r="IFM69"/>
      <c r="IFN69"/>
      <c r="IFO69"/>
      <c r="IFP69"/>
      <c r="IFQ69"/>
      <c r="IFR69"/>
      <c r="IFS69"/>
      <c r="IFT69"/>
      <c r="IFU69"/>
      <c r="IFV69"/>
      <c r="IFW69"/>
      <c r="IFX69"/>
      <c r="IFY69"/>
      <c r="IFZ69"/>
      <c r="IGA69"/>
      <c r="IGB69"/>
      <c r="IGC69"/>
      <c r="IGD69"/>
      <c r="IGE69"/>
      <c r="IGF69"/>
      <c r="IGG69"/>
      <c r="IGH69"/>
      <c r="IGI69"/>
      <c r="IGJ69"/>
      <c r="IGK69"/>
      <c r="IGL69"/>
      <c r="IGM69"/>
      <c r="IGN69"/>
      <c r="IGO69"/>
      <c r="IGP69"/>
      <c r="IGQ69"/>
      <c r="IGR69"/>
      <c r="IGS69"/>
      <c r="IGT69"/>
      <c r="IGU69"/>
      <c r="IGV69"/>
      <c r="IGW69"/>
      <c r="IGX69"/>
      <c r="IGY69"/>
      <c r="IGZ69"/>
      <c r="IHA69"/>
      <c r="IHB69"/>
      <c r="IHC69"/>
      <c r="IHD69"/>
      <c r="IHE69"/>
      <c r="IHF69"/>
      <c r="IHG69"/>
      <c r="IHH69"/>
      <c r="IHI69"/>
      <c r="IHJ69"/>
      <c r="IHK69"/>
      <c r="IHL69"/>
      <c r="IHM69"/>
      <c r="IHN69"/>
      <c r="IHO69"/>
      <c r="IHP69"/>
      <c r="IHQ69"/>
      <c r="IHR69"/>
      <c r="IHS69"/>
      <c r="IHT69"/>
      <c r="IHU69"/>
      <c r="IHV69"/>
      <c r="IHW69"/>
      <c r="IHX69"/>
      <c r="IHY69"/>
      <c r="IHZ69"/>
      <c r="IIA69"/>
      <c r="IIB69"/>
      <c r="IIC69"/>
      <c r="IID69"/>
      <c r="IIE69"/>
      <c r="IIF69"/>
      <c r="IIG69"/>
      <c r="IIH69"/>
      <c r="III69"/>
      <c r="IIJ69"/>
      <c r="IIK69"/>
      <c r="IIL69"/>
      <c r="IIM69"/>
      <c r="IIN69"/>
      <c r="IIO69"/>
      <c r="IIP69"/>
      <c r="IIQ69"/>
      <c r="IIR69"/>
      <c r="IIS69"/>
      <c r="IIT69"/>
      <c r="IIU69"/>
      <c r="IIV69"/>
      <c r="IIW69"/>
      <c r="IIX69"/>
      <c r="IIY69"/>
      <c r="IIZ69"/>
      <c r="IJA69"/>
      <c r="IJB69"/>
      <c r="IJC69"/>
      <c r="IJD69"/>
      <c r="IJE69"/>
      <c r="IJF69"/>
      <c r="IJG69"/>
      <c r="IJH69"/>
      <c r="IJI69"/>
      <c r="IJJ69"/>
      <c r="IJK69"/>
      <c r="IJL69"/>
      <c r="IJM69"/>
      <c r="IJN69"/>
      <c r="IJO69"/>
      <c r="IJP69"/>
      <c r="IJQ69"/>
      <c r="IJR69"/>
      <c r="IJS69"/>
      <c r="IJT69"/>
      <c r="IJU69"/>
      <c r="IJV69"/>
      <c r="IJW69"/>
      <c r="IJX69"/>
      <c r="IJY69"/>
      <c r="IJZ69"/>
      <c r="IKA69"/>
      <c r="IKB69"/>
      <c r="IKC69"/>
      <c r="IKD69"/>
      <c r="IKE69"/>
      <c r="IKF69"/>
      <c r="IKG69"/>
      <c r="IKH69"/>
      <c r="IKI69"/>
      <c r="IKJ69"/>
      <c r="IKK69"/>
      <c r="IKL69"/>
      <c r="IKM69"/>
      <c r="IKN69"/>
      <c r="IKO69"/>
      <c r="IKP69"/>
      <c r="IKQ69"/>
      <c r="IKR69"/>
      <c r="IKS69"/>
      <c r="IKT69"/>
      <c r="IKU69"/>
      <c r="IKV69"/>
      <c r="IKW69"/>
      <c r="IKX69"/>
      <c r="IKY69"/>
      <c r="IKZ69"/>
      <c r="ILA69"/>
      <c r="ILB69"/>
      <c r="ILC69"/>
      <c r="ILD69"/>
      <c r="ILE69"/>
      <c r="ILF69"/>
      <c r="ILG69"/>
      <c r="ILH69"/>
      <c r="ILI69"/>
      <c r="ILJ69"/>
      <c r="ILK69"/>
      <c r="ILL69"/>
      <c r="ILM69"/>
      <c r="ILN69"/>
      <c r="ILO69"/>
      <c r="ILP69"/>
      <c r="ILQ69"/>
      <c r="ILR69"/>
      <c r="ILS69"/>
      <c r="ILT69"/>
      <c r="ILU69"/>
      <c r="ILV69"/>
      <c r="ILW69"/>
      <c r="ILX69"/>
      <c r="ILY69"/>
      <c r="ILZ69"/>
      <c r="IMA69"/>
      <c r="IMB69"/>
      <c r="IMC69"/>
      <c r="IMD69"/>
      <c r="IME69"/>
      <c r="IMF69"/>
      <c r="IMG69"/>
      <c r="IMH69"/>
      <c r="IMI69"/>
      <c r="IMJ69"/>
      <c r="IMK69"/>
      <c r="IML69"/>
      <c r="IMM69"/>
      <c r="IMN69"/>
      <c r="IMO69"/>
      <c r="IMP69"/>
      <c r="IMQ69"/>
      <c r="IMR69"/>
      <c r="IMS69"/>
      <c r="IMT69"/>
      <c r="IMU69"/>
      <c r="IMV69"/>
      <c r="IMW69"/>
      <c r="IMX69"/>
      <c r="IMY69"/>
      <c r="IMZ69"/>
      <c r="INA69"/>
      <c r="INB69"/>
      <c r="INC69"/>
      <c r="IND69"/>
      <c r="INE69"/>
      <c r="INF69"/>
      <c r="ING69"/>
      <c r="INH69"/>
      <c r="INI69"/>
      <c r="INJ69"/>
      <c r="INK69"/>
      <c r="INL69"/>
      <c r="INM69"/>
      <c r="INN69"/>
      <c r="INO69"/>
      <c r="INP69"/>
      <c r="INQ69"/>
      <c r="INR69"/>
      <c r="INS69"/>
      <c r="INT69"/>
      <c r="INU69"/>
      <c r="INV69"/>
      <c r="INW69"/>
      <c r="INX69"/>
      <c r="INY69"/>
      <c r="INZ69"/>
      <c r="IOA69"/>
      <c r="IOB69"/>
      <c r="IOC69"/>
      <c r="IOD69"/>
      <c r="IOE69"/>
      <c r="IOF69"/>
      <c r="IOG69"/>
      <c r="IOH69"/>
      <c r="IOI69"/>
      <c r="IOJ69"/>
      <c r="IOK69"/>
      <c r="IOL69"/>
      <c r="IOM69"/>
      <c r="ION69"/>
      <c r="IOO69"/>
      <c r="IOP69"/>
      <c r="IOQ69"/>
      <c r="IOR69"/>
      <c r="IOS69"/>
      <c r="IOT69"/>
      <c r="IOU69"/>
      <c r="IOV69"/>
      <c r="IOW69"/>
      <c r="IOX69"/>
      <c r="IOY69"/>
      <c r="IOZ69"/>
      <c r="IPA69"/>
      <c r="IPB69"/>
      <c r="IPC69"/>
      <c r="IPD69"/>
      <c r="IPE69"/>
      <c r="IPF69"/>
      <c r="IPG69"/>
      <c r="IPH69"/>
      <c r="IPI69"/>
      <c r="IPJ69"/>
      <c r="IPK69"/>
      <c r="IPL69"/>
      <c r="IPM69"/>
      <c r="IPN69"/>
      <c r="IPO69"/>
      <c r="IPP69"/>
      <c r="IPQ69"/>
      <c r="IPR69"/>
      <c r="IPS69"/>
      <c r="IPT69"/>
      <c r="IPU69"/>
      <c r="IPV69"/>
      <c r="IPW69"/>
      <c r="IPX69"/>
      <c r="IPY69"/>
      <c r="IPZ69"/>
      <c r="IQA69"/>
      <c r="IQB69"/>
      <c r="IQC69"/>
      <c r="IQD69"/>
      <c r="IQE69"/>
      <c r="IQF69"/>
      <c r="IQG69"/>
      <c r="IQH69"/>
      <c r="IQI69"/>
      <c r="IQJ69"/>
      <c r="IQK69"/>
      <c r="IQL69"/>
      <c r="IQM69"/>
      <c r="IQN69"/>
      <c r="IQO69"/>
      <c r="IQP69"/>
      <c r="IQQ69"/>
      <c r="IQR69"/>
      <c r="IQS69"/>
      <c r="IQT69"/>
      <c r="IQU69"/>
      <c r="IQV69"/>
      <c r="IQW69"/>
      <c r="IQX69"/>
      <c r="IQY69"/>
      <c r="IQZ69"/>
      <c r="IRA69"/>
      <c r="IRB69"/>
      <c r="IRC69"/>
      <c r="IRD69"/>
      <c r="IRE69"/>
      <c r="IRF69"/>
      <c r="IRG69"/>
      <c r="IRH69"/>
      <c r="IRI69"/>
      <c r="IRJ69"/>
      <c r="IRK69"/>
      <c r="IRL69"/>
      <c r="IRM69"/>
      <c r="IRN69"/>
      <c r="IRO69"/>
      <c r="IRP69"/>
      <c r="IRQ69"/>
      <c r="IRR69"/>
      <c r="IRS69"/>
      <c r="IRT69"/>
      <c r="IRU69"/>
      <c r="IRV69"/>
      <c r="IRW69"/>
      <c r="IRX69"/>
      <c r="IRY69"/>
      <c r="IRZ69"/>
      <c r="ISA69"/>
      <c r="ISB69"/>
      <c r="ISC69"/>
      <c r="ISD69"/>
      <c r="ISE69"/>
      <c r="ISF69"/>
      <c r="ISG69"/>
      <c r="ISH69"/>
      <c r="ISI69"/>
      <c r="ISJ69"/>
      <c r="ISK69"/>
      <c r="ISL69"/>
      <c r="ISM69"/>
      <c r="ISN69"/>
      <c r="ISO69"/>
      <c r="ISP69"/>
      <c r="ISQ69"/>
      <c r="ISR69"/>
      <c r="ISS69"/>
      <c r="IST69"/>
      <c r="ISU69"/>
      <c r="ISV69"/>
      <c r="ISW69"/>
      <c r="ISX69"/>
      <c r="ISY69"/>
      <c r="ISZ69"/>
      <c r="ITA69"/>
      <c r="ITB69"/>
      <c r="ITC69"/>
      <c r="ITD69"/>
      <c r="ITE69"/>
      <c r="ITF69"/>
      <c r="ITG69"/>
      <c r="ITH69"/>
      <c r="ITI69"/>
      <c r="ITJ69"/>
      <c r="ITK69"/>
      <c r="ITL69"/>
      <c r="ITM69"/>
      <c r="ITN69"/>
      <c r="ITO69"/>
      <c r="ITP69"/>
      <c r="ITQ69"/>
      <c r="ITR69"/>
      <c r="ITS69"/>
      <c r="ITT69"/>
      <c r="ITU69"/>
      <c r="ITV69"/>
      <c r="ITW69"/>
      <c r="ITX69"/>
      <c r="ITY69"/>
      <c r="ITZ69"/>
      <c r="IUA69"/>
      <c r="IUB69"/>
      <c r="IUC69"/>
      <c r="IUD69"/>
      <c r="IUE69"/>
      <c r="IUF69"/>
      <c r="IUG69"/>
      <c r="IUH69"/>
      <c r="IUI69"/>
      <c r="IUJ69"/>
      <c r="IUK69"/>
      <c r="IUL69"/>
      <c r="IUM69"/>
      <c r="IUN69"/>
      <c r="IUO69"/>
      <c r="IUP69"/>
      <c r="IUQ69"/>
      <c r="IUR69"/>
      <c r="IUS69"/>
      <c r="IUT69"/>
      <c r="IUU69"/>
      <c r="IUV69"/>
      <c r="IUW69"/>
      <c r="IUX69"/>
      <c r="IUY69"/>
      <c r="IUZ69"/>
      <c r="IVA69"/>
      <c r="IVB69"/>
      <c r="IVC69"/>
      <c r="IVD69"/>
      <c r="IVE69"/>
      <c r="IVF69"/>
      <c r="IVG69"/>
      <c r="IVH69"/>
      <c r="IVI69"/>
      <c r="IVJ69"/>
      <c r="IVK69"/>
      <c r="IVL69"/>
      <c r="IVM69"/>
      <c r="IVN69"/>
      <c r="IVO69"/>
      <c r="IVP69"/>
      <c r="IVQ69"/>
      <c r="IVR69"/>
      <c r="IVS69"/>
      <c r="IVT69"/>
      <c r="IVU69"/>
      <c r="IVV69"/>
      <c r="IVW69"/>
      <c r="IVX69"/>
      <c r="IVY69"/>
      <c r="IVZ69"/>
      <c r="IWA69"/>
      <c r="IWB69"/>
      <c r="IWC69"/>
      <c r="IWD69"/>
      <c r="IWE69"/>
      <c r="IWF69"/>
      <c r="IWG69"/>
      <c r="IWH69"/>
      <c r="IWI69"/>
      <c r="IWJ69"/>
      <c r="IWK69"/>
      <c r="IWL69"/>
      <c r="IWM69"/>
      <c r="IWN69"/>
      <c r="IWO69"/>
      <c r="IWP69"/>
      <c r="IWQ69"/>
      <c r="IWR69"/>
      <c r="IWS69"/>
      <c r="IWT69"/>
      <c r="IWU69"/>
      <c r="IWV69"/>
      <c r="IWW69"/>
      <c r="IWX69"/>
      <c r="IWY69"/>
      <c r="IWZ69"/>
      <c r="IXA69"/>
      <c r="IXB69"/>
      <c r="IXC69"/>
      <c r="IXD69"/>
      <c r="IXE69"/>
      <c r="IXF69"/>
      <c r="IXG69"/>
      <c r="IXH69"/>
      <c r="IXI69"/>
      <c r="IXJ69"/>
      <c r="IXK69"/>
      <c r="IXL69"/>
      <c r="IXM69"/>
      <c r="IXN69"/>
      <c r="IXO69"/>
      <c r="IXP69"/>
      <c r="IXQ69"/>
      <c r="IXR69"/>
      <c r="IXS69"/>
      <c r="IXT69"/>
      <c r="IXU69"/>
      <c r="IXV69"/>
      <c r="IXW69"/>
      <c r="IXX69"/>
      <c r="IXY69"/>
      <c r="IXZ69"/>
      <c r="IYA69"/>
      <c r="IYB69"/>
      <c r="IYC69"/>
      <c r="IYD69"/>
      <c r="IYE69"/>
      <c r="IYF69"/>
      <c r="IYG69"/>
      <c r="IYH69"/>
      <c r="IYI69"/>
      <c r="IYJ69"/>
      <c r="IYK69"/>
      <c r="IYL69"/>
      <c r="IYM69"/>
      <c r="IYN69"/>
      <c r="IYO69"/>
      <c r="IYP69"/>
      <c r="IYQ69"/>
      <c r="IYR69"/>
      <c r="IYS69"/>
      <c r="IYT69"/>
      <c r="IYU69"/>
      <c r="IYV69"/>
      <c r="IYW69"/>
      <c r="IYX69"/>
      <c r="IYY69"/>
      <c r="IYZ69"/>
      <c r="IZA69"/>
      <c r="IZB69"/>
      <c r="IZC69"/>
      <c r="IZD69"/>
      <c r="IZE69"/>
      <c r="IZF69"/>
      <c r="IZG69"/>
      <c r="IZH69"/>
      <c r="IZI69"/>
      <c r="IZJ69"/>
      <c r="IZK69"/>
      <c r="IZL69"/>
      <c r="IZM69"/>
      <c r="IZN69"/>
      <c r="IZO69"/>
      <c r="IZP69"/>
      <c r="IZQ69"/>
      <c r="IZR69"/>
      <c r="IZS69"/>
      <c r="IZT69"/>
      <c r="IZU69"/>
      <c r="IZV69"/>
      <c r="IZW69"/>
      <c r="IZX69"/>
      <c r="IZY69"/>
      <c r="IZZ69"/>
      <c r="JAA69"/>
      <c r="JAB69"/>
      <c r="JAC69"/>
      <c r="JAD69"/>
      <c r="JAE69"/>
      <c r="JAF69"/>
      <c r="JAG69"/>
      <c r="JAH69"/>
      <c r="JAI69"/>
      <c r="JAJ69"/>
      <c r="JAK69"/>
      <c r="JAL69"/>
      <c r="JAM69"/>
      <c r="JAN69"/>
      <c r="JAO69"/>
      <c r="JAP69"/>
      <c r="JAQ69"/>
      <c r="JAR69"/>
      <c r="JAS69"/>
      <c r="JAT69"/>
      <c r="JAU69"/>
      <c r="JAV69"/>
      <c r="JAW69"/>
      <c r="JAX69"/>
      <c r="JAY69"/>
      <c r="JAZ69"/>
      <c r="JBA69"/>
      <c r="JBB69"/>
      <c r="JBC69"/>
      <c r="JBD69"/>
      <c r="JBE69"/>
      <c r="JBF69"/>
      <c r="JBG69"/>
      <c r="JBH69"/>
      <c r="JBI69"/>
      <c r="JBJ69"/>
      <c r="JBK69"/>
      <c r="JBL69"/>
      <c r="JBM69"/>
      <c r="JBN69"/>
      <c r="JBO69"/>
      <c r="JBP69"/>
      <c r="JBQ69"/>
      <c r="JBR69"/>
      <c r="JBS69"/>
      <c r="JBT69"/>
      <c r="JBU69"/>
      <c r="JBV69"/>
      <c r="JBW69"/>
      <c r="JBX69"/>
      <c r="JBY69"/>
      <c r="JBZ69"/>
      <c r="JCA69"/>
      <c r="JCB69"/>
      <c r="JCC69"/>
      <c r="JCD69"/>
      <c r="JCE69"/>
      <c r="JCF69"/>
      <c r="JCG69"/>
      <c r="JCH69"/>
      <c r="JCI69"/>
      <c r="JCJ69"/>
      <c r="JCK69"/>
      <c r="JCL69"/>
      <c r="JCM69"/>
      <c r="JCN69"/>
      <c r="JCO69"/>
      <c r="JCP69"/>
      <c r="JCQ69"/>
      <c r="JCR69"/>
      <c r="JCS69"/>
      <c r="JCT69"/>
      <c r="JCU69"/>
      <c r="JCV69"/>
      <c r="JCW69"/>
      <c r="JCX69"/>
      <c r="JCY69"/>
      <c r="JCZ69"/>
      <c r="JDA69"/>
      <c r="JDB69"/>
      <c r="JDC69"/>
      <c r="JDD69"/>
      <c r="JDE69"/>
      <c r="JDF69"/>
      <c r="JDG69"/>
      <c r="JDH69"/>
      <c r="JDI69"/>
      <c r="JDJ69"/>
      <c r="JDK69"/>
      <c r="JDL69"/>
      <c r="JDM69"/>
      <c r="JDN69"/>
      <c r="JDO69"/>
      <c r="JDP69"/>
      <c r="JDQ69"/>
      <c r="JDR69"/>
      <c r="JDS69"/>
      <c r="JDT69"/>
      <c r="JDU69"/>
      <c r="JDV69"/>
      <c r="JDW69"/>
      <c r="JDX69"/>
      <c r="JDY69"/>
      <c r="JDZ69"/>
      <c r="JEA69"/>
      <c r="JEB69"/>
      <c r="JEC69"/>
      <c r="JED69"/>
      <c r="JEE69"/>
      <c r="JEF69"/>
      <c r="JEG69"/>
      <c r="JEH69"/>
      <c r="JEI69"/>
      <c r="JEJ69"/>
      <c r="JEK69"/>
      <c r="JEL69"/>
      <c r="JEM69"/>
      <c r="JEN69"/>
      <c r="JEO69"/>
      <c r="JEP69"/>
      <c r="JEQ69"/>
      <c r="JER69"/>
      <c r="JES69"/>
      <c r="JET69"/>
      <c r="JEU69"/>
      <c r="JEV69"/>
      <c r="JEW69"/>
      <c r="JEX69"/>
      <c r="JEY69"/>
      <c r="JEZ69"/>
      <c r="JFA69"/>
      <c r="JFB69"/>
      <c r="JFC69"/>
      <c r="JFD69"/>
      <c r="JFE69"/>
      <c r="JFF69"/>
      <c r="JFG69"/>
      <c r="JFH69"/>
      <c r="JFI69"/>
      <c r="JFJ69"/>
      <c r="JFK69"/>
      <c r="JFL69"/>
      <c r="JFM69"/>
      <c r="JFN69"/>
      <c r="JFO69"/>
      <c r="JFP69"/>
      <c r="JFQ69"/>
      <c r="JFR69"/>
      <c r="JFS69"/>
      <c r="JFT69"/>
      <c r="JFU69"/>
      <c r="JFV69"/>
      <c r="JFW69"/>
      <c r="JFX69"/>
      <c r="JFY69"/>
      <c r="JFZ69"/>
      <c r="JGA69"/>
      <c r="JGB69"/>
      <c r="JGC69"/>
      <c r="JGD69"/>
      <c r="JGE69"/>
      <c r="JGF69"/>
      <c r="JGG69"/>
      <c r="JGH69"/>
      <c r="JGI69"/>
      <c r="JGJ69"/>
      <c r="JGK69"/>
      <c r="JGL69"/>
      <c r="JGM69"/>
      <c r="JGN69"/>
      <c r="JGO69"/>
      <c r="JGP69"/>
      <c r="JGQ69"/>
      <c r="JGR69"/>
      <c r="JGS69"/>
      <c r="JGT69"/>
      <c r="JGU69"/>
      <c r="JGV69"/>
      <c r="JGW69"/>
      <c r="JGX69"/>
      <c r="JGY69"/>
      <c r="JGZ69"/>
      <c r="JHA69"/>
      <c r="JHB69"/>
      <c r="JHC69"/>
      <c r="JHD69"/>
      <c r="JHE69"/>
      <c r="JHF69"/>
      <c r="JHG69"/>
      <c r="JHH69"/>
      <c r="JHI69"/>
      <c r="JHJ69"/>
      <c r="JHK69"/>
      <c r="JHL69"/>
      <c r="JHM69"/>
      <c r="JHN69"/>
      <c r="JHO69"/>
      <c r="JHP69"/>
      <c r="JHQ69"/>
      <c r="JHR69"/>
      <c r="JHS69"/>
      <c r="JHT69"/>
      <c r="JHU69"/>
      <c r="JHV69"/>
      <c r="JHW69"/>
      <c r="JHX69"/>
      <c r="JHY69"/>
      <c r="JHZ69"/>
      <c r="JIA69"/>
      <c r="JIB69"/>
      <c r="JIC69"/>
      <c r="JID69"/>
      <c r="JIE69"/>
      <c r="JIF69"/>
      <c r="JIG69"/>
      <c r="JIH69"/>
      <c r="JII69"/>
      <c r="JIJ69"/>
      <c r="JIK69"/>
      <c r="JIL69"/>
      <c r="JIM69"/>
      <c r="JIN69"/>
      <c r="JIO69"/>
      <c r="JIP69"/>
      <c r="JIQ69"/>
      <c r="JIR69"/>
      <c r="JIS69"/>
      <c r="JIT69"/>
      <c r="JIU69"/>
      <c r="JIV69"/>
      <c r="JIW69"/>
      <c r="JIX69"/>
      <c r="JIY69"/>
      <c r="JIZ69"/>
      <c r="JJA69"/>
      <c r="JJB69"/>
      <c r="JJC69"/>
      <c r="JJD69"/>
      <c r="JJE69"/>
      <c r="JJF69"/>
      <c r="JJG69"/>
      <c r="JJH69"/>
      <c r="JJI69"/>
      <c r="JJJ69"/>
      <c r="JJK69"/>
      <c r="JJL69"/>
      <c r="JJM69"/>
      <c r="JJN69"/>
      <c r="JJO69"/>
      <c r="JJP69"/>
      <c r="JJQ69"/>
      <c r="JJR69"/>
      <c r="JJS69"/>
      <c r="JJT69"/>
      <c r="JJU69"/>
      <c r="JJV69"/>
      <c r="JJW69"/>
      <c r="JJX69"/>
      <c r="JJY69"/>
      <c r="JJZ69"/>
      <c r="JKA69"/>
      <c r="JKB69"/>
      <c r="JKC69"/>
      <c r="JKD69"/>
      <c r="JKE69"/>
      <c r="JKF69"/>
      <c r="JKG69"/>
      <c r="JKH69"/>
      <c r="JKI69"/>
      <c r="JKJ69"/>
      <c r="JKK69"/>
      <c r="JKL69"/>
      <c r="JKM69"/>
      <c r="JKN69"/>
      <c r="JKO69"/>
      <c r="JKP69"/>
      <c r="JKQ69"/>
      <c r="JKR69"/>
      <c r="JKS69"/>
      <c r="JKT69"/>
      <c r="JKU69"/>
      <c r="JKV69"/>
      <c r="JKW69"/>
      <c r="JKX69"/>
      <c r="JKY69"/>
      <c r="JKZ69"/>
      <c r="JLA69"/>
      <c r="JLB69"/>
      <c r="JLC69"/>
      <c r="JLD69"/>
      <c r="JLE69"/>
      <c r="JLF69"/>
      <c r="JLG69"/>
      <c r="JLH69"/>
      <c r="JLI69"/>
      <c r="JLJ69"/>
      <c r="JLK69"/>
      <c r="JLL69"/>
      <c r="JLM69"/>
      <c r="JLN69"/>
      <c r="JLO69"/>
      <c r="JLP69"/>
      <c r="JLQ69"/>
      <c r="JLR69"/>
      <c r="JLS69"/>
      <c r="JLT69"/>
      <c r="JLU69"/>
      <c r="JLV69"/>
      <c r="JLW69"/>
      <c r="JLX69"/>
      <c r="JLY69"/>
      <c r="JLZ69"/>
      <c r="JMA69"/>
      <c r="JMB69"/>
      <c r="JMC69"/>
      <c r="JMD69"/>
      <c r="JME69"/>
      <c r="JMF69"/>
      <c r="JMG69"/>
      <c r="JMH69"/>
      <c r="JMI69"/>
      <c r="JMJ69"/>
      <c r="JMK69"/>
      <c r="JML69"/>
      <c r="JMM69"/>
      <c r="JMN69"/>
      <c r="JMO69"/>
      <c r="JMP69"/>
      <c r="JMQ69"/>
      <c r="JMR69"/>
      <c r="JMS69"/>
      <c r="JMT69"/>
      <c r="JMU69"/>
      <c r="JMV69"/>
      <c r="JMW69"/>
      <c r="JMX69"/>
      <c r="JMY69"/>
      <c r="JMZ69"/>
      <c r="JNA69"/>
      <c r="JNB69"/>
      <c r="JNC69"/>
      <c r="JND69"/>
      <c r="JNE69"/>
      <c r="JNF69"/>
      <c r="JNG69"/>
      <c r="JNH69"/>
      <c r="JNI69"/>
      <c r="JNJ69"/>
      <c r="JNK69"/>
      <c r="JNL69"/>
      <c r="JNM69"/>
      <c r="JNN69"/>
      <c r="JNO69"/>
      <c r="JNP69"/>
      <c r="JNQ69"/>
      <c r="JNR69"/>
      <c r="JNS69"/>
      <c r="JNT69"/>
      <c r="JNU69"/>
      <c r="JNV69"/>
      <c r="JNW69"/>
      <c r="JNX69"/>
      <c r="JNY69"/>
      <c r="JNZ69"/>
      <c r="JOA69"/>
      <c r="JOB69"/>
      <c r="JOC69"/>
      <c r="JOD69"/>
      <c r="JOE69"/>
      <c r="JOF69"/>
      <c r="JOG69"/>
      <c r="JOH69"/>
      <c r="JOI69"/>
      <c r="JOJ69"/>
      <c r="JOK69"/>
      <c r="JOL69"/>
      <c r="JOM69"/>
      <c r="JON69"/>
      <c r="JOO69"/>
      <c r="JOP69"/>
      <c r="JOQ69"/>
      <c r="JOR69"/>
      <c r="JOS69"/>
      <c r="JOT69"/>
      <c r="JOU69"/>
      <c r="JOV69"/>
      <c r="JOW69"/>
      <c r="JOX69"/>
      <c r="JOY69"/>
      <c r="JOZ69"/>
      <c r="JPA69"/>
      <c r="JPB69"/>
      <c r="JPC69"/>
      <c r="JPD69"/>
      <c r="JPE69"/>
      <c r="JPF69"/>
      <c r="JPG69"/>
      <c r="JPH69"/>
      <c r="JPI69"/>
      <c r="JPJ69"/>
      <c r="JPK69"/>
      <c r="JPL69"/>
      <c r="JPM69"/>
      <c r="JPN69"/>
      <c r="JPO69"/>
      <c r="JPP69"/>
      <c r="JPQ69"/>
      <c r="JPR69"/>
      <c r="JPS69"/>
      <c r="JPT69"/>
      <c r="JPU69"/>
      <c r="JPV69"/>
      <c r="JPW69"/>
      <c r="JPX69"/>
      <c r="JPY69"/>
      <c r="JPZ69"/>
      <c r="JQA69"/>
      <c r="JQB69"/>
      <c r="JQC69"/>
      <c r="JQD69"/>
      <c r="JQE69"/>
      <c r="JQF69"/>
      <c r="JQG69"/>
      <c r="JQH69"/>
      <c r="JQI69"/>
      <c r="JQJ69"/>
      <c r="JQK69"/>
      <c r="JQL69"/>
      <c r="JQM69"/>
      <c r="JQN69"/>
      <c r="JQO69"/>
      <c r="JQP69"/>
      <c r="JQQ69"/>
      <c r="JQR69"/>
      <c r="JQS69"/>
      <c r="JQT69"/>
      <c r="JQU69"/>
      <c r="JQV69"/>
      <c r="JQW69"/>
      <c r="JQX69"/>
      <c r="JQY69"/>
      <c r="JQZ69"/>
      <c r="JRA69"/>
      <c r="JRB69"/>
      <c r="JRC69"/>
      <c r="JRD69"/>
      <c r="JRE69"/>
      <c r="JRF69"/>
      <c r="JRG69"/>
      <c r="JRH69"/>
      <c r="JRI69"/>
      <c r="JRJ69"/>
      <c r="JRK69"/>
      <c r="JRL69"/>
      <c r="JRM69"/>
      <c r="JRN69"/>
      <c r="JRO69"/>
      <c r="JRP69"/>
      <c r="JRQ69"/>
      <c r="JRR69"/>
      <c r="JRS69"/>
      <c r="JRT69"/>
      <c r="JRU69"/>
      <c r="JRV69"/>
      <c r="JRW69"/>
      <c r="JRX69"/>
      <c r="JRY69"/>
      <c r="JRZ69"/>
      <c r="JSA69"/>
      <c r="JSB69"/>
      <c r="JSC69"/>
      <c r="JSD69"/>
      <c r="JSE69"/>
      <c r="JSF69"/>
      <c r="JSG69"/>
      <c r="JSH69"/>
      <c r="JSI69"/>
      <c r="JSJ69"/>
      <c r="JSK69"/>
      <c r="JSL69"/>
      <c r="JSM69"/>
      <c r="JSN69"/>
      <c r="JSO69"/>
      <c r="JSP69"/>
      <c r="JSQ69"/>
      <c r="JSR69"/>
      <c r="JSS69"/>
      <c r="JST69"/>
      <c r="JSU69"/>
      <c r="JSV69"/>
      <c r="JSW69"/>
      <c r="JSX69"/>
      <c r="JSY69"/>
      <c r="JSZ69"/>
      <c r="JTA69"/>
      <c r="JTB69"/>
      <c r="JTC69"/>
      <c r="JTD69"/>
      <c r="JTE69"/>
      <c r="JTF69"/>
      <c r="JTG69"/>
      <c r="JTH69"/>
      <c r="JTI69"/>
      <c r="JTJ69"/>
      <c r="JTK69"/>
      <c r="JTL69"/>
      <c r="JTM69"/>
      <c r="JTN69"/>
      <c r="JTO69"/>
      <c r="JTP69"/>
      <c r="JTQ69"/>
      <c r="JTR69"/>
      <c r="JTS69"/>
      <c r="JTT69"/>
      <c r="JTU69"/>
      <c r="JTV69"/>
      <c r="JTW69"/>
      <c r="JTX69"/>
      <c r="JTY69"/>
      <c r="JTZ69"/>
      <c r="JUA69"/>
      <c r="JUB69"/>
      <c r="JUC69"/>
      <c r="JUD69"/>
      <c r="JUE69"/>
      <c r="JUF69"/>
      <c r="JUG69"/>
      <c r="JUH69"/>
      <c r="JUI69"/>
      <c r="JUJ69"/>
      <c r="JUK69"/>
      <c r="JUL69"/>
      <c r="JUM69"/>
      <c r="JUN69"/>
      <c r="JUO69"/>
      <c r="JUP69"/>
      <c r="JUQ69"/>
      <c r="JUR69"/>
      <c r="JUS69"/>
      <c r="JUT69"/>
      <c r="JUU69"/>
      <c r="JUV69"/>
      <c r="JUW69"/>
      <c r="JUX69"/>
      <c r="JUY69"/>
      <c r="JUZ69"/>
      <c r="JVA69"/>
      <c r="JVB69"/>
      <c r="JVC69"/>
      <c r="JVD69"/>
      <c r="JVE69"/>
      <c r="JVF69"/>
      <c r="JVG69"/>
      <c r="JVH69"/>
      <c r="JVI69"/>
      <c r="JVJ69"/>
      <c r="JVK69"/>
      <c r="JVL69"/>
      <c r="JVM69"/>
      <c r="JVN69"/>
      <c r="JVO69"/>
      <c r="JVP69"/>
      <c r="JVQ69"/>
      <c r="JVR69"/>
      <c r="JVS69"/>
      <c r="JVT69"/>
      <c r="JVU69"/>
      <c r="JVV69"/>
      <c r="JVW69"/>
      <c r="JVX69"/>
      <c r="JVY69"/>
      <c r="JVZ69"/>
      <c r="JWA69"/>
      <c r="JWB69"/>
      <c r="JWC69"/>
      <c r="JWD69"/>
      <c r="JWE69"/>
      <c r="JWF69"/>
      <c r="JWG69"/>
      <c r="JWH69"/>
      <c r="JWI69"/>
      <c r="JWJ69"/>
      <c r="JWK69"/>
      <c r="JWL69"/>
      <c r="JWM69"/>
      <c r="JWN69"/>
      <c r="JWO69"/>
      <c r="JWP69"/>
      <c r="JWQ69"/>
      <c r="JWR69"/>
      <c r="JWS69"/>
      <c r="JWT69"/>
      <c r="JWU69"/>
      <c r="JWV69"/>
      <c r="JWW69"/>
      <c r="JWX69"/>
      <c r="JWY69"/>
      <c r="JWZ69"/>
      <c r="JXA69"/>
      <c r="JXB69"/>
      <c r="JXC69"/>
      <c r="JXD69"/>
      <c r="JXE69"/>
      <c r="JXF69"/>
      <c r="JXG69"/>
      <c r="JXH69"/>
      <c r="JXI69"/>
      <c r="JXJ69"/>
      <c r="JXK69"/>
      <c r="JXL69"/>
      <c r="JXM69"/>
      <c r="JXN69"/>
      <c r="JXO69"/>
      <c r="JXP69"/>
      <c r="JXQ69"/>
      <c r="JXR69"/>
      <c r="JXS69"/>
      <c r="JXT69"/>
      <c r="JXU69"/>
      <c r="JXV69"/>
      <c r="JXW69"/>
      <c r="JXX69"/>
      <c r="JXY69"/>
      <c r="JXZ69"/>
      <c r="JYA69"/>
      <c r="JYB69"/>
      <c r="JYC69"/>
      <c r="JYD69"/>
      <c r="JYE69"/>
      <c r="JYF69"/>
      <c r="JYG69"/>
      <c r="JYH69"/>
      <c r="JYI69"/>
      <c r="JYJ69"/>
      <c r="JYK69"/>
      <c r="JYL69"/>
      <c r="JYM69"/>
      <c r="JYN69"/>
      <c r="JYO69"/>
      <c r="JYP69"/>
      <c r="JYQ69"/>
      <c r="JYR69"/>
      <c r="JYS69"/>
      <c r="JYT69"/>
      <c r="JYU69"/>
      <c r="JYV69"/>
      <c r="JYW69"/>
      <c r="JYX69"/>
      <c r="JYY69"/>
      <c r="JYZ69"/>
      <c r="JZA69"/>
      <c r="JZB69"/>
      <c r="JZC69"/>
      <c r="JZD69"/>
      <c r="JZE69"/>
      <c r="JZF69"/>
      <c r="JZG69"/>
      <c r="JZH69"/>
      <c r="JZI69"/>
      <c r="JZJ69"/>
      <c r="JZK69"/>
      <c r="JZL69"/>
      <c r="JZM69"/>
      <c r="JZN69"/>
      <c r="JZO69"/>
      <c r="JZP69"/>
      <c r="JZQ69"/>
      <c r="JZR69"/>
      <c r="JZS69"/>
      <c r="JZT69"/>
      <c r="JZU69"/>
      <c r="JZV69"/>
      <c r="JZW69"/>
      <c r="JZX69"/>
      <c r="JZY69"/>
      <c r="JZZ69"/>
      <c r="KAA69"/>
      <c r="KAB69"/>
      <c r="KAC69"/>
      <c r="KAD69"/>
      <c r="KAE69"/>
      <c r="KAF69"/>
      <c r="KAG69"/>
      <c r="KAH69"/>
      <c r="KAI69"/>
      <c r="KAJ69"/>
      <c r="KAK69"/>
      <c r="KAL69"/>
      <c r="KAM69"/>
      <c r="KAN69"/>
      <c r="KAO69"/>
      <c r="KAP69"/>
      <c r="KAQ69"/>
      <c r="KAR69"/>
      <c r="KAS69"/>
      <c r="KAT69"/>
      <c r="KAU69"/>
      <c r="KAV69"/>
      <c r="KAW69"/>
      <c r="KAX69"/>
      <c r="KAY69"/>
      <c r="KAZ69"/>
      <c r="KBA69"/>
      <c r="KBB69"/>
      <c r="KBC69"/>
      <c r="KBD69"/>
      <c r="KBE69"/>
      <c r="KBF69"/>
      <c r="KBG69"/>
      <c r="KBH69"/>
      <c r="KBI69"/>
      <c r="KBJ69"/>
      <c r="KBK69"/>
      <c r="KBL69"/>
      <c r="KBM69"/>
      <c r="KBN69"/>
      <c r="KBO69"/>
      <c r="KBP69"/>
      <c r="KBQ69"/>
      <c r="KBR69"/>
      <c r="KBS69"/>
      <c r="KBT69"/>
      <c r="KBU69"/>
      <c r="KBV69"/>
      <c r="KBW69"/>
      <c r="KBX69"/>
      <c r="KBY69"/>
      <c r="KBZ69"/>
      <c r="KCA69"/>
      <c r="KCB69"/>
      <c r="KCC69"/>
      <c r="KCD69"/>
      <c r="KCE69"/>
      <c r="KCF69"/>
      <c r="KCG69"/>
      <c r="KCH69"/>
      <c r="KCI69"/>
      <c r="KCJ69"/>
      <c r="KCK69"/>
      <c r="KCL69"/>
      <c r="KCM69"/>
      <c r="KCN69"/>
      <c r="KCO69"/>
      <c r="KCP69"/>
      <c r="KCQ69"/>
      <c r="KCR69"/>
      <c r="KCS69"/>
      <c r="KCT69"/>
      <c r="KCU69"/>
      <c r="KCV69"/>
      <c r="KCW69"/>
      <c r="KCX69"/>
      <c r="KCY69"/>
      <c r="KCZ69"/>
      <c r="KDA69"/>
      <c r="KDB69"/>
      <c r="KDC69"/>
      <c r="KDD69"/>
      <c r="KDE69"/>
      <c r="KDF69"/>
      <c r="KDG69"/>
      <c r="KDH69"/>
      <c r="KDI69"/>
      <c r="KDJ69"/>
      <c r="KDK69"/>
      <c r="KDL69"/>
      <c r="KDM69"/>
      <c r="KDN69"/>
      <c r="KDO69"/>
      <c r="KDP69"/>
      <c r="KDQ69"/>
      <c r="KDR69"/>
      <c r="KDS69"/>
      <c r="KDT69"/>
      <c r="KDU69"/>
      <c r="KDV69"/>
      <c r="KDW69"/>
      <c r="KDX69"/>
      <c r="KDY69"/>
      <c r="KDZ69"/>
      <c r="KEA69"/>
      <c r="KEB69"/>
      <c r="KEC69"/>
      <c r="KED69"/>
      <c r="KEE69"/>
      <c r="KEF69"/>
      <c r="KEG69"/>
      <c r="KEH69"/>
      <c r="KEI69"/>
      <c r="KEJ69"/>
      <c r="KEK69"/>
      <c r="KEL69"/>
      <c r="KEM69"/>
      <c r="KEN69"/>
      <c r="KEO69"/>
      <c r="KEP69"/>
      <c r="KEQ69"/>
      <c r="KER69"/>
      <c r="KES69"/>
      <c r="KET69"/>
      <c r="KEU69"/>
      <c r="KEV69"/>
      <c r="KEW69"/>
      <c r="KEX69"/>
      <c r="KEY69"/>
      <c r="KEZ69"/>
      <c r="KFA69"/>
      <c r="KFB69"/>
      <c r="KFC69"/>
      <c r="KFD69"/>
      <c r="KFE69"/>
      <c r="KFF69"/>
      <c r="KFG69"/>
      <c r="KFH69"/>
      <c r="KFI69"/>
      <c r="KFJ69"/>
      <c r="KFK69"/>
      <c r="KFL69"/>
      <c r="KFM69"/>
      <c r="KFN69"/>
      <c r="KFO69"/>
      <c r="KFP69"/>
      <c r="KFQ69"/>
      <c r="KFR69"/>
      <c r="KFS69"/>
      <c r="KFT69"/>
      <c r="KFU69"/>
      <c r="KFV69"/>
      <c r="KFW69"/>
      <c r="KFX69"/>
      <c r="KFY69"/>
      <c r="KFZ69"/>
      <c r="KGA69"/>
      <c r="KGB69"/>
      <c r="KGC69"/>
      <c r="KGD69"/>
      <c r="KGE69"/>
      <c r="KGF69"/>
      <c r="KGG69"/>
      <c r="KGH69"/>
      <c r="KGI69"/>
      <c r="KGJ69"/>
      <c r="KGK69"/>
      <c r="KGL69"/>
      <c r="KGM69"/>
      <c r="KGN69"/>
      <c r="KGO69"/>
      <c r="KGP69"/>
      <c r="KGQ69"/>
      <c r="KGR69"/>
      <c r="KGS69"/>
      <c r="KGT69"/>
      <c r="KGU69"/>
      <c r="KGV69"/>
      <c r="KGW69"/>
      <c r="KGX69"/>
      <c r="KGY69"/>
      <c r="KGZ69"/>
      <c r="KHA69"/>
      <c r="KHB69"/>
      <c r="KHC69"/>
      <c r="KHD69"/>
      <c r="KHE69"/>
      <c r="KHF69"/>
      <c r="KHG69"/>
      <c r="KHH69"/>
      <c r="KHI69"/>
      <c r="KHJ69"/>
      <c r="KHK69"/>
      <c r="KHL69"/>
      <c r="KHM69"/>
      <c r="KHN69"/>
      <c r="KHO69"/>
      <c r="KHP69"/>
      <c r="KHQ69"/>
      <c r="KHR69"/>
      <c r="KHS69"/>
      <c r="KHT69"/>
      <c r="KHU69"/>
      <c r="KHV69"/>
      <c r="KHW69"/>
      <c r="KHX69"/>
      <c r="KHY69"/>
      <c r="KHZ69"/>
      <c r="KIA69"/>
      <c r="KIB69"/>
      <c r="KIC69"/>
      <c r="KID69"/>
      <c r="KIE69"/>
      <c r="KIF69"/>
      <c r="KIG69"/>
      <c r="KIH69"/>
      <c r="KII69"/>
      <c r="KIJ69"/>
      <c r="KIK69"/>
      <c r="KIL69"/>
      <c r="KIM69"/>
      <c r="KIN69"/>
      <c r="KIO69"/>
      <c r="KIP69"/>
      <c r="KIQ69"/>
      <c r="KIR69"/>
      <c r="KIS69"/>
      <c r="KIT69"/>
      <c r="KIU69"/>
      <c r="KIV69"/>
      <c r="KIW69"/>
      <c r="KIX69"/>
      <c r="KIY69"/>
      <c r="KIZ69"/>
      <c r="KJA69"/>
      <c r="KJB69"/>
      <c r="KJC69"/>
      <c r="KJD69"/>
      <c r="KJE69"/>
      <c r="KJF69"/>
      <c r="KJG69"/>
      <c r="KJH69"/>
      <c r="KJI69"/>
      <c r="KJJ69"/>
      <c r="KJK69"/>
      <c r="KJL69"/>
      <c r="KJM69"/>
      <c r="KJN69"/>
      <c r="KJO69"/>
      <c r="KJP69"/>
      <c r="KJQ69"/>
      <c r="KJR69"/>
      <c r="KJS69"/>
      <c r="KJT69"/>
      <c r="KJU69"/>
      <c r="KJV69"/>
      <c r="KJW69"/>
      <c r="KJX69"/>
      <c r="KJY69"/>
      <c r="KJZ69"/>
      <c r="KKA69"/>
      <c r="KKB69"/>
      <c r="KKC69"/>
      <c r="KKD69"/>
      <c r="KKE69"/>
      <c r="KKF69"/>
      <c r="KKG69"/>
      <c r="KKH69"/>
      <c r="KKI69"/>
      <c r="KKJ69"/>
      <c r="KKK69"/>
      <c r="KKL69"/>
      <c r="KKM69"/>
      <c r="KKN69"/>
      <c r="KKO69"/>
      <c r="KKP69"/>
      <c r="KKQ69"/>
      <c r="KKR69"/>
      <c r="KKS69"/>
      <c r="KKT69"/>
      <c r="KKU69"/>
      <c r="KKV69"/>
      <c r="KKW69"/>
      <c r="KKX69"/>
      <c r="KKY69"/>
      <c r="KKZ69"/>
      <c r="KLA69"/>
      <c r="KLB69"/>
      <c r="KLC69"/>
      <c r="KLD69"/>
      <c r="KLE69"/>
      <c r="KLF69"/>
      <c r="KLG69"/>
      <c r="KLH69"/>
      <c r="KLI69"/>
      <c r="KLJ69"/>
      <c r="KLK69"/>
      <c r="KLL69"/>
      <c r="KLM69"/>
      <c r="KLN69"/>
      <c r="KLO69"/>
      <c r="KLP69"/>
      <c r="KLQ69"/>
      <c r="KLR69"/>
      <c r="KLS69"/>
      <c r="KLT69"/>
      <c r="KLU69"/>
      <c r="KLV69"/>
      <c r="KLW69"/>
      <c r="KLX69"/>
      <c r="KLY69"/>
      <c r="KLZ69"/>
      <c r="KMA69"/>
      <c r="KMB69"/>
      <c r="KMC69"/>
      <c r="KMD69"/>
      <c r="KME69"/>
      <c r="KMF69"/>
      <c r="KMG69"/>
      <c r="KMH69"/>
      <c r="KMI69"/>
      <c r="KMJ69"/>
      <c r="KMK69"/>
      <c r="KML69"/>
      <c r="KMM69"/>
      <c r="KMN69"/>
      <c r="KMO69"/>
      <c r="KMP69"/>
      <c r="KMQ69"/>
      <c r="KMR69"/>
      <c r="KMS69"/>
      <c r="KMT69"/>
      <c r="KMU69"/>
      <c r="KMV69"/>
      <c r="KMW69"/>
      <c r="KMX69"/>
      <c r="KMY69"/>
      <c r="KMZ69"/>
      <c r="KNA69"/>
      <c r="KNB69"/>
      <c r="KNC69"/>
      <c r="KND69"/>
      <c r="KNE69"/>
      <c r="KNF69"/>
      <c r="KNG69"/>
      <c r="KNH69"/>
      <c r="KNI69"/>
      <c r="KNJ69"/>
      <c r="KNK69"/>
      <c r="KNL69"/>
      <c r="KNM69"/>
      <c r="KNN69"/>
      <c r="KNO69"/>
      <c r="KNP69"/>
      <c r="KNQ69"/>
      <c r="KNR69"/>
      <c r="KNS69"/>
      <c r="KNT69"/>
      <c r="KNU69"/>
      <c r="KNV69"/>
      <c r="KNW69"/>
      <c r="KNX69"/>
      <c r="KNY69"/>
      <c r="KNZ69"/>
      <c r="KOA69"/>
      <c r="KOB69"/>
      <c r="KOC69"/>
      <c r="KOD69"/>
      <c r="KOE69"/>
      <c r="KOF69"/>
      <c r="KOG69"/>
      <c r="KOH69"/>
      <c r="KOI69"/>
      <c r="KOJ69"/>
      <c r="KOK69"/>
      <c r="KOL69"/>
      <c r="KOM69"/>
      <c r="KON69"/>
      <c r="KOO69"/>
      <c r="KOP69"/>
      <c r="KOQ69"/>
      <c r="KOR69"/>
      <c r="KOS69"/>
      <c r="KOT69"/>
      <c r="KOU69"/>
      <c r="KOV69"/>
      <c r="KOW69"/>
      <c r="KOX69"/>
      <c r="KOY69"/>
      <c r="KOZ69"/>
      <c r="KPA69"/>
      <c r="KPB69"/>
      <c r="KPC69"/>
      <c r="KPD69"/>
      <c r="KPE69"/>
      <c r="KPF69"/>
      <c r="KPG69"/>
      <c r="KPH69"/>
      <c r="KPI69"/>
      <c r="KPJ69"/>
      <c r="KPK69"/>
      <c r="KPL69"/>
      <c r="KPM69"/>
      <c r="KPN69"/>
      <c r="KPO69"/>
      <c r="KPP69"/>
      <c r="KPQ69"/>
      <c r="KPR69"/>
      <c r="KPS69"/>
      <c r="KPT69"/>
      <c r="KPU69"/>
      <c r="KPV69"/>
      <c r="KPW69"/>
      <c r="KPX69"/>
      <c r="KPY69"/>
      <c r="KPZ69"/>
      <c r="KQA69"/>
      <c r="KQB69"/>
      <c r="KQC69"/>
      <c r="KQD69"/>
      <c r="KQE69"/>
      <c r="KQF69"/>
      <c r="KQG69"/>
      <c r="KQH69"/>
      <c r="KQI69"/>
      <c r="KQJ69"/>
      <c r="KQK69"/>
      <c r="KQL69"/>
      <c r="KQM69"/>
      <c r="KQN69"/>
      <c r="KQO69"/>
      <c r="KQP69"/>
      <c r="KQQ69"/>
      <c r="KQR69"/>
      <c r="KQS69"/>
      <c r="KQT69"/>
      <c r="KQU69"/>
      <c r="KQV69"/>
      <c r="KQW69"/>
      <c r="KQX69"/>
      <c r="KQY69"/>
      <c r="KQZ69"/>
      <c r="KRA69"/>
      <c r="KRB69"/>
      <c r="KRC69"/>
      <c r="KRD69"/>
      <c r="KRE69"/>
      <c r="KRF69"/>
      <c r="KRG69"/>
      <c r="KRH69"/>
      <c r="KRI69"/>
      <c r="KRJ69"/>
      <c r="KRK69"/>
      <c r="KRL69"/>
      <c r="KRM69"/>
      <c r="KRN69"/>
      <c r="KRO69"/>
      <c r="KRP69"/>
      <c r="KRQ69"/>
      <c r="KRR69"/>
      <c r="KRS69"/>
      <c r="KRT69"/>
      <c r="KRU69"/>
      <c r="KRV69"/>
      <c r="KRW69"/>
      <c r="KRX69"/>
      <c r="KRY69"/>
      <c r="KRZ69"/>
      <c r="KSA69"/>
      <c r="KSB69"/>
      <c r="KSC69"/>
      <c r="KSD69"/>
      <c r="KSE69"/>
      <c r="KSF69"/>
      <c r="KSG69"/>
      <c r="KSH69"/>
      <c r="KSI69"/>
      <c r="KSJ69"/>
      <c r="KSK69"/>
      <c r="KSL69"/>
      <c r="KSM69"/>
      <c r="KSN69"/>
      <c r="KSO69"/>
      <c r="KSP69"/>
      <c r="KSQ69"/>
      <c r="KSR69"/>
      <c r="KSS69"/>
      <c r="KST69"/>
      <c r="KSU69"/>
      <c r="KSV69"/>
      <c r="KSW69"/>
      <c r="KSX69"/>
      <c r="KSY69"/>
      <c r="KSZ69"/>
      <c r="KTA69"/>
      <c r="KTB69"/>
      <c r="KTC69"/>
      <c r="KTD69"/>
      <c r="KTE69"/>
      <c r="KTF69"/>
      <c r="KTG69"/>
      <c r="KTH69"/>
      <c r="KTI69"/>
      <c r="KTJ69"/>
      <c r="KTK69"/>
      <c r="KTL69"/>
      <c r="KTM69"/>
      <c r="KTN69"/>
      <c r="KTO69"/>
      <c r="KTP69"/>
      <c r="KTQ69"/>
      <c r="KTR69"/>
      <c r="KTS69"/>
      <c r="KTT69"/>
      <c r="KTU69"/>
      <c r="KTV69"/>
      <c r="KTW69"/>
      <c r="KTX69"/>
      <c r="KTY69"/>
      <c r="KTZ69"/>
      <c r="KUA69"/>
      <c r="KUB69"/>
      <c r="KUC69"/>
      <c r="KUD69"/>
      <c r="KUE69"/>
      <c r="KUF69"/>
      <c r="KUG69"/>
      <c r="KUH69"/>
      <c r="KUI69"/>
      <c r="KUJ69"/>
      <c r="KUK69"/>
      <c r="KUL69"/>
      <c r="KUM69"/>
      <c r="KUN69"/>
      <c r="KUO69"/>
      <c r="KUP69"/>
      <c r="KUQ69"/>
      <c r="KUR69"/>
      <c r="KUS69"/>
      <c r="KUT69"/>
      <c r="KUU69"/>
      <c r="KUV69"/>
      <c r="KUW69"/>
      <c r="KUX69"/>
      <c r="KUY69"/>
      <c r="KUZ69"/>
      <c r="KVA69"/>
      <c r="KVB69"/>
      <c r="KVC69"/>
      <c r="KVD69"/>
      <c r="KVE69"/>
      <c r="KVF69"/>
      <c r="KVG69"/>
      <c r="KVH69"/>
      <c r="KVI69"/>
      <c r="KVJ69"/>
      <c r="KVK69"/>
      <c r="KVL69"/>
      <c r="KVM69"/>
      <c r="KVN69"/>
      <c r="KVO69"/>
      <c r="KVP69"/>
      <c r="KVQ69"/>
      <c r="KVR69"/>
      <c r="KVS69"/>
      <c r="KVT69"/>
      <c r="KVU69"/>
      <c r="KVV69"/>
      <c r="KVW69"/>
      <c r="KVX69"/>
      <c r="KVY69"/>
      <c r="KVZ69"/>
      <c r="KWA69"/>
      <c r="KWB69"/>
      <c r="KWC69"/>
      <c r="KWD69"/>
      <c r="KWE69"/>
      <c r="KWF69"/>
      <c r="KWG69"/>
      <c r="KWH69"/>
      <c r="KWI69"/>
      <c r="KWJ69"/>
      <c r="KWK69"/>
      <c r="KWL69"/>
      <c r="KWM69"/>
      <c r="KWN69"/>
      <c r="KWO69"/>
      <c r="KWP69"/>
      <c r="KWQ69"/>
      <c r="KWR69"/>
      <c r="KWS69"/>
      <c r="KWT69"/>
      <c r="KWU69"/>
      <c r="KWV69"/>
      <c r="KWW69"/>
      <c r="KWX69"/>
      <c r="KWY69"/>
      <c r="KWZ69"/>
      <c r="KXA69"/>
      <c r="KXB69"/>
      <c r="KXC69"/>
      <c r="KXD69"/>
      <c r="KXE69"/>
      <c r="KXF69"/>
      <c r="KXG69"/>
      <c r="KXH69"/>
      <c r="KXI69"/>
      <c r="KXJ69"/>
      <c r="KXK69"/>
      <c r="KXL69"/>
      <c r="KXM69"/>
      <c r="KXN69"/>
      <c r="KXO69"/>
      <c r="KXP69"/>
      <c r="KXQ69"/>
      <c r="KXR69"/>
      <c r="KXS69"/>
      <c r="KXT69"/>
      <c r="KXU69"/>
      <c r="KXV69"/>
      <c r="KXW69"/>
      <c r="KXX69"/>
      <c r="KXY69"/>
      <c r="KXZ69"/>
      <c r="KYA69"/>
      <c r="KYB69"/>
      <c r="KYC69"/>
      <c r="KYD69"/>
      <c r="KYE69"/>
      <c r="KYF69"/>
      <c r="KYG69"/>
      <c r="KYH69"/>
      <c r="KYI69"/>
      <c r="KYJ69"/>
      <c r="KYK69"/>
      <c r="KYL69"/>
      <c r="KYM69"/>
      <c r="KYN69"/>
      <c r="KYO69"/>
      <c r="KYP69"/>
      <c r="KYQ69"/>
      <c r="KYR69"/>
      <c r="KYS69"/>
      <c r="KYT69"/>
      <c r="KYU69"/>
      <c r="KYV69"/>
      <c r="KYW69"/>
      <c r="KYX69"/>
      <c r="KYY69"/>
      <c r="KYZ69"/>
      <c r="KZA69"/>
      <c r="KZB69"/>
      <c r="KZC69"/>
      <c r="KZD69"/>
      <c r="KZE69"/>
      <c r="KZF69"/>
      <c r="KZG69"/>
      <c r="KZH69"/>
      <c r="KZI69"/>
      <c r="KZJ69"/>
      <c r="KZK69"/>
      <c r="KZL69"/>
      <c r="KZM69"/>
      <c r="KZN69"/>
      <c r="KZO69"/>
      <c r="KZP69"/>
      <c r="KZQ69"/>
      <c r="KZR69"/>
      <c r="KZS69"/>
      <c r="KZT69"/>
      <c r="KZU69"/>
      <c r="KZV69"/>
      <c r="KZW69"/>
      <c r="KZX69"/>
      <c r="KZY69"/>
      <c r="KZZ69"/>
      <c r="LAA69"/>
      <c r="LAB69"/>
      <c r="LAC69"/>
      <c r="LAD69"/>
      <c r="LAE69"/>
      <c r="LAF69"/>
      <c r="LAG69"/>
      <c r="LAH69"/>
      <c r="LAI69"/>
      <c r="LAJ69"/>
      <c r="LAK69"/>
      <c r="LAL69"/>
      <c r="LAM69"/>
      <c r="LAN69"/>
      <c r="LAO69"/>
      <c r="LAP69"/>
      <c r="LAQ69"/>
      <c r="LAR69"/>
      <c r="LAS69"/>
      <c r="LAT69"/>
      <c r="LAU69"/>
      <c r="LAV69"/>
      <c r="LAW69"/>
      <c r="LAX69"/>
      <c r="LAY69"/>
      <c r="LAZ69"/>
      <c r="LBA69"/>
      <c r="LBB69"/>
      <c r="LBC69"/>
      <c r="LBD69"/>
      <c r="LBE69"/>
      <c r="LBF69"/>
      <c r="LBG69"/>
      <c r="LBH69"/>
      <c r="LBI69"/>
      <c r="LBJ69"/>
      <c r="LBK69"/>
      <c r="LBL69"/>
      <c r="LBM69"/>
      <c r="LBN69"/>
      <c r="LBO69"/>
      <c r="LBP69"/>
      <c r="LBQ69"/>
      <c r="LBR69"/>
      <c r="LBS69"/>
      <c r="LBT69"/>
      <c r="LBU69"/>
      <c r="LBV69"/>
      <c r="LBW69"/>
      <c r="LBX69"/>
      <c r="LBY69"/>
      <c r="LBZ69"/>
      <c r="LCA69"/>
      <c r="LCB69"/>
      <c r="LCC69"/>
      <c r="LCD69"/>
      <c r="LCE69"/>
      <c r="LCF69"/>
      <c r="LCG69"/>
      <c r="LCH69"/>
      <c r="LCI69"/>
      <c r="LCJ69"/>
      <c r="LCK69"/>
      <c r="LCL69"/>
      <c r="LCM69"/>
      <c r="LCN69"/>
      <c r="LCO69"/>
      <c r="LCP69"/>
      <c r="LCQ69"/>
      <c r="LCR69"/>
      <c r="LCS69"/>
      <c r="LCT69"/>
      <c r="LCU69"/>
      <c r="LCV69"/>
      <c r="LCW69"/>
      <c r="LCX69"/>
      <c r="LCY69"/>
      <c r="LCZ69"/>
      <c r="LDA69"/>
      <c r="LDB69"/>
      <c r="LDC69"/>
      <c r="LDD69"/>
      <c r="LDE69"/>
      <c r="LDF69"/>
      <c r="LDG69"/>
      <c r="LDH69"/>
      <c r="LDI69"/>
      <c r="LDJ69"/>
      <c r="LDK69"/>
      <c r="LDL69"/>
      <c r="LDM69"/>
      <c r="LDN69"/>
      <c r="LDO69"/>
      <c r="LDP69"/>
      <c r="LDQ69"/>
      <c r="LDR69"/>
      <c r="LDS69"/>
      <c r="LDT69"/>
      <c r="LDU69"/>
      <c r="LDV69"/>
      <c r="LDW69"/>
      <c r="LDX69"/>
      <c r="LDY69"/>
      <c r="LDZ69"/>
      <c r="LEA69"/>
      <c r="LEB69"/>
      <c r="LEC69"/>
      <c r="LED69"/>
      <c r="LEE69"/>
      <c r="LEF69"/>
      <c r="LEG69"/>
      <c r="LEH69"/>
      <c r="LEI69"/>
      <c r="LEJ69"/>
      <c r="LEK69"/>
      <c r="LEL69"/>
      <c r="LEM69"/>
      <c r="LEN69"/>
      <c r="LEO69"/>
      <c r="LEP69"/>
      <c r="LEQ69"/>
      <c r="LER69"/>
      <c r="LES69"/>
      <c r="LET69"/>
      <c r="LEU69"/>
      <c r="LEV69"/>
      <c r="LEW69"/>
      <c r="LEX69"/>
      <c r="LEY69"/>
      <c r="LEZ69"/>
      <c r="LFA69"/>
      <c r="LFB69"/>
      <c r="LFC69"/>
      <c r="LFD69"/>
      <c r="LFE69"/>
      <c r="LFF69"/>
      <c r="LFG69"/>
      <c r="LFH69"/>
      <c r="LFI69"/>
      <c r="LFJ69"/>
      <c r="LFK69"/>
      <c r="LFL69"/>
      <c r="LFM69"/>
      <c r="LFN69"/>
      <c r="LFO69"/>
      <c r="LFP69"/>
      <c r="LFQ69"/>
      <c r="LFR69"/>
      <c r="LFS69"/>
      <c r="LFT69"/>
      <c r="LFU69"/>
      <c r="LFV69"/>
      <c r="LFW69"/>
      <c r="LFX69"/>
      <c r="LFY69"/>
      <c r="LFZ69"/>
      <c r="LGA69"/>
      <c r="LGB69"/>
      <c r="LGC69"/>
      <c r="LGD69"/>
      <c r="LGE69"/>
      <c r="LGF69"/>
      <c r="LGG69"/>
      <c r="LGH69"/>
      <c r="LGI69"/>
      <c r="LGJ69"/>
      <c r="LGK69"/>
      <c r="LGL69"/>
      <c r="LGM69"/>
      <c r="LGN69"/>
      <c r="LGO69"/>
      <c r="LGP69"/>
      <c r="LGQ69"/>
      <c r="LGR69"/>
      <c r="LGS69"/>
      <c r="LGT69"/>
      <c r="LGU69"/>
      <c r="LGV69"/>
      <c r="LGW69"/>
      <c r="LGX69"/>
      <c r="LGY69"/>
      <c r="LGZ69"/>
      <c r="LHA69"/>
      <c r="LHB69"/>
      <c r="LHC69"/>
      <c r="LHD69"/>
      <c r="LHE69"/>
      <c r="LHF69"/>
      <c r="LHG69"/>
      <c r="LHH69"/>
      <c r="LHI69"/>
      <c r="LHJ69"/>
      <c r="LHK69"/>
      <c r="LHL69"/>
      <c r="LHM69"/>
      <c r="LHN69"/>
      <c r="LHO69"/>
      <c r="LHP69"/>
      <c r="LHQ69"/>
      <c r="LHR69"/>
      <c r="LHS69"/>
      <c r="LHT69"/>
      <c r="LHU69"/>
      <c r="LHV69"/>
      <c r="LHW69"/>
      <c r="LHX69"/>
      <c r="LHY69"/>
      <c r="LHZ69"/>
      <c r="LIA69"/>
      <c r="LIB69"/>
      <c r="LIC69"/>
      <c r="LID69"/>
      <c r="LIE69"/>
      <c r="LIF69"/>
      <c r="LIG69"/>
      <c r="LIH69"/>
      <c r="LII69"/>
      <c r="LIJ69"/>
      <c r="LIK69"/>
      <c r="LIL69"/>
      <c r="LIM69"/>
      <c r="LIN69"/>
      <c r="LIO69"/>
      <c r="LIP69"/>
      <c r="LIQ69"/>
      <c r="LIR69"/>
      <c r="LIS69"/>
      <c r="LIT69"/>
      <c r="LIU69"/>
      <c r="LIV69"/>
      <c r="LIW69"/>
      <c r="LIX69"/>
      <c r="LIY69"/>
      <c r="LIZ69"/>
      <c r="LJA69"/>
      <c r="LJB69"/>
      <c r="LJC69"/>
      <c r="LJD69"/>
      <c r="LJE69"/>
      <c r="LJF69"/>
      <c r="LJG69"/>
      <c r="LJH69"/>
      <c r="LJI69"/>
      <c r="LJJ69"/>
      <c r="LJK69"/>
      <c r="LJL69"/>
      <c r="LJM69"/>
      <c r="LJN69"/>
      <c r="LJO69"/>
      <c r="LJP69"/>
      <c r="LJQ69"/>
      <c r="LJR69"/>
      <c r="LJS69"/>
      <c r="LJT69"/>
      <c r="LJU69"/>
      <c r="LJV69"/>
      <c r="LJW69"/>
      <c r="LJX69"/>
      <c r="LJY69"/>
      <c r="LJZ69"/>
      <c r="LKA69"/>
      <c r="LKB69"/>
      <c r="LKC69"/>
      <c r="LKD69"/>
      <c r="LKE69"/>
      <c r="LKF69"/>
      <c r="LKG69"/>
      <c r="LKH69"/>
      <c r="LKI69"/>
      <c r="LKJ69"/>
      <c r="LKK69"/>
      <c r="LKL69"/>
      <c r="LKM69"/>
      <c r="LKN69"/>
      <c r="LKO69"/>
      <c r="LKP69"/>
      <c r="LKQ69"/>
      <c r="LKR69"/>
      <c r="LKS69"/>
      <c r="LKT69"/>
      <c r="LKU69"/>
      <c r="LKV69"/>
      <c r="LKW69"/>
      <c r="LKX69"/>
      <c r="LKY69"/>
      <c r="LKZ69"/>
      <c r="LLA69"/>
      <c r="LLB69"/>
      <c r="LLC69"/>
      <c r="LLD69"/>
      <c r="LLE69"/>
      <c r="LLF69"/>
      <c r="LLG69"/>
      <c r="LLH69"/>
      <c r="LLI69"/>
      <c r="LLJ69"/>
      <c r="LLK69"/>
      <c r="LLL69"/>
      <c r="LLM69"/>
      <c r="LLN69"/>
      <c r="LLO69"/>
      <c r="LLP69"/>
      <c r="LLQ69"/>
      <c r="LLR69"/>
      <c r="LLS69"/>
      <c r="LLT69"/>
      <c r="LLU69"/>
      <c r="LLV69"/>
      <c r="LLW69"/>
      <c r="LLX69"/>
      <c r="LLY69"/>
      <c r="LLZ69"/>
      <c r="LMA69"/>
      <c r="LMB69"/>
      <c r="LMC69"/>
      <c r="LMD69"/>
      <c r="LME69"/>
      <c r="LMF69"/>
      <c r="LMG69"/>
      <c r="LMH69"/>
      <c r="LMI69"/>
      <c r="LMJ69"/>
      <c r="LMK69"/>
      <c r="LML69"/>
      <c r="LMM69"/>
      <c r="LMN69"/>
      <c r="LMO69"/>
      <c r="LMP69"/>
      <c r="LMQ69"/>
      <c r="LMR69"/>
      <c r="LMS69"/>
      <c r="LMT69"/>
      <c r="LMU69"/>
      <c r="LMV69"/>
      <c r="LMW69"/>
      <c r="LMX69"/>
      <c r="LMY69"/>
      <c r="LMZ69"/>
      <c r="LNA69"/>
      <c r="LNB69"/>
      <c r="LNC69"/>
      <c r="LND69"/>
      <c r="LNE69"/>
      <c r="LNF69"/>
      <c r="LNG69"/>
      <c r="LNH69"/>
      <c r="LNI69"/>
      <c r="LNJ69"/>
      <c r="LNK69"/>
      <c r="LNL69"/>
      <c r="LNM69"/>
      <c r="LNN69"/>
      <c r="LNO69"/>
      <c r="LNP69"/>
      <c r="LNQ69"/>
      <c r="LNR69"/>
      <c r="LNS69"/>
      <c r="LNT69"/>
      <c r="LNU69"/>
      <c r="LNV69"/>
      <c r="LNW69"/>
      <c r="LNX69"/>
      <c r="LNY69"/>
      <c r="LNZ69"/>
      <c r="LOA69"/>
      <c r="LOB69"/>
      <c r="LOC69"/>
      <c r="LOD69"/>
      <c r="LOE69"/>
      <c r="LOF69"/>
      <c r="LOG69"/>
      <c r="LOH69"/>
      <c r="LOI69"/>
      <c r="LOJ69"/>
      <c r="LOK69"/>
      <c r="LOL69"/>
      <c r="LOM69"/>
      <c r="LON69"/>
      <c r="LOO69"/>
      <c r="LOP69"/>
      <c r="LOQ69"/>
      <c r="LOR69"/>
      <c r="LOS69"/>
      <c r="LOT69"/>
      <c r="LOU69"/>
      <c r="LOV69"/>
      <c r="LOW69"/>
      <c r="LOX69"/>
      <c r="LOY69"/>
      <c r="LOZ69"/>
      <c r="LPA69"/>
      <c r="LPB69"/>
      <c r="LPC69"/>
      <c r="LPD69"/>
      <c r="LPE69"/>
      <c r="LPF69"/>
      <c r="LPG69"/>
      <c r="LPH69"/>
      <c r="LPI69"/>
      <c r="LPJ69"/>
      <c r="LPK69"/>
      <c r="LPL69"/>
      <c r="LPM69"/>
      <c r="LPN69"/>
      <c r="LPO69"/>
      <c r="LPP69"/>
      <c r="LPQ69"/>
      <c r="LPR69"/>
      <c r="LPS69"/>
      <c r="LPT69"/>
      <c r="LPU69"/>
      <c r="LPV69"/>
      <c r="LPW69"/>
      <c r="LPX69"/>
      <c r="LPY69"/>
      <c r="LPZ69"/>
      <c r="LQA69"/>
      <c r="LQB69"/>
      <c r="LQC69"/>
      <c r="LQD69"/>
      <c r="LQE69"/>
      <c r="LQF69"/>
      <c r="LQG69"/>
      <c r="LQH69"/>
      <c r="LQI69"/>
      <c r="LQJ69"/>
      <c r="LQK69"/>
      <c r="LQL69"/>
      <c r="LQM69"/>
      <c r="LQN69"/>
      <c r="LQO69"/>
      <c r="LQP69"/>
      <c r="LQQ69"/>
      <c r="LQR69"/>
      <c r="LQS69"/>
      <c r="LQT69"/>
      <c r="LQU69"/>
      <c r="LQV69"/>
      <c r="LQW69"/>
      <c r="LQX69"/>
      <c r="LQY69"/>
      <c r="LQZ69"/>
      <c r="LRA69"/>
      <c r="LRB69"/>
      <c r="LRC69"/>
      <c r="LRD69"/>
      <c r="LRE69"/>
      <c r="LRF69"/>
      <c r="LRG69"/>
      <c r="LRH69"/>
      <c r="LRI69"/>
      <c r="LRJ69"/>
      <c r="LRK69"/>
      <c r="LRL69"/>
      <c r="LRM69"/>
      <c r="LRN69"/>
      <c r="LRO69"/>
      <c r="LRP69"/>
      <c r="LRQ69"/>
      <c r="LRR69"/>
      <c r="LRS69"/>
      <c r="LRT69"/>
      <c r="LRU69"/>
      <c r="LRV69"/>
      <c r="LRW69"/>
      <c r="LRX69"/>
      <c r="LRY69"/>
      <c r="LRZ69"/>
      <c r="LSA69"/>
      <c r="LSB69"/>
      <c r="LSC69"/>
      <c r="LSD69"/>
      <c r="LSE69"/>
      <c r="LSF69"/>
      <c r="LSG69"/>
      <c r="LSH69"/>
      <c r="LSI69"/>
      <c r="LSJ69"/>
      <c r="LSK69"/>
      <c r="LSL69"/>
      <c r="LSM69"/>
      <c r="LSN69"/>
      <c r="LSO69"/>
      <c r="LSP69"/>
      <c r="LSQ69"/>
      <c r="LSR69"/>
      <c r="LSS69"/>
      <c r="LST69"/>
      <c r="LSU69"/>
      <c r="LSV69"/>
      <c r="LSW69"/>
      <c r="LSX69"/>
      <c r="LSY69"/>
      <c r="LSZ69"/>
      <c r="LTA69"/>
      <c r="LTB69"/>
      <c r="LTC69"/>
      <c r="LTD69"/>
      <c r="LTE69"/>
      <c r="LTF69"/>
      <c r="LTG69"/>
      <c r="LTH69"/>
      <c r="LTI69"/>
      <c r="LTJ69"/>
      <c r="LTK69"/>
      <c r="LTL69"/>
      <c r="LTM69"/>
      <c r="LTN69"/>
      <c r="LTO69"/>
      <c r="LTP69"/>
      <c r="LTQ69"/>
      <c r="LTR69"/>
      <c r="LTS69"/>
      <c r="LTT69"/>
      <c r="LTU69"/>
      <c r="LTV69"/>
      <c r="LTW69"/>
      <c r="LTX69"/>
      <c r="LTY69"/>
      <c r="LTZ69"/>
      <c r="LUA69"/>
      <c r="LUB69"/>
      <c r="LUC69"/>
      <c r="LUD69"/>
      <c r="LUE69"/>
      <c r="LUF69"/>
      <c r="LUG69"/>
      <c r="LUH69"/>
      <c r="LUI69"/>
      <c r="LUJ69"/>
      <c r="LUK69"/>
      <c r="LUL69"/>
      <c r="LUM69"/>
      <c r="LUN69"/>
      <c r="LUO69"/>
      <c r="LUP69"/>
      <c r="LUQ69"/>
      <c r="LUR69"/>
      <c r="LUS69"/>
      <c r="LUT69"/>
      <c r="LUU69"/>
      <c r="LUV69"/>
      <c r="LUW69"/>
      <c r="LUX69"/>
      <c r="LUY69"/>
      <c r="LUZ69"/>
      <c r="LVA69"/>
      <c r="LVB69"/>
      <c r="LVC69"/>
      <c r="LVD69"/>
      <c r="LVE69"/>
      <c r="LVF69"/>
      <c r="LVG69"/>
      <c r="LVH69"/>
      <c r="LVI69"/>
      <c r="LVJ69"/>
      <c r="LVK69"/>
      <c r="LVL69"/>
      <c r="LVM69"/>
      <c r="LVN69"/>
      <c r="LVO69"/>
      <c r="LVP69"/>
      <c r="LVQ69"/>
      <c r="LVR69"/>
      <c r="LVS69"/>
      <c r="LVT69"/>
      <c r="LVU69"/>
      <c r="LVV69"/>
      <c r="LVW69"/>
      <c r="LVX69"/>
      <c r="LVY69"/>
      <c r="LVZ69"/>
      <c r="LWA69"/>
      <c r="LWB69"/>
      <c r="LWC69"/>
      <c r="LWD69"/>
      <c r="LWE69"/>
      <c r="LWF69"/>
      <c r="LWG69"/>
      <c r="LWH69"/>
      <c r="LWI69"/>
      <c r="LWJ69"/>
      <c r="LWK69"/>
      <c r="LWL69"/>
      <c r="LWM69"/>
      <c r="LWN69"/>
      <c r="LWO69"/>
      <c r="LWP69"/>
      <c r="LWQ69"/>
      <c r="LWR69"/>
      <c r="LWS69"/>
      <c r="LWT69"/>
      <c r="LWU69"/>
      <c r="LWV69"/>
      <c r="LWW69"/>
      <c r="LWX69"/>
      <c r="LWY69"/>
      <c r="LWZ69"/>
      <c r="LXA69"/>
      <c r="LXB69"/>
      <c r="LXC69"/>
      <c r="LXD69"/>
      <c r="LXE69"/>
      <c r="LXF69"/>
      <c r="LXG69"/>
      <c r="LXH69"/>
      <c r="LXI69"/>
      <c r="LXJ69"/>
      <c r="LXK69"/>
      <c r="LXL69"/>
      <c r="LXM69"/>
      <c r="LXN69"/>
      <c r="LXO69"/>
      <c r="LXP69"/>
      <c r="LXQ69"/>
      <c r="LXR69"/>
      <c r="LXS69"/>
      <c r="LXT69"/>
      <c r="LXU69"/>
      <c r="LXV69"/>
      <c r="LXW69"/>
      <c r="LXX69"/>
      <c r="LXY69"/>
      <c r="LXZ69"/>
      <c r="LYA69"/>
      <c r="LYB69"/>
      <c r="LYC69"/>
      <c r="LYD69"/>
      <c r="LYE69"/>
      <c r="LYF69"/>
      <c r="LYG69"/>
      <c r="LYH69"/>
      <c r="LYI69"/>
      <c r="LYJ69"/>
      <c r="LYK69"/>
      <c r="LYL69"/>
      <c r="LYM69"/>
      <c r="LYN69"/>
      <c r="LYO69"/>
      <c r="LYP69"/>
      <c r="LYQ69"/>
      <c r="LYR69"/>
      <c r="LYS69"/>
      <c r="LYT69"/>
      <c r="LYU69"/>
      <c r="LYV69"/>
      <c r="LYW69"/>
      <c r="LYX69"/>
      <c r="LYY69"/>
      <c r="LYZ69"/>
      <c r="LZA69"/>
      <c r="LZB69"/>
      <c r="LZC69"/>
      <c r="LZD69"/>
      <c r="LZE69"/>
      <c r="LZF69"/>
      <c r="LZG69"/>
      <c r="LZH69"/>
      <c r="LZI69"/>
      <c r="LZJ69"/>
      <c r="LZK69"/>
      <c r="LZL69"/>
      <c r="LZM69"/>
      <c r="LZN69"/>
      <c r="LZO69"/>
      <c r="LZP69"/>
      <c r="LZQ69"/>
      <c r="LZR69"/>
      <c r="LZS69"/>
      <c r="LZT69"/>
      <c r="LZU69"/>
      <c r="LZV69"/>
      <c r="LZW69"/>
      <c r="LZX69"/>
      <c r="LZY69"/>
      <c r="LZZ69"/>
      <c r="MAA69"/>
      <c r="MAB69"/>
      <c r="MAC69"/>
      <c r="MAD69"/>
      <c r="MAE69"/>
      <c r="MAF69"/>
      <c r="MAG69"/>
      <c r="MAH69"/>
      <c r="MAI69"/>
      <c r="MAJ69"/>
      <c r="MAK69"/>
      <c r="MAL69"/>
      <c r="MAM69"/>
      <c r="MAN69"/>
      <c r="MAO69"/>
      <c r="MAP69"/>
      <c r="MAQ69"/>
      <c r="MAR69"/>
      <c r="MAS69"/>
      <c r="MAT69"/>
      <c r="MAU69"/>
      <c r="MAV69"/>
      <c r="MAW69"/>
      <c r="MAX69"/>
      <c r="MAY69"/>
      <c r="MAZ69"/>
      <c r="MBA69"/>
      <c r="MBB69"/>
      <c r="MBC69"/>
      <c r="MBD69"/>
      <c r="MBE69"/>
      <c r="MBF69"/>
      <c r="MBG69"/>
      <c r="MBH69"/>
      <c r="MBI69"/>
      <c r="MBJ69"/>
      <c r="MBK69"/>
      <c r="MBL69"/>
      <c r="MBM69"/>
      <c r="MBN69"/>
      <c r="MBO69"/>
      <c r="MBP69"/>
      <c r="MBQ69"/>
      <c r="MBR69"/>
      <c r="MBS69"/>
      <c r="MBT69"/>
      <c r="MBU69"/>
      <c r="MBV69"/>
      <c r="MBW69"/>
      <c r="MBX69"/>
      <c r="MBY69"/>
      <c r="MBZ69"/>
      <c r="MCA69"/>
      <c r="MCB69"/>
      <c r="MCC69"/>
      <c r="MCD69"/>
      <c r="MCE69"/>
      <c r="MCF69"/>
      <c r="MCG69"/>
      <c r="MCH69"/>
      <c r="MCI69"/>
      <c r="MCJ69"/>
      <c r="MCK69"/>
      <c r="MCL69"/>
      <c r="MCM69"/>
      <c r="MCN69"/>
      <c r="MCO69"/>
      <c r="MCP69"/>
      <c r="MCQ69"/>
      <c r="MCR69"/>
      <c r="MCS69"/>
      <c r="MCT69"/>
      <c r="MCU69"/>
      <c r="MCV69"/>
      <c r="MCW69"/>
      <c r="MCX69"/>
      <c r="MCY69"/>
      <c r="MCZ69"/>
      <c r="MDA69"/>
      <c r="MDB69"/>
      <c r="MDC69"/>
      <c r="MDD69"/>
      <c r="MDE69"/>
      <c r="MDF69"/>
      <c r="MDG69"/>
      <c r="MDH69"/>
      <c r="MDI69"/>
      <c r="MDJ69"/>
      <c r="MDK69"/>
      <c r="MDL69"/>
      <c r="MDM69"/>
      <c r="MDN69"/>
      <c r="MDO69"/>
      <c r="MDP69"/>
      <c r="MDQ69"/>
      <c r="MDR69"/>
      <c r="MDS69"/>
      <c r="MDT69"/>
      <c r="MDU69"/>
      <c r="MDV69"/>
      <c r="MDW69"/>
      <c r="MDX69"/>
      <c r="MDY69"/>
      <c r="MDZ69"/>
      <c r="MEA69"/>
      <c r="MEB69"/>
      <c r="MEC69"/>
      <c r="MED69"/>
      <c r="MEE69"/>
      <c r="MEF69"/>
      <c r="MEG69"/>
      <c r="MEH69"/>
      <c r="MEI69"/>
      <c r="MEJ69"/>
      <c r="MEK69"/>
      <c r="MEL69"/>
      <c r="MEM69"/>
      <c r="MEN69"/>
      <c r="MEO69"/>
      <c r="MEP69"/>
      <c r="MEQ69"/>
      <c r="MER69"/>
      <c r="MES69"/>
      <c r="MET69"/>
      <c r="MEU69"/>
      <c r="MEV69"/>
      <c r="MEW69"/>
      <c r="MEX69"/>
      <c r="MEY69"/>
      <c r="MEZ69"/>
      <c r="MFA69"/>
      <c r="MFB69"/>
      <c r="MFC69"/>
      <c r="MFD69"/>
      <c r="MFE69"/>
      <c r="MFF69"/>
      <c r="MFG69"/>
      <c r="MFH69"/>
      <c r="MFI69"/>
      <c r="MFJ69"/>
      <c r="MFK69"/>
      <c r="MFL69"/>
      <c r="MFM69"/>
      <c r="MFN69"/>
      <c r="MFO69"/>
      <c r="MFP69"/>
      <c r="MFQ69"/>
      <c r="MFR69"/>
      <c r="MFS69"/>
      <c r="MFT69"/>
      <c r="MFU69"/>
      <c r="MFV69"/>
      <c r="MFW69"/>
      <c r="MFX69"/>
      <c r="MFY69"/>
      <c r="MFZ69"/>
      <c r="MGA69"/>
      <c r="MGB69"/>
      <c r="MGC69"/>
      <c r="MGD69"/>
      <c r="MGE69"/>
      <c r="MGF69"/>
      <c r="MGG69"/>
      <c r="MGH69"/>
      <c r="MGI69"/>
      <c r="MGJ69"/>
      <c r="MGK69"/>
      <c r="MGL69"/>
      <c r="MGM69"/>
      <c r="MGN69"/>
      <c r="MGO69"/>
      <c r="MGP69"/>
      <c r="MGQ69"/>
      <c r="MGR69"/>
      <c r="MGS69"/>
      <c r="MGT69"/>
      <c r="MGU69"/>
      <c r="MGV69"/>
      <c r="MGW69"/>
      <c r="MGX69"/>
      <c r="MGY69"/>
      <c r="MGZ69"/>
      <c r="MHA69"/>
      <c r="MHB69"/>
      <c r="MHC69"/>
      <c r="MHD69"/>
      <c r="MHE69"/>
      <c r="MHF69"/>
      <c r="MHG69"/>
      <c r="MHH69"/>
      <c r="MHI69"/>
      <c r="MHJ69"/>
      <c r="MHK69"/>
      <c r="MHL69"/>
      <c r="MHM69"/>
      <c r="MHN69"/>
      <c r="MHO69"/>
      <c r="MHP69"/>
      <c r="MHQ69"/>
      <c r="MHR69"/>
      <c r="MHS69"/>
      <c r="MHT69"/>
      <c r="MHU69"/>
      <c r="MHV69"/>
      <c r="MHW69"/>
      <c r="MHX69"/>
      <c r="MHY69"/>
      <c r="MHZ69"/>
      <c r="MIA69"/>
      <c r="MIB69"/>
      <c r="MIC69"/>
      <c r="MID69"/>
      <c r="MIE69"/>
      <c r="MIF69"/>
      <c r="MIG69"/>
      <c r="MIH69"/>
      <c r="MII69"/>
      <c r="MIJ69"/>
      <c r="MIK69"/>
      <c r="MIL69"/>
      <c r="MIM69"/>
      <c r="MIN69"/>
      <c r="MIO69"/>
      <c r="MIP69"/>
      <c r="MIQ69"/>
      <c r="MIR69"/>
      <c r="MIS69"/>
      <c r="MIT69"/>
      <c r="MIU69"/>
      <c r="MIV69"/>
      <c r="MIW69"/>
      <c r="MIX69"/>
      <c r="MIY69"/>
      <c r="MIZ69"/>
      <c r="MJA69"/>
      <c r="MJB69"/>
      <c r="MJC69"/>
      <c r="MJD69"/>
      <c r="MJE69"/>
      <c r="MJF69"/>
      <c r="MJG69"/>
      <c r="MJH69"/>
      <c r="MJI69"/>
      <c r="MJJ69"/>
      <c r="MJK69"/>
      <c r="MJL69"/>
      <c r="MJM69"/>
      <c r="MJN69"/>
      <c r="MJO69"/>
      <c r="MJP69"/>
      <c r="MJQ69"/>
      <c r="MJR69"/>
      <c r="MJS69"/>
      <c r="MJT69"/>
      <c r="MJU69"/>
      <c r="MJV69"/>
      <c r="MJW69"/>
      <c r="MJX69"/>
      <c r="MJY69"/>
      <c r="MJZ69"/>
      <c r="MKA69"/>
      <c r="MKB69"/>
      <c r="MKC69"/>
      <c r="MKD69"/>
      <c r="MKE69"/>
      <c r="MKF69"/>
      <c r="MKG69"/>
      <c r="MKH69"/>
      <c r="MKI69"/>
      <c r="MKJ69"/>
      <c r="MKK69"/>
      <c r="MKL69"/>
      <c r="MKM69"/>
      <c r="MKN69"/>
      <c r="MKO69"/>
      <c r="MKP69"/>
      <c r="MKQ69"/>
      <c r="MKR69"/>
      <c r="MKS69"/>
      <c r="MKT69"/>
      <c r="MKU69"/>
      <c r="MKV69"/>
      <c r="MKW69"/>
      <c r="MKX69"/>
      <c r="MKY69"/>
      <c r="MKZ69"/>
      <c r="MLA69"/>
      <c r="MLB69"/>
      <c r="MLC69"/>
      <c r="MLD69"/>
      <c r="MLE69"/>
      <c r="MLF69"/>
      <c r="MLG69"/>
      <c r="MLH69"/>
      <c r="MLI69"/>
      <c r="MLJ69"/>
      <c r="MLK69"/>
      <c r="MLL69"/>
      <c r="MLM69"/>
      <c r="MLN69"/>
      <c r="MLO69"/>
      <c r="MLP69"/>
      <c r="MLQ69"/>
      <c r="MLR69"/>
      <c r="MLS69"/>
      <c r="MLT69"/>
      <c r="MLU69"/>
      <c r="MLV69"/>
      <c r="MLW69"/>
      <c r="MLX69"/>
      <c r="MLY69"/>
      <c r="MLZ69"/>
      <c r="MMA69"/>
      <c r="MMB69"/>
      <c r="MMC69"/>
      <c r="MMD69"/>
      <c r="MME69"/>
      <c r="MMF69"/>
      <c r="MMG69"/>
      <c r="MMH69"/>
      <c r="MMI69"/>
      <c r="MMJ69"/>
      <c r="MMK69"/>
      <c r="MML69"/>
      <c r="MMM69"/>
      <c r="MMN69"/>
      <c r="MMO69"/>
      <c r="MMP69"/>
      <c r="MMQ69"/>
      <c r="MMR69"/>
      <c r="MMS69"/>
      <c r="MMT69"/>
      <c r="MMU69"/>
      <c r="MMV69"/>
      <c r="MMW69"/>
      <c r="MMX69"/>
      <c r="MMY69"/>
      <c r="MMZ69"/>
      <c r="MNA69"/>
      <c r="MNB69"/>
      <c r="MNC69"/>
      <c r="MND69"/>
      <c r="MNE69"/>
      <c r="MNF69"/>
      <c r="MNG69"/>
      <c r="MNH69"/>
      <c r="MNI69"/>
      <c r="MNJ69"/>
      <c r="MNK69"/>
      <c r="MNL69"/>
      <c r="MNM69"/>
      <c r="MNN69"/>
      <c r="MNO69"/>
      <c r="MNP69"/>
      <c r="MNQ69"/>
      <c r="MNR69"/>
      <c r="MNS69"/>
      <c r="MNT69"/>
      <c r="MNU69"/>
      <c r="MNV69"/>
      <c r="MNW69"/>
      <c r="MNX69"/>
      <c r="MNY69"/>
      <c r="MNZ69"/>
      <c r="MOA69"/>
      <c r="MOB69"/>
      <c r="MOC69"/>
      <c r="MOD69"/>
      <c r="MOE69"/>
      <c r="MOF69"/>
      <c r="MOG69"/>
      <c r="MOH69"/>
      <c r="MOI69"/>
      <c r="MOJ69"/>
      <c r="MOK69"/>
      <c r="MOL69"/>
      <c r="MOM69"/>
      <c r="MON69"/>
      <c r="MOO69"/>
      <c r="MOP69"/>
      <c r="MOQ69"/>
      <c r="MOR69"/>
      <c r="MOS69"/>
      <c r="MOT69"/>
      <c r="MOU69"/>
      <c r="MOV69"/>
      <c r="MOW69"/>
      <c r="MOX69"/>
      <c r="MOY69"/>
      <c r="MOZ69"/>
      <c r="MPA69"/>
      <c r="MPB69"/>
      <c r="MPC69"/>
      <c r="MPD69"/>
      <c r="MPE69"/>
      <c r="MPF69"/>
      <c r="MPG69"/>
      <c r="MPH69"/>
      <c r="MPI69"/>
      <c r="MPJ69"/>
      <c r="MPK69"/>
      <c r="MPL69"/>
      <c r="MPM69"/>
      <c r="MPN69"/>
      <c r="MPO69"/>
      <c r="MPP69"/>
      <c r="MPQ69"/>
      <c r="MPR69"/>
      <c r="MPS69"/>
      <c r="MPT69"/>
      <c r="MPU69"/>
      <c r="MPV69"/>
      <c r="MPW69"/>
      <c r="MPX69"/>
      <c r="MPY69"/>
      <c r="MPZ69"/>
      <c r="MQA69"/>
      <c r="MQB69"/>
      <c r="MQC69"/>
      <c r="MQD69"/>
      <c r="MQE69"/>
      <c r="MQF69"/>
      <c r="MQG69"/>
      <c r="MQH69"/>
      <c r="MQI69"/>
      <c r="MQJ69"/>
      <c r="MQK69"/>
      <c r="MQL69"/>
      <c r="MQM69"/>
      <c r="MQN69"/>
      <c r="MQO69"/>
      <c r="MQP69"/>
      <c r="MQQ69"/>
      <c r="MQR69"/>
      <c r="MQS69"/>
      <c r="MQT69"/>
      <c r="MQU69"/>
      <c r="MQV69"/>
      <c r="MQW69"/>
      <c r="MQX69"/>
      <c r="MQY69"/>
      <c r="MQZ69"/>
      <c r="MRA69"/>
      <c r="MRB69"/>
      <c r="MRC69"/>
      <c r="MRD69"/>
      <c r="MRE69"/>
      <c r="MRF69"/>
      <c r="MRG69"/>
      <c r="MRH69"/>
      <c r="MRI69"/>
      <c r="MRJ69"/>
      <c r="MRK69"/>
      <c r="MRL69"/>
      <c r="MRM69"/>
      <c r="MRN69"/>
      <c r="MRO69"/>
      <c r="MRP69"/>
      <c r="MRQ69"/>
      <c r="MRR69"/>
      <c r="MRS69"/>
      <c r="MRT69"/>
      <c r="MRU69"/>
      <c r="MRV69"/>
      <c r="MRW69"/>
      <c r="MRX69"/>
      <c r="MRY69"/>
      <c r="MRZ69"/>
      <c r="MSA69"/>
      <c r="MSB69"/>
      <c r="MSC69"/>
      <c r="MSD69"/>
      <c r="MSE69"/>
      <c r="MSF69"/>
      <c r="MSG69"/>
      <c r="MSH69"/>
      <c r="MSI69"/>
      <c r="MSJ69"/>
      <c r="MSK69"/>
      <c r="MSL69"/>
      <c r="MSM69"/>
      <c r="MSN69"/>
      <c r="MSO69"/>
      <c r="MSP69"/>
      <c r="MSQ69"/>
      <c r="MSR69"/>
      <c r="MSS69"/>
      <c r="MST69"/>
      <c r="MSU69"/>
      <c r="MSV69"/>
      <c r="MSW69"/>
      <c r="MSX69"/>
      <c r="MSY69"/>
      <c r="MSZ69"/>
      <c r="MTA69"/>
      <c r="MTB69"/>
      <c r="MTC69"/>
      <c r="MTD69"/>
      <c r="MTE69"/>
      <c r="MTF69"/>
      <c r="MTG69"/>
      <c r="MTH69"/>
      <c r="MTI69"/>
      <c r="MTJ69"/>
      <c r="MTK69"/>
      <c r="MTL69"/>
      <c r="MTM69"/>
      <c r="MTN69"/>
      <c r="MTO69"/>
      <c r="MTP69"/>
      <c r="MTQ69"/>
      <c r="MTR69"/>
      <c r="MTS69"/>
      <c r="MTT69"/>
      <c r="MTU69"/>
      <c r="MTV69"/>
      <c r="MTW69"/>
      <c r="MTX69"/>
      <c r="MTY69"/>
      <c r="MTZ69"/>
      <c r="MUA69"/>
      <c r="MUB69"/>
      <c r="MUC69"/>
      <c r="MUD69"/>
      <c r="MUE69"/>
      <c r="MUF69"/>
      <c r="MUG69"/>
      <c r="MUH69"/>
      <c r="MUI69"/>
      <c r="MUJ69"/>
      <c r="MUK69"/>
      <c r="MUL69"/>
      <c r="MUM69"/>
      <c r="MUN69"/>
      <c r="MUO69"/>
      <c r="MUP69"/>
      <c r="MUQ69"/>
      <c r="MUR69"/>
      <c r="MUS69"/>
      <c r="MUT69"/>
      <c r="MUU69"/>
      <c r="MUV69"/>
      <c r="MUW69"/>
      <c r="MUX69"/>
      <c r="MUY69"/>
      <c r="MUZ69"/>
      <c r="MVA69"/>
      <c r="MVB69"/>
      <c r="MVC69"/>
      <c r="MVD69"/>
      <c r="MVE69"/>
      <c r="MVF69"/>
      <c r="MVG69"/>
      <c r="MVH69"/>
      <c r="MVI69"/>
      <c r="MVJ69"/>
      <c r="MVK69"/>
      <c r="MVL69"/>
      <c r="MVM69"/>
      <c r="MVN69"/>
      <c r="MVO69"/>
      <c r="MVP69"/>
      <c r="MVQ69"/>
      <c r="MVR69"/>
      <c r="MVS69"/>
      <c r="MVT69"/>
      <c r="MVU69"/>
      <c r="MVV69"/>
      <c r="MVW69"/>
      <c r="MVX69"/>
      <c r="MVY69"/>
      <c r="MVZ69"/>
      <c r="MWA69"/>
      <c r="MWB69"/>
      <c r="MWC69"/>
      <c r="MWD69"/>
      <c r="MWE69"/>
      <c r="MWF69"/>
      <c r="MWG69"/>
      <c r="MWH69"/>
      <c r="MWI69"/>
      <c r="MWJ69"/>
      <c r="MWK69"/>
      <c r="MWL69"/>
      <c r="MWM69"/>
      <c r="MWN69"/>
      <c r="MWO69"/>
      <c r="MWP69"/>
      <c r="MWQ69"/>
      <c r="MWR69"/>
      <c r="MWS69"/>
      <c r="MWT69"/>
      <c r="MWU69"/>
      <c r="MWV69"/>
      <c r="MWW69"/>
      <c r="MWX69"/>
      <c r="MWY69"/>
      <c r="MWZ69"/>
      <c r="MXA69"/>
      <c r="MXB69"/>
      <c r="MXC69"/>
      <c r="MXD69"/>
      <c r="MXE69"/>
      <c r="MXF69"/>
      <c r="MXG69"/>
      <c r="MXH69"/>
      <c r="MXI69"/>
      <c r="MXJ69"/>
      <c r="MXK69"/>
      <c r="MXL69"/>
      <c r="MXM69"/>
      <c r="MXN69"/>
      <c r="MXO69"/>
      <c r="MXP69"/>
      <c r="MXQ69"/>
      <c r="MXR69"/>
      <c r="MXS69"/>
      <c r="MXT69"/>
      <c r="MXU69"/>
      <c r="MXV69"/>
      <c r="MXW69"/>
      <c r="MXX69"/>
      <c r="MXY69"/>
      <c r="MXZ69"/>
      <c r="MYA69"/>
      <c r="MYB69"/>
      <c r="MYC69"/>
      <c r="MYD69"/>
      <c r="MYE69"/>
      <c r="MYF69"/>
      <c r="MYG69"/>
      <c r="MYH69"/>
      <c r="MYI69"/>
      <c r="MYJ69"/>
      <c r="MYK69"/>
      <c r="MYL69"/>
      <c r="MYM69"/>
      <c r="MYN69"/>
      <c r="MYO69"/>
      <c r="MYP69"/>
      <c r="MYQ69"/>
      <c r="MYR69"/>
      <c r="MYS69"/>
      <c r="MYT69"/>
      <c r="MYU69"/>
      <c r="MYV69"/>
      <c r="MYW69"/>
      <c r="MYX69"/>
      <c r="MYY69"/>
      <c r="MYZ69"/>
      <c r="MZA69"/>
      <c r="MZB69"/>
      <c r="MZC69"/>
      <c r="MZD69"/>
      <c r="MZE69"/>
      <c r="MZF69"/>
      <c r="MZG69"/>
      <c r="MZH69"/>
      <c r="MZI69"/>
      <c r="MZJ69"/>
      <c r="MZK69"/>
      <c r="MZL69"/>
      <c r="MZM69"/>
      <c r="MZN69"/>
      <c r="MZO69"/>
      <c r="MZP69"/>
      <c r="MZQ69"/>
      <c r="MZR69"/>
      <c r="MZS69"/>
      <c r="MZT69"/>
      <c r="MZU69"/>
      <c r="MZV69"/>
      <c r="MZW69"/>
      <c r="MZX69"/>
      <c r="MZY69"/>
      <c r="MZZ69"/>
      <c r="NAA69"/>
      <c r="NAB69"/>
      <c r="NAC69"/>
      <c r="NAD69"/>
      <c r="NAE69"/>
      <c r="NAF69"/>
      <c r="NAG69"/>
      <c r="NAH69"/>
      <c r="NAI69"/>
      <c r="NAJ69"/>
      <c r="NAK69"/>
      <c r="NAL69"/>
      <c r="NAM69"/>
      <c r="NAN69"/>
      <c r="NAO69"/>
      <c r="NAP69"/>
      <c r="NAQ69"/>
      <c r="NAR69"/>
      <c r="NAS69"/>
      <c r="NAT69"/>
      <c r="NAU69"/>
      <c r="NAV69"/>
      <c r="NAW69"/>
      <c r="NAX69"/>
      <c r="NAY69"/>
      <c r="NAZ69"/>
      <c r="NBA69"/>
      <c r="NBB69"/>
      <c r="NBC69"/>
      <c r="NBD69"/>
      <c r="NBE69"/>
      <c r="NBF69"/>
      <c r="NBG69"/>
      <c r="NBH69"/>
      <c r="NBI69"/>
      <c r="NBJ69"/>
      <c r="NBK69"/>
      <c r="NBL69"/>
      <c r="NBM69"/>
      <c r="NBN69"/>
      <c r="NBO69"/>
      <c r="NBP69"/>
      <c r="NBQ69"/>
      <c r="NBR69"/>
      <c r="NBS69"/>
      <c r="NBT69"/>
      <c r="NBU69"/>
      <c r="NBV69"/>
      <c r="NBW69"/>
      <c r="NBX69"/>
      <c r="NBY69"/>
      <c r="NBZ69"/>
      <c r="NCA69"/>
      <c r="NCB69"/>
      <c r="NCC69"/>
      <c r="NCD69"/>
      <c r="NCE69"/>
      <c r="NCF69"/>
      <c r="NCG69"/>
      <c r="NCH69"/>
      <c r="NCI69"/>
      <c r="NCJ69"/>
      <c r="NCK69"/>
      <c r="NCL69"/>
      <c r="NCM69"/>
      <c r="NCN69"/>
      <c r="NCO69"/>
      <c r="NCP69"/>
      <c r="NCQ69"/>
      <c r="NCR69"/>
      <c r="NCS69"/>
      <c r="NCT69"/>
      <c r="NCU69"/>
      <c r="NCV69"/>
      <c r="NCW69"/>
      <c r="NCX69"/>
      <c r="NCY69"/>
      <c r="NCZ69"/>
      <c r="NDA69"/>
      <c r="NDB69"/>
      <c r="NDC69"/>
      <c r="NDD69"/>
      <c r="NDE69"/>
      <c r="NDF69"/>
      <c r="NDG69"/>
      <c r="NDH69"/>
      <c r="NDI69"/>
      <c r="NDJ69"/>
      <c r="NDK69"/>
      <c r="NDL69"/>
      <c r="NDM69"/>
      <c r="NDN69"/>
      <c r="NDO69"/>
      <c r="NDP69"/>
      <c r="NDQ69"/>
      <c r="NDR69"/>
      <c r="NDS69"/>
      <c r="NDT69"/>
      <c r="NDU69"/>
      <c r="NDV69"/>
      <c r="NDW69"/>
      <c r="NDX69"/>
      <c r="NDY69"/>
      <c r="NDZ69"/>
      <c r="NEA69"/>
      <c r="NEB69"/>
      <c r="NEC69"/>
      <c r="NED69"/>
      <c r="NEE69"/>
      <c r="NEF69"/>
      <c r="NEG69"/>
      <c r="NEH69"/>
      <c r="NEI69"/>
      <c r="NEJ69"/>
      <c r="NEK69"/>
      <c r="NEL69"/>
      <c r="NEM69"/>
      <c r="NEN69"/>
      <c r="NEO69"/>
      <c r="NEP69"/>
      <c r="NEQ69"/>
      <c r="NER69"/>
      <c r="NES69"/>
      <c r="NET69"/>
      <c r="NEU69"/>
      <c r="NEV69"/>
      <c r="NEW69"/>
      <c r="NEX69"/>
      <c r="NEY69"/>
      <c r="NEZ69"/>
      <c r="NFA69"/>
      <c r="NFB69"/>
      <c r="NFC69"/>
      <c r="NFD69"/>
      <c r="NFE69"/>
      <c r="NFF69"/>
      <c r="NFG69"/>
      <c r="NFH69"/>
      <c r="NFI69"/>
      <c r="NFJ69"/>
      <c r="NFK69"/>
      <c r="NFL69"/>
      <c r="NFM69"/>
      <c r="NFN69"/>
      <c r="NFO69"/>
      <c r="NFP69"/>
      <c r="NFQ69"/>
      <c r="NFR69"/>
      <c r="NFS69"/>
      <c r="NFT69"/>
      <c r="NFU69"/>
      <c r="NFV69"/>
      <c r="NFW69"/>
      <c r="NFX69"/>
      <c r="NFY69"/>
      <c r="NFZ69"/>
      <c r="NGA69"/>
      <c r="NGB69"/>
      <c r="NGC69"/>
      <c r="NGD69"/>
      <c r="NGE69"/>
      <c r="NGF69"/>
      <c r="NGG69"/>
      <c r="NGH69"/>
      <c r="NGI69"/>
      <c r="NGJ69"/>
      <c r="NGK69"/>
      <c r="NGL69"/>
      <c r="NGM69"/>
      <c r="NGN69"/>
      <c r="NGO69"/>
      <c r="NGP69"/>
      <c r="NGQ69"/>
      <c r="NGR69"/>
      <c r="NGS69"/>
      <c r="NGT69"/>
      <c r="NGU69"/>
      <c r="NGV69"/>
      <c r="NGW69"/>
      <c r="NGX69"/>
      <c r="NGY69"/>
      <c r="NGZ69"/>
      <c r="NHA69"/>
      <c r="NHB69"/>
      <c r="NHC69"/>
      <c r="NHD69"/>
      <c r="NHE69"/>
      <c r="NHF69"/>
      <c r="NHG69"/>
      <c r="NHH69"/>
      <c r="NHI69"/>
      <c r="NHJ69"/>
      <c r="NHK69"/>
      <c r="NHL69"/>
      <c r="NHM69"/>
      <c r="NHN69"/>
      <c r="NHO69"/>
      <c r="NHP69"/>
      <c r="NHQ69"/>
      <c r="NHR69"/>
      <c r="NHS69"/>
      <c r="NHT69"/>
      <c r="NHU69"/>
      <c r="NHV69"/>
      <c r="NHW69"/>
      <c r="NHX69"/>
      <c r="NHY69"/>
      <c r="NHZ69"/>
      <c r="NIA69"/>
      <c r="NIB69"/>
      <c r="NIC69"/>
      <c r="NID69"/>
      <c r="NIE69"/>
      <c r="NIF69"/>
      <c r="NIG69"/>
      <c r="NIH69"/>
      <c r="NII69"/>
      <c r="NIJ69"/>
      <c r="NIK69"/>
      <c r="NIL69"/>
      <c r="NIM69"/>
      <c r="NIN69"/>
      <c r="NIO69"/>
      <c r="NIP69"/>
      <c r="NIQ69"/>
      <c r="NIR69"/>
      <c r="NIS69"/>
      <c r="NIT69"/>
      <c r="NIU69"/>
      <c r="NIV69"/>
      <c r="NIW69"/>
      <c r="NIX69"/>
      <c r="NIY69"/>
      <c r="NIZ69"/>
      <c r="NJA69"/>
      <c r="NJB69"/>
      <c r="NJC69"/>
      <c r="NJD69"/>
      <c r="NJE69"/>
      <c r="NJF69"/>
      <c r="NJG69"/>
      <c r="NJH69"/>
      <c r="NJI69"/>
      <c r="NJJ69"/>
      <c r="NJK69"/>
      <c r="NJL69"/>
      <c r="NJM69"/>
      <c r="NJN69"/>
      <c r="NJO69"/>
      <c r="NJP69"/>
      <c r="NJQ69"/>
      <c r="NJR69"/>
      <c r="NJS69"/>
      <c r="NJT69"/>
      <c r="NJU69"/>
      <c r="NJV69"/>
      <c r="NJW69"/>
      <c r="NJX69"/>
      <c r="NJY69"/>
      <c r="NJZ69"/>
      <c r="NKA69"/>
      <c r="NKB69"/>
      <c r="NKC69"/>
      <c r="NKD69"/>
      <c r="NKE69"/>
      <c r="NKF69"/>
      <c r="NKG69"/>
      <c r="NKH69"/>
      <c r="NKI69"/>
      <c r="NKJ69"/>
      <c r="NKK69"/>
      <c r="NKL69"/>
      <c r="NKM69"/>
      <c r="NKN69"/>
      <c r="NKO69"/>
      <c r="NKP69"/>
      <c r="NKQ69"/>
      <c r="NKR69"/>
      <c r="NKS69"/>
      <c r="NKT69"/>
      <c r="NKU69"/>
      <c r="NKV69"/>
      <c r="NKW69"/>
      <c r="NKX69"/>
      <c r="NKY69"/>
      <c r="NKZ69"/>
      <c r="NLA69"/>
      <c r="NLB69"/>
      <c r="NLC69"/>
      <c r="NLD69"/>
      <c r="NLE69"/>
      <c r="NLF69"/>
      <c r="NLG69"/>
      <c r="NLH69"/>
      <c r="NLI69"/>
      <c r="NLJ69"/>
      <c r="NLK69"/>
      <c r="NLL69"/>
      <c r="NLM69"/>
      <c r="NLN69"/>
      <c r="NLO69"/>
      <c r="NLP69"/>
      <c r="NLQ69"/>
      <c r="NLR69"/>
      <c r="NLS69"/>
      <c r="NLT69"/>
      <c r="NLU69"/>
      <c r="NLV69"/>
      <c r="NLW69"/>
      <c r="NLX69"/>
      <c r="NLY69"/>
      <c r="NLZ69"/>
      <c r="NMA69"/>
      <c r="NMB69"/>
      <c r="NMC69"/>
      <c r="NMD69"/>
      <c r="NME69"/>
      <c r="NMF69"/>
      <c r="NMG69"/>
      <c r="NMH69"/>
      <c r="NMI69"/>
      <c r="NMJ69"/>
      <c r="NMK69"/>
      <c r="NML69"/>
      <c r="NMM69"/>
      <c r="NMN69"/>
      <c r="NMO69"/>
      <c r="NMP69"/>
      <c r="NMQ69"/>
      <c r="NMR69"/>
      <c r="NMS69"/>
      <c r="NMT69"/>
      <c r="NMU69"/>
      <c r="NMV69"/>
      <c r="NMW69"/>
      <c r="NMX69"/>
      <c r="NMY69"/>
      <c r="NMZ69"/>
      <c r="NNA69"/>
      <c r="NNB69"/>
      <c r="NNC69"/>
      <c r="NND69"/>
      <c r="NNE69"/>
      <c r="NNF69"/>
      <c r="NNG69"/>
      <c r="NNH69"/>
      <c r="NNI69"/>
      <c r="NNJ69"/>
      <c r="NNK69"/>
      <c r="NNL69"/>
      <c r="NNM69"/>
      <c r="NNN69"/>
      <c r="NNO69"/>
      <c r="NNP69"/>
      <c r="NNQ69"/>
      <c r="NNR69"/>
      <c r="NNS69"/>
      <c r="NNT69"/>
      <c r="NNU69"/>
      <c r="NNV69"/>
      <c r="NNW69"/>
      <c r="NNX69"/>
      <c r="NNY69"/>
      <c r="NNZ69"/>
      <c r="NOA69"/>
      <c r="NOB69"/>
      <c r="NOC69"/>
      <c r="NOD69"/>
      <c r="NOE69"/>
      <c r="NOF69"/>
      <c r="NOG69"/>
      <c r="NOH69"/>
      <c r="NOI69"/>
      <c r="NOJ69"/>
      <c r="NOK69"/>
      <c r="NOL69"/>
      <c r="NOM69"/>
      <c r="NON69"/>
      <c r="NOO69"/>
      <c r="NOP69"/>
      <c r="NOQ69"/>
      <c r="NOR69"/>
      <c r="NOS69"/>
      <c r="NOT69"/>
      <c r="NOU69"/>
      <c r="NOV69"/>
      <c r="NOW69"/>
      <c r="NOX69"/>
      <c r="NOY69"/>
      <c r="NOZ69"/>
      <c r="NPA69"/>
      <c r="NPB69"/>
      <c r="NPC69"/>
      <c r="NPD69"/>
      <c r="NPE69"/>
      <c r="NPF69"/>
      <c r="NPG69"/>
      <c r="NPH69"/>
      <c r="NPI69"/>
      <c r="NPJ69"/>
      <c r="NPK69"/>
      <c r="NPL69"/>
      <c r="NPM69"/>
      <c r="NPN69"/>
      <c r="NPO69"/>
      <c r="NPP69"/>
      <c r="NPQ69"/>
      <c r="NPR69"/>
      <c r="NPS69"/>
      <c r="NPT69"/>
      <c r="NPU69"/>
      <c r="NPV69"/>
      <c r="NPW69"/>
      <c r="NPX69"/>
      <c r="NPY69"/>
      <c r="NPZ69"/>
      <c r="NQA69"/>
      <c r="NQB69"/>
      <c r="NQC69"/>
      <c r="NQD69"/>
      <c r="NQE69"/>
      <c r="NQF69"/>
      <c r="NQG69"/>
      <c r="NQH69"/>
      <c r="NQI69"/>
      <c r="NQJ69"/>
      <c r="NQK69"/>
      <c r="NQL69"/>
      <c r="NQM69"/>
      <c r="NQN69"/>
      <c r="NQO69"/>
      <c r="NQP69"/>
      <c r="NQQ69"/>
      <c r="NQR69"/>
      <c r="NQS69"/>
      <c r="NQT69"/>
      <c r="NQU69"/>
      <c r="NQV69"/>
      <c r="NQW69"/>
      <c r="NQX69"/>
      <c r="NQY69"/>
      <c r="NQZ69"/>
      <c r="NRA69"/>
      <c r="NRB69"/>
      <c r="NRC69"/>
      <c r="NRD69"/>
      <c r="NRE69"/>
      <c r="NRF69"/>
      <c r="NRG69"/>
      <c r="NRH69"/>
      <c r="NRI69"/>
      <c r="NRJ69"/>
      <c r="NRK69"/>
      <c r="NRL69"/>
      <c r="NRM69"/>
      <c r="NRN69"/>
      <c r="NRO69"/>
      <c r="NRP69"/>
      <c r="NRQ69"/>
      <c r="NRR69"/>
      <c r="NRS69"/>
      <c r="NRT69"/>
      <c r="NRU69"/>
      <c r="NRV69"/>
      <c r="NRW69"/>
      <c r="NRX69"/>
      <c r="NRY69"/>
      <c r="NRZ69"/>
      <c r="NSA69"/>
      <c r="NSB69"/>
      <c r="NSC69"/>
      <c r="NSD69"/>
      <c r="NSE69"/>
      <c r="NSF69"/>
      <c r="NSG69"/>
      <c r="NSH69"/>
      <c r="NSI69"/>
      <c r="NSJ69"/>
      <c r="NSK69"/>
      <c r="NSL69"/>
      <c r="NSM69"/>
      <c r="NSN69"/>
      <c r="NSO69"/>
      <c r="NSP69"/>
      <c r="NSQ69"/>
      <c r="NSR69"/>
      <c r="NSS69"/>
      <c r="NST69"/>
      <c r="NSU69"/>
      <c r="NSV69"/>
      <c r="NSW69"/>
      <c r="NSX69"/>
      <c r="NSY69"/>
      <c r="NSZ69"/>
      <c r="NTA69"/>
      <c r="NTB69"/>
      <c r="NTC69"/>
      <c r="NTD69"/>
      <c r="NTE69"/>
      <c r="NTF69"/>
      <c r="NTG69"/>
      <c r="NTH69"/>
      <c r="NTI69"/>
      <c r="NTJ69"/>
      <c r="NTK69"/>
      <c r="NTL69"/>
      <c r="NTM69"/>
      <c r="NTN69"/>
      <c r="NTO69"/>
      <c r="NTP69"/>
      <c r="NTQ69"/>
      <c r="NTR69"/>
      <c r="NTS69"/>
      <c r="NTT69"/>
      <c r="NTU69"/>
      <c r="NTV69"/>
      <c r="NTW69"/>
      <c r="NTX69"/>
      <c r="NTY69"/>
      <c r="NTZ69"/>
      <c r="NUA69"/>
      <c r="NUB69"/>
      <c r="NUC69"/>
      <c r="NUD69"/>
      <c r="NUE69"/>
      <c r="NUF69"/>
      <c r="NUG69"/>
      <c r="NUH69"/>
      <c r="NUI69"/>
      <c r="NUJ69"/>
      <c r="NUK69"/>
      <c r="NUL69"/>
      <c r="NUM69"/>
      <c r="NUN69"/>
      <c r="NUO69"/>
      <c r="NUP69"/>
      <c r="NUQ69"/>
      <c r="NUR69"/>
      <c r="NUS69"/>
      <c r="NUT69"/>
      <c r="NUU69"/>
      <c r="NUV69"/>
      <c r="NUW69"/>
      <c r="NUX69"/>
      <c r="NUY69"/>
      <c r="NUZ69"/>
      <c r="NVA69"/>
      <c r="NVB69"/>
      <c r="NVC69"/>
      <c r="NVD69"/>
      <c r="NVE69"/>
      <c r="NVF69"/>
      <c r="NVG69"/>
      <c r="NVH69"/>
      <c r="NVI69"/>
      <c r="NVJ69"/>
      <c r="NVK69"/>
      <c r="NVL69"/>
      <c r="NVM69"/>
      <c r="NVN69"/>
      <c r="NVO69"/>
      <c r="NVP69"/>
      <c r="NVQ69"/>
      <c r="NVR69"/>
      <c r="NVS69"/>
      <c r="NVT69"/>
      <c r="NVU69"/>
      <c r="NVV69"/>
      <c r="NVW69"/>
      <c r="NVX69"/>
      <c r="NVY69"/>
      <c r="NVZ69"/>
      <c r="NWA69"/>
      <c r="NWB69"/>
      <c r="NWC69"/>
      <c r="NWD69"/>
      <c r="NWE69"/>
      <c r="NWF69"/>
      <c r="NWG69"/>
      <c r="NWH69"/>
      <c r="NWI69"/>
      <c r="NWJ69"/>
      <c r="NWK69"/>
      <c r="NWL69"/>
      <c r="NWM69"/>
      <c r="NWN69"/>
      <c r="NWO69"/>
      <c r="NWP69"/>
      <c r="NWQ69"/>
      <c r="NWR69"/>
      <c r="NWS69"/>
      <c r="NWT69"/>
      <c r="NWU69"/>
      <c r="NWV69"/>
      <c r="NWW69"/>
      <c r="NWX69"/>
      <c r="NWY69"/>
      <c r="NWZ69"/>
      <c r="NXA69"/>
      <c r="NXB69"/>
      <c r="NXC69"/>
      <c r="NXD69"/>
      <c r="NXE69"/>
      <c r="NXF69"/>
      <c r="NXG69"/>
      <c r="NXH69"/>
      <c r="NXI69"/>
      <c r="NXJ69"/>
      <c r="NXK69"/>
      <c r="NXL69"/>
      <c r="NXM69"/>
      <c r="NXN69"/>
      <c r="NXO69"/>
      <c r="NXP69"/>
      <c r="NXQ69"/>
      <c r="NXR69"/>
      <c r="NXS69"/>
      <c r="NXT69"/>
      <c r="NXU69"/>
      <c r="NXV69"/>
      <c r="NXW69"/>
      <c r="NXX69"/>
      <c r="NXY69"/>
      <c r="NXZ69"/>
      <c r="NYA69"/>
      <c r="NYB69"/>
      <c r="NYC69"/>
      <c r="NYD69"/>
      <c r="NYE69"/>
      <c r="NYF69"/>
      <c r="NYG69"/>
      <c r="NYH69"/>
      <c r="NYI69"/>
      <c r="NYJ69"/>
      <c r="NYK69"/>
      <c r="NYL69"/>
      <c r="NYM69"/>
      <c r="NYN69"/>
      <c r="NYO69"/>
      <c r="NYP69"/>
      <c r="NYQ69"/>
      <c r="NYR69"/>
      <c r="NYS69"/>
      <c r="NYT69"/>
      <c r="NYU69"/>
      <c r="NYV69"/>
      <c r="NYW69"/>
      <c r="NYX69"/>
      <c r="NYY69"/>
      <c r="NYZ69"/>
      <c r="NZA69"/>
      <c r="NZB69"/>
      <c r="NZC69"/>
      <c r="NZD69"/>
      <c r="NZE69"/>
      <c r="NZF69"/>
      <c r="NZG69"/>
      <c r="NZH69"/>
      <c r="NZI69"/>
      <c r="NZJ69"/>
      <c r="NZK69"/>
      <c r="NZL69"/>
      <c r="NZM69"/>
      <c r="NZN69"/>
      <c r="NZO69"/>
      <c r="NZP69"/>
      <c r="NZQ69"/>
      <c r="NZR69"/>
      <c r="NZS69"/>
      <c r="NZT69"/>
      <c r="NZU69"/>
      <c r="NZV69"/>
      <c r="NZW69"/>
      <c r="NZX69"/>
      <c r="NZY69"/>
      <c r="NZZ69"/>
      <c r="OAA69"/>
      <c r="OAB69"/>
      <c r="OAC69"/>
      <c r="OAD69"/>
      <c r="OAE69"/>
      <c r="OAF69"/>
      <c r="OAG69"/>
      <c r="OAH69"/>
      <c r="OAI69"/>
      <c r="OAJ69"/>
      <c r="OAK69"/>
      <c r="OAL69"/>
      <c r="OAM69"/>
      <c r="OAN69"/>
      <c r="OAO69"/>
      <c r="OAP69"/>
      <c r="OAQ69"/>
      <c r="OAR69"/>
      <c r="OAS69"/>
      <c r="OAT69"/>
      <c r="OAU69"/>
      <c r="OAV69"/>
      <c r="OAW69"/>
      <c r="OAX69"/>
      <c r="OAY69"/>
      <c r="OAZ69"/>
      <c r="OBA69"/>
      <c r="OBB69"/>
      <c r="OBC69"/>
      <c r="OBD69"/>
      <c r="OBE69"/>
      <c r="OBF69"/>
      <c r="OBG69"/>
      <c r="OBH69"/>
      <c r="OBI69"/>
      <c r="OBJ69"/>
      <c r="OBK69"/>
      <c r="OBL69"/>
      <c r="OBM69"/>
      <c r="OBN69"/>
      <c r="OBO69"/>
      <c r="OBP69"/>
      <c r="OBQ69"/>
      <c r="OBR69"/>
      <c r="OBS69"/>
      <c r="OBT69"/>
      <c r="OBU69"/>
      <c r="OBV69"/>
      <c r="OBW69"/>
      <c r="OBX69"/>
      <c r="OBY69"/>
      <c r="OBZ69"/>
      <c r="OCA69"/>
      <c r="OCB69"/>
      <c r="OCC69"/>
      <c r="OCD69"/>
      <c r="OCE69"/>
      <c r="OCF69"/>
      <c r="OCG69"/>
      <c r="OCH69"/>
      <c r="OCI69"/>
      <c r="OCJ69"/>
      <c r="OCK69"/>
      <c r="OCL69"/>
      <c r="OCM69"/>
      <c r="OCN69"/>
      <c r="OCO69"/>
      <c r="OCP69"/>
      <c r="OCQ69"/>
      <c r="OCR69"/>
      <c r="OCS69"/>
      <c r="OCT69"/>
      <c r="OCU69"/>
      <c r="OCV69"/>
      <c r="OCW69"/>
      <c r="OCX69"/>
      <c r="OCY69"/>
      <c r="OCZ69"/>
      <c r="ODA69"/>
      <c r="ODB69"/>
      <c r="ODC69"/>
      <c r="ODD69"/>
      <c r="ODE69"/>
      <c r="ODF69"/>
      <c r="ODG69"/>
      <c r="ODH69"/>
      <c r="ODI69"/>
      <c r="ODJ69"/>
      <c r="ODK69"/>
      <c r="ODL69"/>
      <c r="ODM69"/>
      <c r="ODN69"/>
      <c r="ODO69"/>
      <c r="ODP69"/>
      <c r="ODQ69"/>
      <c r="ODR69"/>
      <c r="ODS69"/>
      <c r="ODT69"/>
      <c r="ODU69"/>
      <c r="ODV69"/>
      <c r="ODW69"/>
      <c r="ODX69"/>
      <c r="ODY69"/>
      <c r="ODZ69"/>
      <c r="OEA69"/>
      <c r="OEB69"/>
      <c r="OEC69"/>
      <c r="OED69"/>
      <c r="OEE69"/>
      <c r="OEF69"/>
      <c r="OEG69"/>
      <c r="OEH69"/>
      <c r="OEI69"/>
      <c r="OEJ69"/>
      <c r="OEK69"/>
      <c r="OEL69"/>
      <c r="OEM69"/>
      <c r="OEN69"/>
      <c r="OEO69"/>
      <c r="OEP69"/>
      <c r="OEQ69"/>
      <c r="OER69"/>
      <c r="OES69"/>
      <c r="OET69"/>
      <c r="OEU69"/>
      <c r="OEV69"/>
      <c r="OEW69"/>
      <c r="OEX69"/>
      <c r="OEY69"/>
      <c r="OEZ69"/>
      <c r="OFA69"/>
      <c r="OFB69"/>
      <c r="OFC69"/>
      <c r="OFD69"/>
      <c r="OFE69"/>
      <c r="OFF69"/>
      <c r="OFG69"/>
      <c r="OFH69"/>
      <c r="OFI69"/>
      <c r="OFJ69"/>
      <c r="OFK69"/>
      <c r="OFL69"/>
      <c r="OFM69"/>
      <c r="OFN69"/>
      <c r="OFO69"/>
      <c r="OFP69"/>
      <c r="OFQ69"/>
      <c r="OFR69"/>
      <c r="OFS69"/>
      <c r="OFT69"/>
      <c r="OFU69"/>
      <c r="OFV69"/>
      <c r="OFW69"/>
      <c r="OFX69"/>
      <c r="OFY69"/>
      <c r="OFZ69"/>
      <c r="OGA69"/>
      <c r="OGB69"/>
      <c r="OGC69"/>
      <c r="OGD69"/>
      <c r="OGE69"/>
      <c r="OGF69"/>
      <c r="OGG69"/>
      <c r="OGH69"/>
      <c r="OGI69"/>
      <c r="OGJ69"/>
      <c r="OGK69"/>
      <c r="OGL69"/>
      <c r="OGM69"/>
      <c r="OGN69"/>
      <c r="OGO69"/>
      <c r="OGP69"/>
      <c r="OGQ69"/>
      <c r="OGR69"/>
      <c r="OGS69"/>
      <c r="OGT69"/>
      <c r="OGU69"/>
      <c r="OGV69"/>
      <c r="OGW69"/>
      <c r="OGX69"/>
      <c r="OGY69"/>
      <c r="OGZ69"/>
      <c r="OHA69"/>
      <c r="OHB69"/>
      <c r="OHC69"/>
      <c r="OHD69"/>
      <c r="OHE69"/>
      <c r="OHF69"/>
      <c r="OHG69"/>
      <c r="OHH69"/>
      <c r="OHI69"/>
      <c r="OHJ69"/>
      <c r="OHK69"/>
      <c r="OHL69"/>
      <c r="OHM69"/>
      <c r="OHN69"/>
      <c r="OHO69"/>
      <c r="OHP69"/>
      <c r="OHQ69"/>
      <c r="OHR69"/>
      <c r="OHS69"/>
      <c r="OHT69"/>
      <c r="OHU69"/>
      <c r="OHV69"/>
      <c r="OHW69"/>
      <c r="OHX69"/>
      <c r="OHY69"/>
      <c r="OHZ69"/>
      <c r="OIA69"/>
      <c r="OIB69"/>
      <c r="OIC69"/>
      <c r="OID69"/>
      <c r="OIE69"/>
      <c r="OIF69"/>
      <c r="OIG69"/>
      <c r="OIH69"/>
      <c r="OII69"/>
      <c r="OIJ69"/>
      <c r="OIK69"/>
      <c r="OIL69"/>
      <c r="OIM69"/>
      <c r="OIN69"/>
      <c r="OIO69"/>
      <c r="OIP69"/>
      <c r="OIQ69"/>
      <c r="OIR69"/>
      <c r="OIS69"/>
      <c r="OIT69"/>
      <c r="OIU69"/>
      <c r="OIV69"/>
      <c r="OIW69"/>
      <c r="OIX69"/>
      <c r="OIY69"/>
      <c r="OIZ69"/>
      <c r="OJA69"/>
      <c r="OJB69"/>
      <c r="OJC69"/>
      <c r="OJD69"/>
      <c r="OJE69"/>
      <c r="OJF69"/>
      <c r="OJG69"/>
      <c r="OJH69"/>
      <c r="OJI69"/>
      <c r="OJJ69"/>
      <c r="OJK69"/>
      <c r="OJL69"/>
      <c r="OJM69"/>
      <c r="OJN69"/>
      <c r="OJO69"/>
      <c r="OJP69"/>
      <c r="OJQ69"/>
      <c r="OJR69"/>
      <c r="OJS69"/>
      <c r="OJT69"/>
      <c r="OJU69"/>
      <c r="OJV69"/>
      <c r="OJW69"/>
      <c r="OJX69"/>
      <c r="OJY69"/>
      <c r="OJZ69"/>
      <c r="OKA69"/>
      <c r="OKB69"/>
      <c r="OKC69"/>
      <c r="OKD69"/>
      <c r="OKE69"/>
      <c r="OKF69"/>
      <c r="OKG69"/>
      <c r="OKH69"/>
      <c r="OKI69"/>
      <c r="OKJ69"/>
      <c r="OKK69"/>
      <c r="OKL69"/>
      <c r="OKM69"/>
      <c r="OKN69"/>
      <c r="OKO69"/>
      <c r="OKP69"/>
      <c r="OKQ69"/>
      <c r="OKR69"/>
      <c r="OKS69"/>
      <c r="OKT69"/>
      <c r="OKU69"/>
      <c r="OKV69"/>
      <c r="OKW69"/>
      <c r="OKX69"/>
      <c r="OKY69"/>
      <c r="OKZ69"/>
      <c r="OLA69"/>
      <c r="OLB69"/>
      <c r="OLC69"/>
      <c r="OLD69"/>
      <c r="OLE69"/>
      <c r="OLF69"/>
      <c r="OLG69"/>
      <c r="OLH69"/>
      <c r="OLI69"/>
      <c r="OLJ69"/>
      <c r="OLK69"/>
      <c r="OLL69"/>
      <c r="OLM69"/>
      <c r="OLN69"/>
      <c r="OLO69"/>
      <c r="OLP69"/>
      <c r="OLQ69"/>
      <c r="OLR69"/>
      <c r="OLS69"/>
      <c r="OLT69"/>
      <c r="OLU69"/>
      <c r="OLV69"/>
      <c r="OLW69"/>
      <c r="OLX69"/>
      <c r="OLY69"/>
      <c r="OLZ69"/>
      <c r="OMA69"/>
      <c r="OMB69"/>
      <c r="OMC69"/>
      <c r="OMD69"/>
      <c r="OME69"/>
      <c r="OMF69"/>
      <c r="OMG69"/>
      <c r="OMH69"/>
      <c r="OMI69"/>
      <c r="OMJ69"/>
      <c r="OMK69"/>
      <c r="OML69"/>
      <c r="OMM69"/>
      <c r="OMN69"/>
      <c r="OMO69"/>
      <c r="OMP69"/>
      <c r="OMQ69"/>
      <c r="OMR69"/>
      <c r="OMS69"/>
      <c r="OMT69"/>
      <c r="OMU69"/>
      <c r="OMV69"/>
      <c r="OMW69"/>
      <c r="OMX69"/>
      <c r="OMY69"/>
      <c r="OMZ69"/>
      <c r="ONA69"/>
      <c r="ONB69"/>
      <c r="ONC69"/>
      <c r="OND69"/>
      <c r="ONE69"/>
      <c r="ONF69"/>
      <c r="ONG69"/>
      <c r="ONH69"/>
      <c r="ONI69"/>
      <c r="ONJ69"/>
      <c r="ONK69"/>
      <c r="ONL69"/>
      <c r="ONM69"/>
      <c r="ONN69"/>
      <c r="ONO69"/>
      <c r="ONP69"/>
      <c r="ONQ69"/>
      <c r="ONR69"/>
      <c r="ONS69"/>
      <c r="ONT69"/>
      <c r="ONU69"/>
      <c r="ONV69"/>
      <c r="ONW69"/>
      <c r="ONX69"/>
      <c r="ONY69"/>
      <c r="ONZ69"/>
      <c r="OOA69"/>
      <c r="OOB69"/>
      <c r="OOC69"/>
      <c r="OOD69"/>
      <c r="OOE69"/>
      <c r="OOF69"/>
      <c r="OOG69"/>
      <c r="OOH69"/>
      <c r="OOI69"/>
      <c r="OOJ69"/>
      <c r="OOK69"/>
      <c r="OOL69"/>
      <c r="OOM69"/>
      <c r="OON69"/>
      <c r="OOO69"/>
      <c r="OOP69"/>
      <c r="OOQ69"/>
      <c r="OOR69"/>
      <c r="OOS69"/>
      <c r="OOT69"/>
      <c r="OOU69"/>
      <c r="OOV69"/>
      <c r="OOW69"/>
      <c r="OOX69"/>
      <c r="OOY69"/>
      <c r="OOZ69"/>
      <c r="OPA69"/>
      <c r="OPB69"/>
      <c r="OPC69"/>
      <c r="OPD69"/>
      <c r="OPE69"/>
      <c r="OPF69"/>
      <c r="OPG69"/>
      <c r="OPH69"/>
      <c r="OPI69"/>
      <c r="OPJ69"/>
      <c r="OPK69"/>
      <c r="OPL69"/>
      <c r="OPM69"/>
      <c r="OPN69"/>
      <c r="OPO69"/>
      <c r="OPP69"/>
      <c r="OPQ69"/>
      <c r="OPR69"/>
      <c r="OPS69"/>
      <c r="OPT69"/>
      <c r="OPU69"/>
      <c r="OPV69"/>
      <c r="OPW69"/>
      <c r="OPX69"/>
      <c r="OPY69"/>
      <c r="OPZ69"/>
      <c r="OQA69"/>
      <c r="OQB69"/>
      <c r="OQC69"/>
      <c r="OQD69"/>
      <c r="OQE69"/>
      <c r="OQF69"/>
      <c r="OQG69"/>
      <c r="OQH69"/>
      <c r="OQI69"/>
      <c r="OQJ69"/>
      <c r="OQK69"/>
      <c r="OQL69"/>
      <c r="OQM69"/>
      <c r="OQN69"/>
      <c r="OQO69"/>
      <c r="OQP69"/>
      <c r="OQQ69"/>
      <c r="OQR69"/>
      <c r="OQS69"/>
      <c r="OQT69"/>
      <c r="OQU69"/>
      <c r="OQV69"/>
      <c r="OQW69"/>
      <c r="OQX69"/>
      <c r="OQY69"/>
      <c r="OQZ69"/>
      <c r="ORA69"/>
      <c r="ORB69"/>
      <c r="ORC69"/>
      <c r="ORD69"/>
      <c r="ORE69"/>
      <c r="ORF69"/>
      <c r="ORG69"/>
      <c r="ORH69"/>
      <c r="ORI69"/>
      <c r="ORJ69"/>
      <c r="ORK69"/>
      <c r="ORL69"/>
      <c r="ORM69"/>
      <c r="ORN69"/>
      <c r="ORO69"/>
      <c r="ORP69"/>
      <c r="ORQ69"/>
      <c r="ORR69"/>
      <c r="ORS69"/>
      <c r="ORT69"/>
      <c r="ORU69"/>
      <c r="ORV69"/>
      <c r="ORW69"/>
      <c r="ORX69"/>
      <c r="ORY69"/>
      <c r="ORZ69"/>
      <c r="OSA69"/>
      <c r="OSB69"/>
      <c r="OSC69"/>
      <c r="OSD69"/>
      <c r="OSE69"/>
      <c r="OSF69"/>
      <c r="OSG69"/>
      <c r="OSH69"/>
      <c r="OSI69"/>
      <c r="OSJ69"/>
      <c r="OSK69"/>
      <c r="OSL69"/>
      <c r="OSM69"/>
      <c r="OSN69"/>
      <c r="OSO69"/>
      <c r="OSP69"/>
      <c r="OSQ69"/>
      <c r="OSR69"/>
      <c r="OSS69"/>
      <c r="OST69"/>
      <c r="OSU69"/>
      <c r="OSV69"/>
      <c r="OSW69"/>
      <c r="OSX69"/>
      <c r="OSY69"/>
      <c r="OSZ69"/>
      <c r="OTA69"/>
      <c r="OTB69"/>
      <c r="OTC69"/>
      <c r="OTD69"/>
      <c r="OTE69"/>
      <c r="OTF69"/>
      <c r="OTG69"/>
      <c r="OTH69"/>
      <c r="OTI69"/>
      <c r="OTJ69"/>
      <c r="OTK69"/>
      <c r="OTL69"/>
      <c r="OTM69"/>
      <c r="OTN69"/>
      <c r="OTO69"/>
      <c r="OTP69"/>
      <c r="OTQ69"/>
      <c r="OTR69"/>
      <c r="OTS69"/>
      <c r="OTT69"/>
      <c r="OTU69"/>
      <c r="OTV69"/>
      <c r="OTW69"/>
      <c r="OTX69"/>
      <c r="OTY69"/>
      <c r="OTZ69"/>
      <c r="OUA69"/>
      <c r="OUB69"/>
      <c r="OUC69"/>
      <c r="OUD69"/>
      <c r="OUE69"/>
      <c r="OUF69"/>
      <c r="OUG69"/>
      <c r="OUH69"/>
      <c r="OUI69"/>
      <c r="OUJ69"/>
      <c r="OUK69"/>
      <c r="OUL69"/>
      <c r="OUM69"/>
      <c r="OUN69"/>
      <c r="OUO69"/>
      <c r="OUP69"/>
      <c r="OUQ69"/>
      <c r="OUR69"/>
      <c r="OUS69"/>
      <c r="OUT69"/>
      <c r="OUU69"/>
      <c r="OUV69"/>
      <c r="OUW69"/>
      <c r="OUX69"/>
      <c r="OUY69"/>
      <c r="OUZ69"/>
      <c r="OVA69"/>
      <c r="OVB69"/>
      <c r="OVC69"/>
      <c r="OVD69"/>
      <c r="OVE69"/>
      <c r="OVF69"/>
      <c r="OVG69"/>
      <c r="OVH69"/>
      <c r="OVI69"/>
      <c r="OVJ69"/>
      <c r="OVK69"/>
      <c r="OVL69"/>
      <c r="OVM69"/>
      <c r="OVN69"/>
      <c r="OVO69"/>
      <c r="OVP69"/>
      <c r="OVQ69"/>
      <c r="OVR69"/>
      <c r="OVS69"/>
      <c r="OVT69"/>
      <c r="OVU69"/>
      <c r="OVV69"/>
      <c r="OVW69"/>
      <c r="OVX69"/>
      <c r="OVY69"/>
      <c r="OVZ69"/>
      <c r="OWA69"/>
      <c r="OWB69"/>
      <c r="OWC69"/>
      <c r="OWD69"/>
      <c r="OWE69"/>
      <c r="OWF69"/>
      <c r="OWG69"/>
      <c r="OWH69"/>
      <c r="OWI69"/>
      <c r="OWJ69"/>
      <c r="OWK69"/>
      <c r="OWL69"/>
      <c r="OWM69"/>
      <c r="OWN69"/>
      <c r="OWO69"/>
      <c r="OWP69"/>
      <c r="OWQ69"/>
      <c r="OWR69"/>
      <c r="OWS69"/>
      <c r="OWT69"/>
      <c r="OWU69"/>
      <c r="OWV69"/>
      <c r="OWW69"/>
      <c r="OWX69"/>
      <c r="OWY69"/>
      <c r="OWZ69"/>
      <c r="OXA69"/>
      <c r="OXB69"/>
      <c r="OXC69"/>
      <c r="OXD69"/>
      <c r="OXE69"/>
      <c r="OXF69"/>
      <c r="OXG69"/>
      <c r="OXH69"/>
      <c r="OXI69"/>
      <c r="OXJ69"/>
      <c r="OXK69"/>
      <c r="OXL69"/>
      <c r="OXM69"/>
      <c r="OXN69"/>
      <c r="OXO69"/>
      <c r="OXP69"/>
      <c r="OXQ69"/>
      <c r="OXR69"/>
      <c r="OXS69"/>
      <c r="OXT69"/>
      <c r="OXU69"/>
      <c r="OXV69"/>
      <c r="OXW69"/>
      <c r="OXX69"/>
      <c r="OXY69"/>
      <c r="OXZ69"/>
      <c r="OYA69"/>
      <c r="OYB69"/>
      <c r="OYC69"/>
      <c r="OYD69"/>
      <c r="OYE69"/>
      <c r="OYF69"/>
      <c r="OYG69"/>
      <c r="OYH69"/>
      <c r="OYI69"/>
      <c r="OYJ69"/>
      <c r="OYK69"/>
      <c r="OYL69"/>
      <c r="OYM69"/>
      <c r="OYN69"/>
      <c r="OYO69"/>
      <c r="OYP69"/>
      <c r="OYQ69"/>
      <c r="OYR69"/>
      <c r="OYS69"/>
      <c r="OYT69"/>
      <c r="OYU69"/>
      <c r="OYV69"/>
      <c r="OYW69"/>
      <c r="OYX69"/>
      <c r="OYY69"/>
      <c r="OYZ69"/>
      <c r="OZA69"/>
      <c r="OZB69"/>
      <c r="OZC69"/>
      <c r="OZD69"/>
      <c r="OZE69"/>
      <c r="OZF69"/>
      <c r="OZG69"/>
      <c r="OZH69"/>
      <c r="OZI69"/>
      <c r="OZJ69"/>
      <c r="OZK69"/>
      <c r="OZL69"/>
      <c r="OZM69"/>
      <c r="OZN69"/>
      <c r="OZO69"/>
      <c r="OZP69"/>
      <c r="OZQ69"/>
      <c r="OZR69"/>
      <c r="OZS69"/>
      <c r="OZT69"/>
      <c r="OZU69"/>
      <c r="OZV69"/>
      <c r="OZW69"/>
      <c r="OZX69"/>
      <c r="OZY69"/>
      <c r="OZZ69"/>
      <c r="PAA69"/>
      <c r="PAB69"/>
      <c r="PAC69"/>
      <c r="PAD69"/>
      <c r="PAE69"/>
      <c r="PAF69"/>
      <c r="PAG69"/>
      <c r="PAH69"/>
      <c r="PAI69"/>
      <c r="PAJ69"/>
      <c r="PAK69"/>
      <c r="PAL69"/>
      <c r="PAM69"/>
      <c r="PAN69"/>
      <c r="PAO69"/>
      <c r="PAP69"/>
      <c r="PAQ69"/>
      <c r="PAR69"/>
      <c r="PAS69"/>
      <c r="PAT69"/>
      <c r="PAU69"/>
      <c r="PAV69"/>
      <c r="PAW69"/>
      <c r="PAX69"/>
      <c r="PAY69"/>
      <c r="PAZ69"/>
      <c r="PBA69"/>
      <c r="PBB69"/>
      <c r="PBC69"/>
      <c r="PBD69"/>
      <c r="PBE69"/>
      <c r="PBF69"/>
      <c r="PBG69"/>
      <c r="PBH69"/>
      <c r="PBI69"/>
      <c r="PBJ69"/>
      <c r="PBK69"/>
      <c r="PBL69"/>
      <c r="PBM69"/>
      <c r="PBN69"/>
      <c r="PBO69"/>
      <c r="PBP69"/>
      <c r="PBQ69"/>
      <c r="PBR69"/>
      <c r="PBS69"/>
      <c r="PBT69"/>
      <c r="PBU69"/>
      <c r="PBV69"/>
      <c r="PBW69"/>
      <c r="PBX69"/>
      <c r="PBY69"/>
      <c r="PBZ69"/>
      <c r="PCA69"/>
      <c r="PCB69"/>
      <c r="PCC69"/>
      <c r="PCD69"/>
      <c r="PCE69"/>
      <c r="PCF69"/>
      <c r="PCG69"/>
      <c r="PCH69"/>
      <c r="PCI69"/>
      <c r="PCJ69"/>
      <c r="PCK69"/>
      <c r="PCL69"/>
      <c r="PCM69"/>
      <c r="PCN69"/>
      <c r="PCO69"/>
      <c r="PCP69"/>
      <c r="PCQ69"/>
      <c r="PCR69"/>
      <c r="PCS69"/>
      <c r="PCT69"/>
      <c r="PCU69"/>
      <c r="PCV69"/>
      <c r="PCW69"/>
      <c r="PCX69"/>
      <c r="PCY69"/>
      <c r="PCZ69"/>
      <c r="PDA69"/>
      <c r="PDB69"/>
      <c r="PDC69"/>
      <c r="PDD69"/>
      <c r="PDE69"/>
      <c r="PDF69"/>
      <c r="PDG69"/>
      <c r="PDH69"/>
      <c r="PDI69"/>
      <c r="PDJ69"/>
      <c r="PDK69"/>
      <c r="PDL69"/>
      <c r="PDM69"/>
      <c r="PDN69"/>
      <c r="PDO69"/>
      <c r="PDP69"/>
      <c r="PDQ69"/>
      <c r="PDR69"/>
      <c r="PDS69"/>
      <c r="PDT69"/>
      <c r="PDU69"/>
      <c r="PDV69"/>
      <c r="PDW69"/>
      <c r="PDX69"/>
      <c r="PDY69"/>
      <c r="PDZ69"/>
      <c r="PEA69"/>
      <c r="PEB69"/>
      <c r="PEC69"/>
      <c r="PED69"/>
      <c r="PEE69"/>
      <c r="PEF69"/>
      <c r="PEG69"/>
      <c r="PEH69"/>
      <c r="PEI69"/>
      <c r="PEJ69"/>
      <c r="PEK69"/>
      <c r="PEL69"/>
      <c r="PEM69"/>
      <c r="PEN69"/>
      <c r="PEO69"/>
      <c r="PEP69"/>
      <c r="PEQ69"/>
      <c r="PER69"/>
      <c r="PES69"/>
      <c r="PET69"/>
      <c r="PEU69"/>
      <c r="PEV69"/>
      <c r="PEW69"/>
      <c r="PEX69"/>
      <c r="PEY69"/>
      <c r="PEZ69"/>
      <c r="PFA69"/>
      <c r="PFB69"/>
      <c r="PFC69"/>
      <c r="PFD69"/>
      <c r="PFE69"/>
      <c r="PFF69"/>
      <c r="PFG69"/>
      <c r="PFH69"/>
      <c r="PFI69"/>
      <c r="PFJ69"/>
      <c r="PFK69"/>
      <c r="PFL69"/>
      <c r="PFM69"/>
      <c r="PFN69"/>
      <c r="PFO69"/>
      <c r="PFP69"/>
      <c r="PFQ69"/>
      <c r="PFR69"/>
      <c r="PFS69"/>
      <c r="PFT69"/>
      <c r="PFU69"/>
      <c r="PFV69"/>
      <c r="PFW69"/>
      <c r="PFX69"/>
      <c r="PFY69"/>
      <c r="PFZ69"/>
      <c r="PGA69"/>
      <c r="PGB69"/>
      <c r="PGC69"/>
      <c r="PGD69"/>
      <c r="PGE69"/>
      <c r="PGF69"/>
      <c r="PGG69"/>
      <c r="PGH69"/>
      <c r="PGI69"/>
      <c r="PGJ69"/>
      <c r="PGK69"/>
      <c r="PGL69"/>
      <c r="PGM69"/>
      <c r="PGN69"/>
      <c r="PGO69"/>
      <c r="PGP69"/>
      <c r="PGQ69"/>
      <c r="PGR69"/>
      <c r="PGS69"/>
      <c r="PGT69"/>
      <c r="PGU69"/>
      <c r="PGV69"/>
      <c r="PGW69"/>
      <c r="PGX69"/>
      <c r="PGY69"/>
      <c r="PGZ69"/>
      <c r="PHA69"/>
      <c r="PHB69"/>
      <c r="PHC69"/>
      <c r="PHD69"/>
      <c r="PHE69"/>
      <c r="PHF69"/>
      <c r="PHG69"/>
      <c r="PHH69"/>
      <c r="PHI69"/>
      <c r="PHJ69"/>
      <c r="PHK69"/>
      <c r="PHL69"/>
      <c r="PHM69"/>
      <c r="PHN69"/>
      <c r="PHO69"/>
      <c r="PHP69"/>
      <c r="PHQ69"/>
      <c r="PHR69"/>
      <c r="PHS69"/>
      <c r="PHT69"/>
      <c r="PHU69"/>
      <c r="PHV69"/>
      <c r="PHW69"/>
      <c r="PHX69"/>
      <c r="PHY69"/>
      <c r="PHZ69"/>
      <c r="PIA69"/>
      <c r="PIB69"/>
      <c r="PIC69"/>
      <c r="PID69"/>
      <c r="PIE69"/>
      <c r="PIF69"/>
      <c r="PIG69"/>
      <c r="PIH69"/>
      <c r="PII69"/>
      <c r="PIJ69"/>
      <c r="PIK69"/>
      <c r="PIL69"/>
      <c r="PIM69"/>
      <c r="PIN69"/>
      <c r="PIO69"/>
      <c r="PIP69"/>
      <c r="PIQ69"/>
      <c r="PIR69"/>
      <c r="PIS69"/>
      <c r="PIT69"/>
      <c r="PIU69"/>
      <c r="PIV69"/>
      <c r="PIW69"/>
      <c r="PIX69"/>
      <c r="PIY69"/>
      <c r="PIZ69"/>
      <c r="PJA69"/>
      <c r="PJB69"/>
      <c r="PJC69"/>
      <c r="PJD69"/>
      <c r="PJE69"/>
      <c r="PJF69"/>
      <c r="PJG69"/>
      <c r="PJH69"/>
      <c r="PJI69"/>
      <c r="PJJ69"/>
      <c r="PJK69"/>
      <c r="PJL69"/>
      <c r="PJM69"/>
      <c r="PJN69"/>
      <c r="PJO69"/>
      <c r="PJP69"/>
      <c r="PJQ69"/>
      <c r="PJR69"/>
      <c r="PJS69"/>
      <c r="PJT69"/>
      <c r="PJU69"/>
      <c r="PJV69"/>
      <c r="PJW69"/>
      <c r="PJX69"/>
      <c r="PJY69"/>
      <c r="PJZ69"/>
      <c r="PKA69"/>
      <c r="PKB69"/>
      <c r="PKC69"/>
      <c r="PKD69"/>
      <c r="PKE69"/>
      <c r="PKF69"/>
      <c r="PKG69"/>
      <c r="PKH69"/>
      <c r="PKI69"/>
      <c r="PKJ69"/>
      <c r="PKK69"/>
      <c r="PKL69"/>
      <c r="PKM69"/>
      <c r="PKN69"/>
      <c r="PKO69"/>
      <c r="PKP69"/>
      <c r="PKQ69"/>
      <c r="PKR69"/>
      <c r="PKS69"/>
      <c r="PKT69"/>
      <c r="PKU69"/>
      <c r="PKV69"/>
      <c r="PKW69"/>
      <c r="PKX69"/>
      <c r="PKY69"/>
      <c r="PKZ69"/>
      <c r="PLA69"/>
      <c r="PLB69"/>
      <c r="PLC69"/>
      <c r="PLD69"/>
      <c r="PLE69"/>
      <c r="PLF69"/>
      <c r="PLG69"/>
      <c r="PLH69"/>
      <c r="PLI69"/>
      <c r="PLJ69"/>
      <c r="PLK69"/>
      <c r="PLL69"/>
      <c r="PLM69"/>
      <c r="PLN69"/>
      <c r="PLO69"/>
      <c r="PLP69"/>
      <c r="PLQ69"/>
      <c r="PLR69"/>
      <c r="PLS69"/>
      <c r="PLT69"/>
      <c r="PLU69"/>
      <c r="PLV69"/>
      <c r="PLW69"/>
      <c r="PLX69"/>
      <c r="PLY69"/>
      <c r="PLZ69"/>
      <c r="PMA69"/>
      <c r="PMB69"/>
      <c r="PMC69"/>
      <c r="PMD69"/>
      <c r="PME69"/>
      <c r="PMF69"/>
      <c r="PMG69"/>
      <c r="PMH69"/>
      <c r="PMI69"/>
      <c r="PMJ69"/>
      <c r="PMK69"/>
      <c r="PML69"/>
      <c r="PMM69"/>
      <c r="PMN69"/>
      <c r="PMO69"/>
      <c r="PMP69"/>
      <c r="PMQ69"/>
      <c r="PMR69"/>
      <c r="PMS69"/>
      <c r="PMT69"/>
      <c r="PMU69"/>
      <c r="PMV69"/>
      <c r="PMW69"/>
      <c r="PMX69"/>
      <c r="PMY69"/>
      <c r="PMZ69"/>
      <c r="PNA69"/>
      <c r="PNB69"/>
      <c r="PNC69"/>
      <c r="PND69"/>
      <c r="PNE69"/>
      <c r="PNF69"/>
      <c r="PNG69"/>
      <c r="PNH69"/>
      <c r="PNI69"/>
      <c r="PNJ69"/>
      <c r="PNK69"/>
      <c r="PNL69"/>
      <c r="PNM69"/>
      <c r="PNN69"/>
      <c r="PNO69"/>
      <c r="PNP69"/>
      <c r="PNQ69"/>
      <c r="PNR69"/>
      <c r="PNS69"/>
      <c r="PNT69"/>
      <c r="PNU69"/>
      <c r="PNV69"/>
      <c r="PNW69"/>
      <c r="PNX69"/>
      <c r="PNY69"/>
      <c r="PNZ69"/>
      <c r="POA69"/>
      <c r="POB69"/>
      <c r="POC69"/>
      <c r="POD69"/>
      <c r="POE69"/>
      <c r="POF69"/>
      <c r="POG69"/>
      <c r="POH69"/>
      <c r="POI69"/>
      <c r="POJ69"/>
      <c r="POK69"/>
      <c r="POL69"/>
      <c r="POM69"/>
      <c r="PON69"/>
      <c r="POO69"/>
      <c r="POP69"/>
      <c r="POQ69"/>
      <c r="POR69"/>
      <c r="POS69"/>
      <c r="POT69"/>
      <c r="POU69"/>
      <c r="POV69"/>
      <c r="POW69"/>
      <c r="POX69"/>
      <c r="POY69"/>
      <c r="POZ69"/>
      <c r="PPA69"/>
      <c r="PPB69"/>
      <c r="PPC69"/>
      <c r="PPD69"/>
      <c r="PPE69"/>
      <c r="PPF69"/>
      <c r="PPG69"/>
      <c r="PPH69"/>
      <c r="PPI69"/>
      <c r="PPJ69"/>
      <c r="PPK69"/>
      <c r="PPL69"/>
      <c r="PPM69"/>
      <c r="PPN69"/>
      <c r="PPO69"/>
      <c r="PPP69"/>
      <c r="PPQ69"/>
      <c r="PPR69"/>
      <c r="PPS69"/>
      <c r="PPT69"/>
      <c r="PPU69"/>
      <c r="PPV69"/>
      <c r="PPW69"/>
      <c r="PPX69"/>
      <c r="PPY69"/>
      <c r="PPZ69"/>
      <c r="PQA69"/>
      <c r="PQB69"/>
      <c r="PQC69"/>
      <c r="PQD69"/>
      <c r="PQE69"/>
      <c r="PQF69"/>
      <c r="PQG69"/>
      <c r="PQH69"/>
      <c r="PQI69"/>
      <c r="PQJ69"/>
      <c r="PQK69"/>
      <c r="PQL69"/>
      <c r="PQM69"/>
      <c r="PQN69"/>
      <c r="PQO69"/>
      <c r="PQP69"/>
      <c r="PQQ69"/>
      <c r="PQR69"/>
      <c r="PQS69"/>
      <c r="PQT69"/>
      <c r="PQU69"/>
      <c r="PQV69"/>
      <c r="PQW69"/>
      <c r="PQX69"/>
      <c r="PQY69"/>
      <c r="PQZ69"/>
      <c r="PRA69"/>
      <c r="PRB69"/>
      <c r="PRC69"/>
      <c r="PRD69"/>
      <c r="PRE69"/>
      <c r="PRF69"/>
      <c r="PRG69"/>
      <c r="PRH69"/>
      <c r="PRI69"/>
      <c r="PRJ69"/>
      <c r="PRK69"/>
      <c r="PRL69"/>
      <c r="PRM69"/>
      <c r="PRN69"/>
      <c r="PRO69"/>
      <c r="PRP69"/>
      <c r="PRQ69"/>
      <c r="PRR69"/>
      <c r="PRS69"/>
      <c r="PRT69"/>
      <c r="PRU69"/>
      <c r="PRV69"/>
      <c r="PRW69"/>
      <c r="PRX69"/>
      <c r="PRY69"/>
      <c r="PRZ69"/>
      <c r="PSA69"/>
      <c r="PSB69"/>
      <c r="PSC69"/>
      <c r="PSD69"/>
      <c r="PSE69"/>
      <c r="PSF69"/>
      <c r="PSG69"/>
      <c r="PSH69"/>
      <c r="PSI69"/>
      <c r="PSJ69"/>
      <c r="PSK69"/>
      <c r="PSL69"/>
      <c r="PSM69"/>
      <c r="PSN69"/>
      <c r="PSO69"/>
      <c r="PSP69"/>
      <c r="PSQ69"/>
      <c r="PSR69"/>
      <c r="PSS69"/>
      <c r="PST69"/>
      <c r="PSU69"/>
      <c r="PSV69"/>
      <c r="PSW69"/>
      <c r="PSX69"/>
      <c r="PSY69"/>
      <c r="PSZ69"/>
      <c r="PTA69"/>
      <c r="PTB69"/>
      <c r="PTC69"/>
      <c r="PTD69"/>
      <c r="PTE69"/>
      <c r="PTF69"/>
      <c r="PTG69"/>
      <c r="PTH69"/>
      <c r="PTI69"/>
      <c r="PTJ69"/>
      <c r="PTK69"/>
      <c r="PTL69"/>
      <c r="PTM69"/>
      <c r="PTN69"/>
      <c r="PTO69"/>
      <c r="PTP69"/>
      <c r="PTQ69"/>
      <c r="PTR69"/>
      <c r="PTS69"/>
      <c r="PTT69"/>
      <c r="PTU69"/>
      <c r="PTV69"/>
      <c r="PTW69"/>
      <c r="PTX69"/>
      <c r="PTY69"/>
      <c r="PTZ69"/>
      <c r="PUA69"/>
      <c r="PUB69"/>
      <c r="PUC69"/>
      <c r="PUD69"/>
      <c r="PUE69"/>
      <c r="PUF69"/>
      <c r="PUG69"/>
      <c r="PUH69"/>
      <c r="PUI69"/>
      <c r="PUJ69"/>
      <c r="PUK69"/>
      <c r="PUL69"/>
      <c r="PUM69"/>
      <c r="PUN69"/>
      <c r="PUO69"/>
      <c r="PUP69"/>
      <c r="PUQ69"/>
      <c r="PUR69"/>
      <c r="PUS69"/>
      <c r="PUT69"/>
      <c r="PUU69"/>
      <c r="PUV69"/>
      <c r="PUW69"/>
      <c r="PUX69"/>
      <c r="PUY69"/>
      <c r="PUZ69"/>
      <c r="PVA69"/>
      <c r="PVB69"/>
      <c r="PVC69"/>
      <c r="PVD69"/>
      <c r="PVE69"/>
      <c r="PVF69"/>
      <c r="PVG69"/>
      <c r="PVH69"/>
      <c r="PVI69"/>
      <c r="PVJ69"/>
      <c r="PVK69"/>
      <c r="PVL69"/>
      <c r="PVM69"/>
      <c r="PVN69"/>
      <c r="PVO69"/>
      <c r="PVP69"/>
      <c r="PVQ69"/>
      <c r="PVR69"/>
      <c r="PVS69"/>
      <c r="PVT69"/>
      <c r="PVU69"/>
      <c r="PVV69"/>
      <c r="PVW69"/>
      <c r="PVX69"/>
      <c r="PVY69"/>
      <c r="PVZ69"/>
      <c r="PWA69"/>
      <c r="PWB69"/>
      <c r="PWC69"/>
      <c r="PWD69"/>
      <c r="PWE69"/>
      <c r="PWF69"/>
      <c r="PWG69"/>
      <c r="PWH69"/>
      <c r="PWI69"/>
      <c r="PWJ69"/>
      <c r="PWK69"/>
      <c r="PWL69"/>
      <c r="PWM69"/>
      <c r="PWN69"/>
      <c r="PWO69"/>
      <c r="PWP69"/>
      <c r="PWQ69"/>
      <c r="PWR69"/>
      <c r="PWS69"/>
      <c r="PWT69"/>
      <c r="PWU69"/>
      <c r="PWV69"/>
      <c r="PWW69"/>
      <c r="PWX69"/>
      <c r="PWY69"/>
      <c r="PWZ69"/>
      <c r="PXA69"/>
      <c r="PXB69"/>
      <c r="PXC69"/>
      <c r="PXD69"/>
      <c r="PXE69"/>
      <c r="PXF69"/>
      <c r="PXG69"/>
      <c r="PXH69"/>
      <c r="PXI69"/>
      <c r="PXJ69"/>
      <c r="PXK69"/>
      <c r="PXL69"/>
      <c r="PXM69"/>
      <c r="PXN69"/>
      <c r="PXO69"/>
      <c r="PXP69"/>
      <c r="PXQ69"/>
      <c r="PXR69"/>
      <c r="PXS69"/>
      <c r="PXT69"/>
      <c r="PXU69"/>
      <c r="PXV69"/>
      <c r="PXW69"/>
      <c r="PXX69"/>
      <c r="PXY69"/>
      <c r="PXZ69"/>
      <c r="PYA69"/>
      <c r="PYB69"/>
      <c r="PYC69"/>
      <c r="PYD69"/>
      <c r="PYE69"/>
      <c r="PYF69"/>
      <c r="PYG69"/>
      <c r="PYH69"/>
      <c r="PYI69"/>
      <c r="PYJ69"/>
      <c r="PYK69"/>
      <c r="PYL69"/>
      <c r="PYM69"/>
      <c r="PYN69"/>
      <c r="PYO69"/>
      <c r="PYP69"/>
      <c r="PYQ69"/>
      <c r="PYR69"/>
      <c r="PYS69"/>
      <c r="PYT69"/>
      <c r="PYU69"/>
      <c r="PYV69"/>
      <c r="PYW69"/>
      <c r="PYX69"/>
      <c r="PYY69"/>
      <c r="PYZ69"/>
      <c r="PZA69"/>
      <c r="PZB69"/>
      <c r="PZC69"/>
      <c r="PZD69"/>
      <c r="PZE69"/>
      <c r="PZF69"/>
      <c r="PZG69"/>
      <c r="PZH69"/>
      <c r="PZI69"/>
      <c r="PZJ69"/>
      <c r="PZK69"/>
      <c r="PZL69"/>
      <c r="PZM69"/>
      <c r="PZN69"/>
      <c r="PZO69"/>
      <c r="PZP69"/>
      <c r="PZQ69"/>
      <c r="PZR69"/>
      <c r="PZS69"/>
      <c r="PZT69"/>
      <c r="PZU69"/>
      <c r="PZV69"/>
      <c r="PZW69"/>
      <c r="PZX69"/>
      <c r="PZY69"/>
      <c r="PZZ69"/>
      <c r="QAA69"/>
      <c r="QAB69"/>
      <c r="QAC69"/>
      <c r="QAD69"/>
      <c r="QAE69"/>
      <c r="QAF69"/>
      <c r="QAG69"/>
      <c r="QAH69"/>
      <c r="QAI69"/>
      <c r="QAJ69"/>
      <c r="QAK69"/>
      <c r="QAL69"/>
      <c r="QAM69"/>
      <c r="QAN69"/>
      <c r="QAO69"/>
      <c r="QAP69"/>
      <c r="QAQ69"/>
      <c r="QAR69"/>
      <c r="QAS69"/>
      <c r="QAT69"/>
      <c r="QAU69"/>
      <c r="QAV69"/>
      <c r="QAW69"/>
      <c r="QAX69"/>
      <c r="QAY69"/>
      <c r="QAZ69"/>
      <c r="QBA69"/>
      <c r="QBB69"/>
      <c r="QBC69"/>
      <c r="QBD69"/>
      <c r="QBE69"/>
      <c r="QBF69"/>
      <c r="QBG69"/>
      <c r="QBH69"/>
      <c r="QBI69"/>
      <c r="QBJ69"/>
      <c r="QBK69"/>
      <c r="QBL69"/>
      <c r="QBM69"/>
      <c r="QBN69"/>
      <c r="QBO69"/>
      <c r="QBP69"/>
      <c r="QBQ69"/>
      <c r="QBR69"/>
      <c r="QBS69"/>
      <c r="QBT69"/>
      <c r="QBU69"/>
      <c r="QBV69"/>
      <c r="QBW69"/>
      <c r="QBX69"/>
      <c r="QBY69"/>
      <c r="QBZ69"/>
      <c r="QCA69"/>
      <c r="QCB69"/>
      <c r="QCC69"/>
      <c r="QCD69"/>
      <c r="QCE69"/>
      <c r="QCF69"/>
      <c r="QCG69"/>
      <c r="QCH69"/>
      <c r="QCI69"/>
      <c r="QCJ69"/>
      <c r="QCK69"/>
      <c r="QCL69"/>
      <c r="QCM69"/>
      <c r="QCN69"/>
      <c r="QCO69"/>
      <c r="QCP69"/>
      <c r="QCQ69"/>
      <c r="QCR69"/>
      <c r="QCS69"/>
      <c r="QCT69"/>
      <c r="QCU69"/>
      <c r="QCV69"/>
      <c r="QCW69"/>
      <c r="QCX69"/>
      <c r="QCY69"/>
      <c r="QCZ69"/>
      <c r="QDA69"/>
      <c r="QDB69"/>
      <c r="QDC69"/>
      <c r="QDD69"/>
      <c r="QDE69"/>
      <c r="QDF69"/>
      <c r="QDG69"/>
      <c r="QDH69"/>
      <c r="QDI69"/>
      <c r="QDJ69"/>
      <c r="QDK69"/>
      <c r="QDL69"/>
      <c r="QDM69"/>
      <c r="QDN69"/>
      <c r="QDO69"/>
      <c r="QDP69"/>
      <c r="QDQ69"/>
      <c r="QDR69"/>
      <c r="QDS69"/>
      <c r="QDT69"/>
      <c r="QDU69"/>
      <c r="QDV69"/>
      <c r="QDW69"/>
      <c r="QDX69"/>
      <c r="QDY69"/>
      <c r="QDZ69"/>
      <c r="QEA69"/>
      <c r="QEB69"/>
      <c r="QEC69"/>
      <c r="QED69"/>
      <c r="QEE69"/>
      <c r="QEF69"/>
      <c r="QEG69"/>
      <c r="QEH69"/>
      <c r="QEI69"/>
      <c r="QEJ69"/>
      <c r="QEK69"/>
      <c r="QEL69"/>
      <c r="QEM69"/>
      <c r="QEN69"/>
      <c r="QEO69"/>
      <c r="QEP69"/>
      <c r="QEQ69"/>
      <c r="QER69"/>
      <c r="QES69"/>
      <c r="QET69"/>
      <c r="QEU69"/>
      <c r="QEV69"/>
      <c r="QEW69"/>
      <c r="QEX69"/>
      <c r="QEY69"/>
      <c r="QEZ69"/>
      <c r="QFA69"/>
      <c r="QFB69"/>
      <c r="QFC69"/>
      <c r="QFD69"/>
      <c r="QFE69"/>
      <c r="QFF69"/>
      <c r="QFG69"/>
      <c r="QFH69"/>
      <c r="QFI69"/>
      <c r="QFJ69"/>
      <c r="QFK69"/>
      <c r="QFL69"/>
      <c r="QFM69"/>
      <c r="QFN69"/>
      <c r="QFO69"/>
      <c r="QFP69"/>
      <c r="QFQ69"/>
      <c r="QFR69"/>
      <c r="QFS69"/>
      <c r="QFT69"/>
      <c r="QFU69"/>
      <c r="QFV69"/>
      <c r="QFW69"/>
      <c r="QFX69"/>
      <c r="QFY69"/>
      <c r="QFZ69"/>
      <c r="QGA69"/>
      <c r="QGB69"/>
      <c r="QGC69"/>
      <c r="QGD69"/>
      <c r="QGE69"/>
      <c r="QGF69"/>
      <c r="QGG69"/>
      <c r="QGH69"/>
      <c r="QGI69"/>
      <c r="QGJ69"/>
      <c r="QGK69"/>
      <c r="QGL69"/>
      <c r="QGM69"/>
      <c r="QGN69"/>
      <c r="QGO69"/>
      <c r="QGP69"/>
      <c r="QGQ69"/>
      <c r="QGR69"/>
      <c r="QGS69"/>
      <c r="QGT69"/>
      <c r="QGU69"/>
      <c r="QGV69"/>
      <c r="QGW69"/>
      <c r="QGX69"/>
      <c r="QGY69"/>
      <c r="QGZ69"/>
      <c r="QHA69"/>
      <c r="QHB69"/>
      <c r="QHC69"/>
      <c r="QHD69"/>
      <c r="QHE69"/>
      <c r="QHF69"/>
      <c r="QHG69"/>
      <c r="QHH69"/>
      <c r="QHI69"/>
      <c r="QHJ69"/>
      <c r="QHK69"/>
      <c r="QHL69"/>
      <c r="QHM69"/>
      <c r="QHN69"/>
      <c r="QHO69"/>
      <c r="QHP69"/>
      <c r="QHQ69"/>
      <c r="QHR69"/>
      <c r="QHS69"/>
      <c r="QHT69"/>
      <c r="QHU69"/>
      <c r="QHV69"/>
      <c r="QHW69"/>
      <c r="QHX69"/>
      <c r="QHY69"/>
      <c r="QHZ69"/>
      <c r="QIA69"/>
      <c r="QIB69"/>
      <c r="QIC69"/>
      <c r="QID69"/>
      <c r="QIE69"/>
      <c r="QIF69"/>
      <c r="QIG69"/>
      <c r="QIH69"/>
      <c r="QII69"/>
      <c r="QIJ69"/>
      <c r="QIK69"/>
      <c r="QIL69"/>
      <c r="QIM69"/>
      <c r="QIN69"/>
      <c r="QIO69"/>
      <c r="QIP69"/>
      <c r="QIQ69"/>
      <c r="QIR69"/>
      <c r="QIS69"/>
      <c r="QIT69"/>
      <c r="QIU69"/>
      <c r="QIV69"/>
      <c r="QIW69"/>
      <c r="QIX69"/>
      <c r="QIY69"/>
      <c r="QIZ69"/>
      <c r="QJA69"/>
      <c r="QJB69"/>
      <c r="QJC69"/>
      <c r="QJD69"/>
      <c r="QJE69"/>
      <c r="QJF69"/>
      <c r="QJG69"/>
      <c r="QJH69"/>
      <c r="QJI69"/>
      <c r="QJJ69"/>
      <c r="QJK69"/>
      <c r="QJL69"/>
      <c r="QJM69"/>
      <c r="QJN69"/>
      <c r="QJO69"/>
      <c r="QJP69"/>
      <c r="QJQ69"/>
      <c r="QJR69"/>
      <c r="QJS69"/>
      <c r="QJT69"/>
      <c r="QJU69"/>
      <c r="QJV69"/>
      <c r="QJW69"/>
      <c r="QJX69"/>
      <c r="QJY69"/>
      <c r="QJZ69"/>
      <c r="QKA69"/>
      <c r="QKB69"/>
      <c r="QKC69"/>
      <c r="QKD69"/>
      <c r="QKE69"/>
      <c r="QKF69"/>
      <c r="QKG69"/>
      <c r="QKH69"/>
      <c r="QKI69"/>
      <c r="QKJ69"/>
      <c r="QKK69"/>
      <c r="QKL69"/>
      <c r="QKM69"/>
      <c r="QKN69"/>
      <c r="QKO69"/>
      <c r="QKP69"/>
      <c r="QKQ69"/>
      <c r="QKR69"/>
      <c r="QKS69"/>
      <c r="QKT69"/>
      <c r="QKU69"/>
      <c r="QKV69"/>
      <c r="QKW69"/>
      <c r="QKX69"/>
      <c r="QKY69"/>
      <c r="QKZ69"/>
      <c r="QLA69"/>
      <c r="QLB69"/>
      <c r="QLC69"/>
      <c r="QLD69"/>
      <c r="QLE69"/>
      <c r="QLF69"/>
      <c r="QLG69"/>
      <c r="QLH69"/>
      <c r="QLI69"/>
      <c r="QLJ69"/>
      <c r="QLK69"/>
      <c r="QLL69"/>
      <c r="QLM69"/>
      <c r="QLN69"/>
      <c r="QLO69"/>
      <c r="QLP69"/>
      <c r="QLQ69"/>
      <c r="QLR69"/>
      <c r="QLS69"/>
      <c r="QLT69"/>
      <c r="QLU69"/>
      <c r="QLV69"/>
      <c r="QLW69"/>
      <c r="QLX69"/>
      <c r="QLY69"/>
      <c r="QLZ69"/>
      <c r="QMA69"/>
      <c r="QMB69"/>
      <c r="QMC69"/>
      <c r="QMD69"/>
      <c r="QME69"/>
      <c r="QMF69"/>
      <c r="QMG69"/>
      <c r="QMH69"/>
      <c r="QMI69"/>
      <c r="QMJ69"/>
      <c r="QMK69"/>
      <c r="QML69"/>
      <c r="QMM69"/>
      <c r="QMN69"/>
      <c r="QMO69"/>
      <c r="QMP69"/>
      <c r="QMQ69"/>
      <c r="QMR69"/>
      <c r="QMS69"/>
      <c r="QMT69"/>
      <c r="QMU69"/>
      <c r="QMV69"/>
      <c r="QMW69"/>
      <c r="QMX69"/>
      <c r="QMY69"/>
      <c r="QMZ69"/>
      <c r="QNA69"/>
      <c r="QNB69"/>
      <c r="QNC69"/>
      <c r="QND69"/>
      <c r="QNE69"/>
      <c r="QNF69"/>
      <c r="QNG69"/>
      <c r="QNH69"/>
      <c r="QNI69"/>
      <c r="QNJ69"/>
      <c r="QNK69"/>
      <c r="QNL69"/>
      <c r="QNM69"/>
      <c r="QNN69"/>
      <c r="QNO69"/>
      <c r="QNP69"/>
      <c r="QNQ69"/>
      <c r="QNR69"/>
      <c r="QNS69"/>
      <c r="QNT69"/>
      <c r="QNU69"/>
      <c r="QNV69"/>
      <c r="QNW69"/>
      <c r="QNX69"/>
      <c r="QNY69"/>
      <c r="QNZ69"/>
      <c r="QOA69"/>
      <c r="QOB69"/>
      <c r="QOC69"/>
      <c r="QOD69"/>
      <c r="QOE69"/>
      <c r="QOF69"/>
      <c r="QOG69"/>
      <c r="QOH69"/>
      <c r="QOI69"/>
      <c r="QOJ69"/>
      <c r="QOK69"/>
      <c r="QOL69"/>
      <c r="QOM69"/>
      <c r="QON69"/>
      <c r="QOO69"/>
      <c r="QOP69"/>
      <c r="QOQ69"/>
      <c r="QOR69"/>
      <c r="QOS69"/>
      <c r="QOT69"/>
      <c r="QOU69"/>
      <c r="QOV69"/>
      <c r="QOW69"/>
      <c r="QOX69"/>
      <c r="QOY69"/>
      <c r="QOZ69"/>
      <c r="QPA69"/>
      <c r="QPB69"/>
      <c r="QPC69"/>
      <c r="QPD69"/>
      <c r="QPE69"/>
      <c r="QPF69"/>
      <c r="QPG69"/>
      <c r="QPH69"/>
      <c r="QPI69"/>
      <c r="QPJ69"/>
      <c r="QPK69"/>
      <c r="QPL69"/>
      <c r="QPM69"/>
      <c r="QPN69"/>
      <c r="QPO69"/>
      <c r="QPP69"/>
      <c r="QPQ69"/>
      <c r="QPR69"/>
      <c r="QPS69"/>
      <c r="QPT69"/>
      <c r="QPU69"/>
      <c r="QPV69"/>
      <c r="QPW69"/>
      <c r="QPX69"/>
      <c r="QPY69"/>
      <c r="QPZ69"/>
      <c r="QQA69"/>
      <c r="QQB69"/>
      <c r="QQC69"/>
      <c r="QQD69"/>
      <c r="QQE69"/>
      <c r="QQF69"/>
      <c r="QQG69"/>
      <c r="QQH69"/>
      <c r="QQI69"/>
      <c r="QQJ69"/>
      <c r="QQK69"/>
      <c r="QQL69"/>
      <c r="QQM69"/>
      <c r="QQN69"/>
      <c r="QQO69"/>
      <c r="QQP69"/>
      <c r="QQQ69"/>
      <c r="QQR69"/>
      <c r="QQS69"/>
      <c r="QQT69"/>
      <c r="QQU69"/>
      <c r="QQV69"/>
      <c r="QQW69"/>
      <c r="QQX69"/>
      <c r="QQY69"/>
      <c r="QQZ69"/>
      <c r="QRA69"/>
      <c r="QRB69"/>
      <c r="QRC69"/>
      <c r="QRD69"/>
      <c r="QRE69"/>
      <c r="QRF69"/>
      <c r="QRG69"/>
      <c r="QRH69"/>
      <c r="QRI69"/>
      <c r="QRJ69"/>
      <c r="QRK69"/>
      <c r="QRL69"/>
      <c r="QRM69"/>
      <c r="QRN69"/>
      <c r="QRO69"/>
      <c r="QRP69"/>
      <c r="QRQ69"/>
      <c r="QRR69"/>
      <c r="QRS69"/>
      <c r="QRT69"/>
      <c r="QRU69"/>
      <c r="QRV69"/>
      <c r="QRW69"/>
      <c r="QRX69"/>
      <c r="QRY69"/>
      <c r="QRZ69"/>
      <c r="QSA69"/>
      <c r="QSB69"/>
      <c r="QSC69"/>
      <c r="QSD69"/>
      <c r="QSE69"/>
      <c r="QSF69"/>
      <c r="QSG69"/>
      <c r="QSH69"/>
      <c r="QSI69"/>
      <c r="QSJ69"/>
      <c r="QSK69"/>
      <c r="QSL69"/>
      <c r="QSM69"/>
      <c r="QSN69"/>
      <c r="QSO69"/>
      <c r="QSP69"/>
      <c r="QSQ69"/>
      <c r="QSR69"/>
      <c r="QSS69"/>
      <c r="QST69"/>
      <c r="QSU69"/>
      <c r="QSV69"/>
      <c r="QSW69"/>
      <c r="QSX69"/>
      <c r="QSY69"/>
      <c r="QSZ69"/>
      <c r="QTA69"/>
      <c r="QTB69"/>
      <c r="QTC69"/>
      <c r="QTD69"/>
      <c r="QTE69"/>
      <c r="QTF69"/>
      <c r="QTG69"/>
      <c r="QTH69"/>
      <c r="QTI69"/>
      <c r="QTJ69"/>
      <c r="QTK69"/>
      <c r="QTL69"/>
      <c r="QTM69"/>
      <c r="QTN69"/>
      <c r="QTO69"/>
      <c r="QTP69"/>
      <c r="QTQ69"/>
      <c r="QTR69"/>
      <c r="QTS69"/>
      <c r="QTT69"/>
      <c r="QTU69"/>
      <c r="QTV69"/>
      <c r="QTW69"/>
      <c r="QTX69"/>
      <c r="QTY69"/>
      <c r="QTZ69"/>
      <c r="QUA69"/>
      <c r="QUB69"/>
      <c r="QUC69"/>
      <c r="QUD69"/>
      <c r="QUE69"/>
      <c r="QUF69"/>
      <c r="QUG69"/>
      <c r="QUH69"/>
      <c r="QUI69"/>
      <c r="QUJ69"/>
      <c r="QUK69"/>
      <c r="QUL69"/>
      <c r="QUM69"/>
      <c r="QUN69"/>
      <c r="QUO69"/>
      <c r="QUP69"/>
      <c r="QUQ69"/>
      <c r="QUR69"/>
      <c r="QUS69"/>
      <c r="QUT69"/>
      <c r="QUU69"/>
      <c r="QUV69"/>
      <c r="QUW69"/>
      <c r="QUX69"/>
      <c r="QUY69"/>
      <c r="QUZ69"/>
      <c r="QVA69"/>
      <c r="QVB69"/>
      <c r="QVC69"/>
      <c r="QVD69"/>
      <c r="QVE69"/>
      <c r="QVF69"/>
      <c r="QVG69"/>
      <c r="QVH69"/>
      <c r="QVI69"/>
      <c r="QVJ69"/>
      <c r="QVK69"/>
      <c r="QVL69"/>
      <c r="QVM69"/>
      <c r="QVN69"/>
      <c r="QVO69"/>
      <c r="QVP69"/>
      <c r="QVQ69"/>
      <c r="QVR69"/>
      <c r="QVS69"/>
      <c r="QVT69"/>
      <c r="QVU69"/>
      <c r="QVV69"/>
      <c r="QVW69"/>
      <c r="QVX69"/>
      <c r="QVY69"/>
      <c r="QVZ69"/>
      <c r="QWA69"/>
      <c r="QWB69"/>
      <c r="QWC69"/>
      <c r="QWD69"/>
      <c r="QWE69"/>
      <c r="QWF69"/>
      <c r="QWG69"/>
      <c r="QWH69"/>
      <c r="QWI69"/>
      <c r="QWJ69"/>
      <c r="QWK69"/>
      <c r="QWL69"/>
      <c r="QWM69"/>
      <c r="QWN69"/>
      <c r="QWO69"/>
      <c r="QWP69"/>
      <c r="QWQ69"/>
      <c r="QWR69"/>
      <c r="QWS69"/>
      <c r="QWT69"/>
      <c r="QWU69"/>
      <c r="QWV69"/>
      <c r="QWW69"/>
      <c r="QWX69"/>
      <c r="QWY69"/>
      <c r="QWZ69"/>
      <c r="QXA69"/>
      <c r="QXB69"/>
      <c r="QXC69"/>
      <c r="QXD69"/>
      <c r="QXE69"/>
      <c r="QXF69"/>
      <c r="QXG69"/>
      <c r="QXH69"/>
      <c r="QXI69"/>
      <c r="QXJ69"/>
      <c r="QXK69"/>
      <c r="QXL69"/>
      <c r="QXM69"/>
      <c r="QXN69"/>
      <c r="QXO69"/>
      <c r="QXP69"/>
      <c r="QXQ69"/>
      <c r="QXR69"/>
      <c r="QXS69"/>
      <c r="QXT69"/>
      <c r="QXU69"/>
      <c r="QXV69"/>
      <c r="QXW69"/>
      <c r="QXX69"/>
      <c r="QXY69"/>
      <c r="QXZ69"/>
      <c r="QYA69"/>
      <c r="QYB69"/>
      <c r="QYC69"/>
      <c r="QYD69"/>
      <c r="QYE69"/>
      <c r="QYF69"/>
      <c r="QYG69"/>
      <c r="QYH69"/>
      <c r="QYI69"/>
      <c r="QYJ69"/>
      <c r="QYK69"/>
      <c r="QYL69"/>
      <c r="QYM69"/>
      <c r="QYN69"/>
      <c r="QYO69"/>
      <c r="QYP69"/>
      <c r="QYQ69"/>
      <c r="QYR69"/>
      <c r="QYS69"/>
      <c r="QYT69"/>
      <c r="QYU69"/>
      <c r="QYV69"/>
      <c r="QYW69"/>
      <c r="QYX69"/>
      <c r="QYY69"/>
      <c r="QYZ69"/>
      <c r="QZA69"/>
      <c r="QZB69"/>
      <c r="QZC69"/>
      <c r="QZD69"/>
      <c r="QZE69"/>
      <c r="QZF69"/>
      <c r="QZG69"/>
      <c r="QZH69"/>
      <c r="QZI69"/>
      <c r="QZJ69"/>
      <c r="QZK69"/>
      <c r="QZL69"/>
      <c r="QZM69"/>
      <c r="QZN69"/>
      <c r="QZO69"/>
      <c r="QZP69"/>
      <c r="QZQ69"/>
      <c r="QZR69"/>
      <c r="QZS69"/>
      <c r="QZT69"/>
      <c r="QZU69"/>
      <c r="QZV69"/>
      <c r="QZW69"/>
      <c r="QZX69"/>
      <c r="QZY69"/>
      <c r="QZZ69"/>
      <c r="RAA69"/>
      <c r="RAB69"/>
      <c r="RAC69"/>
      <c r="RAD69"/>
      <c r="RAE69"/>
      <c r="RAF69"/>
      <c r="RAG69"/>
      <c r="RAH69"/>
      <c r="RAI69"/>
      <c r="RAJ69"/>
      <c r="RAK69"/>
      <c r="RAL69"/>
      <c r="RAM69"/>
      <c r="RAN69"/>
      <c r="RAO69"/>
      <c r="RAP69"/>
      <c r="RAQ69"/>
      <c r="RAR69"/>
      <c r="RAS69"/>
      <c r="RAT69"/>
      <c r="RAU69"/>
      <c r="RAV69"/>
      <c r="RAW69"/>
      <c r="RAX69"/>
      <c r="RAY69"/>
      <c r="RAZ69"/>
      <c r="RBA69"/>
      <c r="RBB69"/>
      <c r="RBC69"/>
      <c r="RBD69"/>
      <c r="RBE69"/>
      <c r="RBF69"/>
      <c r="RBG69"/>
      <c r="RBH69"/>
      <c r="RBI69"/>
      <c r="RBJ69"/>
      <c r="RBK69"/>
      <c r="RBL69"/>
      <c r="RBM69"/>
      <c r="RBN69"/>
      <c r="RBO69"/>
      <c r="RBP69"/>
      <c r="RBQ69"/>
      <c r="RBR69"/>
      <c r="RBS69"/>
      <c r="RBT69"/>
      <c r="RBU69"/>
      <c r="RBV69"/>
      <c r="RBW69"/>
      <c r="RBX69"/>
      <c r="RBY69"/>
      <c r="RBZ69"/>
      <c r="RCA69"/>
      <c r="RCB69"/>
      <c r="RCC69"/>
      <c r="RCD69"/>
      <c r="RCE69"/>
      <c r="RCF69"/>
      <c r="RCG69"/>
      <c r="RCH69"/>
      <c r="RCI69"/>
      <c r="RCJ69"/>
      <c r="RCK69"/>
      <c r="RCL69"/>
      <c r="RCM69"/>
      <c r="RCN69"/>
      <c r="RCO69"/>
      <c r="RCP69"/>
      <c r="RCQ69"/>
      <c r="RCR69"/>
      <c r="RCS69"/>
      <c r="RCT69"/>
      <c r="RCU69"/>
      <c r="RCV69"/>
      <c r="RCW69"/>
      <c r="RCX69"/>
      <c r="RCY69"/>
      <c r="RCZ69"/>
      <c r="RDA69"/>
      <c r="RDB69"/>
      <c r="RDC69"/>
      <c r="RDD69"/>
      <c r="RDE69"/>
      <c r="RDF69"/>
      <c r="RDG69"/>
      <c r="RDH69"/>
      <c r="RDI69"/>
      <c r="RDJ69"/>
      <c r="RDK69"/>
      <c r="RDL69"/>
      <c r="RDM69"/>
      <c r="RDN69"/>
      <c r="RDO69"/>
      <c r="RDP69"/>
      <c r="RDQ69"/>
      <c r="RDR69"/>
      <c r="RDS69"/>
      <c r="RDT69"/>
      <c r="RDU69"/>
      <c r="RDV69"/>
      <c r="RDW69"/>
      <c r="RDX69"/>
      <c r="RDY69"/>
      <c r="RDZ69"/>
      <c r="REA69"/>
      <c r="REB69"/>
      <c r="REC69"/>
      <c r="RED69"/>
      <c r="REE69"/>
      <c r="REF69"/>
      <c r="REG69"/>
      <c r="REH69"/>
      <c r="REI69"/>
      <c r="REJ69"/>
      <c r="REK69"/>
      <c r="REL69"/>
      <c r="REM69"/>
      <c r="REN69"/>
      <c r="REO69"/>
      <c r="REP69"/>
      <c r="REQ69"/>
      <c r="RER69"/>
      <c r="RES69"/>
      <c r="RET69"/>
      <c r="REU69"/>
      <c r="REV69"/>
      <c r="REW69"/>
      <c r="REX69"/>
      <c r="REY69"/>
      <c r="REZ69"/>
      <c r="RFA69"/>
      <c r="RFB69"/>
      <c r="RFC69"/>
      <c r="RFD69"/>
      <c r="RFE69"/>
      <c r="RFF69"/>
      <c r="RFG69"/>
      <c r="RFH69"/>
      <c r="RFI69"/>
      <c r="RFJ69"/>
      <c r="RFK69"/>
      <c r="RFL69"/>
      <c r="RFM69"/>
      <c r="RFN69"/>
      <c r="RFO69"/>
      <c r="RFP69"/>
      <c r="RFQ69"/>
      <c r="RFR69"/>
      <c r="RFS69"/>
      <c r="RFT69"/>
      <c r="RFU69"/>
      <c r="RFV69"/>
      <c r="RFW69"/>
      <c r="RFX69"/>
      <c r="RFY69"/>
      <c r="RFZ69"/>
      <c r="RGA69"/>
      <c r="RGB69"/>
      <c r="RGC69"/>
      <c r="RGD69"/>
      <c r="RGE69"/>
      <c r="RGF69"/>
      <c r="RGG69"/>
      <c r="RGH69"/>
      <c r="RGI69"/>
      <c r="RGJ69"/>
      <c r="RGK69"/>
      <c r="RGL69"/>
      <c r="RGM69"/>
      <c r="RGN69"/>
      <c r="RGO69"/>
      <c r="RGP69"/>
      <c r="RGQ69"/>
      <c r="RGR69"/>
      <c r="RGS69"/>
      <c r="RGT69"/>
      <c r="RGU69"/>
      <c r="RGV69"/>
      <c r="RGW69"/>
      <c r="RGX69"/>
      <c r="RGY69"/>
      <c r="RGZ69"/>
      <c r="RHA69"/>
      <c r="RHB69"/>
      <c r="RHC69"/>
      <c r="RHD69"/>
      <c r="RHE69"/>
      <c r="RHF69"/>
      <c r="RHG69"/>
      <c r="RHH69"/>
      <c r="RHI69"/>
      <c r="RHJ69"/>
      <c r="RHK69"/>
      <c r="RHL69"/>
      <c r="RHM69"/>
      <c r="RHN69"/>
      <c r="RHO69"/>
      <c r="RHP69"/>
      <c r="RHQ69"/>
      <c r="RHR69"/>
      <c r="RHS69"/>
      <c r="RHT69"/>
      <c r="RHU69"/>
      <c r="RHV69"/>
      <c r="RHW69"/>
      <c r="RHX69"/>
      <c r="RHY69"/>
      <c r="RHZ69"/>
      <c r="RIA69"/>
      <c r="RIB69"/>
      <c r="RIC69"/>
      <c r="RID69"/>
      <c r="RIE69"/>
      <c r="RIF69"/>
      <c r="RIG69"/>
      <c r="RIH69"/>
      <c r="RII69"/>
      <c r="RIJ69"/>
      <c r="RIK69"/>
      <c r="RIL69"/>
      <c r="RIM69"/>
      <c r="RIN69"/>
      <c r="RIO69"/>
      <c r="RIP69"/>
      <c r="RIQ69"/>
      <c r="RIR69"/>
      <c r="RIS69"/>
      <c r="RIT69"/>
      <c r="RIU69"/>
      <c r="RIV69"/>
      <c r="RIW69"/>
      <c r="RIX69"/>
      <c r="RIY69"/>
      <c r="RIZ69"/>
      <c r="RJA69"/>
      <c r="RJB69"/>
      <c r="RJC69"/>
      <c r="RJD69"/>
      <c r="RJE69"/>
      <c r="RJF69"/>
      <c r="RJG69"/>
      <c r="RJH69"/>
      <c r="RJI69"/>
      <c r="RJJ69"/>
      <c r="RJK69"/>
      <c r="RJL69"/>
      <c r="RJM69"/>
      <c r="RJN69"/>
      <c r="RJO69"/>
      <c r="RJP69"/>
      <c r="RJQ69"/>
      <c r="RJR69"/>
      <c r="RJS69"/>
      <c r="RJT69"/>
      <c r="RJU69"/>
      <c r="RJV69"/>
      <c r="RJW69"/>
      <c r="RJX69"/>
      <c r="RJY69"/>
      <c r="RJZ69"/>
      <c r="RKA69"/>
      <c r="RKB69"/>
      <c r="RKC69"/>
      <c r="RKD69"/>
      <c r="RKE69"/>
      <c r="RKF69"/>
      <c r="RKG69"/>
      <c r="RKH69"/>
      <c r="RKI69"/>
      <c r="RKJ69"/>
      <c r="RKK69"/>
      <c r="RKL69"/>
      <c r="RKM69"/>
      <c r="RKN69"/>
      <c r="RKO69"/>
      <c r="RKP69"/>
      <c r="RKQ69"/>
      <c r="RKR69"/>
      <c r="RKS69"/>
      <c r="RKT69"/>
      <c r="RKU69"/>
      <c r="RKV69"/>
      <c r="RKW69"/>
      <c r="RKX69"/>
      <c r="RKY69"/>
      <c r="RKZ69"/>
      <c r="RLA69"/>
      <c r="RLB69"/>
      <c r="RLC69"/>
      <c r="RLD69"/>
      <c r="RLE69"/>
      <c r="RLF69"/>
      <c r="RLG69"/>
      <c r="RLH69"/>
      <c r="RLI69"/>
      <c r="RLJ69"/>
      <c r="RLK69"/>
      <c r="RLL69"/>
      <c r="RLM69"/>
      <c r="RLN69"/>
      <c r="RLO69"/>
      <c r="RLP69"/>
      <c r="RLQ69"/>
      <c r="RLR69"/>
      <c r="RLS69"/>
      <c r="RLT69"/>
      <c r="RLU69"/>
      <c r="RLV69"/>
      <c r="RLW69"/>
      <c r="RLX69"/>
      <c r="RLY69"/>
      <c r="RLZ69"/>
      <c r="RMA69"/>
      <c r="RMB69"/>
      <c r="RMC69"/>
      <c r="RMD69"/>
      <c r="RME69"/>
      <c r="RMF69"/>
      <c r="RMG69"/>
      <c r="RMH69"/>
      <c r="RMI69"/>
      <c r="RMJ69"/>
      <c r="RMK69"/>
      <c r="RML69"/>
      <c r="RMM69"/>
      <c r="RMN69"/>
      <c r="RMO69"/>
      <c r="RMP69"/>
      <c r="RMQ69"/>
      <c r="RMR69"/>
      <c r="RMS69"/>
      <c r="RMT69"/>
      <c r="RMU69"/>
      <c r="RMV69"/>
      <c r="RMW69"/>
      <c r="RMX69"/>
      <c r="RMY69"/>
      <c r="RMZ69"/>
      <c r="RNA69"/>
      <c r="RNB69"/>
      <c r="RNC69"/>
      <c r="RND69"/>
      <c r="RNE69"/>
      <c r="RNF69"/>
      <c r="RNG69"/>
      <c r="RNH69"/>
      <c r="RNI69"/>
      <c r="RNJ69"/>
      <c r="RNK69"/>
      <c r="RNL69"/>
      <c r="RNM69"/>
      <c r="RNN69"/>
      <c r="RNO69"/>
      <c r="RNP69"/>
      <c r="RNQ69"/>
      <c r="RNR69"/>
      <c r="RNS69"/>
      <c r="RNT69"/>
      <c r="RNU69"/>
      <c r="RNV69"/>
      <c r="RNW69"/>
      <c r="RNX69"/>
      <c r="RNY69"/>
      <c r="RNZ69"/>
      <c r="ROA69"/>
      <c r="ROB69"/>
      <c r="ROC69"/>
      <c r="ROD69"/>
      <c r="ROE69"/>
      <c r="ROF69"/>
      <c r="ROG69"/>
      <c r="ROH69"/>
      <c r="ROI69"/>
      <c r="ROJ69"/>
      <c r="ROK69"/>
      <c r="ROL69"/>
      <c r="ROM69"/>
      <c r="RON69"/>
      <c r="ROO69"/>
      <c r="ROP69"/>
      <c r="ROQ69"/>
      <c r="ROR69"/>
      <c r="ROS69"/>
      <c r="ROT69"/>
      <c r="ROU69"/>
      <c r="ROV69"/>
      <c r="ROW69"/>
      <c r="ROX69"/>
      <c r="ROY69"/>
      <c r="ROZ69"/>
      <c r="RPA69"/>
      <c r="RPB69"/>
      <c r="RPC69"/>
      <c r="RPD69"/>
      <c r="RPE69"/>
      <c r="RPF69"/>
      <c r="RPG69"/>
      <c r="RPH69"/>
      <c r="RPI69"/>
      <c r="RPJ69"/>
      <c r="RPK69"/>
      <c r="RPL69"/>
      <c r="RPM69"/>
      <c r="RPN69"/>
      <c r="RPO69"/>
      <c r="RPP69"/>
      <c r="RPQ69"/>
      <c r="RPR69"/>
      <c r="RPS69"/>
      <c r="RPT69"/>
      <c r="RPU69"/>
      <c r="RPV69"/>
      <c r="RPW69"/>
      <c r="RPX69"/>
      <c r="RPY69"/>
      <c r="RPZ69"/>
      <c r="RQA69"/>
      <c r="RQB69"/>
      <c r="RQC69"/>
      <c r="RQD69"/>
      <c r="RQE69"/>
      <c r="RQF69"/>
      <c r="RQG69"/>
      <c r="RQH69"/>
      <c r="RQI69"/>
      <c r="RQJ69"/>
      <c r="RQK69"/>
      <c r="RQL69"/>
      <c r="RQM69"/>
      <c r="RQN69"/>
      <c r="RQO69"/>
      <c r="RQP69"/>
      <c r="RQQ69"/>
      <c r="RQR69"/>
      <c r="RQS69"/>
      <c r="RQT69"/>
      <c r="RQU69"/>
      <c r="RQV69"/>
      <c r="RQW69"/>
      <c r="RQX69"/>
      <c r="RQY69"/>
      <c r="RQZ69"/>
      <c r="RRA69"/>
      <c r="RRB69"/>
      <c r="RRC69"/>
      <c r="RRD69"/>
      <c r="RRE69"/>
      <c r="RRF69"/>
      <c r="RRG69"/>
      <c r="RRH69"/>
      <c r="RRI69"/>
      <c r="RRJ69"/>
      <c r="RRK69"/>
      <c r="RRL69"/>
      <c r="RRM69"/>
      <c r="RRN69"/>
      <c r="RRO69"/>
      <c r="RRP69"/>
      <c r="RRQ69"/>
      <c r="RRR69"/>
      <c r="RRS69"/>
      <c r="RRT69"/>
      <c r="RRU69"/>
      <c r="RRV69"/>
      <c r="RRW69"/>
      <c r="RRX69"/>
      <c r="RRY69"/>
      <c r="RRZ69"/>
      <c r="RSA69"/>
      <c r="RSB69"/>
      <c r="RSC69"/>
      <c r="RSD69"/>
      <c r="RSE69"/>
      <c r="RSF69"/>
      <c r="RSG69"/>
      <c r="RSH69"/>
      <c r="RSI69"/>
      <c r="RSJ69"/>
      <c r="RSK69"/>
      <c r="RSL69"/>
      <c r="RSM69"/>
      <c r="RSN69"/>
      <c r="RSO69"/>
      <c r="RSP69"/>
      <c r="RSQ69"/>
      <c r="RSR69"/>
      <c r="RSS69"/>
      <c r="RST69"/>
      <c r="RSU69"/>
      <c r="RSV69"/>
      <c r="RSW69"/>
      <c r="RSX69"/>
      <c r="RSY69"/>
      <c r="RSZ69"/>
      <c r="RTA69"/>
      <c r="RTB69"/>
      <c r="RTC69"/>
      <c r="RTD69"/>
      <c r="RTE69"/>
      <c r="RTF69"/>
      <c r="RTG69"/>
      <c r="RTH69"/>
      <c r="RTI69"/>
      <c r="RTJ69"/>
      <c r="RTK69"/>
      <c r="RTL69"/>
      <c r="RTM69"/>
      <c r="RTN69"/>
      <c r="RTO69"/>
      <c r="RTP69"/>
      <c r="RTQ69"/>
      <c r="RTR69"/>
      <c r="RTS69"/>
      <c r="RTT69"/>
      <c r="RTU69"/>
      <c r="RTV69"/>
      <c r="RTW69"/>
      <c r="RTX69"/>
      <c r="RTY69"/>
      <c r="RTZ69"/>
      <c r="RUA69"/>
      <c r="RUB69"/>
      <c r="RUC69"/>
      <c r="RUD69"/>
      <c r="RUE69"/>
      <c r="RUF69"/>
      <c r="RUG69"/>
      <c r="RUH69"/>
      <c r="RUI69"/>
      <c r="RUJ69"/>
      <c r="RUK69"/>
      <c r="RUL69"/>
      <c r="RUM69"/>
      <c r="RUN69"/>
      <c r="RUO69"/>
      <c r="RUP69"/>
      <c r="RUQ69"/>
      <c r="RUR69"/>
      <c r="RUS69"/>
      <c r="RUT69"/>
      <c r="RUU69"/>
      <c r="RUV69"/>
      <c r="RUW69"/>
      <c r="RUX69"/>
      <c r="RUY69"/>
      <c r="RUZ69"/>
      <c r="RVA69"/>
      <c r="RVB69"/>
      <c r="RVC69"/>
      <c r="RVD69"/>
      <c r="RVE69"/>
      <c r="RVF69"/>
      <c r="RVG69"/>
      <c r="RVH69"/>
      <c r="RVI69"/>
      <c r="RVJ69"/>
      <c r="RVK69"/>
      <c r="RVL69"/>
      <c r="RVM69"/>
      <c r="RVN69"/>
      <c r="RVO69"/>
      <c r="RVP69"/>
      <c r="RVQ69"/>
      <c r="RVR69"/>
      <c r="RVS69"/>
      <c r="RVT69"/>
      <c r="RVU69"/>
      <c r="RVV69"/>
      <c r="RVW69"/>
      <c r="RVX69"/>
      <c r="RVY69"/>
      <c r="RVZ69"/>
      <c r="RWA69"/>
      <c r="RWB69"/>
      <c r="RWC69"/>
      <c r="RWD69"/>
      <c r="RWE69"/>
      <c r="RWF69"/>
      <c r="RWG69"/>
      <c r="RWH69"/>
      <c r="RWI69"/>
      <c r="RWJ69"/>
      <c r="RWK69"/>
      <c r="RWL69"/>
      <c r="RWM69"/>
      <c r="RWN69"/>
      <c r="RWO69"/>
      <c r="RWP69"/>
      <c r="RWQ69"/>
      <c r="RWR69"/>
      <c r="RWS69"/>
      <c r="RWT69"/>
      <c r="RWU69"/>
      <c r="RWV69"/>
      <c r="RWW69"/>
      <c r="RWX69"/>
      <c r="RWY69"/>
      <c r="RWZ69"/>
      <c r="RXA69"/>
      <c r="RXB69"/>
      <c r="RXC69"/>
      <c r="RXD69"/>
      <c r="RXE69"/>
      <c r="RXF69"/>
      <c r="RXG69"/>
      <c r="RXH69"/>
      <c r="RXI69"/>
      <c r="RXJ69"/>
      <c r="RXK69"/>
      <c r="RXL69"/>
      <c r="RXM69"/>
      <c r="RXN69"/>
      <c r="RXO69"/>
      <c r="RXP69"/>
      <c r="RXQ69"/>
      <c r="RXR69"/>
      <c r="RXS69"/>
      <c r="RXT69"/>
      <c r="RXU69"/>
      <c r="RXV69"/>
      <c r="RXW69"/>
      <c r="RXX69"/>
      <c r="RXY69"/>
      <c r="RXZ69"/>
      <c r="RYA69"/>
      <c r="RYB69"/>
      <c r="RYC69"/>
      <c r="RYD69"/>
      <c r="RYE69"/>
      <c r="RYF69"/>
      <c r="RYG69"/>
      <c r="RYH69"/>
      <c r="RYI69"/>
      <c r="RYJ69"/>
      <c r="RYK69"/>
      <c r="RYL69"/>
      <c r="RYM69"/>
      <c r="RYN69"/>
      <c r="RYO69"/>
      <c r="RYP69"/>
      <c r="RYQ69"/>
      <c r="RYR69"/>
      <c r="RYS69"/>
      <c r="RYT69"/>
      <c r="RYU69"/>
      <c r="RYV69"/>
      <c r="RYW69"/>
      <c r="RYX69"/>
      <c r="RYY69"/>
      <c r="RYZ69"/>
      <c r="RZA69"/>
      <c r="RZB69"/>
      <c r="RZC69"/>
      <c r="RZD69"/>
      <c r="RZE69"/>
      <c r="RZF69"/>
      <c r="RZG69"/>
      <c r="RZH69"/>
      <c r="RZI69"/>
      <c r="RZJ69"/>
      <c r="RZK69"/>
      <c r="RZL69"/>
      <c r="RZM69"/>
      <c r="RZN69"/>
      <c r="RZO69"/>
      <c r="RZP69"/>
      <c r="RZQ69"/>
      <c r="RZR69"/>
      <c r="RZS69"/>
      <c r="RZT69"/>
      <c r="RZU69"/>
      <c r="RZV69"/>
      <c r="RZW69"/>
      <c r="RZX69"/>
      <c r="RZY69"/>
      <c r="RZZ69"/>
      <c r="SAA69"/>
      <c r="SAB69"/>
      <c r="SAC69"/>
      <c r="SAD69"/>
      <c r="SAE69"/>
      <c r="SAF69"/>
      <c r="SAG69"/>
      <c r="SAH69"/>
      <c r="SAI69"/>
      <c r="SAJ69"/>
      <c r="SAK69"/>
      <c r="SAL69"/>
      <c r="SAM69"/>
      <c r="SAN69"/>
      <c r="SAO69"/>
      <c r="SAP69"/>
      <c r="SAQ69"/>
      <c r="SAR69"/>
      <c r="SAS69"/>
      <c r="SAT69"/>
      <c r="SAU69"/>
      <c r="SAV69"/>
      <c r="SAW69"/>
      <c r="SAX69"/>
      <c r="SAY69"/>
      <c r="SAZ69"/>
      <c r="SBA69"/>
      <c r="SBB69"/>
      <c r="SBC69"/>
      <c r="SBD69"/>
      <c r="SBE69"/>
      <c r="SBF69"/>
      <c r="SBG69"/>
      <c r="SBH69"/>
      <c r="SBI69"/>
      <c r="SBJ69"/>
      <c r="SBK69"/>
      <c r="SBL69"/>
      <c r="SBM69"/>
      <c r="SBN69"/>
      <c r="SBO69"/>
      <c r="SBP69"/>
      <c r="SBQ69"/>
      <c r="SBR69"/>
      <c r="SBS69"/>
      <c r="SBT69"/>
      <c r="SBU69"/>
      <c r="SBV69"/>
      <c r="SBW69"/>
      <c r="SBX69"/>
      <c r="SBY69"/>
      <c r="SBZ69"/>
      <c r="SCA69"/>
      <c r="SCB69"/>
      <c r="SCC69"/>
      <c r="SCD69"/>
      <c r="SCE69"/>
      <c r="SCF69"/>
      <c r="SCG69"/>
      <c r="SCH69"/>
      <c r="SCI69"/>
      <c r="SCJ69"/>
      <c r="SCK69"/>
      <c r="SCL69"/>
      <c r="SCM69"/>
      <c r="SCN69"/>
      <c r="SCO69"/>
      <c r="SCP69"/>
      <c r="SCQ69"/>
      <c r="SCR69"/>
      <c r="SCS69"/>
      <c r="SCT69"/>
      <c r="SCU69"/>
      <c r="SCV69"/>
      <c r="SCW69"/>
      <c r="SCX69"/>
      <c r="SCY69"/>
      <c r="SCZ69"/>
      <c r="SDA69"/>
      <c r="SDB69"/>
      <c r="SDC69"/>
      <c r="SDD69"/>
      <c r="SDE69"/>
      <c r="SDF69"/>
      <c r="SDG69"/>
      <c r="SDH69"/>
      <c r="SDI69"/>
      <c r="SDJ69"/>
      <c r="SDK69"/>
      <c r="SDL69"/>
      <c r="SDM69"/>
      <c r="SDN69"/>
      <c r="SDO69"/>
      <c r="SDP69"/>
      <c r="SDQ69"/>
      <c r="SDR69"/>
      <c r="SDS69"/>
      <c r="SDT69"/>
      <c r="SDU69"/>
      <c r="SDV69"/>
      <c r="SDW69"/>
      <c r="SDX69"/>
      <c r="SDY69"/>
      <c r="SDZ69"/>
      <c r="SEA69"/>
      <c r="SEB69"/>
      <c r="SEC69"/>
      <c r="SED69"/>
      <c r="SEE69"/>
      <c r="SEF69"/>
      <c r="SEG69"/>
      <c r="SEH69"/>
      <c r="SEI69"/>
      <c r="SEJ69"/>
      <c r="SEK69"/>
      <c r="SEL69"/>
      <c r="SEM69"/>
      <c r="SEN69"/>
      <c r="SEO69"/>
      <c r="SEP69"/>
      <c r="SEQ69"/>
      <c r="SER69"/>
      <c r="SES69"/>
      <c r="SET69"/>
      <c r="SEU69"/>
      <c r="SEV69"/>
      <c r="SEW69"/>
      <c r="SEX69"/>
      <c r="SEY69"/>
      <c r="SEZ69"/>
      <c r="SFA69"/>
      <c r="SFB69"/>
      <c r="SFC69"/>
      <c r="SFD69"/>
      <c r="SFE69"/>
      <c r="SFF69"/>
      <c r="SFG69"/>
      <c r="SFH69"/>
      <c r="SFI69"/>
      <c r="SFJ69"/>
      <c r="SFK69"/>
      <c r="SFL69"/>
      <c r="SFM69"/>
      <c r="SFN69"/>
      <c r="SFO69"/>
      <c r="SFP69"/>
      <c r="SFQ69"/>
      <c r="SFR69"/>
      <c r="SFS69"/>
      <c r="SFT69"/>
      <c r="SFU69"/>
      <c r="SFV69"/>
      <c r="SFW69"/>
      <c r="SFX69"/>
      <c r="SFY69"/>
      <c r="SFZ69"/>
      <c r="SGA69"/>
      <c r="SGB69"/>
      <c r="SGC69"/>
      <c r="SGD69"/>
      <c r="SGE69"/>
      <c r="SGF69"/>
      <c r="SGG69"/>
      <c r="SGH69"/>
      <c r="SGI69"/>
      <c r="SGJ69"/>
      <c r="SGK69"/>
      <c r="SGL69"/>
      <c r="SGM69"/>
      <c r="SGN69"/>
      <c r="SGO69"/>
      <c r="SGP69"/>
      <c r="SGQ69"/>
      <c r="SGR69"/>
      <c r="SGS69"/>
      <c r="SGT69"/>
      <c r="SGU69"/>
      <c r="SGV69"/>
      <c r="SGW69"/>
      <c r="SGX69"/>
      <c r="SGY69"/>
      <c r="SGZ69"/>
      <c r="SHA69"/>
      <c r="SHB69"/>
      <c r="SHC69"/>
      <c r="SHD69"/>
      <c r="SHE69"/>
      <c r="SHF69"/>
      <c r="SHG69"/>
      <c r="SHH69"/>
      <c r="SHI69"/>
      <c r="SHJ69"/>
      <c r="SHK69"/>
      <c r="SHL69"/>
      <c r="SHM69"/>
      <c r="SHN69"/>
      <c r="SHO69"/>
      <c r="SHP69"/>
      <c r="SHQ69"/>
      <c r="SHR69"/>
      <c r="SHS69"/>
      <c r="SHT69"/>
      <c r="SHU69"/>
      <c r="SHV69"/>
      <c r="SHW69"/>
      <c r="SHX69"/>
      <c r="SHY69"/>
      <c r="SHZ69"/>
      <c r="SIA69"/>
      <c r="SIB69"/>
      <c r="SIC69"/>
      <c r="SID69"/>
      <c r="SIE69"/>
      <c r="SIF69"/>
      <c r="SIG69"/>
      <c r="SIH69"/>
      <c r="SII69"/>
      <c r="SIJ69"/>
      <c r="SIK69"/>
      <c r="SIL69"/>
      <c r="SIM69"/>
      <c r="SIN69"/>
      <c r="SIO69"/>
      <c r="SIP69"/>
      <c r="SIQ69"/>
      <c r="SIR69"/>
      <c r="SIS69"/>
      <c r="SIT69"/>
      <c r="SIU69"/>
      <c r="SIV69"/>
      <c r="SIW69"/>
      <c r="SIX69"/>
      <c r="SIY69"/>
      <c r="SIZ69"/>
      <c r="SJA69"/>
      <c r="SJB69"/>
      <c r="SJC69"/>
      <c r="SJD69"/>
      <c r="SJE69"/>
      <c r="SJF69"/>
      <c r="SJG69"/>
      <c r="SJH69"/>
      <c r="SJI69"/>
      <c r="SJJ69"/>
      <c r="SJK69"/>
      <c r="SJL69"/>
      <c r="SJM69"/>
      <c r="SJN69"/>
      <c r="SJO69"/>
      <c r="SJP69"/>
      <c r="SJQ69"/>
      <c r="SJR69"/>
      <c r="SJS69"/>
      <c r="SJT69"/>
      <c r="SJU69"/>
      <c r="SJV69"/>
      <c r="SJW69"/>
      <c r="SJX69"/>
      <c r="SJY69"/>
      <c r="SJZ69"/>
      <c r="SKA69"/>
      <c r="SKB69"/>
      <c r="SKC69"/>
      <c r="SKD69"/>
      <c r="SKE69"/>
      <c r="SKF69"/>
      <c r="SKG69"/>
      <c r="SKH69"/>
      <c r="SKI69"/>
      <c r="SKJ69"/>
      <c r="SKK69"/>
      <c r="SKL69"/>
      <c r="SKM69"/>
      <c r="SKN69"/>
      <c r="SKO69"/>
      <c r="SKP69"/>
      <c r="SKQ69"/>
      <c r="SKR69"/>
      <c r="SKS69"/>
      <c r="SKT69"/>
      <c r="SKU69"/>
      <c r="SKV69"/>
      <c r="SKW69"/>
      <c r="SKX69"/>
      <c r="SKY69"/>
      <c r="SKZ69"/>
      <c r="SLA69"/>
      <c r="SLB69"/>
      <c r="SLC69"/>
      <c r="SLD69"/>
      <c r="SLE69"/>
      <c r="SLF69"/>
      <c r="SLG69"/>
      <c r="SLH69"/>
      <c r="SLI69"/>
      <c r="SLJ69"/>
      <c r="SLK69"/>
      <c r="SLL69"/>
      <c r="SLM69"/>
      <c r="SLN69"/>
      <c r="SLO69"/>
      <c r="SLP69"/>
      <c r="SLQ69"/>
      <c r="SLR69"/>
      <c r="SLS69"/>
      <c r="SLT69"/>
      <c r="SLU69"/>
      <c r="SLV69"/>
      <c r="SLW69"/>
      <c r="SLX69"/>
      <c r="SLY69"/>
      <c r="SLZ69"/>
      <c r="SMA69"/>
      <c r="SMB69"/>
      <c r="SMC69"/>
      <c r="SMD69"/>
      <c r="SME69"/>
      <c r="SMF69"/>
      <c r="SMG69"/>
      <c r="SMH69"/>
      <c r="SMI69"/>
      <c r="SMJ69"/>
      <c r="SMK69"/>
      <c r="SML69"/>
      <c r="SMM69"/>
      <c r="SMN69"/>
      <c r="SMO69"/>
      <c r="SMP69"/>
      <c r="SMQ69"/>
      <c r="SMR69"/>
      <c r="SMS69"/>
      <c r="SMT69"/>
      <c r="SMU69"/>
      <c r="SMV69"/>
      <c r="SMW69"/>
      <c r="SMX69"/>
      <c r="SMY69"/>
      <c r="SMZ69"/>
      <c r="SNA69"/>
      <c r="SNB69"/>
      <c r="SNC69"/>
      <c r="SND69"/>
      <c r="SNE69"/>
      <c r="SNF69"/>
      <c r="SNG69"/>
      <c r="SNH69"/>
      <c r="SNI69"/>
      <c r="SNJ69"/>
      <c r="SNK69"/>
      <c r="SNL69"/>
      <c r="SNM69"/>
      <c r="SNN69"/>
      <c r="SNO69"/>
      <c r="SNP69"/>
      <c r="SNQ69"/>
      <c r="SNR69"/>
      <c r="SNS69"/>
      <c r="SNT69"/>
      <c r="SNU69"/>
      <c r="SNV69"/>
      <c r="SNW69"/>
      <c r="SNX69"/>
      <c r="SNY69"/>
      <c r="SNZ69"/>
      <c r="SOA69"/>
      <c r="SOB69"/>
      <c r="SOC69"/>
      <c r="SOD69"/>
      <c r="SOE69"/>
      <c r="SOF69"/>
      <c r="SOG69"/>
      <c r="SOH69"/>
      <c r="SOI69"/>
      <c r="SOJ69"/>
      <c r="SOK69"/>
      <c r="SOL69"/>
      <c r="SOM69"/>
      <c r="SON69"/>
      <c r="SOO69"/>
      <c r="SOP69"/>
      <c r="SOQ69"/>
      <c r="SOR69"/>
      <c r="SOS69"/>
      <c r="SOT69"/>
      <c r="SOU69"/>
      <c r="SOV69"/>
      <c r="SOW69"/>
      <c r="SOX69"/>
      <c r="SOY69"/>
      <c r="SOZ69"/>
      <c r="SPA69"/>
      <c r="SPB69"/>
      <c r="SPC69"/>
      <c r="SPD69"/>
      <c r="SPE69"/>
      <c r="SPF69"/>
      <c r="SPG69"/>
      <c r="SPH69"/>
      <c r="SPI69"/>
      <c r="SPJ69"/>
      <c r="SPK69"/>
      <c r="SPL69"/>
      <c r="SPM69"/>
      <c r="SPN69"/>
      <c r="SPO69"/>
      <c r="SPP69"/>
      <c r="SPQ69"/>
      <c r="SPR69"/>
      <c r="SPS69"/>
      <c r="SPT69"/>
      <c r="SPU69"/>
      <c r="SPV69"/>
      <c r="SPW69"/>
      <c r="SPX69"/>
      <c r="SPY69"/>
      <c r="SPZ69"/>
      <c r="SQA69"/>
      <c r="SQB69"/>
      <c r="SQC69"/>
      <c r="SQD69"/>
      <c r="SQE69"/>
      <c r="SQF69"/>
      <c r="SQG69"/>
      <c r="SQH69"/>
      <c r="SQI69"/>
      <c r="SQJ69"/>
      <c r="SQK69"/>
      <c r="SQL69"/>
      <c r="SQM69"/>
      <c r="SQN69"/>
      <c r="SQO69"/>
      <c r="SQP69"/>
      <c r="SQQ69"/>
      <c r="SQR69"/>
      <c r="SQS69"/>
      <c r="SQT69"/>
      <c r="SQU69"/>
      <c r="SQV69"/>
      <c r="SQW69"/>
      <c r="SQX69"/>
      <c r="SQY69"/>
      <c r="SQZ69"/>
      <c r="SRA69"/>
      <c r="SRB69"/>
      <c r="SRC69"/>
      <c r="SRD69"/>
      <c r="SRE69"/>
      <c r="SRF69"/>
      <c r="SRG69"/>
      <c r="SRH69"/>
      <c r="SRI69"/>
      <c r="SRJ69"/>
      <c r="SRK69"/>
      <c r="SRL69"/>
      <c r="SRM69"/>
      <c r="SRN69"/>
      <c r="SRO69"/>
      <c r="SRP69"/>
      <c r="SRQ69"/>
      <c r="SRR69"/>
      <c r="SRS69"/>
      <c r="SRT69"/>
      <c r="SRU69"/>
      <c r="SRV69"/>
      <c r="SRW69"/>
      <c r="SRX69"/>
      <c r="SRY69"/>
      <c r="SRZ69"/>
      <c r="SSA69"/>
      <c r="SSB69"/>
      <c r="SSC69"/>
      <c r="SSD69"/>
      <c r="SSE69"/>
      <c r="SSF69"/>
      <c r="SSG69"/>
      <c r="SSH69"/>
      <c r="SSI69"/>
      <c r="SSJ69"/>
      <c r="SSK69"/>
      <c r="SSL69"/>
      <c r="SSM69"/>
      <c r="SSN69"/>
      <c r="SSO69"/>
      <c r="SSP69"/>
      <c r="SSQ69"/>
      <c r="SSR69"/>
      <c r="SSS69"/>
      <c r="SST69"/>
      <c r="SSU69"/>
      <c r="SSV69"/>
      <c r="SSW69"/>
      <c r="SSX69"/>
      <c r="SSY69"/>
      <c r="SSZ69"/>
      <c r="STA69"/>
      <c r="STB69"/>
      <c r="STC69"/>
      <c r="STD69"/>
      <c r="STE69"/>
      <c r="STF69"/>
      <c r="STG69"/>
      <c r="STH69"/>
      <c r="STI69"/>
      <c r="STJ69"/>
      <c r="STK69"/>
      <c r="STL69"/>
      <c r="STM69"/>
      <c r="STN69"/>
      <c r="STO69"/>
      <c r="STP69"/>
      <c r="STQ69"/>
      <c r="STR69"/>
      <c r="STS69"/>
      <c r="STT69"/>
      <c r="STU69"/>
      <c r="STV69"/>
      <c r="STW69"/>
      <c r="STX69"/>
      <c r="STY69"/>
      <c r="STZ69"/>
      <c r="SUA69"/>
      <c r="SUB69"/>
      <c r="SUC69"/>
      <c r="SUD69"/>
      <c r="SUE69"/>
      <c r="SUF69"/>
      <c r="SUG69"/>
      <c r="SUH69"/>
      <c r="SUI69"/>
      <c r="SUJ69"/>
      <c r="SUK69"/>
      <c r="SUL69"/>
      <c r="SUM69"/>
      <c r="SUN69"/>
      <c r="SUO69"/>
      <c r="SUP69"/>
      <c r="SUQ69"/>
      <c r="SUR69"/>
      <c r="SUS69"/>
      <c r="SUT69"/>
      <c r="SUU69"/>
      <c r="SUV69"/>
      <c r="SUW69"/>
      <c r="SUX69"/>
      <c r="SUY69"/>
      <c r="SUZ69"/>
      <c r="SVA69"/>
      <c r="SVB69"/>
      <c r="SVC69"/>
      <c r="SVD69"/>
      <c r="SVE69"/>
      <c r="SVF69"/>
      <c r="SVG69"/>
      <c r="SVH69"/>
      <c r="SVI69"/>
      <c r="SVJ69"/>
      <c r="SVK69"/>
      <c r="SVL69"/>
      <c r="SVM69"/>
      <c r="SVN69"/>
      <c r="SVO69"/>
      <c r="SVP69"/>
      <c r="SVQ69"/>
      <c r="SVR69"/>
      <c r="SVS69"/>
      <c r="SVT69"/>
      <c r="SVU69"/>
      <c r="SVV69"/>
      <c r="SVW69"/>
      <c r="SVX69"/>
      <c r="SVY69"/>
      <c r="SVZ69"/>
      <c r="SWA69"/>
      <c r="SWB69"/>
      <c r="SWC69"/>
      <c r="SWD69"/>
      <c r="SWE69"/>
      <c r="SWF69"/>
      <c r="SWG69"/>
      <c r="SWH69"/>
      <c r="SWI69"/>
      <c r="SWJ69"/>
      <c r="SWK69"/>
      <c r="SWL69"/>
      <c r="SWM69"/>
      <c r="SWN69"/>
      <c r="SWO69"/>
      <c r="SWP69"/>
      <c r="SWQ69"/>
      <c r="SWR69"/>
      <c r="SWS69"/>
      <c r="SWT69"/>
      <c r="SWU69"/>
      <c r="SWV69"/>
      <c r="SWW69"/>
      <c r="SWX69"/>
      <c r="SWY69"/>
      <c r="SWZ69"/>
      <c r="SXA69"/>
      <c r="SXB69"/>
      <c r="SXC69"/>
      <c r="SXD69"/>
      <c r="SXE69"/>
      <c r="SXF69"/>
      <c r="SXG69"/>
      <c r="SXH69"/>
      <c r="SXI69"/>
      <c r="SXJ69"/>
      <c r="SXK69"/>
      <c r="SXL69"/>
      <c r="SXM69"/>
      <c r="SXN69"/>
      <c r="SXO69"/>
      <c r="SXP69"/>
      <c r="SXQ69"/>
      <c r="SXR69"/>
      <c r="SXS69"/>
      <c r="SXT69"/>
      <c r="SXU69"/>
      <c r="SXV69"/>
      <c r="SXW69"/>
      <c r="SXX69"/>
      <c r="SXY69"/>
      <c r="SXZ69"/>
      <c r="SYA69"/>
      <c r="SYB69"/>
      <c r="SYC69"/>
      <c r="SYD69"/>
      <c r="SYE69"/>
      <c r="SYF69"/>
      <c r="SYG69"/>
      <c r="SYH69"/>
      <c r="SYI69"/>
      <c r="SYJ69"/>
      <c r="SYK69"/>
      <c r="SYL69"/>
      <c r="SYM69"/>
      <c r="SYN69"/>
      <c r="SYO69"/>
      <c r="SYP69"/>
      <c r="SYQ69"/>
      <c r="SYR69"/>
      <c r="SYS69"/>
      <c r="SYT69"/>
      <c r="SYU69"/>
      <c r="SYV69"/>
      <c r="SYW69"/>
      <c r="SYX69"/>
      <c r="SYY69"/>
      <c r="SYZ69"/>
      <c r="SZA69"/>
      <c r="SZB69"/>
      <c r="SZC69"/>
      <c r="SZD69"/>
      <c r="SZE69"/>
      <c r="SZF69"/>
      <c r="SZG69"/>
      <c r="SZH69"/>
      <c r="SZI69"/>
      <c r="SZJ69"/>
      <c r="SZK69"/>
      <c r="SZL69"/>
      <c r="SZM69"/>
      <c r="SZN69"/>
      <c r="SZO69"/>
      <c r="SZP69"/>
      <c r="SZQ69"/>
      <c r="SZR69"/>
      <c r="SZS69"/>
      <c r="SZT69"/>
      <c r="SZU69"/>
      <c r="SZV69"/>
      <c r="SZW69"/>
      <c r="SZX69"/>
      <c r="SZY69"/>
      <c r="SZZ69"/>
      <c r="TAA69"/>
      <c r="TAB69"/>
      <c r="TAC69"/>
      <c r="TAD69"/>
      <c r="TAE69"/>
      <c r="TAF69"/>
      <c r="TAG69"/>
      <c r="TAH69"/>
      <c r="TAI69"/>
      <c r="TAJ69"/>
      <c r="TAK69"/>
      <c r="TAL69"/>
      <c r="TAM69"/>
      <c r="TAN69"/>
      <c r="TAO69"/>
      <c r="TAP69"/>
      <c r="TAQ69"/>
      <c r="TAR69"/>
      <c r="TAS69"/>
      <c r="TAT69"/>
      <c r="TAU69"/>
      <c r="TAV69"/>
      <c r="TAW69"/>
      <c r="TAX69"/>
      <c r="TAY69"/>
      <c r="TAZ69"/>
      <c r="TBA69"/>
      <c r="TBB69"/>
      <c r="TBC69"/>
      <c r="TBD69"/>
      <c r="TBE69"/>
      <c r="TBF69"/>
      <c r="TBG69"/>
      <c r="TBH69"/>
      <c r="TBI69"/>
      <c r="TBJ69"/>
      <c r="TBK69"/>
      <c r="TBL69"/>
      <c r="TBM69"/>
      <c r="TBN69"/>
      <c r="TBO69"/>
      <c r="TBP69"/>
      <c r="TBQ69"/>
      <c r="TBR69"/>
      <c r="TBS69"/>
      <c r="TBT69"/>
      <c r="TBU69"/>
      <c r="TBV69"/>
      <c r="TBW69"/>
      <c r="TBX69"/>
      <c r="TBY69"/>
      <c r="TBZ69"/>
      <c r="TCA69"/>
      <c r="TCB69"/>
      <c r="TCC69"/>
      <c r="TCD69"/>
      <c r="TCE69"/>
      <c r="TCF69"/>
      <c r="TCG69"/>
      <c r="TCH69"/>
      <c r="TCI69"/>
      <c r="TCJ69"/>
      <c r="TCK69"/>
      <c r="TCL69"/>
      <c r="TCM69"/>
      <c r="TCN69"/>
      <c r="TCO69"/>
      <c r="TCP69"/>
      <c r="TCQ69"/>
      <c r="TCR69"/>
      <c r="TCS69"/>
      <c r="TCT69"/>
      <c r="TCU69"/>
      <c r="TCV69"/>
      <c r="TCW69"/>
      <c r="TCX69"/>
      <c r="TCY69"/>
      <c r="TCZ69"/>
      <c r="TDA69"/>
      <c r="TDB69"/>
      <c r="TDC69"/>
      <c r="TDD69"/>
      <c r="TDE69"/>
      <c r="TDF69"/>
      <c r="TDG69"/>
      <c r="TDH69"/>
      <c r="TDI69"/>
      <c r="TDJ69"/>
      <c r="TDK69"/>
      <c r="TDL69"/>
      <c r="TDM69"/>
      <c r="TDN69"/>
      <c r="TDO69"/>
      <c r="TDP69"/>
      <c r="TDQ69"/>
      <c r="TDR69"/>
      <c r="TDS69"/>
      <c r="TDT69"/>
      <c r="TDU69"/>
      <c r="TDV69"/>
      <c r="TDW69"/>
      <c r="TDX69"/>
      <c r="TDY69"/>
      <c r="TDZ69"/>
      <c r="TEA69"/>
      <c r="TEB69"/>
      <c r="TEC69"/>
      <c r="TED69"/>
      <c r="TEE69"/>
      <c r="TEF69"/>
      <c r="TEG69"/>
      <c r="TEH69"/>
      <c r="TEI69"/>
      <c r="TEJ69"/>
      <c r="TEK69"/>
      <c r="TEL69"/>
      <c r="TEM69"/>
      <c r="TEN69"/>
      <c r="TEO69"/>
      <c r="TEP69"/>
      <c r="TEQ69"/>
      <c r="TER69"/>
      <c r="TES69"/>
      <c r="TET69"/>
      <c r="TEU69"/>
      <c r="TEV69"/>
      <c r="TEW69"/>
      <c r="TEX69"/>
      <c r="TEY69"/>
      <c r="TEZ69"/>
      <c r="TFA69"/>
      <c r="TFB69"/>
      <c r="TFC69"/>
      <c r="TFD69"/>
      <c r="TFE69"/>
      <c r="TFF69"/>
      <c r="TFG69"/>
      <c r="TFH69"/>
      <c r="TFI69"/>
      <c r="TFJ69"/>
      <c r="TFK69"/>
      <c r="TFL69"/>
      <c r="TFM69"/>
      <c r="TFN69"/>
      <c r="TFO69"/>
      <c r="TFP69"/>
      <c r="TFQ69"/>
      <c r="TFR69"/>
      <c r="TFS69"/>
      <c r="TFT69"/>
      <c r="TFU69"/>
      <c r="TFV69"/>
      <c r="TFW69"/>
      <c r="TFX69"/>
      <c r="TFY69"/>
      <c r="TFZ69"/>
      <c r="TGA69"/>
      <c r="TGB69"/>
      <c r="TGC69"/>
      <c r="TGD69"/>
      <c r="TGE69"/>
      <c r="TGF69"/>
      <c r="TGG69"/>
      <c r="TGH69"/>
      <c r="TGI69"/>
      <c r="TGJ69"/>
      <c r="TGK69"/>
      <c r="TGL69"/>
      <c r="TGM69"/>
      <c r="TGN69"/>
      <c r="TGO69"/>
      <c r="TGP69"/>
      <c r="TGQ69"/>
      <c r="TGR69"/>
      <c r="TGS69"/>
      <c r="TGT69"/>
      <c r="TGU69"/>
      <c r="TGV69"/>
      <c r="TGW69"/>
      <c r="TGX69"/>
      <c r="TGY69"/>
      <c r="TGZ69"/>
      <c r="THA69"/>
      <c r="THB69"/>
      <c r="THC69"/>
      <c r="THD69"/>
      <c r="THE69"/>
      <c r="THF69"/>
      <c r="THG69"/>
      <c r="THH69"/>
      <c r="THI69"/>
      <c r="THJ69"/>
      <c r="THK69"/>
      <c r="THL69"/>
      <c r="THM69"/>
      <c r="THN69"/>
      <c r="THO69"/>
      <c r="THP69"/>
      <c r="THQ69"/>
      <c r="THR69"/>
      <c r="THS69"/>
      <c r="THT69"/>
      <c r="THU69"/>
      <c r="THV69"/>
      <c r="THW69"/>
      <c r="THX69"/>
      <c r="THY69"/>
      <c r="THZ69"/>
      <c r="TIA69"/>
      <c r="TIB69"/>
      <c r="TIC69"/>
      <c r="TID69"/>
      <c r="TIE69"/>
      <c r="TIF69"/>
      <c r="TIG69"/>
      <c r="TIH69"/>
      <c r="TII69"/>
      <c r="TIJ69"/>
      <c r="TIK69"/>
      <c r="TIL69"/>
      <c r="TIM69"/>
      <c r="TIN69"/>
      <c r="TIO69"/>
      <c r="TIP69"/>
      <c r="TIQ69"/>
      <c r="TIR69"/>
      <c r="TIS69"/>
      <c r="TIT69"/>
      <c r="TIU69"/>
      <c r="TIV69"/>
      <c r="TIW69"/>
      <c r="TIX69"/>
      <c r="TIY69"/>
      <c r="TIZ69"/>
      <c r="TJA69"/>
      <c r="TJB69"/>
      <c r="TJC69"/>
      <c r="TJD69"/>
      <c r="TJE69"/>
      <c r="TJF69"/>
      <c r="TJG69"/>
      <c r="TJH69"/>
      <c r="TJI69"/>
      <c r="TJJ69"/>
      <c r="TJK69"/>
      <c r="TJL69"/>
      <c r="TJM69"/>
      <c r="TJN69"/>
      <c r="TJO69"/>
      <c r="TJP69"/>
      <c r="TJQ69"/>
      <c r="TJR69"/>
      <c r="TJS69"/>
      <c r="TJT69"/>
      <c r="TJU69"/>
      <c r="TJV69"/>
      <c r="TJW69"/>
      <c r="TJX69"/>
      <c r="TJY69"/>
      <c r="TJZ69"/>
      <c r="TKA69"/>
      <c r="TKB69"/>
      <c r="TKC69"/>
      <c r="TKD69"/>
      <c r="TKE69"/>
      <c r="TKF69"/>
      <c r="TKG69"/>
      <c r="TKH69"/>
      <c r="TKI69"/>
      <c r="TKJ69"/>
      <c r="TKK69"/>
      <c r="TKL69"/>
      <c r="TKM69"/>
      <c r="TKN69"/>
      <c r="TKO69"/>
      <c r="TKP69"/>
      <c r="TKQ69"/>
      <c r="TKR69"/>
      <c r="TKS69"/>
      <c r="TKT69"/>
      <c r="TKU69"/>
      <c r="TKV69"/>
      <c r="TKW69"/>
      <c r="TKX69"/>
      <c r="TKY69"/>
      <c r="TKZ69"/>
      <c r="TLA69"/>
      <c r="TLB69"/>
      <c r="TLC69"/>
      <c r="TLD69"/>
      <c r="TLE69"/>
      <c r="TLF69"/>
      <c r="TLG69"/>
      <c r="TLH69"/>
      <c r="TLI69"/>
      <c r="TLJ69"/>
      <c r="TLK69"/>
      <c r="TLL69"/>
      <c r="TLM69"/>
      <c r="TLN69"/>
      <c r="TLO69"/>
      <c r="TLP69"/>
      <c r="TLQ69"/>
      <c r="TLR69"/>
      <c r="TLS69"/>
      <c r="TLT69"/>
      <c r="TLU69"/>
      <c r="TLV69"/>
      <c r="TLW69"/>
      <c r="TLX69"/>
      <c r="TLY69"/>
      <c r="TLZ69"/>
      <c r="TMA69"/>
      <c r="TMB69"/>
      <c r="TMC69"/>
      <c r="TMD69"/>
      <c r="TME69"/>
      <c r="TMF69"/>
      <c r="TMG69"/>
      <c r="TMH69"/>
      <c r="TMI69"/>
      <c r="TMJ69"/>
      <c r="TMK69"/>
      <c r="TML69"/>
      <c r="TMM69"/>
      <c r="TMN69"/>
      <c r="TMO69"/>
      <c r="TMP69"/>
      <c r="TMQ69"/>
      <c r="TMR69"/>
      <c r="TMS69"/>
      <c r="TMT69"/>
      <c r="TMU69"/>
      <c r="TMV69"/>
      <c r="TMW69"/>
      <c r="TMX69"/>
      <c r="TMY69"/>
      <c r="TMZ69"/>
      <c r="TNA69"/>
      <c r="TNB69"/>
      <c r="TNC69"/>
      <c r="TND69"/>
      <c r="TNE69"/>
      <c r="TNF69"/>
      <c r="TNG69"/>
      <c r="TNH69"/>
      <c r="TNI69"/>
      <c r="TNJ69"/>
      <c r="TNK69"/>
      <c r="TNL69"/>
      <c r="TNM69"/>
      <c r="TNN69"/>
      <c r="TNO69"/>
      <c r="TNP69"/>
      <c r="TNQ69"/>
      <c r="TNR69"/>
      <c r="TNS69"/>
      <c r="TNT69"/>
      <c r="TNU69"/>
      <c r="TNV69"/>
      <c r="TNW69"/>
      <c r="TNX69"/>
      <c r="TNY69"/>
      <c r="TNZ69"/>
      <c r="TOA69"/>
      <c r="TOB69"/>
      <c r="TOC69"/>
      <c r="TOD69"/>
      <c r="TOE69"/>
      <c r="TOF69"/>
      <c r="TOG69"/>
      <c r="TOH69"/>
      <c r="TOI69"/>
      <c r="TOJ69"/>
      <c r="TOK69"/>
      <c r="TOL69"/>
      <c r="TOM69"/>
      <c r="TON69"/>
      <c r="TOO69"/>
      <c r="TOP69"/>
      <c r="TOQ69"/>
      <c r="TOR69"/>
      <c r="TOS69"/>
      <c r="TOT69"/>
      <c r="TOU69"/>
      <c r="TOV69"/>
      <c r="TOW69"/>
      <c r="TOX69"/>
      <c r="TOY69"/>
      <c r="TOZ69"/>
      <c r="TPA69"/>
      <c r="TPB69"/>
      <c r="TPC69"/>
      <c r="TPD69"/>
      <c r="TPE69"/>
      <c r="TPF69"/>
      <c r="TPG69"/>
      <c r="TPH69"/>
      <c r="TPI69"/>
      <c r="TPJ69"/>
      <c r="TPK69"/>
      <c r="TPL69"/>
      <c r="TPM69"/>
      <c r="TPN69"/>
      <c r="TPO69"/>
      <c r="TPP69"/>
      <c r="TPQ69"/>
      <c r="TPR69"/>
      <c r="TPS69"/>
      <c r="TPT69"/>
      <c r="TPU69"/>
      <c r="TPV69"/>
      <c r="TPW69"/>
      <c r="TPX69"/>
      <c r="TPY69"/>
      <c r="TPZ69"/>
      <c r="TQA69"/>
      <c r="TQB69"/>
      <c r="TQC69"/>
      <c r="TQD69"/>
      <c r="TQE69"/>
      <c r="TQF69"/>
      <c r="TQG69"/>
      <c r="TQH69"/>
      <c r="TQI69"/>
      <c r="TQJ69"/>
      <c r="TQK69"/>
      <c r="TQL69"/>
      <c r="TQM69"/>
      <c r="TQN69"/>
      <c r="TQO69"/>
      <c r="TQP69"/>
      <c r="TQQ69"/>
      <c r="TQR69"/>
      <c r="TQS69"/>
      <c r="TQT69"/>
      <c r="TQU69"/>
      <c r="TQV69"/>
      <c r="TQW69"/>
      <c r="TQX69"/>
      <c r="TQY69"/>
      <c r="TQZ69"/>
      <c r="TRA69"/>
      <c r="TRB69"/>
      <c r="TRC69"/>
      <c r="TRD69"/>
      <c r="TRE69"/>
      <c r="TRF69"/>
      <c r="TRG69"/>
      <c r="TRH69"/>
      <c r="TRI69"/>
      <c r="TRJ69"/>
      <c r="TRK69"/>
      <c r="TRL69"/>
      <c r="TRM69"/>
      <c r="TRN69"/>
      <c r="TRO69"/>
      <c r="TRP69"/>
      <c r="TRQ69"/>
      <c r="TRR69"/>
      <c r="TRS69"/>
      <c r="TRT69"/>
      <c r="TRU69"/>
      <c r="TRV69"/>
      <c r="TRW69"/>
      <c r="TRX69"/>
      <c r="TRY69"/>
      <c r="TRZ69"/>
      <c r="TSA69"/>
      <c r="TSB69"/>
      <c r="TSC69"/>
      <c r="TSD69"/>
      <c r="TSE69"/>
      <c r="TSF69"/>
      <c r="TSG69"/>
      <c r="TSH69"/>
      <c r="TSI69"/>
      <c r="TSJ69"/>
      <c r="TSK69"/>
      <c r="TSL69"/>
      <c r="TSM69"/>
      <c r="TSN69"/>
      <c r="TSO69"/>
      <c r="TSP69"/>
      <c r="TSQ69"/>
      <c r="TSR69"/>
      <c r="TSS69"/>
      <c r="TST69"/>
      <c r="TSU69"/>
      <c r="TSV69"/>
      <c r="TSW69"/>
      <c r="TSX69"/>
      <c r="TSY69"/>
      <c r="TSZ69"/>
      <c r="TTA69"/>
      <c r="TTB69"/>
      <c r="TTC69"/>
      <c r="TTD69"/>
      <c r="TTE69"/>
      <c r="TTF69"/>
      <c r="TTG69"/>
      <c r="TTH69"/>
      <c r="TTI69"/>
      <c r="TTJ69"/>
      <c r="TTK69"/>
      <c r="TTL69"/>
      <c r="TTM69"/>
      <c r="TTN69"/>
      <c r="TTO69"/>
      <c r="TTP69"/>
      <c r="TTQ69"/>
      <c r="TTR69"/>
      <c r="TTS69"/>
      <c r="TTT69"/>
      <c r="TTU69"/>
      <c r="TTV69"/>
      <c r="TTW69"/>
      <c r="TTX69"/>
      <c r="TTY69"/>
      <c r="TTZ69"/>
      <c r="TUA69"/>
      <c r="TUB69"/>
      <c r="TUC69"/>
      <c r="TUD69"/>
      <c r="TUE69"/>
      <c r="TUF69"/>
      <c r="TUG69"/>
      <c r="TUH69"/>
      <c r="TUI69"/>
      <c r="TUJ69"/>
      <c r="TUK69"/>
      <c r="TUL69"/>
      <c r="TUM69"/>
      <c r="TUN69"/>
      <c r="TUO69"/>
      <c r="TUP69"/>
      <c r="TUQ69"/>
      <c r="TUR69"/>
      <c r="TUS69"/>
      <c r="TUT69"/>
      <c r="TUU69"/>
      <c r="TUV69"/>
      <c r="TUW69"/>
      <c r="TUX69"/>
      <c r="TUY69"/>
      <c r="TUZ69"/>
      <c r="TVA69"/>
      <c r="TVB69"/>
      <c r="TVC69"/>
      <c r="TVD69"/>
      <c r="TVE69"/>
      <c r="TVF69"/>
      <c r="TVG69"/>
      <c r="TVH69"/>
      <c r="TVI69"/>
      <c r="TVJ69"/>
      <c r="TVK69"/>
      <c r="TVL69"/>
      <c r="TVM69"/>
      <c r="TVN69"/>
      <c r="TVO69"/>
      <c r="TVP69"/>
      <c r="TVQ69"/>
      <c r="TVR69"/>
      <c r="TVS69"/>
      <c r="TVT69"/>
      <c r="TVU69"/>
      <c r="TVV69"/>
      <c r="TVW69"/>
      <c r="TVX69"/>
      <c r="TVY69"/>
      <c r="TVZ69"/>
      <c r="TWA69"/>
      <c r="TWB69"/>
      <c r="TWC69"/>
      <c r="TWD69"/>
      <c r="TWE69"/>
      <c r="TWF69"/>
      <c r="TWG69"/>
      <c r="TWH69"/>
      <c r="TWI69"/>
      <c r="TWJ69"/>
      <c r="TWK69"/>
      <c r="TWL69"/>
      <c r="TWM69"/>
      <c r="TWN69"/>
      <c r="TWO69"/>
      <c r="TWP69"/>
      <c r="TWQ69"/>
      <c r="TWR69"/>
      <c r="TWS69"/>
      <c r="TWT69"/>
      <c r="TWU69"/>
      <c r="TWV69"/>
      <c r="TWW69"/>
      <c r="TWX69"/>
      <c r="TWY69"/>
      <c r="TWZ69"/>
      <c r="TXA69"/>
      <c r="TXB69"/>
      <c r="TXC69"/>
      <c r="TXD69"/>
      <c r="TXE69"/>
      <c r="TXF69"/>
      <c r="TXG69"/>
      <c r="TXH69"/>
      <c r="TXI69"/>
      <c r="TXJ69"/>
      <c r="TXK69"/>
      <c r="TXL69"/>
      <c r="TXM69"/>
      <c r="TXN69"/>
      <c r="TXO69"/>
      <c r="TXP69"/>
      <c r="TXQ69"/>
      <c r="TXR69"/>
      <c r="TXS69"/>
      <c r="TXT69"/>
      <c r="TXU69"/>
      <c r="TXV69"/>
      <c r="TXW69"/>
      <c r="TXX69"/>
      <c r="TXY69"/>
      <c r="TXZ69"/>
      <c r="TYA69"/>
      <c r="TYB69"/>
      <c r="TYC69"/>
      <c r="TYD69"/>
      <c r="TYE69"/>
      <c r="TYF69"/>
      <c r="TYG69"/>
      <c r="TYH69"/>
      <c r="TYI69"/>
      <c r="TYJ69"/>
      <c r="TYK69"/>
      <c r="TYL69"/>
      <c r="TYM69"/>
      <c r="TYN69"/>
      <c r="TYO69"/>
      <c r="TYP69"/>
      <c r="TYQ69"/>
      <c r="TYR69"/>
      <c r="TYS69"/>
      <c r="TYT69"/>
      <c r="TYU69"/>
      <c r="TYV69"/>
      <c r="TYW69"/>
      <c r="TYX69"/>
      <c r="TYY69"/>
      <c r="TYZ69"/>
      <c r="TZA69"/>
      <c r="TZB69"/>
      <c r="TZC69"/>
      <c r="TZD69"/>
      <c r="TZE69"/>
      <c r="TZF69"/>
      <c r="TZG69"/>
      <c r="TZH69"/>
      <c r="TZI69"/>
      <c r="TZJ69"/>
      <c r="TZK69"/>
      <c r="TZL69"/>
      <c r="TZM69"/>
      <c r="TZN69"/>
      <c r="TZO69"/>
      <c r="TZP69"/>
      <c r="TZQ69"/>
      <c r="TZR69"/>
      <c r="TZS69"/>
      <c r="TZT69"/>
      <c r="TZU69"/>
      <c r="TZV69"/>
      <c r="TZW69"/>
      <c r="TZX69"/>
      <c r="TZY69"/>
      <c r="TZZ69"/>
      <c r="UAA69"/>
      <c r="UAB69"/>
      <c r="UAC69"/>
      <c r="UAD69"/>
      <c r="UAE69"/>
      <c r="UAF69"/>
      <c r="UAG69"/>
      <c r="UAH69"/>
      <c r="UAI69"/>
      <c r="UAJ69"/>
      <c r="UAK69"/>
      <c r="UAL69"/>
      <c r="UAM69"/>
      <c r="UAN69"/>
      <c r="UAO69"/>
      <c r="UAP69"/>
      <c r="UAQ69"/>
      <c r="UAR69"/>
      <c r="UAS69"/>
      <c r="UAT69"/>
      <c r="UAU69"/>
      <c r="UAV69"/>
      <c r="UAW69"/>
      <c r="UAX69"/>
      <c r="UAY69"/>
      <c r="UAZ69"/>
      <c r="UBA69"/>
      <c r="UBB69"/>
      <c r="UBC69"/>
      <c r="UBD69"/>
      <c r="UBE69"/>
      <c r="UBF69"/>
      <c r="UBG69"/>
      <c r="UBH69"/>
      <c r="UBI69"/>
      <c r="UBJ69"/>
      <c r="UBK69"/>
      <c r="UBL69"/>
      <c r="UBM69"/>
      <c r="UBN69"/>
      <c r="UBO69"/>
      <c r="UBP69"/>
      <c r="UBQ69"/>
      <c r="UBR69"/>
      <c r="UBS69"/>
      <c r="UBT69"/>
      <c r="UBU69"/>
      <c r="UBV69"/>
      <c r="UBW69"/>
      <c r="UBX69"/>
      <c r="UBY69"/>
      <c r="UBZ69"/>
      <c r="UCA69"/>
      <c r="UCB69"/>
      <c r="UCC69"/>
      <c r="UCD69"/>
      <c r="UCE69"/>
      <c r="UCF69"/>
      <c r="UCG69"/>
      <c r="UCH69"/>
      <c r="UCI69"/>
      <c r="UCJ69"/>
      <c r="UCK69"/>
      <c r="UCL69"/>
      <c r="UCM69"/>
      <c r="UCN69"/>
      <c r="UCO69"/>
      <c r="UCP69"/>
      <c r="UCQ69"/>
      <c r="UCR69"/>
      <c r="UCS69"/>
      <c r="UCT69"/>
      <c r="UCU69"/>
      <c r="UCV69"/>
      <c r="UCW69"/>
      <c r="UCX69"/>
      <c r="UCY69"/>
      <c r="UCZ69"/>
      <c r="UDA69"/>
      <c r="UDB69"/>
      <c r="UDC69"/>
      <c r="UDD69"/>
      <c r="UDE69"/>
      <c r="UDF69"/>
      <c r="UDG69"/>
      <c r="UDH69"/>
      <c r="UDI69"/>
      <c r="UDJ69"/>
      <c r="UDK69"/>
      <c r="UDL69"/>
      <c r="UDM69"/>
      <c r="UDN69"/>
      <c r="UDO69"/>
      <c r="UDP69"/>
      <c r="UDQ69"/>
      <c r="UDR69"/>
      <c r="UDS69"/>
      <c r="UDT69"/>
      <c r="UDU69"/>
      <c r="UDV69"/>
      <c r="UDW69"/>
      <c r="UDX69"/>
      <c r="UDY69"/>
      <c r="UDZ69"/>
      <c r="UEA69"/>
      <c r="UEB69"/>
      <c r="UEC69"/>
      <c r="UED69"/>
      <c r="UEE69"/>
      <c r="UEF69"/>
      <c r="UEG69"/>
      <c r="UEH69"/>
      <c r="UEI69"/>
      <c r="UEJ69"/>
      <c r="UEK69"/>
      <c r="UEL69"/>
      <c r="UEM69"/>
      <c r="UEN69"/>
      <c r="UEO69"/>
      <c r="UEP69"/>
      <c r="UEQ69"/>
      <c r="UER69"/>
      <c r="UES69"/>
      <c r="UET69"/>
      <c r="UEU69"/>
      <c r="UEV69"/>
      <c r="UEW69"/>
      <c r="UEX69"/>
      <c r="UEY69"/>
      <c r="UEZ69"/>
      <c r="UFA69"/>
      <c r="UFB69"/>
      <c r="UFC69"/>
      <c r="UFD69"/>
      <c r="UFE69"/>
      <c r="UFF69"/>
      <c r="UFG69"/>
      <c r="UFH69"/>
      <c r="UFI69"/>
      <c r="UFJ69"/>
      <c r="UFK69"/>
      <c r="UFL69"/>
      <c r="UFM69"/>
      <c r="UFN69"/>
      <c r="UFO69"/>
      <c r="UFP69"/>
      <c r="UFQ69"/>
      <c r="UFR69"/>
      <c r="UFS69"/>
      <c r="UFT69"/>
      <c r="UFU69"/>
      <c r="UFV69"/>
      <c r="UFW69"/>
      <c r="UFX69"/>
      <c r="UFY69"/>
      <c r="UFZ69"/>
      <c r="UGA69"/>
      <c r="UGB69"/>
      <c r="UGC69"/>
      <c r="UGD69"/>
      <c r="UGE69"/>
      <c r="UGF69"/>
      <c r="UGG69"/>
      <c r="UGH69"/>
      <c r="UGI69"/>
      <c r="UGJ69"/>
      <c r="UGK69"/>
      <c r="UGL69"/>
      <c r="UGM69"/>
      <c r="UGN69"/>
      <c r="UGO69"/>
      <c r="UGP69"/>
      <c r="UGQ69"/>
      <c r="UGR69"/>
      <c r="UGS69"/>
      <c r="UGT69"/>
      <c r="UGU69"/>
      <c r="UGV69"/>
      <c r="UGW69"/>
      <c r="UGX69"/>
      <c r="UGY69"/>
      <c r="UGZ69"/>
      <c r="UHA69"/>
      <c r="UHB69"/>
      <c r="UHC69"/>
      <c r="UHD69"/>
      <c r="UHE69"/>
      <c r="UHF69"/>
      <c r="UHG69"/>
      <c r="UHH69"/>
      <c r="UHI69"/>
      <c r="UHJ69"/>
      <c r="UHK69"/>
      <c r="UHL69"/>
      <c r="UHM69"/>
      <c r="UHN69"/>
      <c r="UHO69"/>
      <c r="UHP69"/>
      <c r="UHQ69"/>
      <c r="UHR69"/>
      <c r="UHS69"/>
      <c r="UHT69"/>
      <c r="UHU69"/>
      <c r="UHV69"/>
      <c r="UHW69"/>
      <c r="UHX69"/>
      <c r="UHY69"/>
      <c r="UHZ69"/>
      <c r="UIA69"/>
      <c r="UIB69"/>
      <c r="UIC69"/>
      <c r="UID69"/>
      <c r="UIE69"/>
      <c r="UIF69"/>
      <c r="UIG69"/>
      <c r="UIH69"/>
      <c r="UII69"/>
      <c r="UIJ69"/>
      <c r="UIK69"/>
      <c r="UIL69"/>
      <c r="UIM69"/>
      <c r="UIN69"/>
      <c r="UIO69"/>
      <c r="UIP69"/>
      <c r="UIQ69"/>
      <c r="UIR69"/>
      <c r="UIS69"/>
      <c r="UIT69"/>
      <c r="UIU69"/>
      <c r="UIV69"/>
      <c r="UIW69"/>
      <c r="UIX69"/>
      <c r="UIY69"/>
      <c r="UIZ69"/>
      <c r="UJA69"/>
      <c r="UJB69"/>
      <c r="UJC69"/>
      <c r="UJD69"/>
      <c r="UJE69"/>
      <c r="UJF69"/>
      <c r="UJG69"/>
      <c r="UJH69"/>
      <c r="UJI69"/>
      <c r="UJJ69"/>
      <c r="UJK69"/>
      <c r="UJL69"/>
      <c r="UJM69"/>
      <c r="UJN69"/>
      <c r="UJO69"/>
      <c r="UJP69"/>
      <c r="UJQ69"/>
      <c r="UJR69"/>
      <c r="UJS69"/>
      <c r="UJT69"/>
      <c r="UJU69"/>
      <c r="UJV69"/>
      <c r="UJW69"/>
      <c r="UJX69"/>
      <c r="UJY69"/>
      <c r="UJZ69"/>
      <c r="UKA69"/>
      <c r="UKB69"/>
      <c r="UKC69"/>
      <c r="UKD69"/>
      <c r="UKE69"/>
      <c r="UKF69"/>
      <c r="UKG69"/>
      <c r="UKH69"/>
      <c r="UKI69"/>
      <c r="UKJ69"/>
      <c r="UKK69"/>
      <c r="UKL69"/>
      <c r="UKM69"/>
      <c r="UKN69"/>
      <c r="UKO69"/>
      <c r="UKP69"/>
      <c r="UKQ69"/>
      <c r="UKR69"/>
      <c r="UKS69"/>
      <c r="UKT69"/>
      <c r="UKU69"/>
      <c r="UKV69"/>
      <c r="UKW69"/>
      <c r="UKX69"/>
      <c r="UKY69"/>
      <c r="UKZ69"/>
      <c r="ULA69"/>
      <c r="ULB69"/>
      <c r="ULC69"/>
      <c r="ULD69"/>
      <c r="ULE69"/>
      <c r="ULF69"/>
      <c r="ULG69"/>
      <c r="ULH69"/>
      <c r="ULI69"/>
      <c r="ULJ69"/>
      <c r="ULK69"/>
      <c r="ULL69"/>
      <c r="ULM69"/>
      <c r="ULN69"/>
      <c r="ULO69"/>
      <c r="ULP69"/>
      <c r="ULQ69"/>
      <c r="ULR69"/>
      <c r="ULS69"/>
      <c r="ULT69"/>
      <c r="ULU69"/>
      <c r="ULV69"/>
      <c r="ULW69"/>
      <c r="ULX69"/>
      <c r="ULY69"/>
      <c r="ULZ69"/>
      <c r="UMA69"/>
      <c r="UMB69"/>
      <c r="UMC69"/>
      <c r="UMD69"/>
      <c r="UME69"/>
      <c r="UMF69"/>
      <c r="UMG69"/>
      <c r="UMH69"/>
      <c r="UMI69"/>
      <c r="UMJ69"/>
      <c r="UMK69"/>
      <c r="UML69"/>
      <c r="UMM69"/>
      <c r="UMN69"/>
      <c r="UMO69"/>
      <c r="UMP69"/>
      <c r="UMQ69"/>
      <c r="UMR69"/>
      <c r="UMS69"/>
      <c r="UMT69"/>
      <c r="UMU69"/>
      <c r="UMV69"/>
      <c r="UMW69"/>
      <c r="UMX69"/>
      <c r="UMY69"/>
      <c r="UMZ69"/>
      <c r="UNA69"/>
      <c r="UNB69"/>
      <c r="UNC69"/>
      <c r="UND69"/>
      <c r="UNE69"/>
      <c r="UNF69"/>
      <c r="UNG69"/>
      <c r="UNH69"/>
      <c r="UNI69"/>
      <c r="UNJ69"/>
      <c r="UNK69"/>
      <c r="UNL69"/>
      <c r="UNM69"/>
      <c r="UNN69"/>
      <c r="UNO69"/>
      <c r="UNP69"/>
      <c r="UNQ69"/>
      <c r="UNR69"/>
      <c r="UNS69"/>
      <c r="UNT69"/>
      <c r="UNU69"/>
      <c r="UNV69"/>
      <c r="UNW69"/>
      <c r="UNX69"/>
      <c r="UNY69"/>
      <c r="UNZ69"/>
      <c r="UOA69"/>
      <c r="UOB69"/>
      <c r="UOC69"/>
      <c r="UOD69"/>
      <c r="UOE69"/>
      <c r="UOF69"/>
      <c r="UOG69"/>
      <c r="UOH69"/>
      <c r="UOI69"/>
      <c r="UOJ69"/>
      <c r="UOK69"/>
      <c r="UOL69"/>
      <c r="UOM69"/>
      <c r="UON69"/>
      <c r="UOO69"/>
      <c r="UOP69"/>
      <c r="UOQ69"/>
      <c r="UOR69"/>
      <c r="UOS69"/>
      <c r="UOT69"/>
      <c r="UOU69"/>
      <c r="UOV69"/>
      <c r="UOW69"/>
      <c r="UOX69"/>
      <c r="UOY69"/>
      <c r="UOZ69"/>
      <c r="UPA69"/>
      <c r="UPB69"/>
      <c r="UPC69"/>
      <c r="UPD69"/>
      <c r="UPE69"/>
      <c r="UPF69"/>
      <c r="UPG69"/>
      <c r="UPH69"/>
      <c r="UPI69"/>
      <c r="UPJ69"/>
      <c r="UPK69"/>
      <c r="UPL69"/>
      <c r="UPM69"/>
      <c r="UPN69"/>
      <c r="UPO69"/>
      <c r="UPP69"/>
      <c r="UPQ69"/>
      <c r="UPR69"/>
      <c r="UPS69"/>
      <c r="UPT69"/>
      <c r="UPU69"/>
      <c r="UPV69"/>
      <c r="UPW69"/>
      <c r="UPX69"/>
      <c r="UPY69"/>
      <c r="UPZ69"/>
      <c r="UQA69"/>
      <c r="UQB69"/>
      <c r="UQC69"/>
      <c r="UQD69"/>
      <c r="UQE69"/>
      <c r="UQF69"/>
      <c r="UQG69"/>
      <c r="UQH69"/>
      <c r="UQI69"/>
      <c r="UQJ69"/>
      <c r="UQK69"/>
      <c r="UQL69"/>
      <c r="UQM69"/>
      <c r="UQN69"/>
      <c r="UQO69"/>
      <c r="UQP69"/>
      <c r="UQQ69"/>
      <c r="UQR69"/>
      <c r="UQS69"/>
      <c r="UQT69"/>
      <c r="UQU69"/>
      <c r="UQV69"/>
      <c r="UQW69"/>
      <c r="UQX69"/>
      <c r="UQY69"/>
      <c r="UQZ69"/>
      <c r="URA69"/>
      <c r="URB69"/>
      <c r="URC69"/>
      <c r="URD69"/>
      <c r="URE69"/>
      <c r="URF69"/>
      <c r="URG69"/>
      <c r="URH69"/>
      <c r="URI69"/>
      <c r="URJ69"/>
      <c r="URK69"/>
      <c r="URL69"/>
      <c r="URM69"/>
      <c r="URN69"/>
      <c r="URO69"/>
      <c r="URP69"/>
      <c r="URQ69"/>
      <c r="URR69"/>
      <c r="URS69"/>
      <c r="URT69"/>
      <c r="URU69"/>
      <c r="URV69"/>
      <c r="URW69"/>
      <c r="URX69"/>
      <c r="URY69"/>
      <c r="URZ69"/>
      <c r="USA69"/>
      <c r="USB69"/>
      <c r="USC69"/>
      <c r="USD69"/>
      <c r="USE69"/>
      <c r="USF69"/>
      <c r="USG69"/>
      <c r="USH69"/>
      <c r="USI69"/>
      <c r="USJ69"/>
      <c r="USK69"/>
      <c r="USL69"/>
      <c r="USM69"/>
      <c r="USN69"/>
      <c r="USO69"/>
      <c r="USP69"/>
      <c r="USQ69"/>
      <c r="USR69"/>
      <c r="USS69"/>
      <c r="UST69"/>
      <c r="USU69"/>
      <c r="USV69"/>
      <c r="USW69"/>
      <c r="USX69"/>
      <c r="USY69"/>
      <c r="USZ69"/>
      <c r="UTA69"/>
      <c r="UTB69"/>
      <c r="UTC69"/>
      <c r="UTD69"/>
      <c r="UTE69"/>
      <c r="UTF69"/>
      <c r="UTG69"/>
      <c r="UTH69"/>
      <c r="UTI69"/>
      <c r="UTJ69"/>
      <c r="UTK69"/>
      <c r="UTL69"/>
      <c r="UTM69"/>
      <c r="UTN69"/>
      <c r="UTO69"/>
      <c r="UTP69"/>
      <c r="UTQ69"/>
      <c r="UTR69"/>
      <c r="UTS69"/>
      <c r="UTT69"/>
      <c r="UTU69"/>
      <c r="UTV69"/>
      <c r="UTW69"/>
      <c r="UTX69"/>
      <c r="UTY69"/>
      <c r="UTZ69"/>
      <c r="UUA69"/>
      <c r="UUB69"/>
      <c r="UUC69"/>
      <c r="UUD69"/>
      <c r="UUE69"/>
      <c r="UUF69"/>
      <c r="UUG69"/>
      <c r="UUH69"/>
      <c r="UUI69"/>
      <c r="UUJ69"/>
      <c r="UUK69"/>
      <c r="UUL69"/>
      <c r="UUM69"/>
      <c r="UUN69"/>
      <c r="UUO69"/>
      <c r="UUP69"/>
      <c r="UUQ69"/>
      <c r="UUR69"/>
      <c r="UUS69"/>
      <c r="UUT69"/>
      <c r="UUU69"/>
      <c r="UUV69"/>
      <c r="UUW69"/>
      <c r="UUX69"/>
      <c r="UUY69"/>
      <c r="UUZ69"/>
      <c r="UVA69"/>
      <c r="UVB69"/>
      <c r="UVC69"/>
      <c r="UVD69"/>
      <c r="UVE69"/>
      <c r="UVF69"/>
      <c r="UVG69"/>
      <c r="UVH69"/>
      <c r="UVI69"/>
      <c r="UVJ69"/>
      <c r="UVK69"/>
      <c r="UVL69"/>
      <c r="UVM69"/>
      <c r="UVN69"/>
      <c r="UVO69"/>
      <c r="UVP69"/>
      <c r="UVQ69"/>
      <c r="UVR69"/>
      <c r="UVS69"/>
      <c r="UVT69"/>
      <c r="UVU69"/>
      <c r="UVV69"/>
      <c r="UVW69"/>
      <c r="UVX69"/>
      <c r="UVY69"/>
      <c r="UVZ69"/>
      <c r="UWA69"/>
      <c r="UWB69"/>
      <c r="UWC69"/>
      <c r="UWD69"/>
      <c r="UWE69"/>
      <c r="UWF69"/>
      <c r="UWG69"/>
      <c r="UWH69"/>
      <c r="UWI69"/>
      <c r="UWJ69"/>
      <c r="UWK69"/>
      <c r="UWL69"/>
      <c r="UWM69"/>
      <c r="UWN69"/>
      <c r="UWO69"/>
      <c r="UWP69"/>
      <c r="UWQ69"/>
      <c r="UWR69"/>
      <c r="UWS69"/>
      <c r="UWT69"/>
      <c r="UWU69"/>
      <c r="UWV69"/>
      <c r="UWW69"/>
      <c r="UWX69"/>
      <c r="UWY69"/>
      <c r="UWZ69"/>
      <c r="UXA69"/>
      <c r="UXB69"/>
      <c r="UXC69"/>
      <c r="UXD69"/>
      <c r="UXE69"/>
      <c r="UXF69"/>
      <c r="UXG69"/>
      <c r="UXH69"/>
      <c r="UXI69"/>
      <c r="UXJ69"/>
      <c r="UXK69"/>
      <c r="UXL69"/>
      <c r="UXM69"/>
      <c r="UXN69"/>
      <c r="UXO69"/>
      <c r="UXP69"/>
      <c r="UXQ69"/>
      <c r="UXR69"/>
      <c r="UXS69"/>
      <c r="UXT69"/>
      <c r="UXU69"/>
      <c r="UXV69"/>
      <c r="UXW69"/>
      <c r="UXX69"/>
      <c r="UXY69"/>
      <c r="UXZ69"/>
      <c r="UYA69"/>
      <c r="UYB69"/>
      <c r="UYC69"/>
      <c r="UYD69"/>
      <c r="UYE69"/>
      <c r="UYF69"/>
      <c r="UYG69"/>
      <c r="UYH69"/>
      <c r="UYI69"/>
      <c r="UYJ69"/>
      <c r="UYK69"/>
      <c r="UYL69"/>
      <c r="UYM69"/>
      <c r="UYN69"/>
      <c r="UYO69"/>
      <c r="UYP69"/>
      <c r="UYQ69"/>
      <c r="UYR69"/>
      <c r="UYS69"/>
      <c r="UYT69"/>
      <c r="UYU69"/>
      <c r="UYV69"/>
      <c r="UYW69"/>
      <c r="UYX69"/>
      <c r="UYY69"/>
      <c r="UYZ69"/>
      <c r="UZA69"/>
      <c r="UZB69"/>
      <c r="UZC69"/>
      <c r="UZD69"/>
      <c r="UZE69"/>
      <c r="UZF69"/>
      <c r="UZG69"/>
      <c r="UZH69"/>
      <c r="UZI69"/>
      <c r="UZJ69"/>
      <c r="UZK69"/>
      <c r="UZL69"/>
      <c r="UZM69"/>
      <c r="UZN69"/>
      <c r="UZO69"/>
      <c r="UZP69"/>
      <c r="UZQ69"/>
      <c r="UZR69"/>
      <c r="UZS69"/>
      <c r="UZT69"/>
      <c r="UZU69"/>
      <c r="UZV69"/>
      <c r="UZW69"/>
      <c r="UZX69"/>
      <c r="UZY69"/>
      <c r="UZZ69"/>
      <c r="VAA69"/>
      <c r="VAB69"/>
      <c r="VAC69"/>
      <c r="VAD69"/>
      <c r="VAE69"/>
      <c r="VAF69"/>
      <c r="VAG69"/>
      <c r="VAH69"/>
      <c r="VAI69"/>
      <c r="VAJ69"/>
      <c r="VAK69"/>
      <c r="VAL69"/>
      <c r="VAM69"/>
      <c r="VAN69"/>
      <c r="VAO69"/>
      <c r="VAP69"/>
      <c r="VAQ69"/>
      <c r="VAR69"/>
      <c r="VAS69"/>
      <c r="VAT69"/>
      <c r="VAU69"/>
      <c r="VAV69"/>
      <c r="VAW69"/>
      <c r="VAX69"/>
      <c r="VAY69"/>
      <c r="VAZ69"/>
      <c r="VBA69"/>
      <c r="VBB69"/>
      <c r="VBC69"/>
      <c r="VBD69"/>
      <c r="VBE69"/>
      <c r="VBF69"/>
      <c r="VBG69"/>
      <c r="VBH69"/>
      <c r="VBI69"/>
      <c r="VBJ69"/>
      <c r="VBK69"/>
      <c r="VBL69"/>
      <c r="VBM69"/>
      <c r="VBN69"/>
      <c r="VBO69"/>
      <c r="VBP69"/>
      <c r="VBQ69"/>
      <c r="VBR69"/>
      <c r="VBS69"/>
      <c r="VBT69"/>
      <c r="VBU69"/>
      <c r="VBV69"/>
      <c r="VBW69"/>
      <c r="VBX69"/>
      <c r="VBY69"/>
      <c r="VBZ69"/>
      <c r="VCA69"/>
      <c r="VCB69"/>
      <c r="VCC69"/>
      <c r="VCD69"/>
      <c r="VCE69"/>
      <c r="VCF69"/>
      <c r="VCG69"/>
      <c r="VCH69"/>
      <c r="VCI69"/>
      <c r="VCJ69"/>
      <c r="VCK69"/>
      <c r="VCL69"/>
      <c r="VCM69"/>
      <c r="VCN69"/>
      <c r="VCO69"/>
      <c r="VCP69"/>
      <c r="VCQ69"/>
      <c r="VCR69"/>
      <c r="VCS69"/>
      <c r="VCT69"/>
      <c r="VCU69"/>
      <c r="VCV69"/>
      <c r="VCW69"/>
      <c r="VCX69"/>
      <c r="VCY69"/>
      <c r="VCZ69"/>
      <c r="VDA69"/>
      <c r="VDB69"/>
      <c r="VDC69"/>
      <c r="VDD69"/>
      <c r="VDE69"/>
      <c r="VDF69"/>
      <c r="VDG69"/>
      <c r="VDH69"/>
      <c r="VDI69"/>
      <c r="VDJ69"/>
      <c r="VDK69"/>
      <c r="VDL69"/>
      <c r="VDM69"/>
      <c r="VDN69"/>
      <c r="VDO69"/>
      <c r="VDP69"/>
      <c r="VDQ69"/>
      <c r="VDR69"/>
      <c r="VDS69"/>
      <c r="VDT69"/>
      <c r="VDU69"/>
      <c r="VDV69"/>
      <c r="VDW69"/>
      <c r="VDX69"/>
      <c r="VDY69"/>
      <c r="VDZ69"/>
      <c r="VEA69"/>
      <c r="VEB69"/>
      <c r="VEC69"/>
      <c r="VED69"/>
      <c r="VEE69"/>
      <c r="VEF69"/>
      <c r="VEG69"/>
      <c r="VEH69"/>
      <c r="VEI69"/>
      <c r="VEJ69"/>
      <c r="VEK69"/>
      <c r="VEL69"/>
      <c r="VEM69"/>
      <c r="VEN69"/>
      <c r="VEO69"/>
      <c r="VEP69"/>
      <c r="VEQ69"/>
      <c r="VER69"/>
      <c r="VES69"/>
      <c r="VET69"/>
      <c r="VEU69"/>
      <c r="VEV69"/>
      <c r="VEW69"/>
      <c r="VEX69"/>
      <c r="VEY69"/>
      <c r="VEZ69"/>
      <c r="VFA69"/>
      <c r="VFB69"/>
      <c r="VFC69"/>
      <c r="VFD69"/>
      <c r="VFE69"/>
      <c r="VFF69"/>
      <c r="VFG69"/>
      <c r="VFH69"/>
      <c r="VFI69"/>
      <c r="VFJ69"/>
      <c r="VFK69"/>
      <c r="VFL69"/>
      <c r="VFM69"/>
      <c r="VFN69"/>
      <c r="VFO69"/>
      <c r="VFP69"/>
      <c r="VFQ69"/>
      <c r="VFR69"/>
      <c r="VFS69"/>
      <c r="VFT69"/>
      <c r="VFU69"/>
      <c r="VFV69"/>
      <c r="VFW69"/>
      <c r="VFX69"/>
      <c r="VFY69"/>
      <c r="VFZ69"/>
      <c r="VGA69"/>
      <c r="VGB69"/>
      <c r="VGC69"/>
      <c r="VGD69"/>
      <c r="VGE69"/>
      <c r="VGF69"/>
      <c r="VGG69"/>
      <c r="VGH69"/>
      <c r="VGI69"/>
      <c r="VGJ69"/>
      <c r="VGK69"/>
      <c r="VGL69"/>
      <c r="VGM69"/>
      <c r="VGN69"/>
      <c r="VGO69"/>
      <c r="VGP69"/>
      <c r="VGQ69"/>
      <c r="VGR69"/>
      <c r="VGS69"/>
      <c r="VGT69"/>
      <c r="VGU69"/>
      <c r="VGV69"/>
      <c r="VGW69"/>
      <c r="VGX69"/>
      <c r="VGY69"/>
      <c r="VGZ69"/>
      <c r="VHA69"/>
      <c r="VHB69"/>
      <c r="VHC69"/>
      <c r="VHD69"/>
      <c r="VHE69"/>
      <c r="VHF69"/>
      <c r="VHG69"/>
      <c r="VHH69"/>
      <c r="VHI69"/>
      <c r="VHJ69"/>
      <c r="VHK69"/>
      <c r="VHL69"/>
      <c r="VHM69"/>
      <c r="VHN69"/>
      <c r="VHO69"/>
      <c r="VHP69"/>
      <c r="VHQ69"/>
      <c r="VHR69"/>
      <c r="VHS69"/>
      <c r="VHT69"/>
      <c r="VHU69"/>
      <c r="VHV69"/>
      <c r="VHW69"/>
      <c r="VHX69"/>
      <c r="VHY69"/>
      <c r="VHZ69"/>
      <c r="VIA69"/>
      <c r="VIB69"/>
      <c r="VIC69"/>
      <c r="VID69"/>
      <c r="VIE69"/>
      <c r="VIF69"/>
      <c r="VIG69"/>
      <c r="VIH69"/>
      <c r="VII69"/>
      <c r="VIJ69"/>
      <c r="VIK69"/>
      <c r="VIL69"/>
      <c r="VIM69"/>
      <c r="VIN69"/>
      <c r="VIO69"/>
      <c r="VIP69"/>
      <c r="VIQ69"/>
      <c r="VIR69"/>
      <c r="VIS69"/>
      <c r="VIT69"/>
      <c r="VIU69"/>
      <c r="VIV69"/>
      <c r="VIW69"/>
      <c r="VIX69"/>
      <c r="VIY69"/>
      <c r="VIZ69"/>
      <c r="VJA69"/>
      <c r="VJB69"/>
      <c r="VJC69"/>
      <c r="VJD69"/>
      <c r="VJE69"/>
      <c r="VJF69"/>
      <c r="VJG69"/>
      <c r="VJH69"/>
      <c r="VJI69"/>
      <c r="VJJ69"/>
      <c r="VJK69"/>
      <c r="VJL69"/>
      <c r="VJM69"/>
      <c r="VJN69"/>
      <c r="VJO69"/>
      <c r="VJP69"/>
      <c r="VJQ69"/>
      <c r="VJR69"/>
      <c r="VJS69"/>
      <c r="VJT69"/>
      <c r="VJU69"/>
      <c r="VJV69"/>
      <c r="VJW69"/>
      <c r="VJX69"/>
      <c r="VJY69"/>
      <c r="VJZ69"/>
      <c r="VKA69"/>
      <c r="VKB69"/>
      <c r="VKC69"/>
      <c r="VKD69"/>
      <c r="VKE69"/>
      <c r="VKF69"/>
      <c r="VKG69"/>
      <c r="VKH69"/>
      <c r="VKI69"/>
      <c r="VKJ69"/>
      <c r="VKK69"/>
      <c r="VKL69"/>
      <c r="VKM69"/>
      <c r="VKN69"/>
      <c r="VKO69"/>
      <c r="VKP69"/>
      <c r="VKQ69"/>
      <c r="VKR69"/>
      <c r="VKS69"/>
      <c r="VKT69"/>
      <c r="VKU69"/>
      <c r="VKV69"/>
      <c r="VKW69"/>
      <c r="VKX69"/>
      <c r="VKY69"/>
      <c r="VKZ69"/>
      <c r="VLA69"/>
      <c r="VLB69"/>
      <c r="VLC69"/>
      <c r="VLD69"/>
      <c r="VLE69"/>
      <c r="VLF69"/>
      <c r="VLG69"/>
      <c r="VLH69"/>
      <c r="VLI69"/>
      <c r="VLJ69"/>
      <c r="VLK69"/>
      <c r="VLL69"/>
      <c r="VLM69"/>
      <c r="VLN69"/>
      <c r="VLO69"/>
      <c r="VLP69"/>
      <c r="VLQ69"/>
      <c r="VLR69"/>
      <c r="VLS69"/>
      <c r="VLT69"/>
      <c r="VLU69"/>
      <c r="VLV69"/>
      <c r="VLW69"/>
      <c r="VLX69"/>
      <c r="VLY69"/>
      <c r="VLZ69"/>
      <c r="VMA69"/>
      <c r="VMB69"/>
      <c r="VMC69"/>
      <c r="VMD69"/>
      <c r="VME69"/>
      <c r="VMF69"/>
      <c r="VMG69"/>
      <c r="VMH69"/>
      <c r="VMI69"/>
      <c r="VMJ69"/>
      <c r="VMK69"/>
      <c r="VML69"/>
      <c r="VMM69"/>
      <c r="VMN69"/>
      <c r="VMO69"/>
      <c r="VMP69"/>
      <c r="VMQ69"/>
      <c r="VMR69"/>
      <c r="VMS69"/>
      <c r="VMT69"/>
      <c r="VMU69"/>
      <c r="VMV69"/>
      <c r="VMW69"/>
      <c r="VMX69"/>
      <c r="VMY69"/>
      <c r="VMZ69"/>
      <c r="VNA69"/>
      <c r="VNB69"/>
      <c r="VNC69"/>
      <c r="VND69"/>
      <c r="VNE69"/>
      <c r="VNF69"/>
      <c r="VNG69"/>
      <c r="VNH69"/>
      <c r="VNI69"/>
      <c r="VNJ69"/>
      <c r="VNK69"/>
      <c r="VNL69"/>
      <c r="VNM69"/>
      <c r="VNN69"/>
      <c r="VNO69"/>
      <c r="VNP69"/>
      <c r="VNQ69"/>
      <c r="VNR69"/>
      <c r="VNS69"/>
      <c r="VNT69"/>
      <c r="VNU69"/>
      <c r="VNV69"/>
      <c r="VNW69"/>
      <c r="VNX69"/>
      <c r="VNY69"/>
      <c r="VNZ69"/>
      <c r="VOA69"/>
      <c r="VOB69"/>
      <c r="VOC69"/>
      <c r="VOD69"/>
      <c r="VOE69"/>
      <c r="VOF69"/>
      <c r="VOG69"/>
      <c r="VOH69"/>
      <c r="VOI69"/>
      <c r="VOJ69"/>
      <c r="VOK69"/>
      <c r="VOL69"/>
      <c r="VOM69"/>
      <c r="VON69"/>
      <c r="VOO69"/>
      <c r="VOP69"/>
      <c r="VOQ69"/>
      <c r="VOR69"/>
      <c r="VOS69"/>
      <c r="VOT69"/>
      <c r="VOU69"/>
      <c r="VOV69"/>
      <c r="VOW69"/>
      <c r="VOX69"/>
      <c r="VOY69"/>
      <c r="VOZ69"/>
      <c r="VPA69"/>
      <c r="VPB69"/>
      <c r="VPC69"/>
      <c r="VPD69"/>
      <c r="VPE69"/>
      <c r="VPF69"/>
      <c r="VPG69"/>
      <c r="VPH69"/>
      <c r="VPI69"/>
      <c r="VPJ69"/>
      <c r="VPK69"/>
      <c r="VPL69"/>
      <c r="VPM69"/>
      <c r="VPN69"/>
      <c r="VPO69"/>
      <c r="VPP69"/>
      <c r="VPQ69"/>
      <c r="VPR69"/>
      <c r="VPS69"/>
      <c r="VPT69"/>
      <c r="VPU69"/>
      <c r="VPV69"/>
      <c r="VPW69"/>
      <c r="VPX69"/>
      <c r="VPY69"/>
      <c r="VPZ69"/>
      <c r="VQA69"/>
      <c r="VQB69"/>
      <c r="VQC69"/>
      <c r="VQD69"/>
      <c r="VQE69"/>
      <c r="VQF69"/>
      <c r="VQG69"/>
      <c r="VQH69"/>
      <c r="VQI69"/>
      <c r="VQJ69"/>
      <c r="VQK69"/>
      <c r="VQL69"/>
      <c r="VQM69"/>
      <c r="VQN69"/>
      <c r="VQO69"/>
      <c r="VQP69"/>
      <c r="VQQ69"/>
      <c r="VQR69"/>
      <c r="VQS69"/>
      <c r="VQT69"/>
      <c r="VQU69"/>
      <c r="VQV69"/>
      <c r="VQW69"/>
      <c r="VQX69"/>
      <c r="VQY69"/>
      <c r="VQZ69"/>
      <c r="VRA69"/>
      <c r="VRB69"/>
      <c r="VRC69"/>
      <c r="VRD69"/>
      <c r="VRE69"/>
      <c r="VRF69"/>
      <c r="VRG69"/>
      <c r="VRH69"/>
      <c r="VRI69"/>
      <c r="VRJ69"/>
      <c r="VRK69"/>
      <c r="VRL69"/>
      <c r="VRM69"/>
      <c r="VRN69"/>
      <c r="VRO69"/>
      <c r="VRP69"/>
      <c r="VRQ69"/>
      <c r="VRR69"/>
      <c r="VRS69"/>
      <c r="VRT69"/>
      <c r="VRU69"/>
      <c r="VRV69"/>
      <c r="VRW69"/>
      <c r="VRX69"/>
      <c r="VRY69"/>
      <c r="VRZ69"/>
      <c r="VSA69"/>
      <c r="VSB69"/>
      <c r="VSC69"/>
      <c r="VSD69"/>
      <c r="VSE69"/>
      <c r="VSF69"/>
      <c r="VSG69"/>
      <c r="VSH69"/>
      <c r="VSI69"/>
      <c r="VSJ69"/>
      <c r="VSK69"/>
      <c r="VSL69"/>
      <c r="VSM69"/>
      <c r="VSN69"/>
      <c r="VSO69"/>
      <c r="VSP69"/>
      <c r="VSQ69"/>
      <c r="VSR69"/>
      <c r="VSS69"/>
      <c r="VST69"/>
      <c r="VSU69"/>
      <c r="VSV69"/>
      <c r="VSW69"/>
      <c r="VSX69"/>
      <c r="VSY69"/>
      <c r="VSZ69"/>
      <c r="VTA69"/>
      <c r="VTB69"/>
      <c r="VTC69"/>
      <c r="VTD69"/>
      <c r="VTE69"/>
      <c r="VTF69"/>
      <c r="VTG69"/>
      <c r="VTH69"/>
      <c r="VTI69"/>
      <c r="VTJ69"/>
      <c r="VTK69"/>
      <c r="VTL69"/>
      <c r="VTM69"/>
      <c r="VTN69"/>
      <c r="VTO69"/>
      <c r="VTP69"/>
      <c r="VTQ69"/>
      <c r="VTR69"/>
      <c r="VTS69"/>
      <c r="VTT69"/>
      <c r="VTU69"/>
      <c r="VTV69"/>
      <c r="VTW69"/>
      <c r="VTX69"/>
      <c r="VTY69"/>
      <c r="VTZ69"/>
      <c r="VUA69"/>
      <c r="VUB69"/>
      <c r="VUC69"/>
      <c r="VUD69"/>
      <c r="VUE69"/>
      <c r="VUF69"/>
      <c r="VUG69"/>
      <c r="VUH69"/>
      <c r="VUI69"/>
      <c r="VUJ69"/>
      <c r="VUK69"/>
      <c r="VUL69"/>
      <c r="VUM69"/>
      <c r="VUN69"/>
      <c r="VUO69"/>
      <c r="VUP69"/>
      <c r="VUQ69"/>
      <c r="VUR69"/>
      <c r="VUS69"/>
      <c r="VUT69"/>
      <c r="VUU69"/>
      <c r="VUV69"/>
      <c r="VUW69"/>
      <c r="VUX69"/>
      <c r="VUY69"/>
      <c r="VUZ69"/>
      <c r="VVA69"/>
      <c r="VVB69"/>
      <c r="VVC69"/>
      <c r="VVD69"/>
      <c r="VVE69"/>
      <c r="VVF69"/>
      <c r="VVG69"/>
      <c r="VVH69"/>
      <c r="VVI69"/>
      <c r="VVJ69"/>
      <c r="VVK69"/>
      <c r="VVL69"/>
      <c r="VVM69"/>
      <c r="VVN69"/>
      <c r="VVO69"/>
      <c r="VVP69"/>
      <c r="VVQ69"/>
      <c r="VVR69"/>
      <c r="VVS69"/>
      <c r="VVT69"/>
      <c r="VVU69"/>
      <c r="VVV69"/>
      <c r="VVW69"/>
      <c r="VVX69"/>
      <c r="VVY69"/>
      <c r="VVZ69"/>
      <c r="VWA69"/>
      <c r="VWB69"/>
      <c r="VWC69"/>
      <c r="VWD69"/>
      <c r="VWE69"/>
      <c r="VWF69"/>
      <c r="VWG69"/>
      <c r="VWH69"/>
      <c r="VWI69"/>
      <c r="VWJ69"/>
      <c r="VWK69"/>
      <c r="VWL69"/>
      <c r="VWM69"/>
      <c r="VWN69"/>
      <c r="VWO69"/>
      <c r="VWP69"/>
      <c r="VWQ69"/>
      <c r="VWR69"/>
      <c r="VWS69"/>
      <c r="VWT69"/>
      <c r="VWU69"/>
      <c r="VWV69"/>
      <c r="VWW69"/>
      <c r="VWX69"/>
      <c r="VWY69"/>
      <c r="VWZ69"/>
      <c r="VXA69"/>
      <c r="VXB69"/>
      <c r="VXC69"/>
      <c r="VXD69"/>
      <c r="VXE69"/>
      <c r="VXF69"/>
      <c r="VXG69"/>
      <c r="VXH69"/>
      <c r="VXI69"/>
      <c r="VXJ69"/>
      <c r="VXK69"/>
      <c r="VXL69"/>
      <c r="VXM69"/>
      <c r="VXN69"/>
      <c r="VXO69"/>
      <c r="VXP69"/>
      <c r="VXQ69"/>
      <c r="VXR69"/>
      <c r="VXS69"/>
      <c r="VXT69"/>
      <c r="VXU69"/>
      <c r="VXV69"/>
      <c r="VXW69"/>
      <c r="VXX69"/>
      <c r="VXY69"/>
      <c r="VXZ69"/>
      <c r="VYA69"/>
      <c r="VYB69"/>
      <c r="VYC69"/>
      <c r="VYD69"/>
      <c r="VYE69"/>
      <c r="VYF69"/>
      <c r="VYG69"/>
      <c r="VYH69"/>
      <c r="VYI69"/>
      <c r="VYJ69"/>
      <c r="VYK69"/>
      <c r="VYL69"/>
      <c r="VYM69"/>
      <c r="VYN69"/>
      <c r="VYO69"/>
      <c r="VYP69"/>
      <c r="VYQ69"/>
      <c r="VYR69"/>
      <c r="VYS69"/>
      <c r="VYT69"/>
      <c r="VYU69"/>
      <c r="VYV69"/>
      <c r="VYW69"/>
      <c r="VYX69"/>
      <c r="VYY69"/>
      <c r="VYZ69"/>
      <c r="VZA69"/>
      <c r="VZB69"/>
      <c r="VZC69"/>
      <c r="VZD69"/>
      <c r="VZE69"/>
      <c r="VZF69"/>
      <c r="VZG69"/>
      <c r="VZH69"/>
      <c r="VZI69"/>
      <c r="VZJ69"/>
      <c r="VZK69"/>
      <c r="VZL69"/>
      <c r="VZM69"/>
      <c r="VZN69"/>
      <c r="VZO69"/>
      <c r="VZP69"/>
      <c r="VZQ69"/>
      <c r="VZR69"/>
      <c r="VZS69"/>
      <c r="VZT69"/>
      <c r="VZU69"/>
      <c r="VZV69"/>
      <c r="VZW69"/>
      <c r="VZX69"/>
      <c r="VZY69"/>
      <c r="VZZ69"/>
      <c r="WAA69"/>
      <c r="WAB69"/>
      <c r="WAC69"/>
      <c r="WAD69"/>
      <c r="WAE69"/>
      <c r="WAF69"/>
      <c r="WAG69"/>
      <c r="WAH69"/>
      <c r="WAI69"/>
      <c r="WAJ69"/>
      <c r="WAK69"/>
      <c r="WAL69"/>
      <c r="WAM69"/>
      <c r="WAN69"/>
      <c r="WAO69"/>
      <c r="WAP69"/>
      <c r="WAQ69"/>
      <c r="WAR69"/>
      <c r="WAS69"/>
      <c r="WAT69"/>
      <c r="WAU69"/>
      <c r="WAV69"/>
      <c r="WAW69"/>
      <c r="WAX69"/>
      <c r="WAY69"/>
      <c r="WAZ69"/>
      <c r="WBA69"/>
      <c r="WBB69"/>
      <c r="WBC69"/>
      <c r="WBD69"/>
      <c r="WBE69"/>
      <c r="WBF69"/>
      <c r="WBG69"/>
      <c r="WBH69"/>
      <c r="WBI69"/>
      <c r="WBJ69"/>
      <c r="WBK69"/>
      <c r="WBL69"/>
      <c r="WBM69"/>
      <c r="WBN69"/>
      <c r="WBO69"/>
      <c r="WBP69"/>
      <c r="WBQ69"/>
      <c r="WBR69"/>
      <c r="WBS69"/>
      <c r="WBT69"/>
      <c r="WBU69"/>
      <c r="WBV69"/>
      <c r="WBW69"/>
      <c r="WBX69"/>
      <c r="WBY69"/>
      <c r="WBZ69"/>
      <c r="WCA69"/>
      <c r="WCB69"/>
      <c r="WCC69"/>
      <c r="WCD69"/>
      <c r="WCE69"/>
      <c r="WCF69"/>
      <c r="WCG69"/>
      <c r="WCH69"/>
      <c r="WCI69"/>
      <c r="WCJ69"/>
      <c r="WCK69"/>
      <c r="WCL69"/>
      <c r="WCM69"/>
      <c r="WCN69"/>
      <c r="WCO69"/>
      <c r="WCP69"/>
      <c r="WCQ69"/>
      <c r="WCR69"/>
      <c r="WCS69"/>
      <c r="WCT69"/>
      <c r="WCU69"/>
      <c r="WCV69"/>
      <c r="WCW69"/>
      <c r="WCX69"/>
      <c r="WCY69"/>
      <c r="WCZ69"/>
      <c r="WDA69"/>
      <c r="WDB69"/>
      <c r="WDC69"/>
      <c r="WDD69"/>
      <c r="WDE69"/>
      <c r="WDF69"/>
      <c r="WDG69"/>
      <c r="WDH69"/>
      <c r="WDI69"/>
      <c r="WDJ69"/>
      <c r="WDK69"/>
      <c r="WDL69"/>
      <c r="WDM69"/>
      <c r="WDN69"/>
      <c r="WDO69"/>
      <c r="WDP69"/>
      <c r="WDQ69"/>
      <c r="WDR69"/>
      <c r="WDS69"/>
      <c r="WDT69"/>
      <c r="WDU69"/>
      <c r="WDV69"/>
      <c r="WDW69"/>
      <c r="WDX69"/>
      <c r="WDY69"/>
      <c r="WDZ69"/>
      <c r="WEA69"/>
      <c r="WEB69"/>
      <c r="WEC69"/>
      <c r="WED69"/>
      <c r="WEE69"/>
      <c r="WEF69"/>
      <c r="WEG69"/>
      <c r="WEH69"/>
      <c r="WEI69"/>
      <c r="WEJ69"/>
      <c r="WEK69"/>
      <c r="WEL69"/>
      <c r="WEM69"/>
      <c r="WEN69"/>
      <c r="WEO69"/>
      <c r="WEP69"/>
      <c r="WEQ69"/>
      <c r="WER69"/>
      <c r="WES69"/>
      <c r="WET69"/>
      <c r="WEU69"/>
      <c r="WEV69"/>
      <c r="WEW69"/>
      <c r="WEX69"/>
      <c r="WEY69"/>
      <c r="WEZ69"/>
      <c r="WFA69"/>
      <c r="WFB69"/>
      <c r="WFC69"/>
      <c r="WFD69"/>
      <c r="WFE69"/>
      <c r="WFF69"/>
      <c r="WFG69"/>
      <c r="WFH69"/>
      <c r="WFI69"/>
      <c r="WFJ69"/>
      <c r="WFK69"/>
      <c r="WFL69"/>
      <c r="WFM69"/>
      <c r="WFN69"/>
      <c r="WFO69"/>
      <c r="WFP69"/>
      <c r="WFQ69"/>
      <c r="WFR69"/>
      <c r="WFS69"/>
      <c r="WFT69"/>
      <c r="WFU69"/>
      <c r="WFV69"/>
      <c r="WFW69"/>
      <c r="WFX69"/>
      <c r="WFY69"/>
      <c r="WFZ69"/>
      <c r="WGA69"/>
      <c r="WGB69"/>
      <c r="WGC69"/>
      <c r="WGD69"/>
      <c r="WGE69"/>
      <c r="WGF69"/>
      <c r="WGG69"/>
      <c r="WGH69"/>
      <c r="WGI69"/>
      <c r="WGJ69"/>
      <c r="WGK69"/>
      <c r="WGL69"/>
      <c r="WGM69"/>
      <c r="WGN69"/>
      <c r="WGO69"/>
      <c r="WGP69"/>
      <c r="WGQ69"/>
      <c r="WGR69"/>
      <c r="WGS69"/>
      <c r="WGT69"/>
      <c r="WGU69"/>
      <c r="WGV69"/>
      <c r="WGW69"/>
      <c r="WGX69"/>
      <c r="WGY69"/>
      <c r="WGZ69"/>
      <c r="WHA69"/>
      <c r="WHB69"/>
      <c r="WHC69"/>
      <c r="WHD69"/>
      <c r="WHE69"/>
      <c r="WHF69"/>
      <c r="WHG69"/>
      <c r="WHH69"/>
      <c r="WHI69"/>
      <c r="WHJ69"/>
      <c r="WHK69"/>
      <c r="WHL69"/>
      <c r="WHM69"/>
      <c r="WHN69"/>
      <c r="WHO69"/>
      <c r="WHP69"/>
      <c r="WHQ69"/>
      <c r="WHR69"/>
      <c r="WHS69"/>
      <c r="WHT69"/>
      <c r="WHU69"/>
      <c r="WHV69"/>
      <c r="WHW69"/>
      <c r="WHX69"/>
      <c r="WHY69"/>
      <c r="WHZ69"/>
      <c r="WIA69"/>
      <c r="WIB69"/>
      <c r="WIC69"/>
      <c r="WID69"/>
      <c r="WIE69"/>
      <c r="WIF69"/>
      <c r="WIG69"/>
      <c r="WIH69"/>
      <c r="WII69"/>
      <c r="WIJ69"/>
      <c r="WIK69"/>
      <c r="WIL69"/>
      <c r="WIM69"/>
      <c r="WIN69"/>
      <c r="WIO69"/>
      <c r="WIP69"/>
      <c r="WIQ69"/>
      <c r="WIR69"/>
      <c r="WIS69"/>
      <c r="WIT69"/>
      <c r="WIU69"/>
      <c r="WIV69"/>
      <c r="WIW69"/>
      <c r="WIX69"/>
      <c r="WIY69"/>
      <c r="WIZ69"/>
      <c r="WJA69"/>
      <c r="WJB69"/>
      <c r="WJC69"/>
      <c r="WJD69"/>
      <c r="WJE69"/>
      <c r="WJF69"/>
      <c r="WJG69"/>
      <c r="WJH69"/>
      <c r="WJI69"/>
      <c r="WJJ69"/>
      <c r="WJK69"/>
      <c r="WJL69"/>
      <c r="WJM69"/>
      <c r="WJN69"/>
      <c r="WJO69"/>
      <c r="WJP69"/>
      <c r="WJQ69"/>
      <c r="WJR69"/>
      <c r="WJS69"/>
      <c r="WJT69"/>
      <c r="WJU69"/>
      <c r="WJV69"/>
      <c r="WJW69"/>
      <c r="WJX69"/>
      <c r="WJY69"/>
      <c r="WJZ69"/>
      <c r="WKA69"/>
      <c r="WKB69"/>
      <c r="WKC69"/>
      <c r="WKD69"/>
      <c r="WKE69"/>
      <c r="WKF69"/>
      <c r="WKG69"/>
      <c r="WKH69"/>
      <c r="WKI69"/>
      <c r="WKJ69"/>
      <c r="WKK69"/>
      <c r="WKL69"/>
      <c r="WKM69"/>
      <c r="WKN69"/>
      <c r="WKO69"/>
      <c r="WKP69"/>
      <c r="WKQ69"/>
      <c r="WKR69"/>
      <c r="WKS69"/>
      <c r="WKT69"/>
      <c r="WKU69"/>
      <c r="WKV69"/>
      <c r="WKW69"/>
      <c r="WKX69"/>
      <c r="WKY69"/>
      <c r="WKZ69"/>
      <c r="WLA69"/>
      <c r="WLB69"/>
      <c r="WLC69"/>
      <c r="WLD69"/>
      <c r="WLE69"/>
      <c r="WLF69"/>
      <c r="WLG69"/>
      <c r="WLH69"/>
      <c r="WLI69"/>
      <c r="WLJ69"/>
      <c r="WLK69"/>
      <c r="WLL69"/>
      <c r="WLM69"/>
      <c r="WLN69"/>
      <c r="WLO69"/>
      <c r="WLP69"/>
      <c r="WLQ69"/>
      <c r="WLR69"/>
      <c r="WLS69"/>
      <c r="WLT69"/>
      <c r="WLU69"/>
      <c r="WLV69"/>
      <c r="WLW69"/>
      <c r="WLX69"/>
      <c r="WLY69"/>
      <c r="WLZ69"/>
      <c r="WMA69"/>
      <c r="WMB69"/>
      <c r="WMC69"/>
      <c r="WMD69"/>
      <c r="WME69"/>
      <c r="WMF69"/>
      <c r="WMG69"/>
      <c r="WMH69"/>
      <c r="WMI69"/>
      <c r="WMJ69"/>
      <c r="WMK69"/>
      <c r="WML69"/>
      <c r="WMM69"/>
      <c r="WMN69"/>
      <c r="WMO69"/>
      <c r="WMP69"/>
      <c r="WMQ69"/>
      <c r="WMR69"/>
      <c r="WMS69"/>
      <c r="WMT69"/>
      <c r="WMU69"/>
      <c r="WMV69"/>
      <c r="WMW69"/>
      <c r="WMX69"/>
      <c r="WMY69"/>
      <c r="WMZ69"/>
      <c r="WNA69"/>
      <c r="WNB69"/>
      <c r="WNC69"/>
      <c r="WND69"/>
      <c r="WNE69"/>
      <c r="WNF69"/>
      <c r="WNG69"/>
      <c r="WNH69"/>
      <c r="WNI69"/>
      <c r="WNJ69"/>
      <c r="WNK69"/>
      <c r="WNL69"/>
      <c r="WNM69"/>
      <c r="WNN69"/>
      <c r="WNO69"/>
      <c r="WNP69"/>
      <c r="WNQ69"/>
      <c r="WNR69"/>
      <c r="WNS69"/>
      <c r="WNT69"/>
      <c r="WNU69"/>
      <c r="WNV69"/>
      <c r="WNW69"/>
      <c r="WNX69"/>
      <c r="WNY69"/>
      <c r="WNZ69"/>
      <c r="WOA69"/>
      <c r="WOB69"/>
      <c r="WOC69"/>
      <c r="WOD69"/>
      <c r="WOE69"/>
      <c r="WOF69"/>
      <c r="WOG69"/>
      <c r="WOH69"/>
      <c r="WOI69"/>
      <c r="WOJ69"/>
      <c r="WOK69"/>
      <c r="WOL69"/>
      <c r="WOM69"/>
      <c r="WON69"/>
      <c r="WOO69"/>
      <c r="WOP69"/>
      <c r="WOQ69"/>
      <c r="WOR69"/>
      <c r="WOS69"/>
      <c r="WOT69"/>
      <c r="WOU69"/>
      <c r="WOV69"/>
      <c r="WOW69"/>
      <c r="WOX69"/>
      <c r="WOY69"/>
      <c r="WOZ69"/>
      <c r="WPA69"/>
      <c r="WPB69"/>
      <c r="WPC69"/>
      <c r="WPD69"/>
      <c r="WPE69"/>
      <c r="WPF69"/>
      <c r="WPG69"/>
      <c r="WPH69"/>
      <c r="WPI69"/>
      <c r="WPJ69"/>
      <c r="WPK69"/>
      <c r="WPL69"/>
      <c r="WPM69"/>
      <c r="WPN69"/>
      <c r="WPO69"/>
      <c r="WPP69"/>
      <c r="WPQ69"/>
      <c r="WPR69"/>
      <c r="WPS69"/>
      <c r="WPT69"/>
      <c r="WPU69"/>
      <c r="WPV69"/>
      <c r="WPW69"/>
      <c r="WPX69"/>
      <c r="WPY69"/>
      <c r="WPZ69"/>
      <c r="WQA69"/>
      <c r="WQB69"/>
      <c r="WQC69"/>
      <c r="WQD69"/>
      <c r="WQE69"/>
      <c r="WQF69"/>
      <c r="WQG69"/>
      <c r="WQH69"/>
      <c r="WQI69"/>
      <c r="WQJ69"/>
      <c r="WQK69"/>
      <c r="WQL69"/>
      <c r="WQM69"/>
      <c r="WQN69"/>
      <c r="WQO69"/>
      <c r="WQP69"/>
      <c r="WQQ69"/>
      <c r="WQR69"/>
      <c r="WQS69"/>
      <c r="WQT69"/>
      <c r="WQU69"/>
      <c r="WQV69"/>
      <c r="WQW69"/>
      <c r="WQX69"/>
      <c r="WQY69"/>
      <c r="WQZ69"/>
      <c r="WRA69"/>
      <c r="WRB69"/>
      <c r="WRC69"/>
      <c r="WRD69"/>
      <c r="WRE69"/>
      <c r="WRF69"/>
      <c r="WRG69"/>
      <c r="WRH69"/>
      <c r="WRI69"/>
      <c r="WRJ69"/>
      <c r="WRK69"/>
      <c r="WRL69"/>
      <c r="WRM69"/>
      <c r="WRN69"/>
      <c r="WRO69"/>
      <c r="WRP69"/>
      <c r="WRQ69"/>
      <c r="WRR69"/>
      <c r="WRS69"/>
      <c r="WRT69"/>
      <c r="WRU69"/>
      <c r="WRV69"/>
      <c r="WRW69"/>
      <c r="WRX69"/>
      <c r="WRY69"/>
      <c r="WRZ69"/>
      <c r="WSA69"/>
      <c r="WSB69"/>
      <c r="WSC69"/>
      <c r="WSD69"/>
      <c r="WSE69"/>
      <c r="WSF69"/>
      <c r="WSG69"/>
      <c r="WSH69"/>
      <c r="WSI69"/>
      <c r="WSJ69"/>
      <c r="WSK69"/>
      <c r="WSL69"/>
      <c r="WSM69"/>
      <c r="WSN69"/>
      <c r="WSO69"/>
      <c r="WSP69"/>
      <c r="WSQ69"/>
      <c r="WSR69"/>
      <c r="WSS69"/>
      <c r="WST69"/>
      <c r="WSU69"/>
      <c r="WSV69"/>
      <c r="WSW69"/>
      <c r="WSX69"/>
      <c r="WSY69"/>
      <c r="WSZ69"/>
      <c r="WTA69"/>
      <c r="WTB69"/>
      <c r="WTC69"/>
      <c r="WTD69"/>
      <c r="WTE69"/>
      <c r="WTF69"/>
      <c r="WTG69"/>
      <c r="WTH69"/>
      <c r="WTI69"/>
      <c r="WTJ69"/>
      <c r="WTK69"/>
      <c r="WTL69"/>
      <c r="WTM69"/>
      <c r="WTN69"/>
      <c r="WTO69"/>
      <c r="WTP69"/>
      <c r="WTQ69"/>
      <c r="WTR69"/>
      <c r="WTS69"/>
      <c r="WTT69"/>
      <c r="WTU69"/>
      <c r="WTV69"/>
      <c r="WTW69"/>
      <c r="WTX69"/>
      <c r="WTY69"/>
      <c r="WTZ69"/>
      <c r="WUA69"/>
      <c r="WUB69"/>
      <c r="WUC69"/>
      <c r="WUD69"/>
      <c r="WUE69"/>
      <c r="WUF69"/>
      <c r="WUG69"/>
      <c r="WUH69"/>
      <c r="WUI69"/>
      <c r="WUJ69"/>
      <c r="WUK69"/>
      <c r="WUL69"/>
      <c r="WUM69"/>
      <c r="WUN69"/>
      <c r="WUO69"/>
      <c r="WUP69"/>
      <c r="WUQ69"/>
      <c r="WUR69"/>
      <c r="WUS69"/>
      <c r="WUT69"/>
      <c r="WUU69"/>
      <c r="WUV69"/>
      <c r="WUW69"/>
      <c r="WUX69"/>
      <c r="WUY69"/>
      <c r="WUZ69"/>
      <c r="WVA69"/>
      <c r="WVB69"/>
      <c r="WVC69"/>
      <c r="WVD69"/>
      <c r="WVE69"/>
      <c r="WVF69"/>
      <c r="WVG69"/>
      <c r="WVH69"/>
      <c r="WVI69"/>
      <c r="WVJ69"/>
      <c r="WVK69"/>
      <c r="WVL69"/>
      <c r="WVM69"/>
      <c r="WVN69"/>
      <c r="WVO69"/>
      <c r="WVP69"/>
      <c r="WVQ69"/>
      <c r="WVR69"/>
      <c r="WVS69"/>
      <c r="WVT69"/>
      <c r="WVU69"/>
      <c r="WVV69"/>
      <c r="WVW69"/>
      <c r="WVX69"/>
      <c r="WVY69"/>
      <c r="WVZ69"/>
      <c r="WWA69"/>
      <c r="WWB69"/>
      <c r="WWC69"/>
      <c r="WWD69"/>
      <c r="WWE69"/>
      <c r="WWF69"/>
      <c r="WWG69"/>
      <c r="WWH69"/>
      <c r="WWI69"/>
      <c r="WWJ69"/>
      <c r="WWK69"/>
      <c r="WWL69"/>
      <c r="WWM69"/>
      <c r="WWN69"/>
      <c r="WWO69"/>
      <c r="WWP69"/>
      <c r="WWQ69"/>
      <c r="WWR69"/>
      <c r="WWS69"/>
      <c r="WWT69"/>
      <c r="WWU69"/>
      <c r="WWV69"/>
      <c r="WWW69"/>
      <c r="WWX69"/>
      <c r="WWY69"/>
      <c r="WWZ69"/>
      <c r="WXA69"/>
      <c r="WXB69"/>
      <c r="WXC69"/>
      <c r="WXD69"/>
      <c r="WXE69"/>
      <c r="WXF69"/>
      <c r="WXG69"/>
      <c r="WXH69"/>
      <c r="WXI69"/>
      <c r="WXJ69"/>
      <c r="WXK69"/>
      <c r="WXL69"/>
      <c r="WXM69"/>
      <c r="WXN69"/>
      <c r="WXO69"/>
      <c r="WXP69"/>
      <c r="WXQ69"/>
      <c r="WXR69"/>
      <c r="WXS69"/>
      <c r="WXT69"/>
      <c r="WXU69"/>
      <c r="WXV69"/>
      <c r="WXW69"/>
      <c r="WXX69"/>
      <c r="WXY69"/>
      <c r="WXZ69"/>
      <c r="WYA69"/>
      <c r="WYB69"/>
      <c r="WYC69"/>
      <c r="WYD69"/>
      <c r="WYE69"/>
      <c r="WYF69"/>
      <c r="WYG69"/>
      <c r="WYH69"/>
      <c r="WYI69"/>
      <c r="WYJ69"/>
      <c r="WYK69"/>
      <c r="WYL69"/>
      <c r="WYM69"/>
      <c r="WYN69"/>
      <c r="WYO69"/>
      <c r="WYP69"/>
      <c r="WYQ69"/>
      <c r="WYR69"/>
      <c r="WYS69"/>
      <c r="WYT69"/>
      <c r="WYU69"/>
      <c r="WYV69"/>
      <c r="WYW69"/>
      <c r="WYX69"/>
      <c r="WYY69"/>
      <c r="WYZ69"/>
      <c r="WZA69"/>
      <c r="WZB69"/>
      <c r="WZC69"/>
      <c r="WZD69"/>
      <c r="WZE69"/>
      <c r="WZF69"/>
      <c r="WZG69"/>
      <c r="WZH69"/>
      <c r="WZI69"/>
      <c r="WZJ69"/>
      <c r="WZK69"/>
      <c r="WZL69"/>
      <c r="WZM69"/>
      <c r="WZN69"/>
      <c r="WZO69"/>
      <c r="WZP69"/>
      <c r="WZQ69"/>
      <c r="WZR69"/>
      <c r="WZS69"/>
      <c r="WZT69"/>
      <c r="WZU69"/>
      <c r="WZV69"/>
      <c r="WZW69"/>
      <c r="WZX69"/>
      <c r="WZY69"/>
      <c r="WZZ69"/>
      <c r="XAA69"/>
      <c r="XAB69"/>
      <c r="XAC69"/>
      <c r="XAD69"/>
      <c r="XAE69"/>
      <c r="XAF69"/>
      <c r="XAG69"/>
      <c r="XAH69"/>
      <c r="XAI69"/>
      <c r="XAJ69"/>
      <c r="XAK69"/>
      <c r="XAL69"/>
      <c r="XAM69"/>
      <c r="XAN69"/>
      <c r="XAO69"/>
      <c r="XAP69"/>
      <c r="XAQ69"/>
      <c r="XAR69"/>
      <c r="XAS69"/>
      <c r="XAT69"/>
      <c r="XAU69"/>
      <c r="XAV69"/>
      <c r="XAW69"/>
      <c r="XAX69"/>
      <c r="XAY69"/>
      <c r="XAZ69"/>
      <c r="XBA69"/>
      <c r="XBB69"/>
      <c r="XBC69"/>
      <c r="XBD69"/>
      <c r="XBE69"/>
      <c r="XBF69"/>
      <c r="XBG69"/>
      <c r="XBH69"/>
      <c r="XBI69"/>
      <c r="XBJ69"/>
      <c r="XBK69"/>
      <c r="XBL69"/>
      <c r="XBM69"/>
      <c r="XBN69"/>
      <c r="XBO69"/>
      <c r="XBP69"/>
      <c r="XBQ69"/>
      <c r="XBR69"/>
      <c r="XBS69"/>
      <c r="XBT69"/>
      <c r="XBU69"/>
      <c r="XBV69"/>
      <c r="XBW69"/>
      <c r="XBX69"/>
      <c r="XBY69"/>
      <c r="XBZ69"/>
      <c r="XCA69"/>
      <c r="XCB69"/>
      <c r="XCC69"/>
      <c r="XCD69"/>
      <c r="XCE69"/>
      <c r="XCF69"/>
      <c r="XCG69"/>
      <c r="XCH69"/>
      <c r="XCI69"/>
      <c r="XCJ69"/>
      <c r="XCK69"/>
      <c r="XCL69"/>
      <c r="XCM69"/>
      <c r="XCN69"/>
      <c r="XCO69"/>
      <c r="XCP69"/>
      <c r="XCQ69"/>
      <c r="XCR69"/>
      <c r="XCS69"/>
      <c r="XCT69"/>
      <c r="XCU69"/>
      <c r="XCV69"/>
      <c r="XCW69"/>
      <c r="XCX69"/>
      <c r="XCY69"/>
      <c r="XCZ69"/>
      <c r="XDA69"/>
      <c r="XDB69"/>
      <c r="XDC69"/>
      <c r="XDD69"/>
      <c r="XDE69"/>
      <c r="XDF69"/>
      <c r="XDG69"/>
      <c r="XDH69"/>
      <c r="XDI69"/>
      <c r="XDJ69"/>
      <c r="XDK69"/>
      <c r="XDL69"/>
      <c r="XDM69"/>
      <c r="XDN69"/>
      <c r="XDO69"/>
      <c r="XDP69"/>
      <c r="XDQ69"/>
      <c r="XDR69"/>
      <c r="XDS69"/>
      <c r="XDT69"/>
      <c r="XDU69"/>
      <c r="XDV69"/>
      <c r="XDW69"/>
      <c r="XDX69"/>
      <c r="XDY69"/>
      <c r="XDZ69"/>
      <c r="XEA69"/>
      <c r="XEB69"/>
      <c r="XEC69"/>
      <c r="XED69"/>
      <c r="XEE69"/>
      <c r="XEF69"/>
      <c r="XEG69"/>
      <c r="XEH69"/>
      <c r="XEI69"/>
      <c r="XEJ69"/>
      <c r="XEK69"/>
      <c r="XEL69"/>
      <c r="XEM69"/>
      <c r="XEN69"/>
      <c r="XEO69"/>
      <c r="XEP69"/>
      <c r="XEQ69"/>
      <c r="XER69"/>
      <c r="XES69"/>
      <c r="XET69"/>
      <c r="XEU69"/>
      <c r="XEV69"/>
      <c r="XEW69"/>
      <c r="XEX69"/>
      <c r="XEY69"/>
      <c r="XEZ69"/>
      <c r="XFA69"/>
      <c r="XFB69"/>
      <c r="XFC69"/>
      <c r="XFD69"/>
    </row>
    <row r="70" spans="3:16384" ht="31.5">
      <c r="C70" s="1226" t="s">
        <v>1840</v>
      </c>
      <c r="D70" s="1213"/>
      <c r="E70" s="1214"/>
      <c r="F70" s="1214"/>
      <c r="G70" s="1214"/>
      <c r="H70" s="1214"/>
      <c r="I70" s="1214"/>
      <c r="J70" s="1214"/>
      <c r="K70" s="1213"/>
      <c r="L70" s="1213"/>
      <c r="M70" s="1213"/>
      <c r="N70" s="1235"/>
      <c r="O70" s="1214"/>
      <c r="P70" s="1235"/>
      <c r="Q70" s="1214"/>
      <c r="R70" s="1246" t="s">
        <v>1663</v>
      </c>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c r="GO70"/>
      <c r="GP70"/>
      <c r="GQ70"/>
      <c r="GR70"/>
      <c r="GS70"/>
      <c r="GT70"/>
      <c r="GU70"/>
      <c r="GV70"/>
      <c r="GW70"/>
      <c r="GX70"/>
      <c r="GY70"/>
      <c r="GZ70"/>
      <c r="HA70"/>
      <c r="HB70"/>
      <c r="HC70"/>
      <c r="HD70"/>
      <c r="HE70"/>
      <c r="HF70"/>
      <c r="HG70"/>
      <c r="HH70"/>
      <c r="HI70"/>
      <c r="HJ70"/>
      <c r="HK70"/>
      <c r="HL70"/>
      <c r="HM70"/>
      <c r="HN70"/>
      <c r="HO70"/>
      <c r="HP70"/>
      <c r="HQ70"/>
      <c r="HR70"/>
      <c r="HS70"/>
      <c r="HT70"/>
      <c r="HU70"/>
      <c r="HV70"/>
      <c r="HW70"/>
      <c r="HX70"/>
      <c r="HY70"/>
      <c r="HZ70"/>
      <c r="IA70"/>
      <c r="IB70"/>
      <c r="IC70"/>
      <c r="ID70"/>
      <c r="IE70"/>
      <c r="IF70"/>
      <c r="IG70"/>
      <c r="IH70"/>
      <c r="II70"/>
      <c r="IJ70"/>
      <c r="IK70"/>
      <c r="IL70"/>
      <c r="IM70"/>
      <c r="IN70"/>
      <c r="IO70"/>
      <c r="IP70"/>
      <c r="IQ70"/>
      <c r="IR70"/>
      <c r="IS70"/>
      <c r="IT70"/>
      <c r="IU70"/>
      <c r="IV70"/>
      <c r="IW70"/>
      <c r="IX70"/>
      <c r="IY70"/>
      <c r="IZ70"/>
      <c r="JA70"/>
      <c r="JB70"/>
      <c r="JC70"/>
      <c r="JD70"/>
      <c r="JE70"/>
      <c r="JF70"/>
      <c r="JG70"/>
      <c r="JH70"/>
      <c r="JI70"/>
      <c r="JJ70"/>
      <c r="JK70"/>
      <c r="JL70"/>
      <c r="JM70"/>
      <c r="JN70"/>
      <c r="JO70"/>
      <c r="JP70"/>
      <c r="JQ70"/>
      <c r="JR70"/>
      <c r="JS70"/>
      <c r="JT70"/>
      <c r="JU70"/>
      <c r="JV70"/>
      <c r="JW70"/>
      <c r="JX70"/>
      <c r="JY70"/>
      <c r="JZ70"/>
      <c r="KA70"/>
      <c r="KB70"/>
      <c r="KC70"/>
      <c r="KD70"/>
      <c r="KE70"/>
      <c r="KF70"/>
      <c r="KG70"/>
      <c r="KH70"/>
      <c r="KI70"/>
      <c r="KJ70"/>
      <c r="KK70"/>
      <c r="KL70"/>
      <c r="KM70"/>
      <c r="KN70"/>
      <c r="KO70"/>
      <c r="KP70"/>
      <c r="KQ70"/>
      <c r="KR70"/>
      <c r="KS70"/>
      <c r="KT70"/>
      <c r="KU70"/>
      <c r="KV70"/>
      <c r="KW70"/>
      <c r="KX70"/>
      <c r="KY70"/>
      <c r="KZ70"/>
      <c r="LA70"/>
      <c r="LB70"/>
      <c r="LC70"/>
      <c r="LD70"/>
      <c r="LE70"/>
      <c r="LF70"/>
      <c r="LG70"/>
      <c r="LH70"/>
      <c r="LI70"/>
      <c r="LJ70"/>
      <c r="LK70"/>
      <c r="LL70"/>
      <c r="LM70"/>
      <c r="LN70"/>
      <c r="LO70"/>
      <c r="LP70"/>
      <c r="LQ70"/>
      <c r="LR70"/>
      <c r="LS70"/>
      <c r="LT70"/>
      <c r="LU70"/>
      <c r="LV70"/>
      <c r="LW70"/>
      <c r="LX70"/>
      <c r="LY70"/>
      <c r="LZ70"/>
      <c r="MA70"/>
      <c r="MB70"/>
      <c r="MC70"/>
      <c r="MD70"/>
      <c r="ME70"/>
      <c r="MF70"/>
      <c r="MG70"/>
      <c r="MH70"/>
      <c r="MI70"/>
      <c r="MJ70"/>
      <c r="MK70"/>
      <c r="ML70"/>
      <c r="MM70"/>
      <c r="MN70"/>
      <c r="MO70"/>
      <c r="MP70"/>
      <c r="MQ70"/>
      <c r="MR70"/>
      <c r="MS70"/>
      <c r="MT70"/>
      <c r="MU70"/>
      <c r="MV70"/>
      <c r="MW70"/>
      <c r="MX70"/>
      <c r="MY70"/>
      <c r="MZ70"/>
      <c r="NA70"/>
      <c r="NB70"/>
      <c r="NC70"/>
      <c r="ND70"/>
      <c r="NE70"/>
      <c r="NF70"/>
      <c r="NG70"/>
      <c r="NH70"/>
      <c r="NI70"/>
      <c r="NJ70"/>
      <c r="NK70"/>
      <c r="NL70"/>
      <c r="NM70"/>
      <c r="NN70"/>
      <c r="NO70"/>
      <c r="NP70"/>
      <c r="NQ70"/>
      <c r="NR70"/>
      <c r="NS70"/>
      <c r="NT70"/>
      <c r="NU70"/>
      <c r="NV70"/>
      <c r="NW70"/>
      <c r="NX70"/>
      <c r="NY70"/>
      <c r="NZ70"/>
      <c r="OA70"/>
      <c r="OB70"/>
      <c r="OC70"/>
      <c r="OD70"/>
      <c r="OE70"/>
      <c r="OF70"/>
      <c r="OG70"/>
      <c r="OH70"/>
      <c r="OI70"/>
      <c r="OJ70"/>
      <c r="OK70"/>
      <c r="OL70"/>
      <c r="OM70"/>
      <c r="ON70"/>
      <c r="OO70"/>
      <c r="OP70"/>
      <c r="OQ70"/>
      <c r="OR70"/>
      <c r="OS70"/>
      <c r="OT70"/>
      <c r="OU70"/>
      <c r="OV70"/>
      <c r="OW70"/>
      <c r="OX70"/>
      <c r="OY70"/>
      <c r="OZ70"/>
      <c r="PA70"/>
      <c r="PB70"/>
      <c r="PC70"/>
      <c r="PD70"/>
      <c r="PE70"/>
      <c r="PF70"/>
      <c r="PG70"/>
      <c r="PH70"/>
      <c r="PI70"/>
      <c r="PJ70"/>
      <c r="PK70"/>
      <c r="PL70"/>
      <c r="PM70"/>
      <c r="PN70"/>
      <c r="PO70"/>
      <c r="PP70"/>
      <c r="PQ70"/>
      <c r="PR70"/>
      <c r="PS70"/>
      <c r="PT70"/>
      <c r="PU70"/>
      <c r="PV70"/>
      <c r="PW70"/>
      <c r="PX70"/>
      <c r="PY70"/>
      <c r="PZ70"/>
      <c r="QA70"/>
      <c r="QB70"/>
      <c r="QC70"/>
      <c r="QD70"/>
      <c r="QE70"/>
      <c r="QF70"/>
      <c r="QG70"/>
      <c r="QH70"/>
      <c r="QI70"/>
      <c r="QJ70"/>
      <c r="QK70"/>
      <c r="QL70"/>
      <c r="QM70"/>
      <c r="QN70"/>
      <c r="QO70"/>
      <c r="QP70"/>
      <c r="QQ70"/>
      <c r="QR70"/>
      <c r="QS70"/>
      <c r="QT70"/>
      <c r="QU70"/>
      <c r="QV70"/>
      <c r="QW70"/>
      <c r="QX70"/>
      <c r="QY70"/>
      <c r="QZ70"/>
      <c r="RA70"/>
      <c r="RB70"/>
      <c r="RC70"/>
      <c r="RD70"/>
      <c r="RE70"/>
      <c r="RF70"/>
      <c r="RG70"/>
      <c r="RH70"/>
      <c r="RI70"/>
      <c r="RJ70"/>
      <c r="RK70"/>
      <c r="RL70"/>
      <c r="RM70"/>
      <c r="RN70"/>
      <c r="RO70"/>
      <c r="RP70"/>
      <c r="RQ70"/>
      <c r="RR70"/>
      <c r="RS70"/>
      <c r="RT70"/>
      <c r="RU70"/>
      <c r="RV70"/>
      <c r="RW70"/>
      <c r="RX70"/>
      <c r="RY70"/>
      <c r="RZ70"/>
      <c r="SA70"/>
      <c r="SB70"/>
      <c r="SC70"/>
      <c r="SD70"/>
      <c r="SE70"/>
      <c r="SF70"/>
      <c r="SG70"/>
      <c r="SH70"/>
      <c r="SI70"/>
      <c r="SJ70"/>
      <c r="SK70"/>
      <c r="SL70"/>
      <c r="SM70"/>
      <c r="SN70"/>
      <c r="SO70"/>
      <c r="SP70"/>
      <c r="SQ70"/>
      <c r="SR70"/>
      <c r="SS70"/>
      <c r="ST70"/>
      <c r="SU70"/>
      <c r="SV70"/>
      <c r="SW70"/>
      <c r="SX70"/>
      <c r="SY70"/>
      <c r="SZ70"/>
      <c r="TA70"/>
      <c r="TB70"/>
      <c r="TC70"/>
      <c r="TD70"/>
      <c r="TE70"/>
      <c r="TF70"/>
      <c r="TG70"/>
      <c r="TH70"/>
      <c r="TI70"/>
      <c r="TJ70"/>
      <c r="TK70"/>
      <c r="TL70"/>
      <c r="TM70"/>
      <c r="TN70"/>
      <c r="TO70"/>
      <c r="TP70"/>
      <c r="TQ70"/>
      <c r="TR70"/>
      <c r="TS70"/>
      <c r="TT70"/>
      <c r="TU70"/>
      <c r="TV70"/>
      <c r="TW70"/>
      <c r="TX70"/>
      <c r="TY70"/>
      <c r="TZ70"/>
      <c r="UA70"/>
      <c r="UB70"/>
      <c r="UC70"/>
      <c r="UD70"/>
      <c r="UE70"/>
      <c r="UF70"/>
      <c r="UG70"/>
      <c r="UH70"/>
      <c r="UI70"/>
      <c r="UJ70"/>
      <c r="UK70"/>
      <c r="UL70"/>
      <c r="UM70"/>
      <c r="UN70"/>
      <c r="UO70"/>
      <c r="UP70"/>
      <c r="UQ70"/>
      <c r="UR70"/>
      <c r="US70"/>
      <c r="UT70"/>
      <c r="UU70"/>
      <c r="UV70"/>
      <c r="UW70"/>
      <c r="UX70"/>
      <c r="UY70"/>
      <c r="UZ70"/>
      <c r="VA70"/>
      <c r="VB70"/>
      <c r="VC70"/>
      <c r="VD70"/>
      <c r="VE70"/>
      <c r="VF70"/>
      <c r="VG70"/>
      <c r="VH70"/>
      <c r="VI70"/>
      <c r="VJ70"/>
      <c r="VK70"/>
      <c r="VL70"/>
      <c r="VM70"/>
      <c r="VN70"/>
      <c r="VO70"/>
      <c r="VP70"/>
      <c r="VQ70"/>
      <c r="VR70"/>
      <c r="VS70"/>
      <c r="VT70"/>
      <c r="VU70"/>
      <c r="VV70"/>
      <c r="VW70"/>
      <c r="VX70"/>
      <c r="VY70"/>
      <c r="VZ70"/>
      <c r="WA70"/>
      <c r="WB70"/>
      <c r="WC70"/>
      <c r="WD70"/>
      <c r="WE70"/>
      <c r="WF70"/>
      <c r="WG70"/>
      <c r="WH70"/>
      <c r="WI70"/>
      <c r="WJ70"/>
      <c r="WK70"/>
      <c r="WL70"/>
      <c r="WM70"/>
      <c r="WN70"/>
      <c r="WO70"/>
      <c r="WP70"/>
      <c r="WQ70"/>
      <c r="WR70"/>
      <c r="WS70"/>
      <c r="WT70"/>
      <c r="WU70"/>
      <c r="WV70"/>
      <c r="WW70"/>
      <c r="WX70"/>
      <c r="WY70"/>
      <c r="WZ70"/>
      <c r="XA70"/>
      <c r="XB70"/>
      <c r="XC70"/>
      <c r="XD70"/>
      <c r="XE70"/>
      <c r="XF70"/>
      <c r="XG70"/>
      <c r="XH70"/>
      <c r="XI70"/>
      <c r="XJ70"/>
      <c r="XK70"/>
      <c r="XL70"/>
      <c r="XM70"/>
      <c r="XN70"/>
      <c r="XO70"/>
      <c r="XP70"/>
      <c r="XQ70"/>
      <c r="XR70"/>
      <c r="XS70"/>
      <c r="XT70"/>
      <c r="XU70"/>
      <c r="XV70"/>
      <c r="XW70"/>
      <c r="XX70"/>
      <c r="XY70"/>
      <c r="XZ70"/>
      <c r="YA70"/>
      <c r="YB70"/>
      <c r="YC70"/>
      <c r="YD70"/>
      <c r="YE70"/>
      <c r="YF70"/>
      <c r="YG70"/>
      <c r="YH70"/>
      <c r="YI70"/>
      <c r="YJ70"/>
      <c r="YK70"/>
      <c r="YL70"/>
      <c r="YM70"/>
      <c r="YN70"/>
      <c r="YO70"/>
      <c r="YP70"/>
      <c r="YQ70"/>
      <c r="YR70"/>
      <c r="YS70"/>
      <c r="YT70"/>
      <c r="YU70"/>
      <c r="YV70"/>
      <c r="YW70"/>
      <c r="YX70"/>
      <c r="YY70"/>
      <c r="YZ70"/>
      <c r="ZA70"/>
      <c r="ZB70"/>
      <c r="ZC70"/>
      <c r="ZD70"/>
      <c r="ZE70"/>
      <c r="ZF70"/>
      <c r="ZG70"/>
      <c r="ZH70"/>
      <c r="ZI70"/>
      <c r="ZJ70"/>
      <c r="ZK70"/>
      <c r="ZL70"/>
      <c r="ZM70"/>
      <c r="ZN70"/>
      <c r="ZO70"/>
      <c r="ZP70"/>
      <c r="ZQ70"/>
      <c r="ZR70"/>
      <c r="ZS70"/>
      <c r="ZT70"/>
      <c r="ZU70"/>
      <c r="ZV70"/>
      <c r="ZW70"/>
      <c r="ZX70"/>
      <c r="ZY70"/>
      <c r="ZZ70"/>
      <c r="AAA70"/>
      <c r="AAB70"/>
      <c r="AAC70"/>
      <c r="AAD70"/>
      <c r="AAE70"/>
      <c r="AAF70"/>
      <c r="AAG70"/>
      <c r="AAH70"/>
      <c r="AAI70"/>
      <c r="AAJ70"/>
      <c r="AAK70"/>
      <c r="AAL70"/>
      <c r="AAM70"/>
      <c r="AAN70"/>
      <c r="AAO70"/>
      <c r="AAP70"/>
      <c r="AAQ70"/>
      <c r="AAR70"/>
      <c r="AAS70"/>
      <c r="AAT70"/>
      <c r="AAU70"/>
      <c r="AAV70"/>
      <c r="AAW70"/>
      <c r="AAX70"/>
      <c r="AAY70"/>
      <c r="AAZ70"/>
      <c r="ABA70"/>
      <c r="ABB70"/>
      <c r="ABC70"/>
      <c r="ABD70"/>
      <c r="ABE70"/>
      <c r="ABF70"/>
      <c r="ABG70"/>
      <c r="ABH70"/>
      <c r="ABI70"/>
      <c r="ABJ70"/>
      <c r="ABK70"/>
      <c r="ABL70"/>
      <c r="ABM70"/>
      <c r="ABN70"/>
      <c r="ABO70"/>
      <c r="ABP70"/>
      <c r="ABQ70"/>
      <c r="ABR70"/>
      <c r="ABS70"/>
      <c r="ABT70"/>
      <c r="ABU70"/>
      <c r="ABV70"/>
      <c r="ABW70"/>
      <c r="ABX70"/>
      <c r="ABY70"/>
      <c r="ABZ70"/>
      <c r="ACA70"/>
      <c r="ACB70"/>
      <c r="ACC70"/>
      <c r="ACD70"/>
      <c r="ACE70"/>
      <c r="ACF70"/>
      <c r="ACG70"/>
      <c r="ACH70"/>
      <c r="ACI70"/>
      <c r="ACJ70"/>
      <c r="ACK70"/>
      <c r="ACL70"/>
      <c r="ACM70"/>
      <c r="ACN70"/>
      <c r="ACO70"/>
      <c r="ACP70"/>
      <c r="ACQ70"/>
      <c r="ACR70"/>
      <c r="ACS70"/>
      <c r="ACT70"/>
      <c r="ACU70"/>
      <c r="ACV70"/>
      <c r="ACW70"/>
      <c r="ACX70"/>
      <c r="ACY70"/>
      <c r="ACZ70"/>
      <c r="ADA70"/>
      <c r="ADB70"/>
      <c r="ADC70"/>
      <c r="ADD70"/>
      <c r="ADE70"/>
      <c r="ADF70"/>
      <c r="ADG70"/>
      <c r="ADH70"/>
      <c r="ADI70"/>
      <c r="ADJ70"/>
      <c r="ADK70"/>
      <c r="ADL70"/>
      <c r="ADM70"/>
      <c r="ADN70"/>
      <c r="ADO70"/>
      <c r="ADP70"/>
      <c r="ADQ70"/>
      <c r="ADR70"/>
      <c r="ADS70"/>
      <c r="ADT70"/>
      <c r="ADU70"/>
      <c r="ADV70"/>
      <c r="ADW70"/>
      <c r="ADX70"/>
      <c r="ADY70"/>
      <c r="ADZ70"/>
      <c r="AEA70"/>
      <c r="AEB70"/>
      <c r="AEC70"/>
      <c r="AED70"/>
      <c r="AEE70"/>
      <c r="AEF70"/>
      <c r="AEG70"/>
      <c r="AEH70"/>
      <c r="AEI70"/>
      <c r="AEJ70"/>
      <c r="AEK70"/>
      <c r="AEL70"/>
      <c r="AEM70"/>
      <c r="AEN70"/>
      <c r="AEO70"/>
      <c r="AEP70"/>
      <c r="AEQ70"/>
      <c r="AER70"/>
      <c r="AES70"/>
      <c r="AET70"/>
      <c r="AEU70"/>
      <c r="AEV70"/>
      <c r="AEW70"/>
      <c r="AEX70"/>
      <c r="AEY70"/>
      <c r="AEZ70"/>
      <c r="AFA70"/>
      <c r="AFB70"/>
      <c r="AFC70"/>
      <c r="AFD70"/>
      <c r="AFE70"/>
      <c r="AFF70"/>
      <c r="AFG70"/>
      <c r="AFH70"/>
      <c r="AFI70"/>
      <c r="AFJ70"/>
      <c r="AFK70"/>
      <c r="AFL70"/>
      <c r="AFM70"/>
      <c r="AFN70"/>
      <c r="AFO70"/>
      <c r="AFP70"/>
      <c r="AFQ70"/>
      <c r="AFR70"/>
      <c r="AFS70"/>
      <c r="AFT70"/>
      <c r="AFU70"/>
      <c r="AFV70"/>
      <c r="AFW70"/>
      <c r="AFX70"/>
      <c r="AFY70"/>
      <c r="AFZ70"/>
      <c r="AGA70"/>
      <c r="AGB70"/>
      <c r="AGC70"/>
      <c r="AGD70"/>
      <c r="AGE70"/>
      <c r="AGF70"/>
      <c r="AGG70"/>
      <c r="AGH70"/>
      <c r="AGI70"/>
      <c r="AGJ70"/>
      <c r="AGK70"/>
      <c r="AGL70"/>
      <c r="AGM70"/>
      <c r="AGN70"/>
      <c r="AGO70"/>
      <c r="AGP70"/>
      <c r="AGQ70"/>
      <c r="AGR70"/>
      <c r="AGS70"/>
      <c r="AGT70"/>
      <c r="AGU70"/>
      <c r="AGV70"/>
      <c r="AGW70"/>
      <c r="AGX70"/>
      <c r="AGY70"/>
      <c r="AGZ70"/>
      <c r="AHA70"/>
      <c r="AHB70"/>
      <c r="AHC70"/>
      <c r="AHD70"/>
      <c r="AHE70"/>
      <c r="AHF70"/>
      <c r="AHG70"/>
      <c r="AHH70"/>
      <c r="AHI70"/>
      <c r="AHJ70"/>
      <c r="AHK70"/>
      <c r="AHL70"/>
      <c r="AHM70"/>
      <c r="AHN70"/>
      <c r="AHO70"/>
      <c r="AHP70"/>
      <c r="AHQ70"/>
      <c r="AHR70"/>
      <c r="AHS70"/>
      <c r="AHT70"/>
      <c r="AHU70"/>
      <c r="AHV70"/>
      <c r="AHW70"/>
      <c r="AHX70"/>
      <c r="AHY70"/>
      <c r="AHZ70"/>
      <c r="AIA70"/>
      <c r="AIB70"/>
      <c r="AIC70"/>
      <c r="AID70"/>
      <c r="AIE70"/>
      <c r="AIF70"/>
      <c r="AIG70"/>
      <c r="AIH70"/>
      <c r="AII70"/>
      <c r="AIJ70"/>
      <c r="AIK70"/>
      <c r="AIL70"/>
      <c r="AIM70"/>
      <c r="AIN70"/>
      <c r="AIO70"/>
      <c r="AIP70"/>
      <c r="AIQ70"/>
      <c r="AIR70"/>
      <c r="AIS70"/>
      <c r="AIT70"/>
      <c r="AIU70"/>
      <c r="AIV70"/>
      <c r="AIW70"/>
      <c r="AIX70"/>
      <c r="AIY70"/>
      <c r="AIZ70"/>
      <c r="AJA70"/>
      <c r="AJB70"/>
      <c r="AJC70"/>
      <c r="AJD70"/>
      <c r="AJE70"/>
      <c r="AJF70"/>
      <c r="AJG70"/>
      <c r="AJH70"/>
      <c r="AJI70"/>
      <c r="AJJ70"/>
      <c r="AJK70"/>
      <c r="AJL70"/>
      <c r="AJM70"/>
      <c r="AJN70"/>
      <c r="AJO70"/>
      <c r="AJP70"/>
      <c r="AJQ70"/>
      <c r="AJR70"/>
      <c r="AJS70"/>
      <c r="AJT70"/>
      <c r="AJU70"/>
      <c r="AJV70"/>
      <c r="AJW70"/>
      <c r="AJX70"/>
      <c r="AJY70"/>
      <c r="AJZ70"/>
      <c r="AKA70"/>
      <c r="AKB70"/>
      <c r="AKC70"/>
      <c r="AKD70"/>
      <c r="AKE70"/>
      <c r="AKF70"/>
      <c r="AKG70"/>
      <c r="AKH70"/>
      <c r="AKI70"/>
      <c r="AKJ70"/>
      <c r="AKK70"/>
      <c r="AKL70"/>
      <c r="AKM70"/>
      <c r="AKN70"/>
      <c r="AKO70"/>
      <c r="AKP70"/>
      <c r="AKQ70"/>
      <c r="AKR70"/>
      <c r="AKS70"/>
      <c r="AKT70"/>
      <c r="AKU70"/>
      <c r="AKV70"/>
      <c r="AKW70"/>
      <c r="AKX70"/>
      <c r="AKY70"/>
      <c r="AKZ70"/>
      <c r="ALA70"/>
      <c r="ALB70"/>
      <c r="ALC70"/>
      <c r="ALD70"/>
      <c r="ALE70"/>
      <c r="ALF70"/>
      <c r="ALG70"/>
      <c r="ALH70"/>
      <c r="ALI70"/>
      <c r="ALJ70"/>
      <c r="ALK70"/>
      <c r="ALL70"/>
      <c r="ALM70"/>
      <c r="ALN70"/>
      <c r="ALO70"/>
      <c r="ALP70"/>
      <c r="ALQ70"/>
      <c r="ALR70"/>
      <c r="ALS70"/>
      <c r="ALT70"/>
      <c r="ALU70"/>
      <c r="ALV70"/>
      <c r="ALW70"/>
      <c r="ALX70"/>
      <c r="ALY70"/>
      <c r="ALZ70"/>
      <c r="AMA70"/>
      <c r="AMB70"/>
      <c r="AMC70"/>
      <c r="AMD70"/>
      <c r="AME70"/>
      <c r="AMF70"/>
      <c r="AMG70"/>
      <c r="AMH70"/>
      <c r="AMI70"/>
      <c r="AMJ70"/>
      <c r="AMK70"/>
      <c r="AML70"/>
      <c r="AMM70"/>
      <c r="AMN70"/>
      <c r="AMO70"/>
      <c r="AMP70"/>
      <c r="AMQ70"/>
      <c r="AMR70"/>
      <c r="AMS70"/>
      <c r="AMT70"/>
      <c r="AMU70"/>
      <c r="AMV70"/>
      <c r="AMW70"/>
      <c r="AMX70"/>
      <c r="AMY70"/>
      <c r="AMZ70"/>
      <c r="ANA70"/>
      <c r="ANB70"/>
      <c r="ANC70"/>
      <c r="AND70"/>
      <c r="ANE70"/>
      <c r="ANF70"/>
      <c r="ANG70"/>
      <c r="ANH70"/>
      <c r="ANI70"/>
      <c r="ANJ70"/>
      <c r="ANK70"/>
      <c r="ANL70"/>
      <c r="ANM70"/>
      <c r="ANN70"/>
      <c r="ANO70"/>
      <c r="ANP70"/>
      <c r="ANQ70"/>
      <c r="ANR70"/>
      <c r="ANS70"/>
      <c r="ANT70"/>
      <c r="ANU70"/>
      <c r="ANV70"/>
      <c r="ANW70"/>
      <c r="ANX70"/>
      <c r="ANY70"/>
      <c r="ANZ70"/>
      <c r="AOA70"/>
      <c r="AOB70"/>
      <c r="AOC70"/>
      <c r="AOD70"/>
      <c r="AOE70"/>
      <c r="AOF70"/>
      <c r="AOG70"/>
      <c r="AOH70"/>
      <c r="AOI70"/>
      <c r="AOJ70"/>
      <c r="AOK70"/>
      <c r="AOL70"/>
      <c r="AOM70"/>
      <c r="AON70"/>
      <c r="AOO70"/>
      <c r="AOP70"/>
      <c r="AOQ70"/>
      <c r="AOR70"/>
      <c r="AOS70"/>
      <c r="AOT70"/>
      <c r="AOU70"/>
      <c r="AOV70"/>
      <c r="AOW70"/>
      <c r="AOX70"/>
      <c r="AOY70"/>
      <c r="AOZ70"/>
      <c r="APA70"/>
      <c r="APB70"/>
      <c r="APC70"/>
      <c r="APD70"/>
      <c r="APE70"/>
      <c r="APF70"/>
      <c r="APG70"/>
      <c r="APH70"/>
      <c r="API70"/>
      <c r="APJ70"/>
      <c r="APK70"/>
      <c r="APL70"/>
      <c r="APM70"/>
      <c r="APN70"/>
      <c r="APO70"/>
      <c r="APP70"/>
      <c r="APQ70"/>
      <c r="APR70"/>
      <c r="APS70"/>
      <c r="APT70"/>
      <c r="APU70"/>
      <c r="APV70"/>
      <c r="APW70"/>
      <c r="APX70"/>
      <c r="APY70"/>
      <c r="APZ70"/>
      <c r="AQA70"/>
      <c r="AQB70"/>
      <c r="AQC70"/>
      <c r="AQD70"/>
      <c r="AQE70"/>
      <c r="AQF70"/>
      <c r="AQG70"/>
      <c r="AQH70"/>
      <c r="AQI70"/>
      <c r="AQJ70"/>
      <c r="AQK70"/>
      <c r="AQL70"/>
      <c r="AQM70"/>
      <c r="AQN70"/>
      <c r="AQO70"/>
      <c r="AQP70"/>
      <c r="AQQ70"/>
      <c r="AQR70"/>
      <c r="AQS70"/>
      <c r="AQT70"/>
      <c r="AQU70"/>
      <c r="AQV70"/>
      <c r="AQW70"/>
      <c r="AQX70"/>
      <c r="AQY70"/>
      <c r="AQZ70"/>
      <c r="ARA70"/>
      <c r="ARB70"/>
      <c r="ARC70"/>
      <c r="ARD70"/>
      <c r="ARE70"/>
      <c r="ARF70"/>
      <c r="ARG70"/>
      <c r="ARH70"/>
      <c r="ARI70"/>
      <c r="ARJ70"/>
      <c r="ARK70"/>
      <c r="ARL70"/>
      <c r="ARM70"/>
      <c r="ARN70"/>
      <c r="ARO70"/>
      <c r="ARP70"/>
      <c r="ARQ70"/>
      <c r="ARR70"/>
      <c r="ARS70"/>
      <c r="ART70"/>
      <c r="ARU70"/>
      <c r="ARV70"/>
      <c r="ARW70"/>
      <c r="ARX70"/>
      <c r="ARY70"/>
      <c r="ARZ70"/>
      <c r="ASA70"/>
      <c r="ASB70"/>
      <c r="ASC70"/>
      <c r="ASD70"/>
      <c r="ASE70"/>
      <c r="ASF70"/>
      <c r="ASG70"/>
      <c r="ASH70"/>
      <c r="ASI70"/>
      <c r="ASJ70"/>
      <c r="ASK70"/>
      <c r="ASL70"/>
      <c r="ASM70"/>
      <c r="ASN70"/>
      <c r="ASO70"/>
      <c r="ASP70"/>
      <c r="ASQ70"/>
      <c r="ASR70"/>
      <c r="ASS70"/>
      <c r="AST70"/>
      <c r="ASU70"/>
      <c r="ASV70"/>
      <c r="ASW70"/>
      <c r="ASX70"/>
      <c r="ASY70"/>
      <c r="ASZ70"/>
      <c r="ATA70"/>
      <c r="ATB70"/>
      <c r="ATC70"/>
      <c r="ATD70"/>
      <c r="ATE70"/>
      <c r="ATF70"/>
      <c r="ATG70"/>
      <c r="ATH70"/>
      <c r="ATI70"/>
      <c r="ATJ70"/>
      <c r="ATK70"/>
      <c r="ATL70"/>
      <c r="ATM70"/>
      <c r="ATN70"/>
      <c r="ATO70"/>
      <c r="ATP70"/>
      <c r="ATQ70"/>
      <c r="ATR70"/>
      <c r="ATS70"/>
      <c r="ATT70"/>
      <c r="ATU70"/>
      <c r="ATV70"/>
      <c r="ATW70"/>
      <c r="ATX70"/>
      <c r="ATY70"/>
      <c r="ATZ70"/>
      <c r="AUA70"/>
      <c r="AUB70"/>
      <c r="AUC70"/>
      <c r="AUD70"/>
      <c r="AUE70"/>
      <c r="AUF70"/>
      <c r="AUG70"/>
      <c r="AUH70"/>
      <c r="AUI70"/>
      <c r="AUJ70"/>
      <c r="AUK70"/>
      <c r="AUL70"/>
      <c r="AUM70"/>
      <c r="AUN70"/>
      <c r="AUO70"/>
      <c r="AUP70"/>
      <c r="AUQ70"/>
      <c r="AUR70"/>
      <c r="AUS70"/>
      <c r="AUT70"/>
      <c r="AUU70"/>
      <c r="AUV70"/>
      <c r="AUW70"/>
      <c r="AUX70"/>
      <c r="AUY70"/>
      <c r="AUZ70"/>
      <c r="AVA70"/>
      <c r="AVB70"/>
      <c r="AVC70"/>
      <c r="AVD70"/>
      <c r="AVE70"/>
      <c r="AVF70"/>
      <c r="AVG70"/>
      <c r="AVH70"/>
      <c r="AVI70"/>
      <c r="AVJ70"/>
      <c r="AVK70"/>
      <c r="AVL70"/>
      <c r="AVM70"/>
      <c r="AVN70"/>
      <c r="AVO70"/>
      <c r="AVP70"/>
      <c r="AVQ70"/>
      <c r="AVR70"/>
      <c r="AVS70"/>
      <c r="AVT70"/>
      <c r="AVU70"/>
      <c r="AVV70"/>
      <c r="AVW70"/>
      <c r="AVX70"/>
      <c r="AVY70"/>
      <c r="AVZ70"/>
      <c r="AWA70"/>
      <c r="AWB70"/>
      <c r="AWC70"/>
      <c r="AWD70"/>
      <c r="AWE70"/>
      <c r="AWF70"/>
      <c r="AWG70"/>
      <c r="AWH70"/>
      <c r="AWI70"/>
      <c r="AWJ70"/>
      <c r="AWK70"/>
      <c r="AWL70"/>
      <c r="AWM70"/>
      <c r="AWN70"/>
      <c r="AWO70"/>
      <c r="AWP70"/>
      <c r="AWQ70"/>
      <c r="AWR70"/>
      <c r="AWS70"/>
      <c r="AWT70"/>
      <c r="AWU70"/>
      <c r="AWV70"/>
      <c r="AWW70"/>
      <c r="AWX70"/>
      <c r="AWY70"/>
      <c r="AWZ70"/>
      <c r="AXA70"/>
      <c r="AXB70"/>
      <c r="AXC70"/>
      <c r="AXD70"/>
      <c r="AXE70"/>
      <c r="AXF70"/>
      <c r="AXG70"/>
      <c r="AXH70"/>
      <c r="AXI70"/>
      <c r="AXJ70"/>
      <c r="AXK70"/>
      <c r="AXL70"/>
      <c r="AXM70"/>
      <c r="AXN70"/>
      <c r="AXO70"/>
      <c r="AXP70"/>
      <c r="AXQ70"/>
      <c r="AXR70"/>
      <c r="AXS70"/>
      <c r="AXT70"/>
      <c r="AXU70"/>
      <c r="AXV70"/>
      <c r="AXW70"/>
      <c r="AXX70"/>
      <c r="AXY70"/>
      <c r="AXZ70"/>
      <c r="AYA70"/>
      <c r="AYB70"/>
      <c r="AYC70"/>
      <c r="AYD70"/>
      <c r="AYE70"/>
      <c r="AYF70"/>
      <c r="AYG70"/>
      <c r="AYH70"/>
      <c r="AYI70"/>
      <c r="AYJ70"/>
      <c r="AYK70"/>
      <c r="AYL70"/>
      <c r="AYM70"/>
      <c r="AYN70"/>
      <c r="AYO70"/>
      <c r="AYP70"/>
      <c r="AYQ70"/>
      <c r="AYR70"/>
      <c r="AYS70"/>
      <c r="AYT70"/>
      <c r="AYU70"/>
      <c r="AYV70"/>
      <c r="AYW70"/>
      <c r="AYX70"/>
      <c r="AYY70"/>
      <c r="AYZ70"/>
      <c r="AZA70"/>
      <c r="AZB70"/>
      <c r="AZC70"/>
      <c r="AZD70"/>
      <c r="AZE70"/>
      <c r="AZF70"/>
      <c r="AZG70"/>
      <c r="AZH70"/>
      <c r="AZI70"/>
      <c r="AZJ70"/>
      <c r="AZK70"/>
      <c r="AZL70"/>
      <c r="AZM70"/>
      <c r="AZN70"/>
      <c r="AZO70"/>
      <c r="AZP70"/>
      <c r="AZQ70"/>
      <c r="AZR70"/>
      <c r="AZS70"/>
      <c r="AZT70"/>
      <c r="AZU70"/>
      <c r="AZV70"/>
      <c r="AZW70"/>
      <c r="AZX70"/>
      <c r="AZY70"/>
      <c r="AZZ70"/>
      <c r="BAA70"/>
      <c r="BAB70"/>
      <c r="BAC70"/>
      <c r="BAD70"/>
      <c r="BAE70"/>
      <c r="BAF70"/>
      <c r="BAG70"/>
      <c r="BAH70"/>
      <c r="BAI70"/>
      <c r="BAJ70"/>
      <c r="BAK70"/>
      <c r="BAL70"/>
      <c r="BAM70"/>
      <c r="BAN70"/>
      <c r="BAO70"/>
      <c r="BAP70"/>
      <c r="BAQ70"/>
      <c r="BAR70"/>
      <c r="BAS70"/>
      <c r="BAT70"/>
      <c r="BAU70"/>
      <c r="BAV70"/>
      <c r="BAW70"/>
      <c r="BAX70"/>
      <c r="BAY70"/>
      <c r="BAZ70"/>
      <c r="BBA70"/>
      <c r="BBB70"/>
      <c r="BBC70"/>
      <c r="BBD70"/>
      <c r="BBE70"/>
      <c r="BBF70"/>
      <c r="BBG70"/>
      <c r="BBH70"/>
      <c r="BBI70"/>
      <c r="BBJ70"/>
      <c r="BBK70"/>
      <c r="BBL70"/>
      <c r="BBM70"/>
      <c r="BBN70"/>
      <c r="BBO70"/>
      <c r="BBP70"/>
      <c r="BBQ70"/>
      <c r="BBR70"/>
      <c r="BBS70"/>
      <c r="BBT70"/>
      <c r="BBU70"/>
      <c r="BBV70"/>
      <c r="BBW70"/>
      <c r="BBX70"/>
      <c r="BBY70"/>
      <c r="BBZ70"/>
      <c r="BCA70"/>
      <c r="BCB70"/>
      <c r="BCC70"/>
      <c r="BCD70"/>
      <c r="BCE70"/>
      <c r="BCF70"/>
      <c r="BCG70"/>
      <c r="BCH70"/>
      <c r="BCI70"/>
      <c r="BCJ70"/>
      <c r="BCK70"/>
      <c r="BCL70"/>
      <c r="BCM70"/>
      <c r="BCN70"/>
      <c r="BCO70"/>
      <c r="BCP70"/>
      <c r="BCQ70"/>
      <c r="BCR70"/>
      <c r="BCS70"/>
      <c r="BCT70"/>
      <c r="BCU70"/>
      <c r="BCV70"/>
      <c r="BCW70"/>
      <c r="BCX70"/>
      <c r="BCY70"/>
      <c r="BCZ70"/>
      <c r="BDA70"/>
      <c r="BDB70"/>
      <c r="BDC70"/>
      <c r="BDD70"/>
      <c r="BDE70"/>
      <c r="BDF70"/>
      <c r="BDG70"/>
      <c r="BDH70"/>
      <c r="BDI70"/>
      <c r="BDJ70"/>
      <c r="BDK70"/>
      <c r="BDL70"/>
      <c r="BDM70"/>
      <c r="BDN70"/>
      <c r="BDO70"/>
      <c r="BDP70"/>
      <c r="BDQ70"/>
      <c r="BDR70"/>
      <c r="BDS70"/>
      <c r="BDT70"/>
      <c r="BDU70"/>
      <c r="BDV70"/>
      <c r="BDW70"/>
      <c r="BDX70"/>
      <c r="BDY70"/>
      <c r="BDZ70"/>
      <c r="BEA70"/>
      <c r="BEB70"/>
      <c r="BEC70"/>
      <c r="BED70"/>
      <c r="BEE70"/>
      <c r="BEF70"/>
      <c r="BEG70"/>
      <c r="BEH70"/>
      <c r="BEI70"/>
      <c r="BEJ70"/>
      <c r="BEK70"/>
      <c r="BEL70"/>
      <c r="BEM70"/>
      <c r="BEN70"/>
      <c r="BEO70"/>
      <c r="BEP70"/>
      <c r="BEQ70"/>
      <c r="BER70"/>
      <c r="BES70"/>
      <c r="BET70"/>
      <c r="BEU70"/>
      <c r="BEV70"/>
      <c r="BEW70"/>
      <c r="BEX70"/>
      <c r="BEY70"/>
      <c r="BEZ70"/>
      <c r="BFA70"/>
      <c r="BFB70"/>
      <c r="BFC70"/>
      <c r="BFD70"/>
      <c r="BFE70"/>
      <c r="BFF70"/>
      <c r="BFG70"/>
      <c r="BFH70"/>
      <c r="BFI70"/>
      <c r="BFJ70"/>
      <c r="BFK70"/>
      <c r="BFL70"/>
      <c r="BFM70"/>
      <c r="BFN70"/>
      <c r="BFO70"/>
      <c r="BFP70"/>
      <c r="BFQ70"/>
      <c r="BFR70"/>
      <c r="BFS70"/>
      <c r="BFT70"/>
      <c r="BFU70"/>
      <c r="BFV70"/>
      <c r="BFW70"/>
      <c r="BFX70"/>
      <c r="BFY70"/>
      <c r="BFZ70"/>
      <c r="BGA70"/>
      <c r="BGB70"/>
      <c r="BGC70"/>
      <c r="BGD70"/>
      <c r="BGE70"/>
      <c r="BGF70"/>
      <c r="BGG70"/>
      <c r="BGH70"/>
      <c r="BGI70"/>
      <c r="BGJ70"/>
      <c r="BGK70"/>
      <c r="BGL70"/>
      <c r="BGM70"/>
      <c r="BGN70"/>
      <c r="BGO70"/>
      <c r="BGP70"/>
      <c r="BGQ70"/>
      <c r="BGR70"/>
      <c r="BGS70"/>
      <c r="BGT70"/>
      <c r="BGU70"/>
      <c r="BGV70"/>
      <c r="BGW70"/>
      <c r="BGX70"/>
      <c r="BGY70"/>
      <c r="BGZ70"/>
      <c r="BHA70"/>
      <c r="BHB70"/>
      <c r="BHC70"/>
      <c r="BHD70"/>
      <c r="BHE70"/>
      <c r="BHF70"/>
      <c r="BHG70"/>
      <c r="BHH70"/>
      <c r="BHI70"/>
      <c r="BHJ70"/>
      <c r="BHK70"/>
      <c r="BHL70"/>
      <c r="BHM70"/>
      <c r="BHN70"/>
      <c r="BHO70"/>
      <c r="BHP70"/>
      <c r="BHQ70"/>
      <c r="BHR70"/>
      <c r="BHS70"/>
      <c r="BHT70"/>
      <c r="BHU70"/>
      <c r="BHV70"/>
      <c r="BHW70"/>
      <c r="BHX70"/>
      <c r="BHY70"/>
      <c r="BHZ70"/>
      <c r="BIA70"/>
      <c r="BIB70"/>
      <c r="BIC70"/>
      <c r="BID70"/>
      <c r="BIE70"/>
      <c r="BIF70"/>
      <c r="BIG70"/>
      <c r="BIH70"/>
      <c r="BII70"/>
      <c r="BIJ70"/>
      <c r="BIK70"/>
      <c r="BIL70"/>
      <c r="BIM70"/>
      <c r="BIN70"/>
      <c r="BIO70"/>
      <c r="BIP70"/>
      <c r="BIQ70"/>
      <c r="BIR70"/>
      <c r="BIS70"/>
      <c r="BIT70"/>
      <c r="BIU70"/>
      <c r="BIV70"/>
      <c r="BIW70"/>
      <c r="BIX70"/>
      <c r="BIY70"/>
      <c r="BIZ70"/>
      <c r="BJA70"/>
      <c r="BJB70"/>
      <c r="BJC70"/>
      <c r="BJD70"/>
      <c r="BJE70"/>
      <c r="BJF70"/>
      <c r="BJG70"/>
      <c r="BJH70"/>
      <c r="BJI70"/>
      <c r="BJJ70"/>
      <c r="BJK70"/>
      <c r="BJL70"/>
      <c r="BJM70"/>
      <c r="BJN70"/>
      <c r="BJO70"/>
      <c r="BJP70"/>
      <c r="BJQ70"/>
      <c r="BJR70"/>
      <c r="BJS70"/>
      <c r="BJT70"/>
      <c r="BJU70"/>
      <c r="BJV70"/>
      <c r="BJW70"/>
      <c r="BJX70"/>
      <c r="BJY70"/>
      <c r="BJZ70"/>
      <c r="BKA70"/>
      <c r="BKB70"/>
      <c r="BKC70"/>
      <c r="BKD70"/>
      <c r="BKE70"/>
      <c r="BKF70"/>
      <c r="BKG70"/>
      <c r="BKH70"/>
      <c r="BKI70"/>
      <c r="BKJ70"/>
      <c r="BKK70"/>
      <c r="BKL70"/>
      <c r="BKM70"/>
      <c r="BKN70"/>
      <c r="BKO70"/>
      <c r="BKP70"/>
      <c r="BKQ70"/>
      <c r="BKR70"/>
      <c r="BKS70"/>
      <c r="BKT70"/>
      <c r="BKU70"/>
      <c r="BKV70"/>
      <c r="BKW70"/>
      <c r="BKX70"/>
      <c r="BKY70"/>
      <c r="BKZ70"/>
      <c r="BLA70"/>
      <c r="BLB70"/>
      <c r="BLC70"/>
      <c r="BLD70"/>
      <c r="BLE70"/>
      <c r="BLF70"/>
      <c r="BLG70"/>
      <c r="BLH70"/>
      <c r="BLI70"/>
      <c r="BLJ70"/>
      <c r="BLK70"/>
      <c r="BLL70"/>
      <c r="BLM70"/>
      <c r="BLN70"/>
      <c r="BLO70"/>
      <c r="BLP70"/>
      <c r="BLQ70"/>
      <c r="BLR70"/>
      <c r="BLS70"/>
      <c r="BLT70"/>
      <c r="BLU70"/>
      <c r="BLV70"/>
      <c r="BLW70"/>
      <c r="BLX70"/>
      <c r="BLY70"/>
      <c r="BLZ70"/>
      <c r="BMA70"/>
      <c r="BMB70"/>
      <c r="BMC70"/>
      <c r="BMD70"/>
      <c r="BME70"/>
      <c r="BMF70"/>
      <c r="BMG70"/>
      <c r="BMH70"/>
      <c r="BMI70"/>
      <c r="BMJ70"/>
      <c r="BMK70"/>
      <c r="BML70"/>
      <c r="BMM70"/>
      <c r="BMN70"/>
      <c r="BMO70"/>
      <c r="BMP70"/>
      <c r="BMQ70"/>
      <c r="BMR70"/>
      <c r="BMS70"/>
      <c r="BMT70"/>
      <c r="BMU70"/>
      <c r="BMV70"/>
      <c r="BMW70"/>
      <c r="BMX70"/>
      <c r="BMY70"/>
      <c r="BMZ70"/>
      <c r="BNA70"/>
      <c r="BNB70"/>
      <c r="BNC70"/>
      <c r="BND70"/>
      <c r="BNE70"/>
      <c r="BNF70"/>
      <c r="BNG70"/>
      <c r="BNH70"/>
      <c r="BNI70"/>
      <c r="BNJ70"/>
      <c r="BNK70"/>
      <c r="BNL70"/>
      <c r="BNM70"/>
      <c r="BNN70"/>
      <c r="BNO70"/>
      <c r="BNP70"/>
      <c r="BNQ70"/>
      <c r="BNR70"/>
      <c r="BNS70"/>
      <c r="BNT70"/>
      <c r="BNU70"/>
      <c r="BNV70"/>
      <c r="BNW70"/>
      <c r="BNX70"/>
      <c r="BNY70"/>
      <c r="BNZ70"/>
      <c r="BOA70"/>
      <c r="BOB70"/>
      <c r="BOC70"/>
      <c r="BOD70"/>
      <c r="BOE70"/>
      <c r="BOF70"/>
      <c r="BOG70"/>
      <c r="BOH70"/>
      <c r="BOI70"/>
      <c r="BOJ70"/>
      <c r="BOK70"/>
      <c r="BOL70"/>
      <c r="BOM70"/>
      <c r="BON70"/>
      <c r="BOO70"/>
      <c r="BOP70"/>
      <c r="BOQ70"/>
      <c r="BOR70"/>
      <c r="BOS70"/>
      <c r="BOT70"/>
      <c r="BOU70"/>
      <c r="BOV70"/>
      <c r="BOW70"/>
      <c r="BOX70"/>
      <c r="BOY70"/>
      <c r="BOZ70"/>
      <c r="BPA70"/>
      <c r="BPB70"/>
      <c r="BPC70"/>
      <c r="BPD70"/>
      <c r="BPE70"/>
      <c r="BPF70"/>
      <c r="BPG70"/>
      <c r="BPH70"/>
      <c r="BPI70"/>
      <c r="BPJ70"/>
      <c r="BPK70"/>
      <c r="BPL70"/>
      <c r="BPM70"/>
      <c r="BPN70"/>
      <c r="BPO70"/>
      <c r="BPP70"/>
      <c r="BPQ70"/>
      <c r="BPR70"/>
      <c r="BPS70"/>
      <c r="BPT70"/>
      <c r="BPU70"/>
      <c r="BPV70"/>
      <c r="BPW70"/>
      <c r="BPX70"/>
      <c r="BPY70"/>
      <c r="BPZ70"/>
      <c r="BQA70"/>
      <c r="BQB70"/>
      <c r="BQC70"/>
      <c r="BQD70"/>
      <c r="BQE70"/>
      <c r="BQF70"/>
      <c r="BQG70"/>
      <c r="BQH70"/>
      <c r="BQI70"/>
      <c r="BQJ70"/>
      <c r="BQK70"/>
      <c r="BQL70"/>
      <c r="BQM70"/>
      <c r="BQN70"/>
      <c r="BQO70"/>
      <c r="BQP70"/>
      <c r="BQQ70"/>
      <c r="BQR70"/>
      <c r="BQS70"/>
      <c r="BQT70"/>
      <c r="BQU70"/>
      <c r="BQV70"/>
      <c r="BQW70"/>
      <c r="BQX70"/>
      <c r="BQY70"/>
      <c r="BQZ70"/>
      <c r="BRA70"/>
      <c r="BRB70"/>
      <c r="BRC70"/>
      <c r="BRD70"/>
      <c r="BRE70"/>
      <c r="BRF70"/>
      <c r="BRG70"/>
      <c r="BRH70"/>
      <c r="BRI70"/>
      <c r="BRJ70"/>
      <c r="BRK70"/>
      <c r="BRL70"/>
      <c r="BRM70"/>
      <c r="BRN70"/>
      <c r="BRO70"/>
      <c r="BRP70"/>
      <c r="BRQ70"/>
      <c r="BRR70"/>
      <c r="BRS70"/>
      <c r="BRT70"/>
      <c r="BRU70"/>
      <c r="BRV70"/>
      <c r="BRW70"/>
      <c r="BRX70"/>
      <c r="BRY70"/>
      <c r="BRZ70"/>
      <c r="BSA70"/>
      <c r="BSB70"/>
      <c r="BSC70"/>
      <c r="BSD70"/>
      <c r="BSE70"/>
      <c r="BSF70"/>
      <c r="BSG70"/>
      <c r="BSH70"/>
      <c r="BSI70"/>
      <c r="BSJ70"/>
      <c r="BSK70"/>
      <c r="BSL70"/>
      <c r="BSM70"/>
      <c r="BSN70"/>
      <c r="BSO70"/>
      <c r="BSP70"/>
      <c r="BSQ70"/>
      <c r="BSR70"/>
      <c r="BSS70"/>
      <c r="BST70"/>
      <c r="BSU70"/>
      <c r="BSV70"/>
      <c r="BSW70"/>
      <c r="BSX70"/>
      <c r="BSY70"/>
      <c r="BSZ70"/>
      <c r="BTA70"/>
      <c r="BTB70"/>
      <c r="BTC70"/>
      <c r="BTD70"/>
      <c r="BTE70"/>
      <c r="BTF70"/>
      <c r="BTG70"/>
      <c r="BTH70"/>
      <c r="BTI70"/>
      <c r="BTJ70"/>
      <c r="BTK70"/>
      <c r="BTL70"/>
      <c r="BTM70"/>
      <c r="BTN70"/>
      <c r="BTO70"/>
      <c r="BTP70"/>
      <c r="BTQ70"/>
      <c r="BTR70"/>
      <c r="BTS70"/>
      <c r="BTT70"/>
      <c r="BTU70"/>
      <c r="BTV70"/>
      <c r="BTW70"/>
      <c r="BTX70"/>
      <c r="BTY70"/>
      <c r="BTZ70"/>
      <c r="BUA70"/>
      <c r="BUB70"/>
      <c r="BUC70"/>
      <c r="BUD70"/>
      <c r="BUE70"/>
      <c r="BUF70"/>
      <c r="BUG70"/>
      <c r="BUH70"/>
      <c r="BUI70"/>
      <c r="BUJ70"/>
      <c r="BUK70"/>
      <c r="BUL70"/>
      <c r="BUM70"/>
      <c r="BUN70"/>
      <c r="BUO70"/>
      <c r="BUP70"/>
      <c r="BUQ70"/>
      <c r="BUR70"/>
      <c r="BUS70"/>
      <c r="BUT70"/>
      <c r="BUU70"/>
      <c r="BUV70"/>
      <c r="BUW70"/>
      <c r="BUX70"/>
      <c r="BUY70"/>
      <c r="BUZ70"/>
      <c r="BVA70"/>
      <c r="BVB70"/>
      <c r="BVC70"/>
      <c r="BVD70"/>
      <c r="BVE70"/>
      <c r="BVF70"/>
      <c r="BVG70"/>
      <c r="BVH70"/>
      <c r="BVI70"/>
      <c r="BVJ70"/>
      <c r="BVK70"/>
      <c r="BVL70"/>
      <c r="BVM70"/>
      <c r="BVN70"/>
      <c r="BVO70"/>
      <c r="BVP70"/>
      <c r="BVQ70"/>
      <c r="BVR70"/>
      <c r="BVS70"/>
      <c r="BVT70"/>
      <c r="BVU70"/>
      <c r="BVV70"/>
      <c r="BVW70"/>
      <c r="BVX70"/>
      <c r="BVY70"/>
      <c r="BVZ70"/>
      <c r="BWA70"/>
      <c r="BWB70"/>
      <c r="BWC70"/>
      <c r="BWD70"/>
      <c r="BWE70"/>
      <c r="BWF70"/>
      <c r="BWG70"/>
      <c r="BWH70"/>
      <c r="BWI70"/>
      <c r="BWJ70"/>
      <c r="BWK70"/>
      <c r="BWL70"/>
      <c r="BWM70"/>
      <c r="BWN70"/>
      <c r="BWO70"/>
      <c r="BWP70"/>
      <c r="BWQ70"/>
      <c r="BWR70"/>
      <c r="BWS70"/>
      <c r="BWT70"/>
      <c r="BWU70"/>
      <c r="BWV70"/>
      <c r="BWW70"/>
      <c r="BWX70"/>
      <c r="BWY70"/>
      <c r="BWZ70"/>
      <c r="BXA70"/>
      <c r="BXB70"/>
      <c r="BXC70"/>
      <c r="BXD70"/>
      <c r="BXE70"/>
      <c r="BXF70"/>
      <c r="BXG70"/>
      <c r="BXH70"/>
      <c r="BXI70"/>
      <c r="BXJ70"/>
      <c r="BXK70"/>
      <c r="BXL70"/>
      <c r="BXM70"/>
      <c r="BXN70"/>
      <c r="BXO70"/>
      <c r="BXP70"/>
      <c r="BXQ70"/>
      <c r="BXR70"/>
      <c r="BXS70"/>
      <c r="BXT70"/>
      <c r="BXU70"/>
      <c r="BXV70"/>
      <c r="BXW70"/>
      <c r="BXX70"/>
      <c r="BXY70"/>
      <c r="BXZ70"/>
      <c r="BYA70"/>
      <c r="BYB70"/>
      <c r="BYC70"/>
      <c r="BYD70"/>
      <c r="BYE70"/>
      <c r="BYF70"/>
      <c r="BYG70"/>
      <c r="BYH70"/>
      <c r="BYI70"/>
      <c r="BYJ70"/>
      <c r="BYK70"/>
      <c r="BYL70"/>
      <c r="BYM70"/>
      <c r="BYN70"/>
      <c r="BYO70"/>
      <c r="BYP70"/>
      <c r="BYQ70"/>
      <c r="BYR70"/>
      <c r="BYS70"/>
      <c r="BYT70"/>
      <c r="BYU70"/>
      <c r="BYV70"/>
      <c r="BYW70"/>
      <c r="BYX70"/>
      <c r="BYY70"/>
      <c r="BYZ70"/>
      <c r="BZA70"/>
      <c r="BZB70"/>
      <c r="BZC70"/>
      <c r="BZD70"/>
      <c r="BZE70"/>
      <c r="BZF70"/>
      <c r="BZG70"/>
      <c r="BZH70"/>
      <c r="BZI70"/>
      <c r="BZJ70"/>
      <c r="BZK70"/>
      <c r="BZL70"/>
      <c r="BZM70"/>
      <c r="BZN70"/>
      <c r="BZO70"/>
      <c r="BZP70"/>
      <c r="BZQ70"/>
      <c r="BZR70"/>
      <c r="BZS70"/>
      <c r="BZT70"/>
      <c r="BZU70"/>
      <c r="BZV70"/>
      <c r="BZW70"/>
      <c r="BZX70"/>
      <c r="BZY70"/>
      <c r="BZZ70"/>
      <c r="CAA70"/>
      <c r="CAB70"/>
      <c r="CAC70"/>
      <c r="CAD70"/>
      <c r="CAE70"/>
      <c r="CAF70"/>
      <c r="CAG70"/>
      <c r="CAH70"/>
      <c r="CAI70"/>
      <c r="CAJ70"/>
      <c r="CAK70"/>
      <c r="CAL70"/>
      <c r="CAM70"/>
      <c r="CAN70"/>
      <c r="CAO70"/>
      <c r="CAP70"/>
      <c r="CAQ70"/>
      <c r="CAR70"/>
      <c r="CAS70"/>
      <c r="CAT70"/>
      <c r="CAU70"/>
      <c r="CAV70"/>
      <c r="CAW70"/>
      <c r="CAX70"/>
      <c r="CAY70"/>
      <c r="CAZ70"/>
      <c r="CBA70"/>
      <c r="CBB70"/>
      <c r="CBC70"/>
      <c r="CBD70"/>
      <c r="CBE70"/>
      <c r="CBF70"/>
      <c r="CBG70"/>
      <c r="CBH70"/>
      <c r="CBI70"/>
      <c r="CBJ70"/>
      <c r="CBK70"/>
      <c r="CBL70"/>
      <c r="CBM70"/>
      <c r="CBN70"/>
      <c r="CBO70"/>
      <c r="CBP70"/>
      <c r="CBQ70"/>
      <c r="CBR70"/>
      <c r="CBS70"/>
      <c r="CBT70"/>
      <c r="CBU70"/>
      <c r="CBV70"/>
      <c r="CBW70"/>
      <c r="CBX70"/>
      <c r="CBY70"/>
      <c r="CBZ70"/>
      <c r="CCA70"/>
      <c r="CCB70"/>
      <c r="CCC70"/>
      <c r="CCD70"/>
      <c r="CCE70"/>
      <c r="CCF70"/>
      <c r="CCG70"/>
      <c r="CCH70"/>
      <c r="CCI70"/>
      <c r="CCJ70"/>
      <c r="CCK70"/>
      <c r="CCL70"/>
      <c r="CCM70"/>
      <c r="CCN70"/>
      <c r="CCO70"/>
      <c r="CCP70"/>
      <c r="CCQ70"/>
      <c r="CCR70"/>
      <c r="CCS70"/>
      <c r="CCT70"/>
      <c r="CCU70"/>
      <c r="CCV70"/>
      <c r="CCW70"/>
      <c r="CCX70"/>
      <c r="CCY70"/>
      <c r="CCZ70"/>
      <c r="CDA70"/>
      <c r="CDB70"/>
      <c r="CDC70"/>
      <c r="CDD70"/>
      <c r="CDE70"/>
      <c r="CDF70"/>
      <c r="CDG70"/>
      <c r="CDH70"/>
      <c r="CDI70"/>
      <c r="CDJ70"/>
      <c r="CDK70"/>
      <c r="CDL70"/>
      <c r="CDM70"/>
      <c r="CDN70"/>
      <c r="CDO70"/>
      <c r="CDP70"/>
      <c r="CDQ70"/>
      <c r="CDR70"/>
      <c r="CDS70"/>
      <c r="CDT70"/>
      <c r="CDU70"/>
      <c r="CDV70"/>
      <c r="CDW70"/>
      <c r="CDX70"/>
      <c r="CDY70"/>
      <c r="CDZ70"/>
      <c r="CEA70"/>
      <c r="CEB70"/>
      <c r="CEC70"/>
      <c r="CED70"/>
      <c r="CEE70"/>
      <c r="CEF70"/>
      <c r="CEG70"/>
      <c r="CEH70"/>
      <c r="CEI70"/>
      <c r="CEJ70"/>
      <c r="CEK70"/>
      <c r="CEL70"/>
      <c r="CEM70"/>
      <c r="CEN70"/>
      <c r="CEO70"/>
      <c r="CEP70"/>
      <c r="CEQ70"/>
      <c r="CER70"/>
      <c r="CES70"/>
      <c r="CET70"/>
      <c r="CEU70"/>
      <c r="CEV70"/>
      <c r="CEW70"/>
      <c r="CEX70"/>
      <c r="CEY70"/>
      <c r="CEZ70"/>
      <c r="CFA70"/>
      <c r="CFB70"/>
      <c r="CFC70"/>
      <c r="CFD70"/>
      <c r="CFE70"/>
      <c r="CFF70"/>
      <c r="CFG70"/>
      <c r="CFH70"/>
      <c r="CFI70"/>
      <c r="CFJ70"/>
      <c r="CFK70"/>
      <c r="CFL70"/>
      <c r="CFM70"/>
      <c r="CFN70"/>
      <c r="CFO70"/>
      <c r="CFP70"/>
      <c r="CFQ70"/>
      <c r="CFR70"/>
      <c r="CFS70"/>
      <c r="CFT70"/>
      <c r="CFU70"/>
      <c r="CFV70"/>
      <c r="CFW70"/>
      <c r="CFX70"/>
      <c r="CFY70"/>
      <c r="CFZ70"/>
      <c r="CGA70"/>
      <c r="CGB70"/>
      <c r="CGC70"/>
      <c r="CGD70"/>
      <c r="CGE70"/>
      <c r="CGF70"/>
      <c r="CGG70"/>
      <c r="CGH70"/>
      <c r="CGI70"/>
      <c r="CGJ70"/>
      <c r="CGK70"/>
      <c r="CGL70"/>
      <c r="CGM70"/>
      <c r="CGN70"/>
      <c r="CGO70"/>
      <c r="CGP70"/>
      <c r="CGQ70"/>
      <c r="CGR70"/>
      <c r="CGS70"/>
      <c r="CGT70"/>
      <c r="CGU70"/>
      <c r="CGV70"/>
      <c r="CGW70"/>
      <c r="CGX70"/>
      <c r="CGY70"/>
      <c r="CGZ70"/>
      <c r="CHA70"/>
      <c r="CHB70"/>
      <c r="CHC70"/>
      <c r="CHD70"/>
      <c r="CHE70"/>
      <c r="CHF70"/>
      <c r="CHG70"/>
      <c r="CHH70"/>
      <c r="CHI70"/>
      <c r="CHJ70"/>
      <c r="CHK70"/>
      <c r="CHL70"/>
      <c r="CHM70"/>
      <c r="CHN70"/>
      <c r="CHO70"/>
      <c r="CHP70"/>
      <c r="CHQ70"/>
      <c r="CHR70"/>
      <c r="CHS70"/>
      <c r="CHT70"/>
      <c r="CHU70"/>
      <c r="CHV70"/>
      <c r="CHW70"/>
      <c r="CHX70"/>
      <c r="CHY70"/>
      <c r="CHZ70"/>
      <c r="CIA70"/>
      <c r="CIB70"/>
      <c r="CIC70"/>
      <c r="CID70"/>
      <c r="CIE70"/>
      <c r="CIF70"/>
      <c r="CIG70"/>
      <c r="CIH70"/>
      <c r="CII70"/>
      <c r="CIJ70"/>
      <c r="CIK70"/>
      <c r="CIL70"/>
      <c r="CIM70"/>
      <c r="CIN70"/>
      <c r="CIO70"/>
      <c r="CIP70"/>
      <c r="CIQ70"/>
      <c r="CIR70"/>
      <c r="CIS70"/>
      <c r="CIT70"/>
      <c r="CIU70"/>
      <c r="CIV70"/>
      <c r="CIW70"/>
      <c r="CIX70"/>
      <c r="CIY70"/>
      <c r="CIZ70"/>
      <c r="CJA70"/>
      <c r="CJB70"/>
      <c r="CJC70"/>
      <c r="CJD70"/>
      <c r="CJE70"/>
      <c r="CJF70"/>
      <c r="CJG70"/>
      <c r="CJH70"/>
      <c r="CJI70"/>
      <c r="CJJ70"/>
      <c r="CJK70"/>
      <c r="CJL70"/>
      <c r="CJM70"/>
      <c r="CJN70"/>
      <c r="CJO70"/>
      <c r="CJP70"/>
      <c r="CJQ70"/>
      <c r="CJR70"/>
      <c r="CJS70"/>
      <c r="CJT70"/>
      <c r="CJU70"/>
      <c r="CJV70"/>
      <c r="CJW70"/>
      <c r="CJX70"/>
      <c r="CJY70"/>
      <c r="CJZ70"/>
      <c r="CKA70"/>
      <c r="CKB70"/>
      <c r="CKC70"/>
      <c r="CKD70"/>
      <c r="CKE70"/>
      <c r="CKF70"/>
      <c r="CKG70"/>
      <c r="CKH70"/>
      <c r="CKI70"/>
      <c r="CKJ70"/>
      <c r="CKK70"/>
      <c r="CKL70"/>
      <c r="CKM70"/>
      <c r="CKN70"/>
      <c r="CKO70"/>
      <c r="CKP70"/>
      <c r="CKQ70"/>
      <c r="CKR70"/>
      <c r="CKS70"/>
      <c r="CKT70"/>
      <c r="CKU70"/>
      <c r="CKV70"/>
      <c r="CKW70"/>
      <c r="CKX70"/>
      <c r="CKY70"/>
      <c r="CKZ70"/>
      <c r="CLA70"/>
      <c r="CLB70"/>
      <c r="CLC70"/>
      <c r="CLD70"/>
      <c r="CLE70"/>
      <c r="CLF70"/>
      <c r="CLG70"/>
      <c r="CLH70"/>
      <c r="CLI70"/>
      <c r="CLJ70"/>
      <c r="CLK70"/>
      <c r="CLL70"/>
      <c r="CLM70"/>
      <c r="CLN70"/>
      <c r="CLO70"/>
      <c r="CLP70"/>
      <c r="CLQ70"/>
      <c r="CLR70"/>
      <c r="CLS70"/>
      <c r="CLT70"/>
      <c r="CLU70"/>
      <c r="CLV70"/>
      <c r="CLW70"/>
      <c r="CLX70"/>
      <c r="CLY70"/>
      <c r="CLZ70"/>
      <c r="CMA70"/>
      <c r="CMB70"/>
      <c r="CMC70"/>
      <c r="CMD70"/>
      <c r="CME70"/>
      <c r="CMF70"/>
      <c r="CMG70"/>
      <c r="CMH70"/>
      <c r="CMI70"/>
      <c r="CMJ70"/>
      <c r="CMK70"/>
      <c r="CML70"/>
      <c r="CMM70"/>
      <c r="CMN70"/>
      <c r="CMO70"/>
      <c r="CMP70"/>
      <c r="CMQ70"/>
      <c r="CMR70"/>
      <c r="CMS70"/>
      <c r="CMT70"/>
      <c r="CMU70"/>
      <c r="CMV70"/>
      <c r="CMW70"/>
      <c r="CMX70"/>
      <c r="CMY70"/>
      <c r="CMZ70"/>
      <c r="CNA70"/>
      <c r="CNB70"/>
      <c r="CNC70"/>
      <c r="CND70"/>
      <c r="CNE70"/>
      <c r="CNF70"/>
      <c r="CNG70"/>
      <c r="CNH70"/>
      <c r="CNI70"/>
      <c r="CNJ70"/>
      <c r="CNK70"/>
      <c r="CNL70"/>
      <c r="CNM70"/>
      <c r="CNN70"/>
      <c r="CNO70"/>
      <c r="CNP70"/>
      <c r="CNQ70"/>
      <c r="CNR70"/>
      <c r="CNS70"/>
      <c r="CNT70"/>
      <c r="CNU70"/>
      <c r="CNV70"/>
      <c r="CNW70"/>
      <c r="CNX70"/>
      <c r="CNY70"/>
      <c r="CNZ70"/>
      <c r="COA70"/>
      <c r="COB70"/>
      <c r="COC70"/>
      <c r="COD70"/>
      <c r="COE70"/>
      <c r="COF70"/>
      <c r="COG70"/>
      <c r="COH70"/>
      <c r="COI70"/>
      <c r="COJ70"/>
      <c r="COK70"/>
      <c r="COL70"/>
      <c r="COM70"/>
      <c r="CON70"/>
      <c r="COO70"/>
      <c r="COP70"/>
      <c r="COQ70"/>
      <c r="COR70"/>
      <c r="COS70"/>
      <c r="COT70"/>
      <c r="COU70"/>
      <c r="COV70"/>
      <c r="COW70"/>
      <c r="COX70"/>
      <c r="COY70"/>
      <c r="COZ70"/>
      <c r="CPA70"/>
      <c r="CPB70"/>
      <c r="CPC70"/>
      <c r="CPD70"/>
      <c r="CPE70"/>
      <c r="CPF70"/>
      <c r="CPG70"/>
      <c r="CPH70"/>
      <c r="CPI70"/>
      <c r="CPJ70"/>
      <c r="CPK70"/>
      <c r="CPL70"/>
      <c r="CPM70"/>
      <c r="CPN70"/>
      <c r="CPO70"/>
      <c r="CPP70"/>
      <c r="CPQ70"/>
      <c r="CPR70"/>
      <c r="CPS70"/>
      <c r="CPT70"/>
      <c r="CPU70"/>
      <c r="CPV70"/>
      <c r="CPW70"/>
      <c r="CPX70"/>
      <c r="CPY70"/>
      <c r="CPZ70"/>
      <c r="CQA70"/>
      <c r="CQB70"/>
      <c r="CQC70"/>
      <c r="CQD70"/>
      <c r="CQE70"/>
      <c r="CQF70"/>
      <c r="CQG70"/>
      <c r="CQH70"/>
      <c r="CQI70"/>
      <c r="CQJ70"/>
      <c r="CQK70"/>
      <c r="CQL70"/>
      <c r="CQM70"/>
      <c r="CQN70"/>
      <c r="CQO70"/>
      <c r="CQP70"/>
      <c r="CQQ70"/>
      <c r="CQR70"/>
      <c r="CQS70"/>
      <c r="CQT70"/>
      <c r="CQU70"/>
      <c r="CQV70"/>
      <c r="CQW70"/>
      <c r="CQX70"/>
      <c r="CQY70"/>
      <c r="CQZ70"/>
      <c r="CRA70"/>
      <c r="CRB70"/>
      <c r="CRC70"/>
      <c r="CRD70"/>
      <c r="CRE70"/>
      <c r="CRF70"/>
      <c r="CRG70"/>
      <c r="CRH70"/>
      <c r="CRI70"/>
      <c r="CRJ70"/>
      <c r="CRK70"/>
      <c r="CRL70"/>
      <c r="CRM70"/>
      <c r="CRN70"/>
      <c r="CRO70"/>
      <c r="CRP70"/>
      <c r="CRQ70"/>
      <c r="CRR70"/>
      <c r="CRS70"/>
      <c r="CRT70"/>
      <c r="CRU70"/>
      <c r="CRV70"/>
      <c r="CRW70"/>
      <c r="CRX70"/>
      <c r="CRY70"/>
      <c r="CRZ70"/>
      <c r="CSA70"/>
      <c r="CSB70"/>
      <c r="CSC70"/>
      <c r="CSD70"/>
      <c r="CSE70"/>
      <c r="CSF70"/>
      <c r="CSG70"/>
      <c r="CSH70"/>
      <c r="CSI70"/>
      <c r="CSJ70"/>
      <c r="CSK70"/>
      <c r="CSL70"/>
      <c r="CSM70"/>
      <c r="CSN70"/>
      <c r="CSO70"/>
      <c r="CSP70"/>
      <c r="CSQ70"/>
      <c r="CSR70"/>
      <c r="CSS70"/>
      <c r="CST70"/>
      <c r="CSU70"/>
      <c r="CSV70"/>
      <c r="CSW70"/>
      <c r="CSX70"/>
      <c r="CSY70"/>
      <c r="CSZ70"/>
      <c r="CTA70"/>
      <c r="CTB70"/>
      <c r="CTC70"/>
      <c r="CTD70"/>
      <c r="CTE70"/>
      <c r="CTF70"/>
      <c r="CTG70"/>
      <c r="CTH70"/>
      <c r="CTI70"/>
      <c r="CTJ70"/>
      <c r="CTK70"/>
      <c r="CTL70"/>
      <c r="CTM70"/>
      <c r="CTN70"/>
      <c r="CTO70"/>
      <c r="CTP70"/>
      <c r="CTQ70"/>
      <c r="CTR70"/>
      <c r="CTS70"/>
      <c r="CTT70"/>
      <c r="CTU70"/>
      <c r="CTV70"/>
      <c r="CTW70"/>
      <c r="CTX70"/>
      <c r="CTY70"/>
      <c r="CTZ70"/>
      <c r="CUA70"/>
      <c r="CUB70"/>
      <c r="CUC70"/>
      <c r="CUD70"/>
      <c r="CUE70"/>
      <c r="CUF70"/>
      <c r="CUG70"/>
      <c r="CUH70"/>
      <c r="CUI70"/>
      <c r="CUJ70"/>
      <c r="CUK70"/>
      <c r="CUL70"/>
      <c r="CUM70"/>
      <c r="CUN70"/>
      <c r="CUO70"/>
      <c r="CUP70"/>
      <c r="CUQ70"/>
      <c r="CUR70"/>
      <c r="CUS70"/>
      <c r="CUT70"/>
      <c r="CUU70"/>
      <c r="CUV70"/>
      <c r="CUW70"/>
      <c r="CUX70"/>
      <c r="CUY70"/>
      <c r="CUZ70"/>
      <c r="CVA70"/>
      <c r="CVB70"/>
      <c r="CVC70"/>
      <c r="CVD70"/>
      <c r="CVE70"/>
      <c r="CVF70"/>
      <c r="CVG70"/>
      <c r="CVH70"/>
      <c r="CVI70"/>
      <c r="CVJ70"/>
      <c r="CVK70"/>
      <c r="CVL70"/>
      <c r="CVM70"/>
      <c r="CVN70"/>
      <c r="CVO70"/>
      <c r="CVP70"/>
      <c r="CVQ70"/>
      <c r="CVR70"/>
      <c r="CVS70"/>
      <c r="CVT70"/>
      <c r="CVU70"/>
      <c r="CVV70"/>
      <c r="CVW70"/>
      <c r="CVX70"/>
      <c r="CVY70"/>
      <c r="CVZ70"/>
      <c r="CWA70"/>
      <c r="CWB70"/>
      <c r="CWC70"/>
      <c r="CWD70"/>
      <c r="CWE70"/>
      <c r="CWF70"/>
      <c r="CWG70"/>
      <c r="CWH70"/>
      <c r="CWI70"/>
      <c r="CWJ70"/>
      <c r="CWK70"/>
      <c r="CWL70"/>
      <c r="CWM70"/>
      <c r="CWN70"/>
      <c r="CWO70"/>
      <c r="CWP70"/>
      <c r="CWQ70"/>
      <c r="CWR70"/>
      <c r="CWS70"/>
      <c r="CWT70"/>
      <c r="CWU70"/>
      <c r="CWV70"/>
      <c r="CWW70"/>
      <c r="CWX70"/>
      <c r="CWY70"/>
      <c r="CWZ70"/>
      <c r="CXA70"/>
      <c r="CXB70"/>
      <c r="CXC70"/>
      <c r="CXD70"/>
      <c r="CXE70"/>
      <c r="CXF70"/>
      <c r="CXG70"/>
      <c r="CXH70"/>
      <c r="CXI70"/>
      <c r="CXJ70"/>
      <c r="CXK70"/>
      <c r="CXL70"/>
      <c r="CXM70"/>
      <c r="CXN70"/>
      <c r="CXO70"/>
      <c r="CXP70"/>
      <c r="CXQ70"/>
      <c r="CXR70"/>
      <c r="CXS70"/>
      <c r="CXT70"/>
      <c r="CXU70"/>
      <c r="CXV70"/>
      <c r="CXW70"/>
      <c r="CXX70"/>
      <c r="CXY70"/>
      <c r="CXZ70"/>
      <c r="CYA70"/>
      <c r="CYB70"/>
      <c r="CYC70"/>
      <c r="CYD70"/>
      <c r="CYE70"/>
      <c r="CYF70"/>
      <c r="CYG70"/>
      <c r="CYH70"/>
      <c r="CYI70"/>
      <c r="CYJ70"/>
      <c r="CYK70"/>
      <c r="CYL70"/>
      <c r="CYM70"/>
      <c r="CYN70"/>
      <c r="CYO70"/>
      <c r="CYP70"/>
      <c r="CYQ70"/>
      <c r="CYR70"/>
      <c r="CYS70"/>
      <c r="CYT70"/>
      <c r="CYU70"/>
      <c r="CYV70"/>
      <c r="CYW70"/>
      <c r="CYX70"/>
      <c r="CYY70"/>
      <c r="CYZ70"/>
      <c r="CZA70"/>
      <c r="CZB70"/>
      <c r="CZC70"/>
      <c r="CZD70"/>
      <c r="CZE70"/>
      <c r="CZF70"/>
      <c r="CZG70"/>
      <c r="CZH70"/>
      <c r="CZI70"/>
      <c r="CZJ70"/>
      <c r="CZK70"/>
      <c r="CZL70"/>
      <c r="CZM70"/>
      <c r="CZN70"/>
      <c r="CZO70"/>
      <c r="CZP70"/>
      <c r="CZQ70"/>
      <c r="CZR70"/>
      <c r="CZS70"/>
      <c r="CZT70"/>
      <c r="CZU70"/>
      <c r="CZV70"/>
      <c r="CZW70"/>
      <c r="CZX70"/>
      <c r="CZY70"/>
      <c r="CZZ70"/>
      <c r="DAA70"/>
      <c r="DAB70"/>
      <c r="DAC70"/>
      <c r="DAD70"/>
      <c r="DAE70"/>
      <c r="DAF70"/>
      <c r="DAG70"/>
      <c r="DAH70"/>
      <c r="DAI70"/>
      <c r="DAJ70"/>
      <c r="DAK70"/>
      <c r="DAL70"/>
      <c r="DAM70"/>
      <c r="DAN70"/>
      <c r="DAO70"/>
      <c r="DAP70"/>
      <c r="DAQ70"/>
      <c r="DAR70"/>
      <c r="DAS70"/>
      <c r="DAT70"/>
      <c r="DAU70"/>
      <c r="DAV70"/>
      <c r="DAW70"/>
      <c r="DAX70"/>
      <c r="DAY70"/>
      <c r="DAZ70"/>
      <c r="DBA70"/>
      <c r="DBB70"/>
      <c r="DBC70"/>
      <c r="DBD70"/>
      <c r="DBE70"/>
      <c r="DBF70"/>
      <c r="DBG70"/>
      <c r="DBH70"/>
      <c r="DBI70"/>
      <c r="DBJ70"/>
      <c r="DBK70"/>
      <c r="DBL70"/>
      <c r="DBM70"/>
      <c r="DBN70"/>
      <c r="DBO70"/>
      <c r="DBP70"/>
      <c r="DBQ70"/>
      <c r="DBR70"/>
      <c r="DBS70"/>
      <c r="DBT70"/>
      <c r="DBU70"/>
      <c r="DBV70"/>
      <c r="DBW70"/>
      <c r="DBX70"/>
      <c r="DBY70"/>
      <c r="DBZ70"/>
      <c r="DCA70"/>
      <c r="DCB70"/>
      <c r="DCC70"/>
      <c r="DCD70"/>
      <c r="DCE70"/>
      <c r="DCF70"/>
      <c r="DCG70"/>
      <c r="DCH70"/>
      <c r="DCI70"/>
      <c r="DCJ70"/>
      <c r="DCK70"/>
      <c r="DCL70"/>
      <c r="DCM70"/>
      <c r="DCN70"/>
      <c r="DCO70"/>
      <c r="DCP70"/>
      <c r="DCQ70"/>
      <c r="DCR70"/>
      <c r="DCS70"/>
      <c r="DCT70"/>
      <c r="DCU70"/>
      <c r="DCV70"/>
      <c r="DCW70"/>
      <c r="DCX70"/>
      <c r="DCY70"/>
      <c r="DCZ70"/>
      <c r="DDA70"/>
      <c r="DDB70"/>
      <c r="DDC70"/>
      <c r="DDD70"/>
      <c r="DDE70"/>
      <c r="DDF70"/>
      <c r="DDG70"/>
      <c r="DDH70"/>
      <c r="DDI70"/>
      <c r="DDJ70"/>
      <c r="DDK70"/>
      <c r="DDL70"/>
      <c r="DDM70"/>
      <c r="DDN70"/>
      <c r="DDO70"/>
      <c r="DDP70"/>
      <c r="DDQ70"/>
      <c r="DDR70"/>
      <c r="DDS70"/>
      <c r="DDT70"/>
      <c r="DDU70"/>
      <c r="DDV70"/>
      <c r="DDW70"/>
      <c r="DDX70"/>
      <c r="DDY70"/>
      <c r="DDZ70"/>
      <c r="DEA70"/>
      <c r="DEB70"/>
      <c r="DEC70"/>
      <c r="DED70"/>
      <c r="DEE70"/>
      <c r="DEF70"/>
      <c r="DEG70"/>
      <c r="DEH70"/>
      <c r="DEI70"/>
      <c r="DEJ70"/>
      <c r="DEK70"/>
      <c r="DEL70"/>
      <c r="DEM70"/>
      <c r="DEN70"/>
      <c r="DEO70"/>
      <c r="DEP70"/>
      <c r="DEQ70"/>
      <c r="DER70"/>
      <c r="DES70"/>
      <c r="DET70"/>
      <c r="DEU70"/>
      <c r="DEV70"/>
      <c r="DEW70"/>
      <c r="DEX70"/>
      <c r="DEY70"/>
      <c r="DEZ70"/>
      <c r="DFA70"/>
      <c r="DFB70"/>
      <c r="DFC70"/>
      <c r="DFD70"/>
      <c r="DFE70"/>
      <c r="DFF70"/>
      <c r="DFG70"/>
      <c r="DFH70"/>
      <c r="DFI70"/>
      <c r="DFJ70"/>
      <c r="DFK70"/>
      <c r="DFL70"/>
      <c r="DFM70"/>
      <c r="DFN70"/>
      <c r="DFO70"/>
      <c r="DFP70"/>
      <c r="DFQ70"/>
      <c r="DFR70"/>
      <c r="DFS70"/>
      <c r="DFT70"/>
      <c r="DFU70"/>
      <c r="DFV70"/>
      <c r="DFW70"/>
      <c r="DFX70"/>
      <c r="DFY70"/>
      <c r="DFZ70"/>
      <c r="DGA70"/>
      <c r="DGB70"/>
      <c r="DGC70"/>
      <c r="DGD70"/>
      <c r="DGE70"/>
      <c r="DGF70"/>
      <c r="DGG70"/>
      <c r="DGH70"/>
      <c r="DGI70"/>
      <c r="DGJ70"/>
      <c r="DGK70"/>
      <c r="DGL70"/>
      <c r="DGM70"/>
      <c r="DGN70"/>
      <c r="DGO70"/>
      <c r="DGP70"/>
      <c r="DGQ70"/>
      <c r="DGR70"/>
      <c r="DGS70"/>
      <c r="DGT70"/>
      <c r="DGU70"/>
      <c r="DGV70"/>
      <c r="DGW70"/>
      <c r="DGX70"/>
      <c r="DGY70"/>
      <c r="DGZ70"/>
      <c r="DHA70"/>
      <c r="DHB70"/>
      <c r="DHC70"/>
      <c r="DHD70"/>
      <c r="DHE70"/>
      <c r="DHF70"/>
      <c r="DHG70"/>
      <c r="DHH70"/>
      <c r="DHI70"/>
      <c r="DHJ70"/>
      <c r="DHK70"/>
      <c r="DHL70"/>
      <c r="DHM70"/>
      <c r="DHN70"/>
      <c r="DHO70"/>
      <c r="DHP70"/>
      <c r="DHQ70"/>
      <c r="DHR70"/>
      <c r="DHS70"/>
      <c r="DHT70"/>
      <c r="DHU70"/>
      <c r="DHV70"/>
      <c r="DHW70"/>
      <c r="DHX70"/>
      <c r="DHY70"/>
      <c r="DHZ70"/>
      <c r="DIA70"/>
      <c r="DIB70"/>
      <c r="DIC70"/>
      <c r="DID70"/>
      <c r="DIE70"/>
      <c r="DIF70"/>
      <c r="DIG70"/>
      <c r="DIH70"/>
      <c r="DII70"/>
      <c r="DIJ70"/>
      <c r="DIK70"/>
      <c r="DIL70"/>
      <c r="DIM70"/>
      <c r="DIN70"/>
      <c r="DIO70"/>
      <c r="DIP70"/>
      <c r="DIQ70"/>
      <c r="DIR70"/>
      <c r="DIS70"/>
      <c r="DIT70"/>
      <c r="DIU70"/>
      <c r="DIV70"/>
      <c r="DIW70"/>
      <c r="DIX70"/>
      <c r="DIY70"/>
      <c r="DIZ70"/>
      <c r="DJA70"/>
      <c r="DJB70"/>
      <c r="DJC70"/>
      <c r="DJD70"/>
      <c r="DJE70"/>
      <c r="DJF70"/>
      <c r="DJG70"/>
      <c r="DJH70"/>
      <c r="DJI70"/>
      <c r="DJJ70"/>
      <c r="DJK70"/>
      <c r="DJL70"/>
      <c r="DJM70"/>
      <c r="DJN70"/>
      <c r="DJO70"/>
      <c r="DJP70"/>
      <c r="DJQ70"/>
      <c r="DJR70"/>
      <c r="DJS70"/>
      <c r="DJT70"/>
      <c r="DJU70"/>
      <c r="DJV70"/>
      <c r="DJW70"/>
      <c r="DJX70"/>
      <c r="DJY70"/>
      <c r="DJZ70"/>
      <c r="DKA70"/>
      <c r="DKB70"/>
      <c r="DKC70"/>
      <c r="DKD70"/>
      <c r="DKE70"/>
      <c r="DKF70"/>
      <c r="DKG70"/>
      <c r="DKH70"/>
      <c r="DKI70"/>
      <c r="DKJ70"/>
      <c r="DKK70"/>
      <c r="DKL70"/>
      <c r="DKM70"/>
      <c r="DKN70"/>
      <c r="DKO70"/>
      <c r="DKP70"/>
      <c r="DKQ70"/>
      <c r="DKR70"/>
      <c r="DKS70"/>
      <c r="DKT70"/>
      <c r="DKU70"/>
      <c r="DKV70"/>
      <c r="DKW70"/>
      <c r="DKX70"/>
      <c r="DKY70"/>
      <c r="DKZ70"/>
      <c r="DLA70"/>
      <c r="DLB70"/>
      <c r="DLC70"/>
      <c r="DLD70"/>
      <c r="DLE70"/>
      <c r="DLF70"/>
      <c r="DLG70"/>
      <c r="DLH70"/>
      <c r="DLI70"/>
      <c r="DLJ70"/>
      <c r="DLK70"/>
      <c r="DLL70"/>
      <c r="DLM70"/>
      <c r="DLN70"/>
      <c r="DLO70"/>
      <c r="DLP70"/>
      <c r="DLQ70"/>
      <c r="DLR70"/>
      <c r="DLS70"/>
      <c r="DLT70"/>
      <c r="DLU70"/>
      <c r="DLV70"/>
      <c r="DLW70"/>
      <c r="DLX70"/>
      <c r="DLY70"/>
      <c r="DLZ70"/>
      <c r="DMA70"/>
      <c r="DMB70"/>
      <c r="DMC70"/>
      <c r="DMD70"/>
      <c r="DME70"/>
      <c r="DMF70"/>
      <c r="DMG70"/>
      <c r="DMH70"/>
      <c r="DMI70"/>
      <c r="DMJ70"/>
      <c r="DMK70"/>
      <c r="DML70"/>
      <c r="DMM70"/>
      <c r="DMN70"/>
      <c r="DMO70"/>
      <c r="DMP70"/>
      <c r="DMQ70"/>
      <c r="DMR70"/>
      <c r="DMS70"/>
      <c r="DMT70"/>
      <c r="DMU70"/>
      <c r="DMV70"/>
      <c r="DMW70"/>
      <c r="DMX70"/>
      <c r="DMY70"/>
      <c r="DMZ70"/>
      <c r="DNA70"/>
      <c r="DNB70"/>
      <c r="DNC70"/>
      <c r="DND70"/>
      <c r="DNE70"/>
      <c r="DNF70"/>
      <c r="DNG70"/>
      <c r="DNH70"/>
      <c r="DNI70"/>
      <c r="DNJ70"/>
      <c r="DNK70"/>
      <c r="DNL70"/>
      <c r="DNM70"/>
      <c r="DNN70"/>
      <c r="DNO70"/>
      <c r="DNP70"/>
      <c r="DNQ70"/>
      <c r="DNR70"/>
      <c r="DNS70"/>
      <c r="DNT70"/>
      <c r="DNU70"/>
      <c r="DNV70"/>
      <c r="DNW70"/>
      <c r="DNX70"/>
      <c r="DNY70"/>
      <c r="DNZ70"/>
      <c r="DOA70"/>
      <c r="DOB70"/>
      <c r="DOC70"/>
      <c r="DOD70"/>
      <c r="DOE70"/>
      <c r="DOF70"/>
      <c r="DOG70"/>
      <c r="DOH70"/>
      <c r="DOI70"/>
      <c r="DOJ70"/>
      <c r="DOK70"/>
      <c r="DOL70"/>
      <c r="DOM70"/>
      <c r="DON70"/>
      <c r="DOO70"/>
      <c r="DOP70"/>
      <c r="DOQ70"/>
      <c r="DOR70"/>
      <c r="DOS70"/>
      <c r="DOT70"/>
      <c r="DOU70"/>
      <c r="DOV70"/>
      <c r="DOW70"/>
      <c r="DOX70"/>
      <c r="DOY70"/>
      <c r="DOZ70"/>
      <c r="DPA70"/>
      <c r="DPB70"/>
      <c r="DPC70"/>
      <c r="DPD70"/>
      <c r="DPE70"/>
      <c r="DPF70"/>
      <c r="DPG70"/>
      <c r="DPH70"/>
      <c r="DPI70"/>
      <c r="DPJ70"/>
      <c r="DPK70"/>
      <c r="DPL70"/>
      <c r="DPM70"/>
      <c r="DPN70"/>
      <c r="DPO70"/>
      <c r="DPP70"/>
      <c r="DPQ70"/>
      <c r="DPR70"/>
      <c r="DPS70"/>
      <c r="DPT70"/>
      <c r="DPU70"/>
      <c r="DPV70"/>
      <c r="DPW70"/>
      <c r="DPX70"/>
      <c r="DPY70"/>
      <c r="DPZ70"/>
      <c r="DQA70"/>
      <c r="DQB70"/>
      <c r="DQC70"/>
      <c r="DQD70"/>
      <c r="DQE70"/>
      <c r="DQF70"/>
      <c r="DQG70"/>
      <c r="DQH70"/>
      <c r="DQI70"/>
      <c r="DQJ70"/>
      <c r="DQK70"/>
      <c r="DQL70"/>
      <c r="DQM70"/>
      <c r="DQN70"/>
      <c r="DQO70"/>
      <c r="DQP70"/>
      <c r="DQQ70"/>
      <c r="DQR70"/>
      <c r="DQS70"/>
      <c r="DQT70"/>
      <c r="DQU70"/>
      <c r="DQV70"/>
      <c r="DQW70"/>
      <c r="DQX70"/>
      <c r="DQY70"/>
      <c r="DQZ70"/>
      <c r="DRA70"/>
      <c r="DRB70"/>
      <c r="DRC70"/>
      <c r="DRD70"/>
      <c r="DRE70"/>
      <c r="DRF70"/>
      <c r="DRG70"/>
      <c r="DRH70"/>
      <c r="DRI70"/>
      <c r="DRJ70"/>
      <c r="DRK70"/>
      <c r="DRL70"/>
      <c r="DRM70"/>
      <c r="DRN70"/>
      <c r="DRO70"/>
      <c r="DRP70"/>
      <c r="DRQ70"/>
      <c r="DRR70"/>
      <c r="DRS70"/>
      <c r="DRT70"/>
      <c r="DRU70"/>
      <c r="DRV70"/>
      <c r="DRW70"/>
      <c r="DRX70"/>
      <c r="DRY70"/>
      <c r="DRZ70"/>
      <c r="DSA70"/>
      <c r="DSB70"/>
      <c r="DSC70"/>
      <c r="DSD70"/>
      <c r="DSE70"/>
      <c r="DSF70"/>
      <c r="DSG70"/>
      <c r="DSH70"/>
      <c r="DSI70"/>
      <c r="DSJ70"/>
      <c r="DSK70"/>
      <c r="DSL70"/>
      <c r="DSM70"/>
      <c r="DSN70"/>
      <c r="DSO70"/>
      <c r="DSP70"/>
      <c r="DSQ70"/>
      <c r="DSR70"/>
      <c r="DSS70"/>
      <c r="DST70"/>
      <c r="DSU70"/>
      <c r="DSV70"/>
      <c r="DSW70"/>
      <c r="DSX70"/>
      <c r="DSY70"/>
      <c r="DSZ70"/>
      <c r="DTA70"/>
      <c r="DTB70"/>
      <c r="DTC70"/>
      <c r="DTD70"/>
      <c r="DTE70"/>
      <c r="DTF70"/>
      <c r="DTG70"/>
      <c r="DTH70"/>
      <c r="DTI70"/>
      <c r="DTJ70"/>
      <c r="DTK70"/>
      <c r="DTL70"/>
      <c r="DTM70"/>
      <c r="DTN70"/>
      <c r="DTO70"/>
      <c r="DTP70"/>
      <c r="DTQ70"/>
      <c r="DTR70"/>
      <c r="DTS70"/>
      <c r="DTT70"/>
      <c r="DTU70"/>
      <c r="DTV70"/>
      <c r="DTW70"/>
      <c r="DTX70"/>
      <c r="DTY70"/>
      <c r="DTZ70"/>
      <c r="DUA70"/>
      <c r="DUB70"/>
      <c r="DUC70"/>
      <c r="DUD70"/>
      <c r="DUE70"/>
      <c r="DUF70"/>
      <c r="DUG70"/>
      <c r="DUH70"/>
      <c r="DUI70"/>
      <c r="DUJ70"/>
      <c r="DUK70"/>
      <c r="DUL70"/>
      <c r="DUM70"/>
      <c r="DUN70"/>
      <c r="DUO70"/>
      <c r="DUP70"/>
      <c r="DUQ70"/>
      <c r="DUR70"/>
      <c r="DUS70"/>
      <c r="DUT70"/>
      <c r="DUU70"/>
      <c r="DUV70"/>
      <c r="DUW70"/>
      <c r="DUX70"/>
      <c r="DUY70"/>
      <c r="DUZ70"/>
      <c r="DVA70"/>
      <c r="DVB70"/>
      <c r="DVC70"/>
      <c r="DVD70"/>
      <c r="DVE70"/>
      <c r="DVF70"/>
      <c r="DVG70"/>
      <c r="DVH70"/>
      <c r="DVI70"/>
      <c r="DVJ70"/>
      <c r="DVK70"/>
      <c r="DVL70"/>
      <c r="DVM70"/>
      <c r="DVN70"/>
      <c r="DVO70"/>
      <c r="DVP70"/>
      <c r="DVQ70"/>
      <c r="DVR70"/>
      <c r="DVS70"/>
      <c r="DVT70"/>
      <c r="DVU70"/>
      <c r="DVV70"/>
      <c r="DVW70"/>
      <c r="DVX70"/>
      <c r="DVY70"/>
      <c r="DVZ70"/>
      <c r="DWA70"/>
      <c r="DWB70"/>
      <c r="DWC70"/>
      <c r="DWD70"/>
      <c r="DWE70"/>
      <c r="DWF70"/>
      <c r="DWG70"/>
      <c r="DWH70"/>
      <c r="DWI70"/>
      <c r="DWJ70"/>
      <c r="DWK70"/>
      <c r="DWL70"/>
      <c r="DWM70"/>
      <c r="DWN70"/>
      <c r="DWO70"/>
      <c r="DWP70"/>
      <c r="DWQ70"/>
      <c r="DWR70"/>
      <c r="DWS70"/>
      <c r="DWT70"/>
      <c r="DWU70"/>
      <c r="DWV70"/>
      <c r="DWW70"/>
      <c r="DWX70"/>
      <c r="DWY70"/>
      <c r="DWZ70"/>
      <c r="DXA70"/>
      <c r="DXB70"/>
      <c r="DXC70"/>
      <c r="DXD70"/>
      <c r="DXE70"/>
      <c r="DXF70"/>
      <c r="DXG70"/>
      <c r="DXH70"/>
      <c r="DXI70"/>
      <c r="DXJ70"/>
      <c r="DXK70"/>
      <c r="DXL70"/>
      <c r="DXM70"/>
      <c r="DXN70"/>
      <c r="DXO70"/>
      <c r="DXP70"/>
      <c r="DXQ70"/>
      <c r="DXR70"/>
      <c r="DXS70"/>
      <c r="DXT70"/>
      <c r="DXU70"/>
      <c r="DXV70"/>
      <c r="DXW70"/>
      <c r="DXX70"/>
      <c r="DXY70"/>
      <c r="DXZ70"/>
      <c r="DYA70"/>
      <c r="DYB70"/>
      <c r="DYC70"/>
      <c r="DYD70"/>
      <c r="DYE70"/>
      <c r="DYF70"/>
      <c r="DYG70"/>
      <c r="DYH70"/>
      <c r="DYI70"/>
      <c r="DYJ70"/>
      <c r="DYK70"/>
      <c r="DYL70"/>
      <c r="DYM70"/>
      <c r="DYN70"/>
      <c r="DYO70"/>
      <c r="DYP70"/>
      <c r="DYQ70"/>
      <c r="DYR70"/>
      <c r="DYS70"/>
      <c r="DYT70"/>
      <c r="DYU70"/>
      <c r="DYV70"/>
      <c r="DYW70"/>
      <c r="DYX70"/>
      <c r="DYY70"/>
      <c r="DYZ70"/>
      <c r="DZA70"/>
      <c r="DZB70"/>
      <c r="DZC70"/>
      <c r="DZD70"/>
      <c r="DZE70"/>
      <c r="DZF70"/>
      <c r="DZG70"/>
      <c r="DZH70"/>
      <c r="DZI70"/>
      <c r="DZJ70"/>
      <c r="DZK70"/>
      <c r="DZL70"/>
      <c r="DZM70"/>
      <c r="DZN70"/>
      <c r="DZO70"/>
      <c r="DZP70"/>
      <c r="DZQ70"/>
      <c r="DZR70"/>
      <c r="DZS70"/>
      <c r="DZT70"/>
      <c r="DZU70"/>
      <c r="DZV70"/>
      <c r="DZW70"/>
      <c r="DZX70"/>
      <c r="DZY70"/>
      <c r="DZZ70"/>
      <c r="EAA70"/>
      <c r="EAB70"/>
      <c r="EAC70"/>
      <c r="EAD70"/>
      <c r="EAE70"/>
      <c r="EAF70"/>
      <c r="EAG70"/>
      <c r="EAH70"/>
      <c r="EAI70"/>
      <c r="EAJ70"/>
      <c r="EAK70"/>
      <c r="EAL70"/>
      <c r="EAM70"/>
      <c r="EAN70"/>
      <c r="EAO70"/>
      <c r="EAP70"/>
      <c r="EAQ70"/>
      <c r="EAR70"/>
      <c r="EAS70"/>
      <c r="EAT70"/>
      <c r="EAU70"/>
      <c r="EAV70"/>
      <c r="EAW70"/>
      <c r="EAX70"/>
      <c r="EAY70"/>
      <c r="EAZ70"/>
      <c r="EBA70"/>
      <c r="EBB70"/>
      <c r="EBC70"/>
      <c r="EBD70"/>
      <c r="EBE70"/>
      <c r="EBF70"/>
      <c r="EBG70"/>
      <c r="EBH70"/>
      <c r="EBI70"/>
      <c r="EBJ70"/>
      <c r="EBK70"/>
      <c r="EBL70"/>
      <c r="EBM70"/>
      <c r="EBN70"/>
      <c r="EBO70"/>
      <c r="EBP70"/>
      <c r="EBQ70"/>
      <c r="EBR70"/>
      <c r="EBS70"/>
      <c r="EBT70"/>
      <c r="EBU70"/>
      <c r="EBV70"/>
      <c r="EBW70"/>
      <c r="EBX70"/>
      <c r="EBY70"/>
      <c r="EBZ70"/>
      <c r="ECA70"/>
      <c r="ECB70"/>
      <c r="ECC70"/>
      <c r="ECD70"/>
      <c r="ECE70"/>
      <c r="ECF70"/>
      <c r="ECG70"/>
      <c r="ECH70"/>
      <c r="ECI70"/>
      <c r="ECJ70"/>
      <c r="ECK70"/>
      <c r="ECL70"/>
      <c r="ECM70"/>
      <c r="ECN70"/>
      <c r="ECO70"/>
      <c r="ECP70"/>
      <c r="ECQ70"/>
      <c r="ECR70"/>
      <c r="ECS70"/>
      <c r="ECT70"/>
      <c r="ECU70"/>
      <c r="ECV70"/>
      <c r="ECW70"/>
      <c r="ECX70"/>
      <c r="ECY70"/>
      <c r="ECZ70"/>
      <c r="EDA70"/>
      <c r="EDB70"/>
      <c r="EDC70"/>
      <c r="EDD70"/>
      <c r="EDE70"/>
      <c r="EDF70"/>
      <c r="EDG70"/>
      <c r="EDH70"/>
      <c r="EDI70"/>
      <c r="EDJ70"/>
      <c r="EDK70"/>
      <c r="EDL70"/>
      <c r="EDM70"/>
      <c r="EDN70"/>
      <c r="EDO70"/>
      <c r="EDP70"/>
      <c r="EDQ70"/>
      <c r="EDR70"/>
      <c r="EDS70"/>
      <c r="EDT70"/>
      <c r="EDU70"/>
      <c r="EDV70"/>
      <c r="EDW70"/>
      <c r="EDX70"/>
      <c r="EDY70"/>
      <c r="EDZ70"/>
      <c r="EEA70"/>
      <c r="EEB70"/>
      <c r="EEC70"/>
      <c r="EED70"/>
      <c r="EEE70"/>
      <c r="EEF70"/>
      <c r="EEG70"/>
      <c r="EEH70"/>
      <c r="EEI70"/>
      <c r="EEJ70"/>
      <c r="EEK70"/>
      <c r="EEL70"/>
      <c r="EEM70"/>
      <c r="EEN70"/>
      <c r="EEO70"/>
      <c r="EEP70"/>
      <c r="EEQ70"/>
      <c r="EER70"/>
      <c r="EES70"/>
      <c r="EET70"/>
      <c r="EEU70"/>
      <c r="EEV70"/>
      <c r="EEW70"/>
      <c r="EEX70"/>
      <c r="EEY70"/>
      <c r="EEZ70"/>
      <c r="EFA70"/>
      <c r="EFB70"/>
      <c r="EFC70"/>
      <c r="EFD70"/>
      <c r="EFE70"/>
      <c r="EFF70"/>
      <c r="EFG70"/>
      <c r="EFH70"/>
      <c r="EFI70"/>
      <c r="EFJ70"/>
      <c r="EFK70"/>
      <c r="EFL70"/>
      <c r="EFM70"/>
      <c r="EFN70"/>
      <c r="EFO70"/>
      <c r="EFP70"/>
      <c r="EFQ70"/>
      <c r="EFR70"/>
      <c r="EFS70"/>
      <c r="EFT70"/>
      <c r="EFU70"/>
      <c r="EFV70"/>
      <c r="EFW70"/>
      <c r="EFX70"/>
      <c r="EFY70"/>
      <c r="EFZ70"/>
      <c r="EGA70"/>
      <c r="EGB70"/>
      <c r="EGC70"/>
      <c r="EGD70"/>
      <c r="EGE70"/>
      <c r="EGF70"/>
      <c r="EGG70"/>
      <c r="EGH70"/>
      <c r="EGI70"/>
      <c r="EGJ70"/>
      <c r="EGK70"/>
      <c r="EGL70"/>
      <c r="EGM70"/>
      <c r="EGN70"/>
      <c r="EGO70"/>
      <c r="EGP70"/>
      <c r="EGQ70"/>
      <c r="EGR70"/>
      <c r="EGS70"/>
      <c r="EGT70"/>
      <c r="EGU70"/>
      <c r="EGV70"/>
      <c r="EGW70"/>
      <c r="EGX70"/>
      <c r="EGY70"/>
      <c r="EGZ70"/>
      <c r="EHA70"/>
      <c r="EHB70"/>
      <c r="EHC70"/>
      <c r="EHD70"/>
      <c r="EHE70"/>
      <c r="EHF70"/>
      <c r="EHG70"/>
      <c r="EHH70"/>
      <c r="EHI70"/>
      <c r="EHJ70"/>
      <c r="EHK70"/>
      <c r="EHL70"/>
      <c r="EHM70"/>
      <c r="EHN70"/>
      <c r="EHO70"/>
      <c r="EHP70"/>
      <c r="EHQ70"/>
      <c r="EHR70"/>
      <c r="EHS70"/>
      <c r="EHT70"/>
      <c r="EHU70"/>
      <c r="EHV70"/>
      <c r="EHW70"/>
      <c r="EHX70"/>
      <c r="EHY70"/>
      <c r="EHZ70"/>
      <c r="EIA70"/>
      <c r="EIB70"/>
      <c r="EIC70"/>
      <c r="EID70"/>
      <c r="EIE70"/>
      <c r="EIF70"/>
      <c r="EIG70"/>
      <c r="EIH70"/>
      <c r="EII70"/>
      <c r="EIJ70"/>
      <c r="EIK70"/>
      <c r="EIL70"/>
      <c r="EIM70"/>
      <c r="EIN70"/>
      <c r="EIO70"/>
      <c r="EIP70"/>
      <c r="EIQ70"/>
      <c r="EIR70"/>
      <c r="EIS70"/>
      <c r="EIT70"/>
      <c r="EIU70"/>
      <c r="EIV70"/>
      <c r="EIW70"/>
      <c r="EIX70"/>
      <c r="EIY70"/>
      <c r="EIZ70"/>
      <c r="EJA70"/>
      <c r="EJB70"/>
      <c r="EJC70"/>
      <c r="EJD70"/>
      <c r="EJE70"/>
      <c r="EJF70"/>
      <c r="EJG70"/>
      <c r="EJH70"/>
      <c r="EJI70"/>
      <c r="EJJ70"/>
      <c r="EJK70"/>
      <c r="EJL70"/>
      <c r="EJM70"/>
      <c r="EJN70"/>
      <c r="EJO70"/>
      <c r="EJP70"/>
      <c r="EJQ70"/>
      <c r="EJR70"/>
      <c r="EJS70"/>
      <c r="EJT70"/>
      <c r="EJU70"/>
      <c r="EJV70"/>
      <c r="EJW70"/>
      <c r="EJX70"/>
      <c r="EJY70"/>
      <c r="EJZ70"/>
      <c r="EKA70"/>
      <c r="EKB70"/>
      <c r="EKC70"/>
      <c r="EKD70"/>
      <c r="EKE70"/>
      <c r="EKF70"/>
      <c r="EKG70"/>
      <c r="EKH70"/>
      <c r="EKI70"/>
      <c r="EKJ70"/>
      <c r="EKK70"/>
      <c r="EKL70"/>
      <c r="EKM70"/>
      <c r="EKN70"/>
      <c r="EKO70"/>
      <c r="EKP70"/>
      <c r="EKQ70"/>
      <c r="EKR70"/>
      <c r="EKS70"/>
      <c r="EKT70"/>
      <c r="EKU70"/>
      <c r="EKV70"/>
      <c r="EKW70"/>
      <c r="EKX70"/>
      <c r="EKY70"/>
      <c r="EKZ70"/>
      <c r="ELA70"/>
      <c r="ELB70"/>
      <c r="ELC70"/>
      <c r="ELD70"/>
      <c r="ELE70"/>
      <c r="ELF70"/>
      <c r="ELG70"/>
      <c r="ELH70"/>
      <c r="ELI70"/>
      <c r="ELJ70"/>
      <c r="ELK70"/>
      <c r="ELL70"/>
      <c r="ELM70"/>
      <c r="ELN70"/>
      <c r="ELO70"/>
      <c r="ELP70"/>
      <c r="ELQ70"/>
      <c r="ELR70"/>
      <c r="ELS70"/>
      <c r="ELT70"/>
      <c r="ELU70"/>
      <c r="ELV70"/>
      <c r="ELW70"/>
      <c r="ELX70"/>
      <c r="ELY70"/>
      <c r="ELZ70"/>
      <c r="EMA70"/>
      <c r="EMB70"/>
      <c r="EMC70"/>
      <c r="EMD70"/>
      <c r="EME70"/>
      <c r="EMF70"/>
      <c r="EMG70"/>
      <c r="EMH70"/>
      <c r="EMI70"/>
      <c r="EMJ70"/>
      <c r="EMK70"/>
      <c r="EML70"/>
      <c r="EMM70"/>
      <c r="EMN70"/>
      <c r="EMO70"/>
      <c r="EMP70"/>
      <c r="EMQ70"/>
      <c r="EMR70"/>
      <c r="EMS70"/>
      <c r="EMT70"/>
      <c r="EMU70"/>
      <c r="EMV70"/>
      <c r="EMW70"/>
      <c r="EMX70"/>
      <c r="EMY70"/>
      <c r="EMZ70"/>
      <c r="ENA70"/>
      <c r="ENB70"/>
      <c r="ENC70"/>
      <c r="END70"/>
      <c r="ENE70"/>
      <c r="ENF70"/>
      <c r="ENG70"/>
      <c r="ENH70"/>
      <c r="ENI70"/>
      <c r="ENJ70"/>
      <c r="ENK70"/>
      <c r="ENL70"/>
      <c r="ENM70"/>
      <c r="ENN70"/>
      <c r="ENO70"/>
      <c r="ENP70"/>
      <c r="ENQ70"/>
      <c r="ENR70"/>
      <c r="ENS70"/>
      <c r="ENT70"/>
      <c r="ENU70"/>
      <c r="ENV70"/>
      <c r="ENW70"/>
      <c r="ENX70"/>
      <c r="ENY70"/>
      <c r="ENZ70"/>
      <c r="EOA70"/>
      <c r="EOB70"/>
      <c r="EOC70"/>
      <c r="EOD70"/>
      <c r="EOE70"/>
      <c r="EOF70"/>
      <c r="EOG70"/>
      <c r="EOH70"/>
      <c r="EOI70"/>
      <c r="EOJ70"/>
      <c r="EOK70"/>
      <c r="EOL70"/>
      <c r="EOM70"/>
      <c r="EON70"/>
      <c r="EOO70"/>
      <c r="EOP70"/>
      <c r="EOQ70"/>
      <c r="EOR70"/>
      <c r="EOS70"/>
      <c r="EOT70"/>
      <c r="EOU70"/>
      <c r="EOV70"/>
      <c r="EOW70"/>
      <c r="EOX70"/>
      <c r="EOY70"/>
      <c r="EOZ70"/>
      <c r="EPA70"/>
      <c r="EPB70"/>
      <c r="EPC70"/>
      <c r="EPD70"/>
      <c r="EPE70"/>
      <c r="EPF70"/>
      <c r="EPG70"/>
      <c r="EPH70"/>
      <c r="EPI70"/>
      <c r="EPJ70"/>
      <c r="EPK70"/>
      <c r="EPL70"/>
      <c r="EPM70"/>
      <c r="EPN70"/>
      <c r="EPO70"/>
      <c r="EPP70"/>
      <c r="EPQ70"/>
      <c r="EPR70"/>
      <c r="EPS70"/>
      <c r="EPT70"/>
      <c r="EPU70"/>
      <c r="EPV70"/>
      <c r="EPW70"/>
      <c r="EPX70"/>
      <c r="EPY70"/>
      <c r="EPZ70"/>
      <c r="EQA70"/>
      <c r="EQB70"/>
      <c r="EQC70"/>
      <c r="EQD70"/>
      <c r="EQE70"/>
      <c r="EQF70"/>
      <c r="EQG70"/>
      <c r="EQH70"/>
      <c r="EQI70"/>
      <c r="EQJ70"/>
      <c r="EQK70"/>
      <c r="EQL70"/>
      <c r="EQM70"/>
      <c r="EQN70"/>
      <c r="EQO70"/>
      <c r="EQP70"/>
      <c r="EQQ70"/>
      <c r="EQR70"/>
      <c r="EQS70"/>
      <c r="EQT70"/>
      <c r="EQU70"/>
      <c r="EQV70"/>
      <c r="EQW70"/>
      <c r="EQX70"/>
      <c r="EQY70"/>
      <c r="EQZ70"/>
      <c r="ERA70"/>
      <c r="ERB70"/>
      <c r="ERC70"/>
      <c r="ERD70"/>
      <c r="ERE70"/>
      <c r="ERF70"/>
      <c r="ERG70"/>
      <c r="ERH70"/>
      <c r="ERI70"/>
      <c r="ERJ70"/>
      <c r="ERK70"/>
      <c r="ERL70"/>
      <c r="ERM70"/>
      <c r="ERN70"/>
      <c r="ERO70"/>
      <c r="ERP70"/>
      <c r="ERQ70"/>
      <c r="ERR70"/>
      <c r="ERS70"/>
      <c r="ERT70"/>
      <c r="ERU70"/>
      <c r="ERV70"/>
      <c r="ERW70"/>
      <c r="ERX70"/>
      <c r="ERY70"/>
      <c r="ERZ70"/>
      <c r="ESA70"/>
      <c r="ESB70"/>
      <c r="ESC70"/>
      <c r="ESD70"/>
      <c r="ESE70"/>
      <c r="ESF70"/>
      <c r="ESG70"/>
      <c r="ESH70"/>
      <c r="ESI70"/>
      <c r="ESJ70"/>
      <c r="ESK70"/>
      <c r="ESL70"/>
      <c r="ESM70"/>
      <c r="ESN70"/>
      <c r="ESO70"/>
      <c r="ESP70"/>
      <c r="ESQ70"/>
      <c r="ESR70"/>
      <c r="ESS70"/>
      <c r="EST70"/>
      <c r="ESU70"/>
      <c r="ESV70"/>
      <c r="ESW70"/>
      <c r="ESX70"/>
      <c r="ESY70"/>
      <c r="ESZ70"/>
      <c r="ETA70"/>
      <c r="ETB70"/>
      <c r="ETC70"/>
      <c r="ETD70"/>
      <c r="ETE70"/>
      <c r="ETF70"/>
      <c r="ETG70"/>
      <c r="ETH70"/>
      <c r="ETI70"/>
      <c r="ETJ70"/>
      <c r="ETK70"/>
      <c r="ETL70"/>
      <c r="ETM70"/>
      <c r="ETN70"/>
      <c r="ETO70"/>
      <c r="ETP70"/>
      <c r="ETQ70"/>
      <c r="ETR70"/>
      <c r="ETS70"/>
      <c r="ETT70"/>
      <c r="ETU70"/>
      <c r="ETV70"/>
      <c r="ETW70"/>
      <c r="ETX70"/>
      <c r="ETY70"/>
      <c r="ETZ70"/>
      <c r="EUA70"/>
      <c r="EUB70"/>
      <c r="EUC70"/>
      <c r="EUD70"/>
      <c r="EUE70"/>
      <c r="EUF70"/>
      <c r="EUG70"/>
      <c r="EUH70"/>
      <c r="EUI70"/>
      <c r="EUJ70"/>
      <c r="EUK70"/>
      <c r="EUL70"/>
      <c r="EUM70"/>
      <c r="EUN70"/>
      <c r="EUO70"/>
      <c r="EUP70"/>
      <c r="EUQ70"/>
      <c r="EUR70"/>
      <c r="EUS70"/>
      <c r="EUT70"/>
      <c r="EUU70"/>
      <c r="EUV70"/>
      <c r="EUW70"/>
      <c r="EUX70"/>
      <c r="EUY70"/>
      <c r="EUZ70"/>
      <c r="EVA70"/>
      <c r="EVB70"/>
      <c r="EVC70"/>
      <c r="EVD70"/>
      <c r="EVE70"/>
      <c r="EVF70"/>
      <c r="EVG70"/>
      <c r="EVH70"/>
      <c r="EVI70"/>
      <c r="EVJ70"/>
      <c r="EVK70"/>
      <c r="EVL70"/>
      <c r="EVM70"/>
      <c r="EVN70"/>
      <c r="EVO70"/>
      <c r="EVP70"/>
      <c r="EVQ70"/>
      <c r="EVR70"/>
      <c r="EVS70"/>
      <c r="EVT70"/>
      <c r="EVU70"/>
      <c r="EVV70"/>
      <c r="EVW70"/>
      <c r="EVX70"/>
      <c r="EVY70"/>
      <c r="EVZ70"/>
      <c r="EWA70"/>
      <c r="EWB70"/>
      <c r="EWC70"/>
      <c r="EWD70"/>
      <c r="EWE70"/>
      <c r="EWF70"/>
      <c r="EWG70"/>
      <c r="EWH70"/>
      <c r="EWI70"/>
      <c r="EWJ70"/>
      <c r="EWK70"/>
      <c r="EWL70"/>
      <c r="EWM70"/>
      <c r="EWN70"/>
      <c r="EWO70"/>
      <c r="EWP70"/>
      <c r="EWQ70"/>
      <c r="EWR70"/>
      <c r="EWS70"/>
      <c r="EWT70"/>
      <c r="EWU70"/>
      <c r="EWV70"/>
      <c r="EWW70"/>
      <c r="EWX70"/>
      <c r="EWY70"/>
      <c r="EWZ70"/>
      <c r="EXA70"/>
      <c r="EXB70"/>
      <c r="EXC70"/>
      <c r="EXD70"/>
      <c r="EXE70"/>
      <c r="EXF70"/>
      <c r="EXG70"/>
      <c r="EXH70"/>
      <c r="EXI70"/>
      <c r="EXJ70"/>
      <c r="EXK70"/>
      <c r="EXL70"/>
      <c r="EXM70"/>
      <c r="EXN70"/>
      <c r="EXO70"/>
      <c r="EXP70"/>
      <c r="EXQ70"/>
      <c r="EXR70"/>
      <c r="EXS70"/>
      <c r="EXT70"/>
      <c r="EXU70"/>
      <c r="EXV70"/>
      <c r="EXW70"/>
      <c r="EXX70"/>
      <c r="EXY70"/>
      <c r="EXZ70"/>
      <c r="EYA70"/>
      <c r="EYB70"/>
      <c r="EYC70"/>
      <c r="EYD70"/>
      <c r="EYE70"/>
      <c r="EYF70"/>
      <c r="EYG70"/>
      <c r="EYH70"/>
      <c r="EYI70"/>
      <c r="EYJ70"/>
      <c r="EYK70"/>
      <c r="EYL70"/>
      <c r="EYM70"/>
      <c r="EYN70"/>
      <c r="EYO70"/>
      <c r="EYP70"/>
      <c r="EYQ70"/>
      <c r="EYR70"/>
      <c r="EYS70"/>
      <c r="EYT70"/>
      <c r="EYU70"/>
      <c r="EYV70"/>
      <c r="EYW70"/>
      <c r="EYX70"/>
      <c r="EYY70"/>
      <c r="EYZ70"/>
      <c r="EZA70"/>
      <c r="EZB70"/>
      <c r="EZC70"/>
      <c r="EZD70"/>
      <c r="EZE70"/>
      <c r="EZF70"/>
      <c r="EZG70"/>
      <c r="EZH70"/>
      <c r="EZI70"/>
      <c r="EZJ70"/>
      <c r="EZK70"/>
      <c r="EZL70"/>
      <c r="EZM70"/>
      <c r="EZN70"/>
      <c r="EZO70"/>
      <c r="EZP70"/>
      <c r="EZQ70"/>
      <c r="EZR70"/>
      <c r="EZS70"/>
      <c r="EZT70"/>
      <c r="EZU70"/>
      <c r="EZV70"/>
      <c r="EZW70"/>
      <c r="EZX70"/>
      <c r="EZY70"/>
      <c r="EZZ70"/>
      <c r="FAA70"/>
      <c r="FAB70"/>
      <c r="FAC70"/>
      <c r="FAD70"/>
      <c r="FAE70"/>
      <c r="FAF70"/>
      <c r="FAG70"/>
      <c r="FAH70"/>
      <c r="FAI70"/>
      <c r="FAJ70"/>
      <c r="FAK70"/>
      <c r="FAL70"/>
      <c r="FAM70"/>
      <c r="FAN70"/>
      <c r="FAO70"/>
      <c r="FAP70"/>
      <c r="FAQ70"/>
      <c r="FAR70"/>
      <c r="FAS70"/>
      <c r="FAT70"/>
      <c r="FAU70"/>
      <c r="FAV70"/>
      <c r="FAW70"/>
      <c r="FAX70"/>
      <c r="FAY70"/>
      <c r="FAZ70"/>
      <c r="FBA70"/>
      <c r="FBB70"/>
      <c r="FBC70"/>
      <c r="FBD70"/>
      <c r="FBE70"/>
      <c r="FBF70"/>
      <c r="FBG70"/>
      <c r="FBH70"/>
      <c r="FBI70"/>
      <c r="FBJ70"/>
      <c r="FBK70"/>
      <c r="FBL70"/>
      <c r="FBM70"/>
      <c r="FBN70"/>
      <c r="FBO70"/>
      <c r="FBP70"/>
      <c r="FBQ70"/>
      <c r="FBR70"/>
      <c r="FBS70"/>
      <c r="FBT70"/>
      <c r="FBU70"/>
      <c r="FBV70"/>
      <c r="FBW70"/>
      <c r="FBX70"/>
      <c r="FBY70"/>
      <c r="FBZ70"/>
      <c r="FCA70"/>
      <c r="FCB70"/>
      <c r="FCC70"/>
      <c r="FCD70"/>
      <c r="FCE70"/>
      <c r="FCF70"/>
      <c r="FCG70"/>
      <c r="FCH70"/>
      <c r="FCI70"/>
      <c r="FCJ70"/>
      <c r="FCK70"/>
      <c r="FCL70"/>
      <c r="FCM70"/>
      <c r="FCN70"/>
      <c r="FCO70"/>
      <c r="FCP70"/>
      <c r="FCQ70"/>
      <c r="FCR70"/>
      <c r="FCS70"/>
      <c r="FCT70"/>
      <c r="FCU70"/>
      <c r="FCV70"/>
      <c r="FCW70"/>
      <c r="FCX70"/>
      <c r="FCY70"/>
      <c r="FCZ70"/>
      <c r="FDA70"/>
      <c r="FDB70"/>
      <c r="FDC70"/>
      <c r="FDD70"/>
      <c r="FDE70"/>
      <c r="FDF70"/>
      <c r="FDG70"/>
      <c r="FDH70"/>
      <c r="FDI70"/>
      <c r="FDJ70"/>
      <c r="FDK70"/>
      <c r="FDL70"/>
      <c r="FDM70"/>
      <c r="FDN70"/>
      <c r="FDO70"/>
      <c r="FDP70"/>
      <c r="FDQ70"/>
      <c r="FDR70"/>
      <c r="FDS70"/>
      <c r="FDT70"/>
      <c r="FDU70"/>
      <c r="FDV70"/>
      <c r="FDW70"/>
      <c r="FDX70"/>
      <c r="FDY70"/>
      <c r="FDZ70"/>
      <c r="FEA70"/>
      <c r="FEB70"/>
      <c r="FEC70"/>
      <c r="FED70"/>
      <c r="FEE70"/>
      <c r="FEF70"/>
      <c r="FEG70"/>
      <c r="FEH70"/>
      <c r="FEI70"/>
      <c r="FEJ70"/>
      <c r="FEK70"/>
      <c r="FEL70"/>
      <c r="FEM70"/>
      <c r="FEN70"/>
      <c r="FEO70"/>
      <c r="FEP70"/>
      <c r="FEQ70"/>
      <c r="FER70"/>
      <c r="FES70"/>
      <c r="FET70"/>
      <c r="FEU70"/>
      <c r="FEV70"/>
      <c r="FEW70"/>
      <c r="FEX70"/>
      <c r="FEY70"/>
      <c r="FEZ70"/>
      <c r="FFA70"/>
      <c r="FFB70"/>
      <c r="FFC70"/>
      <c r="FFD70"/>
      <c r="FFE70"/>
      <c r="FFF70"/>
      <c r="FFG70"/>
      <c r="FFH70"/>
      <c r="FFI70"/>
      <c r="FFJ70"/>
      <c r="FFK70"/>
      <c r="FFL70"/>
      <c r="FFM70"/>
      <c r="FFN70"/>
      <c r="FFO70"/>
      <c r="FFP70"/>
      <c r="FFQ70"/>
      <c r="FFR70"/>
      <c r="FFS70"/>
      <c r="FFT70"/>
      <c r="FFU70"/>
      <c r="FFV70"/>
      <c r="FFW70"/>
      <c r="FFX70"/>
      <c r="FFY70"/>
      <c r="FFZ70"/>
      <c r="FGA70"/>
      <c r="FGB70"/>
      <c r="FGC70"/>
      <c r="FGD70"/>
      <c r="FGE70"/>
      <c r="FGF70"/>
      <c r="FGG70"/>
      <c r="FGH70"/>
      <c r="FGI70"/>
      <c r="FGJ70"/>
      <c r="FGK70"/>
      <c r="FGL70"/>
      <c r="FGM70"/>
      <c r="FGN70"/>
      <c r="FGO70"/>
      <c r="FGP70"/>
      <c r="FGQ70"/>
      <c r="FGR70"/>
      <c r="FGS70"/>
      <c r="FGT70"/>
      <c r="FGU70"/>
      <c r="FGV70"/>
      <c r="FGW70"/>
      <c r="FGX70"/>
      <c r="FGY70"/>
      <c r="FGZ70"/>
      <c r="FHA70"/>
      <c r="FHB70"/>
      <c r="FHC70"/>
      <c r="FHD70"/>
      <c r="FHE70"/>
      <c r="FHF70"/>
      <c r="FHG70"/>
      <c r="FHH70"/>
      <c r="FHI70"/>
      <c r="FHJ70"/>
      <c r="FHK70"/>
      <c r="FHL70"/>
      <c r="FHM70"/>
      <c r="FHN70"/>
      <c r="FHO70"/>
      <c r="FHP70"/>
      <c r="FHQ70"/>
      <c r="FHR70"/>
      <c r="FHS70"/>
      <c r="FHT70"/>
      <c r="FHU70"/>
      <c r="FHV70"/>
      <c r="FHW70"/>
      <c r="FHX70"/>
      <c r="FHY70"/>
      <c r="FHZ70"/>
      <c r="FIA70"/>
      <c r="FIB70"/>
      <c r="FIC70"/>
      <c r="FID70"/>
      <c r="FIE70"/>
      <c r="FIF70"/>
      <c r="FIG70"/>
      <c r="FIH70"/>
      <c r="FII70"/>
      <c r="FIJ70"/>
      <c r="FIK70"/>
      <c r="FIL70"/>
      <c r="FIM70"/>
      <c r="FIN70"/>
      <c r="FIO70"/>
      <c r="FIP70"/>
      <c r="FIQ70"/>
      <c r="FIR70"/>
      <c r="FIS70"/>
      <c r="FIT70"/>
      <c r="FIU70"/>
      <c r="FIV70"/>
      <c r="FIW70"/>
      <c r="FIX70"/>
      <c r="FIY70"/>
      <c r="FIZ70"/>
      <c r="FJA70"/>
      <c r="FJB70"/>
      <c r="FJC70"/>
      <c r="FJD70"/>
      <c r="FJE70"/>
      <c r="FJF70"/>
      <c r="FJG70"/>
      <c r="FJH70"/>
      <c r="FJI70"/>
      <c r="FJJ70"/>
      <c r="FJK70"/>
      <c r="FJL70"/>
      <c r="FJM70"/>
      <c r="FJN70"/>
      <c r="FJO70"/>
      <c r="FJP70"/>
      <c r="FJQ70"/>
      <c r="FJR70"/>
      <c r="FJS70"/>
      <c r="FJT70"/>
      <c r="FJU70"/>
      <c r="FJV70"/>
      <c r="FJW70"/>
      <c r="FJX70"/>
      <c r="FJY70"/>
      <c r="FJZ70"/>
      <c r="FKA70"/>
      <c r="FKB70"/>
      <c r="FKC70"/>
      <c r="FKD70"/>
      <c r="FKE70"/>
      <c r="FKF70"/>
      <c r="FKG70"/>
      <c r="FKH70"/>
      <c r="FKI70"/>
      <c r="FKJ70"/>
      <c r="FKK70"/>
      <c r="FKL70"/>
      <c r="FKM70"/>
      <c r="FKN70"/>
      <c r="FKO70"/>
      <c r="FKP70"/>
      <c r="FKQ70"/>
      <c r="FKR70"/>
      <c r="FKS70"/>
      <c r="FKT70"/>
      <c r="FKU70"/>
      <c r="FKV70"/>
      <c r="FKW70"/>
      <c r="FKX70"/>
      <c r="FKY70"/>
      <c r="FKZ70"/>
      <c r="FLA70"/>
      <c r="FLB70"/>
      <c r="FLC70"/>
      <c r="FLD70"/>
      <c r="FLE70"/>
      <c r="FLF70"/>
      <c r="FLG70"/>
      <c r="FLH70"/>
      <c r="FLI70"/>
      <c r="FLJ70"/>
      <c r="FLK70"/>
      <c r="FLL70"/>
      <c r="FLM70"/>
      <c r="FLN70"/>
      <c r="FLO70"/>
      <c r="FLP70"/>
      <c r="FLQ70"/>
      <c r="FLR70"/>
      <c r="FLS70"/>
      <c r="FLT70"/>
      <c r="FLU70"/>
      <c r="FLV70"/>
      <c r="FLW70"/>
      <c r="FLX70"/>
      <c r="FLY70"/>
      <c r="FLZ70"/>
      <c r="FMA70"/>
      <c r="FMB70"/>
      <c r="FMC70"/>
      <c r="FMD70"/>
      <c r="FME70"/>
      <c r="FMF70"/>
      <c r="FMG70"/>
      <c r="FMH70"/>
      <c r="FMI70"/>
      <c r="FMJ70"/>
      <c r="FMK70"/>
      <c r="FML70"/>
      <c r="FMM70"/>
      <c r="FMN70"/>
      <c r="FMO70"/>
      <c r="FMP70"/>
      <c r="FMQ70"/>
      <c r="FMR70"/>
      <c r="FMS70"/>
      <c r="FMT70"/>
      <c r="FMU70"/>
      <c r="FMV70"/>
      <c r="FMW70"/>
      <c r="FMX70"/>
      <c r="FMY70"/>
      <c r="FMZ70"/>
      <c r="FNA70"/>
      <c r="FNB70"/>
      <c r="FNC70"/>
      <c r="FND70"/>
      <c r="FNE70"/>
      <c r="FNF70"/>
      <c r="FNG70"/>
      <c r="FNH70"/>
      <c r="FNI70"/>
      <c r="FNJ70"/>
      <c r="FNK70"/>
      <c r="FNL70"/>
      <c r="FNM70"/>
      <c r="FNN70"/>
      <c r="FNO70"/>
      <c r="FNP70"/>
      <c r="FNQ70"/>
      <c r="FNR70"/>
      <c r="FNS70"/>
      <c r="FNT70"/>
      <c r="FNU70"/>
      <c r="FNV70"/>
      <c r="FNW70"/>
      <c r="FNX70"/>
      <c r="FNY70"/>
      <c r="FNZ70"/>
      <c r="FOA70"/>
      <c r="FOB70"/>
      <c r="FOC70"/>
      <c r="FOD70"/>
      <c r="FOE70"/>
      <c r="FOF70"/>
      <c r="FOG70"/>
      <c r="FOH70"/>
      <c r="FOI70"/>
      <c r="FOJ70"/>
      <c r="FOK70"/>
      <c r="FOL70"/>
      <c r="FOM70"/>
      <c r="FON70"/>
      <c r="FOO70"/>
      <c r="FOP70"/>
      <c r="FOQ70"/>
      <c r="FOR70"/>
      <c r="FOS70"/>
      <c r="FOT70"/>
      <c r="FOU70"/>
      <c r="FOV70"/>
      <c r="FOW70"/>
      <c r="FOX70"/>
      <c r="FOY70"/>
      <c r="FOZ70"/>
      <c r="FPA70"/>
      <c r="FPB70"/>
      <c r="FPC70"/>
      <c r="FPD70"/>
      <c r="FPE70"/>
      <c r="FPF70"/>
      <c r="FPG70"/>
      <c r="FPH70"/>
      <c r="FPI70"/>
      <c r="FPJ70"/>
      <c r="FPK70"/>
      <c r="FPL70"/>
      <c r="FPM70"/>
      <c r="FPN70"/>
      <c r="FPO70"/>
      <c r="FPP70"/>
      <c r="FPQ70"/>
      <c r="FPR70"/>
      <c r="FPS70"/>
      <c r="FPT70"/>
      <c r="FPU70"/>
      <c r="FPV70"/>
      <c r="FPW70"/>
      <c r="FPX70"/>
      <c r="FPY70"/>
      <c r="FPZ70"/>
      <c r="FQA70"/>
      <c r="FQB70"/>
      <c r="FQC70"/>
      <c r="FQD70"/>
      <c r="FQE70"/>
      <c r="FQF70"/>
      <c r="FQG70"/>
      <c r="FQH70"/>
      <c r="FQI70"/>
      <c r="FQJ70"/>
      <c r="FQK70"/>
      <c r="FQL70"/>
      <c r="FQM70"/>
      <c r="FQN70"/>
      <c r="FQO70"/>
      <c r="FQP70"/>
      <c r="FQQ70"/>
      <c r="FQR70"/>
      <c r="FQS70"/>
      <c r="FQT70"/>
      <c r="FQU70"/>
      <c r="FQV70"/>
      <c r="FQW70"/>
      <c r="FQX70"/>
      <c r="FQY70"/>
      <c r="FQZ70"/>
      <c r="FRA70"/>
      <c r="FRB70"/>
      <c r="FRC70"/>
      <c r="FRD70"/>
      <c r="FRE70"/>
      <c r="FRF70"/>
      <c r="FRG70"/>
      <c r="FRH70"/>
      <c r="FRI70"/>
      <c r="FRJ70"/>
      <c r="FRK70"/>
      <c r="FRL70"/>
      <c r="FRM70"/>
      <c r="FRN70"/>
      <c r="FRO70"/>
      <c r="FRP70"/>
      <c r="FRQ70"/>
      <c r="FRR70"/>
      <c r="FRS70"/>
      <c r="FRT70"/>
      <c r="FRU70"/>
      <c r="FRV70"/>
      <c r="FRW70"/>
      <c r="FRX70"/>
      <c r="FRY70"/>
      <c r="FRZ70"/>
      <c r="FSA70"/>
      <c r="FSB70"/>
      <c r="FSC70"/>
      <c r="FSD70"/>
      <c r="FSE70"/>
      <c r="FSF70"/>
      <c r="FSG70"/>
      <c r="FSH70"/>
      <c r="FSI70"/>
      <c r="FSJ70"/>
      <c r="FSK70"/>
      <c r="FSL70"/>
      <c r="FSM70"/>
      <c r="FSN70"/>
      <c r="FSO70"/>
      <c r="FSP70"/>
      <c r="FSQ70"/>
      <c r="FSR70"/>
      <c r="FSS70"/>
      <c r="FST70"/>
      <c r="FSU70"/>
      <c r="FSV70"/>
      <c r="FSW70"/>
      <c r="FSX70"/>
      <c r="FSY70"/>
      <c r="FSZ70"/>
      <c r="FTA70"/>
      <c r="FTB70"/>
      <c r="FTC70"/>
      <c r="FTD70"/>
      <c r="FTE70"/>
      <c r="FTF70"/>
      <c r="FTG70"/>
      <c r="FTH70"/>
      <c r="FTI70"/>
      <c r="FTJ70"/>
      <c r="FTK70"/>
      <c r="FTL70"/>
      <c r="FTM70"/>
      <c r="FTN70"/>
      <c r="FTO70"/>
      <c r="FTP70"/>
      <c r="FTQ70"/>
      <c r="FTR70"/>
      <c r="FTS70"/>
      <c r="FTT70"/>
      <c r="FTU70"/>
      <c r="FTV70"/>
      <c r="FTW70"/>
      <c r="FTX70"/>
      <c r="FTY70"/>
      <c r="FTZ70"/>
      <c r="FUA70"/>
      <c r="FUB70"/>
      <c r="FUC70"/>
      <c r="FUD70"/>
      <c r="FUE70"/>
      <c r="FUF70"/>
      <c r="FUG70"/>
      <c r="FUH70"/>
      <c r="FUI70"/>
      <c r="FUJ70"/>
      <c r="FUK70"/>
      <c r="FUL70"/>
      <c r="FUM70"/>
      <c r="FUN70"/>
      <c r="FUO70"/>
      <c r="FUP70"/>
      <c r="FUQ70"/>
      <c r="FUR70"/>
      <c r="FUS70"/>
      <c r="FUT70"/>
      <c r="FUU70"/>
      <c r="FUV70"/>
      <c r="FUW70"/>
      <c r="FUX70"/>
      <c r="FUY70"/>
      <c r="FUZ70"/>
      <c r="FVA70"/>
      <c r="FVB70"/>
      <c r="FVC70"/>
      <c r="FVD70"/>
      <c r="FVE70"/>
      <c r="FVF70"/>
      <c r="FVG70"/>
      <c r="FVH70"/>
      <c r="FVI70"/>
      <c r="FVJ70"/>
      <c r="FVK70"/>
      <c r="FVL70"/>
      <c r="FVM70"/>
      <c r="FVN70"/>
      <c r="FVO70"/>
      <c r="FVP70"/>
      <c r="FVQ70"/>
      <c r="FVR70"/>
      <c r="FVS70"/>
      <c r="FVT70"/>
      <c r="FVU70"/>
      <c r="FVV70"/>
      <c r="FVW70"/>
      <c r="FVX70"/>
      <c r="FVY70"/>
      <c r="FVZ70"/>
      <c r="FWA70"/>
      <c r="FWB70"/>
      <c r="FWC70"/>
      <c r="FWD70"/>
      <c r="FWE70"/>
      <c r="FWF70"/>
      <c r="FWG70"/>
      <c r="FWH70"/>
      <c r="FWI70"/>
      <c r="FWJ70"/>
      <c r="FWK70"/>
      <c r="FWL70"/>
      <c r="FWM70"/>
      <c r="FWN70"/>
      <c r="FWO70"/>
      <c r="FWP70"/>
      <c r="FWQ70"/>
      <c r="FWR70"/>
      <c r="FWS70"/>
      <c r="FWT70"/>
      <c r="FWU70"/>
      <c r="FWV70"/>
      <c r="FWW70"/>
      <c r="FWX70"/>
      <c r="FWY70"/>
      <c r="FWZ70"/>
      <c r="FXA70"/>
      <c r="FXB70"/>
      <c r="FXC70"/>
      <c r="FXD70"/>
      <c r="FXE70"/>
      <c r="FXF70"/>
      <c r="FXG70"/>
      <c r="FXH70"/>
      <c r="FXI70"/>
      <c r="FXJ70"/>
      <c r="FXK70"/>
      <c r="FXL70"/>
      <c r="FXM70"/>
      <c r="FXN70"/>
      <c r="FXO70"/>
      <c r="FXP70"/>
      <c r="FXQ70"/>
      <c r="FXR70"/>
      <c r="FXS70"/>
      <c r="FXT70"/>
      <c r="FXU70"/>
      <c r="FXV70"/>
      <c r="FXW70"/>
      <c r="FXX70"/>
      <c r="FXY70"/>
      <c r="FXZ70"/>
      <c r="FYA70"/>
      <c r="FYB70"/>
      <c r="FYC70"/>
      <c r="FYD70"/>
      <c r="FYE70"/>
      <c r="FYF70"/>
      <c r="FYG70"/>
      <c r="FYH70"/>
      <c r="FYI70"/>
      <c r="FYJ70"/>
      <c r="FYK70"/>
      <c r="FYL70"/>
      <c r="FYM70"/>
      <c r="FYN70"/>
      <c r="FYO70"/>
      <c r="FYP70"/>
      <c r="FYQ70"/>
      <c r="FYR70"/>
      <c r="FYS70"/>
      <c r="FYT70"/>
      <c r="FYU70"/>
      <c r="FYV70"/>
      <c r="FYW70"/>
      <c r="FYX70"/>
      <c r="FYY70"/>
      <c r="FYZ70"/>
      <c r="FZA70"/>
      <c r="FZB70"/>
      <c r="FZC70"/>
      <c r="FZD70"/>
      <c r="FZE70"/>
      <c r="FZF70"/>
      <c r="FZG70"/>
      <c r="FZH70"/>
      <c r="FZI70"/>
      <c r="FZJ70"/>
      <c r="FZK70"/>
      <c r="FZL70"/>
      <c r="FZM70"/>
      <c r="FZN70"/>
      <c r="FZO70"/>
      <c r="FZP70"/>
      <c r="FZQ70"/>
      <c r="FZR70"/>
      <c r="FZS70"/>
      <c r="FZT70"/>
      <c r="FZU70"/>
      <c r="FZV70"/>
      <c r="FZW70"/>
      <c r="FZX70"/>
      <c r="FZY70"/>
      <c r="FZZ70"/>
      <c r="GAA70"/>
      <c r="GAB70"/>
      <c r="GAC70"/>
      <c r="GAD70"/>
      <c r="GAE70"/>
      <c r="GAF70"/>
      <c r="GAG70"/>
      <c r="GAH70"/>
      <c r="GAI70"/>
      <c r="GAJ70"/>
      <c r="GAK70"/>
      <c r="GAL70"/>
      <c r="GAM70"/>
      <c r="GAN70"/>
      <c r="GAO70"/>
      <c r="GAP70"/>
      <c r="GAQ70"/>
      <c r="GAR70"/>
      <c r="GAS70"/>
      <c r="GAT70"/>
      <c r="GAU70"/>
      <c r="GAV70"/>
      <c r="GAW70"/>
      <c r="GAX70"/>
      <c r="GAY70"/>
      <c r="GAZ70"/>
      <c r="GBA70"/>
      <c r="GBB70"/>
      <c r="GBC70"/>
      <c r="GBD70"/>
      <c r="GBE70"/>
      <c r="GBF70"/>
      <c r="GBG70"/>
      <c r="GBH70"/>
      <c r="GBI70"/>
      <c r="GBJ70"/>
      <c r="GBK70"/>
      <c r="GBL70"/>
      <c r="GBM70"/>
      <c r="GBN70"/>
      <c r="GBO70"/>
      <c r="GBP70"/>
      <c r="GBQ70"/>
      <c r="GBR70"/>
      <c r="GBS70"/>
      <c r="GBT70"/>
      <c r="GBU70"/>
      <c r="GBV70"/>
      <c r="GBW70"/>
      <c r="GBX70"/>
      <c r="GBY70"/>
      <c r="GBZ70"/>
      <c r="GCA70"/>
      <c r="GCB70"/>
      <c r="GCC70"/>
      <c r="GCD70"/>
      <c r="GCE70"/>
      <c r="GCF70"/>
      <c r="GCG70"/>
      <c r="GCH70"/>
      <c r="GCI70"/>
      <c r="GCJ70"/>
      <c r="GCK70"/>
      <c r="GCL70"/>
      <c r="GCM70"/>
      <c r="GCN70"/>
      <c r="GCO70"/>
      <c r="GCP70"/>
      <c r="GCQ70"/>
      <c r="GCR70"/>
      <c r="GCS70"/>
      <c r="GCT70"/>
      <c r="GCU70"/>
      <c r="GCV70"/>
      <c r="GCW70"/>
      <c r="GCX70"/>
      <c r="GCY70"/>
      <c r="GCZ70"/>
      <c r="GDA70"/>
      <c r="GDB70"/>
      <c r="GDC70"/>
      <c r="GDD70"/>
      <c r="GDE70"/>
      <c r="GDF70"/>
      <c r="GDG70"/>
      <c r="GDH70"/>
      <c r="GDI70"/>
      <c r="GDJ70"/>
      <c r="GDK70"/>
      <c r="GDL70"/>
      <c r="GDM70"/>
      <c r="GDN70"/>
      <c r="GDO70"/>
      <c r="GDP70"/>
      <c r="GDQ70"/>
      <c r="GDR70"/>
      <c r="GDS70"/>
      <c r="GDT70"/>
      <c r="GDU70"/>
      <c r="GDV70"/>
      <c r="GDW70"/>
      <c r="GDX70"/>
      <c r="GDY70"/>
      <c r="GDZ70"/>
      <c r="GEA70"/>
      <c r="GEB70"/>
      <c r="GEC70"/>
      <c r="GED70"/>
      <c r="GEE70"/>
      <c r="GEF70"/>
      <c r="GEG70"/>
      <c r="GEH70"/>
      <c r="GEI70"/>
      <c r="GEJ70"/>
      <c r="GEK70"/>
      <c r="GEL70"/>
      <c r="GEM70"/>
      <c r="GEN70"/>
      <c r="GEO70"/>
      <c r="GEP70"/>
      <c r="GEQ70"/>
      <c r="GER70"/>
      <c r="GES70"/>
      <c r="GET70"/>
      <c r="GEU70"/>
      <c r="GEV70"/>
      <c r="GEW70"/>
      <c r="GEX70"/>
      <c r="GEY70"/>
      <c r="GEZ70"/>
      <c r="GFA70"/>
      <c r="GFB70"/>
      <c r="GFC70"/>
      <c r="GFD70"/>
      <c r="GFE70"/>
      <c r="GFF70"/>
      <c r="GFG70"/>
      <c r="GFH70"/>
      <c r="GFI70"/>
      <c r="GFJ70"/>
      <c r="GFK70"/>
      <c r="GFL70"/>
      <c r="GFM70"/>
      <c r="GFN70"/>
      <c r="GFO70"/>
      <c r="GFP70"/>
      <c r="GFQ70"/>
      <c r="GFR70"/>
      <c r="GFS70"/>
      <c r="GFT70"/>
      <c r="GFU70"/>
      <c r="GFV70"/>
      <c r="GFW70"/>
      <c r="GFX70"/>
      <c r="GFY70"/>
      <c r="GFZ70"/>
      <c r="GGA70"/>
      <c r="GGB70"/>
      <c r="GGC70"/>
      <c r="GGD70"/>
      <c r="GGE70"/>
      <c r="GGF70"/>
      <c r="GGG70"/>
      <c r="GGH70"/>
      <c r="GGI70"/>
      <c r="GGJ70"/>
      <c r="GGK70"/>
      <c r="GGL70"/>
      <c r="GGM70"/>
      <c r="GGN70"/>
      <c r="GGO70"/>
      <c r="GGP70"/>
      <c r="GGQ70"/>
      <c r="GGR70"/>
      <c r="GGS70"/>
      <c r="GGT70"/>
      <c r="GGU70"/>
      <c r="GGV70"/>
      <c r="GGW70"/>
      <c r="GGX70"/>
      <c r="GGY70"/>
      <c r="GGZ70"/>
      <c r="GHA70"/>
      <c r="GHB70"/>
      <c r="GHC70"/>
      <c r="GHD70"/>
      <c r="GHE70"/>
      <c r="GHF70"/>
      <c r="GHG70"/>
      <c r="GHH70"/>
      <c r="GHI70"/>
      <c r="GHJ70"/>
      <c r="GHK70"/>
      <c r="GHL70"/>
      <c r="GHM70"/>
      <c r="GHN70"/>
      <c r="GHO70"/>
      <c r="GHP70"/>
      <c r="GHQ70"/>
      <c r="GHR70"/>
      <c r="GHS70"/>
      <c r="GHT70"/>
      <c r="GHU70"/>
      <c r="GHV70"/>
      <c r="GHW70"/>
      <c r="GHX70"/>
      <c r="GHY70"/>
      <c r="GHZ70"/>
      <c r="GIA70"/>
      <c r="GIB70"/>
      <c r="GIC70"/>
      <c r="GID70"/>
      <c r="GIE70"/>
      <c r="GIF70"/>
      <c r="GIG70"/>
      <c r="GIH70"/>
      <c r="GII70"/>
      <c r="GIJ70"/>
      <c r="GIK70"/>
      <c r="GIL70"/>
      <c r="GIM70"/>
      <c r="GIN70"/>
      <c r="GIO70"/>
      <c r="GIP70"/>
      <c r="GIQ70"/>
      <c r="GIR70"/>
      <c r="GIS70"/>
      <c r="GIT70"/>
      <c r="GIU70"/>
      <c r="GIV70"/>
      <c r="GIW70"/>
      <c r="GIX70"/>
      <c r="GIY70"/>
      <c r="GIZ70"/>
      <c r="GJA70"/>
      <c r="GJB70"/>
      <c r="GJC70"/>
      <c r="GJD70"/>
      <c r="GJE70"/>
      <c r="GJF70"/>
      <c r="GJG70"/>
      <c r="GJH70"/>
      <c r="GJI70"/>
      <c r="GJJ70"/>
      <c r="GJK70"/>
      <c r="GJL70"/>
      <c r="GJM70"/>
      <c r="GJN70"/>
      <c r="GJO70"/>
      <c r="GJP70"/>
      <c r="GJQ70"/>
      <c r="GJR70"/>
      <c r="GJS70"/>
      <c r="GJT70"/>
      <c r="GJU70"/>
      <c r="GJV70"/>
      <c r="GJW70"/>
      <c r="GJX70"/>
      <c r="GJY70"/>
      <c r="GJZ70"/>
      <c r="GKA70"/>
      <c r="GKB70"/>
      <c r="GKC70"/>
      <c r="GKD70"/>
      <c r="GKE70"/>
      <c r="GKF70"/>
      <c r="GKG70"/>
      <c r="GKH70"/>
      <c r="GKI70"/>
      <c r="GKJ70"/>
      <c r="GKK70"/>
      <c r="GKL70"/>
      <c r="GKM70"/>
      <c r="GKN70"/>
      <c r="GKO70"/>
      <c r="GKP70"/>
      <c r="GKQ70"/>
      <c r="GKR70"/>
      <c r="GKS70"/>
      <c r="GKT70"/>
      <c r="GKU70"/>
      <c r="GKV70"/>
      <c r="GKW70"/>
      <c r="GKX70"/>
      <c r="GKY70"/>
      <c r="GKZ70"/>
      <c r="GLA70"/>
      <c r="GLB70"/>
      <c r="GLC70"/>
      <c r="GLD70"/>
      <c r="GLE70"/>
      <c r="GLF70"/>
      <c r="GLG70"/>
      <c r="GLH70"/>
      <c r="GLI70"/>
      <c r="GLJ70"/>
      <c r="GLK70"/>
      <c r="GLL70"/>
      <c r="GLM70"/>
      <c r="GLN70"/>
      <c r="GLO70"/>
      <c r="GLP70"/>
      <c r="GLQ70"/>
      <c r="GLR70"/>
      <c r="GLS70"/>
      <c r="GLT70"/>
      <c r="GLU70"/>
      <c r="GLV70"/>
      <c r="GLW70"/>
      <c r="GLX70"/>
      <c r="GLY70"/>
      <c r="GLZ70"/>
      <c r="GMA70"/>
      <c r="GMB70"/>
      <c r="GMC70"/>
      <c r="GMD70"/>
      <c r="GME70"/>
      <c r="GMF70"/>
      <c r="GMG70"/>
      <c r="GMH70"/>
      <c r="GMI70"/>
      <c r="GMJ70"/>
      <c r="GMK70"/>
      <c r="GML70"/>
      <c r="GMM70"/>
      <c r="GMN70"/>
      <c r="GMO70"/>
      <c r="GMP70"/>
      <c r="GMQ70"/>
      <c r="GMR70"/>
      <c r="GMS70"/>
      <c r="GMT70"/>
      <c r="GMU70"/>
      <c r="GMV70"/>
      <c r="GMW70"/>
      <c r="GMX70"/>
      <c r="GMY70"/>
      <c r="GMZ70"/>
      <c r="GNA70"/>
      <c r="GNB70"/>
      <c r="GNC70"/>
      <c r="GND70"/>
      <c r="GNE70"/>
      <c r="GNF70"/>
      <c r="GNG70"/>
      <c r="GNH70"/>
      <c r="GNI70"/>
      <c r="GNJ70"/>
      <c r="GNK70"/>
      <c r="GNL70"/>
      <c r="GNM70"/>
      <c r="GNN70"/>
      <c r="GNO70"/>
      <c r="GNP70"/>
      <c r="GNQ70"/>
      <c r="GNR70"/>
      <c r="GNS70"/>
      <c r="GNT70"/>
      <c r="GNU70"/>
      <c r="GNV70"/>
      <c r="GNW70"/>
      <c r="GNX70"/>
      <c r="GNY70"/>
      <c r="GNZ70"/>
      <c r="GOA70"/>
      <c r="GOB70"/>
      <c r="GOC70"/>
      <c r="GOD70"/>
      <c r="GOE70"/>
      <c r="GOF70"/>
      <c r="GOG70"/>
      <c r="GOH70"/>
      <c r="GOI70"/>
      <c r="GOJ70"/>
      <c r="GOK70"/>
      <c r="GOL70"/>
      <c r="GOM70"/>
      <c r="GON70"/>
      <c r="GOO70"/>
      <c r="GOP70"/>
      <c r="GOQ70"/>
      <c r="GOR70"/>
      <c r="GOS70"/>
      <c r="GOT70"/>
      <c r="GOU70"/>
      <c r="GOV70"/>
      <c r="GOW70"/>
      <c r="GOX70"/>
      <c r="GOY70"/>
      <c r="GOZ70"/>
      <c r="GPA70"/>
      <c r="GPB70"/>
      <c r="GPC70"/>
      <c r="GPD70"/>
      <c r="GPE70"/>
      <c r="GPF70"/>
      <c r="GPG70"/>
      <c r="GPH70"/>
      <c r="GPI70"/>
      <c r="GPJ70"/>
      <c r="GPK70"/>
      <c r="GPL70"/>
      <c r="GPM70"/>
      <c r="GPN70"/>
      <c r="GPO70"/>
      <c r="GPP70"/>
      <c r="GPQ70"/>
      <c r="GPR70"/>
      <c r="GPS70"/>
      <c r="GPT70"/>
      <c r="GPU70"/>
      <c r="GPV70"/>
      <c r="GPW70"/>
      <c r="GPX70"/>
      <c r="GPY70"/>
      <c r="GPZ70"/>
      <c r="GQA70"/>
      <c r="GQB70"/>
      <c r="GQC70"/>
      <c r="GQD70"/>
      <c r="GQE70"/>
      <c r="GQF70"/>
      <c r="GQG70"/>
      <c r="GQH70"/>
      <c r="GQI70"/>
      <c r="GQJ70"/>
      <c r="GQK70"/>
      <c r="GQL70"/>
      <c r="GQM70"/>
      <c r="GQN70"/>
      <c r="GQO70"/>
      <c r="GQP70"/>
      <c r="GQQ70"/>
      <c r="GQR70"/>
      <c r="GQS70"/>
      <c r="GQT70"/>
      <c r="GQU70"/>
      <c r="GQV70"/>
      <c r="GQW70"/>
      <c r="GQX70"/>
      <c r="GQY70"/>
      <c r="GQZ70"/>
      <c r="GRA70"/>
      <c r="GRB70"/>
      <c r="GRC70"/>
      <c r="GRD70"/>
      <c r="GRE70"/>
      <c r="GRF70"/>
      <c r="GRG70"/>
      <c r="GRH70"/>
      <c r="GRI70"/>
      <c r="GRJ70"/>
      <c r="GRK70"/>
      <c r="GRL70"/>
      <c r="GRM70"/>
      <c r="GRN70"/>
      <c r="GRO70"/>
      <c r="GRP70"/>
      <c r="GRQ70"/>
      <c r="GRR70"/>
      <c r="GRS70"/>
      <c r="GRT70"/>
      <c r="GRU70"/>
      <c r="GRV70"/>
      <c r="GRW70"/>
      <c r="GRX70"/>
      <c r="GRY70"/>
      <c r="GRZ70"/>
      <c r="GSA70"/>
      <c r="GSB70"/>
      <c r="GSC70"/>
      <c r="GSD70"/>
      <c r="GSE70"/>
      <c r="GSF70"/>
      <c r="GSG70"/>
      <c r="GSH70"/>
      <c r="GSI70"/>
      <c r="GSJ70"/>
      <c r="GSK70"/>
      <c r="GSL70"/>
      <c r="GSM70"/>
      <c r="GSN70"/>
      <c r="GSO70"/>
      <c r="GSP70"/>
      <c r="GSQ70"/>
      <c r="GSR70"/>
      <c r="GSS70"/>
      <c r="GST70"/>
      <c r="GSU70"/>
      <c r="GSV70"/>
      <c r="GSW70"/>
      <c r="GSX70"/>
      <c r="GSY70"/>
      <c r="GSZ70"/>
      <c r="GTA70"/>
      <c r="GTB70"/>
      <c r="GTC70"/>
      <c r="GTD70"/>
      <c r="GTE70"/>
      <c r="GTF70"/>
      <c r="GTG70"/>
      <c r="GTH70"/>
      <c r="GTI70"/>
      <c r="GTJ70"/>
      <c r="GTK70"/>
      <c r="GTL70"/>
      <c r="GTM70"/>
      <c r="GTN70"/>
      <c r="GTO70"/>
      <c r="GTP70"/>
      <c r="GTQ70"/>
      <c r="GTR70"/>
      <c r="GTS70"/>
      <c r="GTT70"/>
      <c r="GTU70"/>
      <c r="GTV70"/>
      <c r="GTW70"/>
      <c r="GTX70"/>
      <c r="GTY70"/>
      <c r="GTZ70"/>
      <c r="GUA70"/>
      <c r="GUB70"/>
      <c r="GUC70"/>
      <c r="GUD70"/>
      <c r="GUE70"/>
      <c r="GUF70"/>
      <c r="GUG70"/>
      <c r="GUH70"/>
      <c r="GUI70"/>
      <c r="GUJ70"/>
      <c r="GUK70"/>
      <c r="GUL70"/>
      <c r="GUM70"/>
      <c r="GUN70"/>
      <c r="GUO70"/>
      <c r="GUP70"/>
      <c r="GUQ70"/>
      <c r="GUR70"/>
      <c r="GUS70"/>
      <c r="GUT70"/>
      <c r="GUU70"/>
      <c r="GUV70"/>
      <c r="GUW70"/>
      <c r="GUX70"/>
      <c r="GUY70"/>
      <c r="GUZ70"/>
      <c r="GVA70"/>
      <c r="GVB70"/>
      <c r="GVC70"/>
      <c r="GVD70"/>
      <c r="GVE70"/>
      <c r="GVF70"/>
      <c r="GVG70"/>
      <c r="GVH70"/>
      <c r="GVI70"/>
      <c r="GVJ70"/>
      <c r="GVK70"/>
      <c r="GVL70"/>
      <c r="GVM70"/>
      <c r="GVN70"/>
      <c r="GVO70"/>
      <c r="GVP70"/>
      <c r="GVQ70"/>
      <c r="GVR70"/>
      <c r="GVS70"/>
      <c r="GVT70"/>
      <c r="GVU70"/>
      <c r="GVV70"/>
      <c r="GVW70"/>
      <c r="GVX70"/>
      <c r="GVY70"/>
      <c r="GVZ70"/>
      <c r="GWA70"/>
      <c r="GWB70"/>
      <c r="GWC70"/>
      <c r="GWD70"/>
      <c r="GWE70"/>
      <c r="GWF70"/>
      <c r="GWG70"/>
      <c r="GWH70"/>
      <c r="GWI70"/>
      <c r="GWJ70"/>
      <c r="GWK70"/>
      <c r="GWL70"/>
      <c r="GWM70"/>
      <c r="GWN70"/>
      <c r="GWO70"/>
      <c r="GWP70"/>
      <c r="GWQ70"/>
      <c r="GWR70"/>
      <c r="GWS70"/>
      <c r="GWT70"/>
      <c r="GWU70"/>
      <c r="GWV70"/>
      <c r="GWW70"/>
      <c r="GWX70"/>
      <c r="GWY70"/>
      <c r="GWZ70"/>
      <c r="GXA70"/>
      <c r="GXB70"/>
      <c r="GXC70"/>
      <c r="GXD70"/>
      <c r="GXE70"/>
      <c r="GXF70"/>
      <c r="GXG70"/>
      <c r="GXH70"/>
      <c r="GXI70"/>
      <c r="GXJ70"/>
      <c r="GXK70"/>
      <c r="GXL70"/>
      <c r="GXM70"/>
      <c r="GXN70"/>
      <c r="GXO70"/>
      <c r="GXP70"/>
      <c r="GXQ70"/>
      <c r="GXR70"/>
      <c r="GXS70"/>
      <c r="GXT70"/>
      <c r="GXU70"/>
      <c r="GXV70"/>
      <c r="GXW70"/>
      <c r="GXX70"/>
      <c r="GXY70"/>
      <c r="GXZ70"/>
      <c r="GYA70"/>
      <c r="GYB70"/>
      <c r="GYC70"/>
      <c r="GYD70"/>
      <c r="GYE70"/>
      <c r="GYF70"/>
      <c r="GYG70"/>
      <c r="GYH70"/>
      <c r="GYI70"/>
      <c r="GYJ70"/>
      <c r="GYK70"/>
      <c r="GYL70"/>
      <c r="GYM70"/>
      <c r="GYN70"/>
      <c r="GYO70"/>
      <c r="GYP70"/>
      <c r="GYQ70"/>
      <c r="GYR70"/>
      <c r="GYS70"/>
      <c r="GYT70"/>
      <c r="GYU70"/>
      <c r="GYV70"/>
      <c r="GYW70"/>
      <c r="GYX70"/>
      <c r="GYY70"/>
      <c r="GYZ70"/>
      <c r="GZA70"/>
      <c r="GZB70"/>
      <c r="GZC70"/>
      <c r="GZD70"/>
      <c r="GZE70"/>
      <c r="GZF70"/>
      <c r="GZG70"/>
      <c r="GZH70"/>
      <c r="GZI70"/>
      <c r="GZJ70"/>
      <c r="GZK70"/>
      <c r="GZL70"/>
      <c r="GZM70"/>
      <c r="GZN70"/>
      <c r="GZO70"/>
      <c r="GZP70"/>
      <c r="GZQ70"/>
      <c r="GZR70"/>
      <c r="GZS70"/>
      <c r="GZT70"/>
      <c r="GZU70"/>
      <c r="GZV70"/>
      <c r="GZW70"/>
      <c r="GZX70"/>
      <c r="GZY70"/>
      <c r="GZZ70"/>
      <c r="HAA70"/>
      <c r="HAB70"/>
      <c r="HAC70"/>
      <c r="HAD70"/>
      <c r="HAE70"/>
      <c r="HAF70"/>
      <c r="HAG70"/>
      <c r="HAH70"/>
      <c r="HAI70"/>
      <c r="HAJ70"/>
      <c r="HAK70"/>
      <c r="HAL70"/>
      <c r="HAM70"/>
      <c r="HAN70"/>
      <c r="HAO70"/>
      <c r="HAP70"/>
      <c r="HAQ70"/>
      <c r="HAR70"/>
      <c r="HAS70"/>
      <c r="HAT70"/>
      <c r="HAU70"/>
      <c r="HAV70"/>
      <c r="HAW70"/>
      <c r="HAX70"/>
      <c r="HAY70"/>
      <c r="HAZ70"/>
      <c r="HBA70"/>
      <c r="HBB70"/>
      <c r="HBC70"/>
      <c r="HBD70"/>
      <c r="HBE70"/>
      <c r="HBF70"/>
      <c r="HBG70"/>
      <c r="HBH70"/>
      <c r="HBI70"/>
      <c r="HBJ70"/>
      <c r="HBK70"/>
      <c r="HBL70"/>
      <c r="HBM70"/>
      <c r="HBN70"/>
      <c r="HBO70"/>
      <c r="HBP70"/>
      <c r="HBQ70"/>
      <c r="HBR70"/>
      <c r="HBS70"/>
      <c r="HBT70"/>
      <c r="HBU70"/>
      <c r="HBV70"/>
      <c r="HBW70"/>
      <c r="HBX70"/>
      <c r="HBY70"/>
      <c r="HBZ70"/>
      <c r="HCA70"/>
      <c r="HCB70"/>
      <c r="HCC70"/>
      <c r="HCD70"/>
      <c r="HCE70"/>
      <c r="HCF70"/>
      <c r="HCG70"/>
      <c r="HCH70"/>
      <c r="HCI70"/>
      <c r="HCJ70"/>
      <c r="HCK70"/>
      <c r="HCL70"/>
      <c r="HCM70"/>
      <c r="HCN70"/>
      <c r="HCO70"/>
      <c r="HCP70"/>
      <c r="HCQ70"/>
      <c r="HCR70"/>
      <c r="HCS70"/>
      <c r="HCT70"/>
      <c r="HCU70"/>
      <c r="HCV70"/>
      <c r="HCW70"/>
      <c r="HCX70"/>
      <c r="HCY70"/>
      <c r="HCZ70"/>
      <c r="HDA70"/>
      <c r="HDB70"/>
      <c r="HDC70"/>
      <c r="HDD70"/>
      <c r="HDE70"/>
      <c r="HDF70"/>
      <c r="HDG70"/>
      <c r="HDH70"/>
      <c r="HDI70"/>
      <c r="HDJ70"/>
      <c r="HDK70"/>
      <c r="HDL70"/>
      <c r="HDM70"/>
      <c r="HDN70"/>
      <c r="HDO70"/>
      <c r="HDP70"/>
      <c r="HDQ70"/>
      <c r="HDR70"/>
      <c r="HDS70"/>
      <c r="HDT70"/>
      <c r="HDU70"/>
      <c r="HDV70"/>
      <c r="HDW70"/>
      <c r="HDX70"/>
      <c r="HDY70"/>
      <c r="HDZ70"/>
      <c r="HEA70"/>
      <c r="HEB70"/>
      <c r="HEC70"/>
      <c r="HED70"/>
      <c r="HEE70"/>
      <c r="HEF70"/>
      <c r="HEG70"/>
      <c r="HEH70"/>
      <c r="HEI70"/>
      <c r="HEJ70"/>
      <c r="HEK70"/>
      <c r="HEL70"/>
      <c r="HEM70"/>
      <c r="HEN70"/>
      <c r="HEO70"/>
      <c r="HEP70"/>
      <c r="HEQ70"/>
      <c r="HER70"/>
      <c r="HES70"/>
      <c r="HET70"/>
      <c r="HEU70"/>
      <c r="HEV70"/>
      <c r="HEW70"/>
      <c r="HEX70"/>
      <c r="HEY70"/>
      <c r="HEZ70"/>
      <c r="HFA70"/>
      <c r="HFB70"/>
      <c r="HFC70"/>
      <c r="HFD70"/>
      <c r="HFE70"/>
      <c r="HFF70"/>
      <c r="HFG70"/>
      <c r="HFH70"/>
      <c r="HFI70"/>
      <c r="HFJ70"/>
      <c r="HFK70"/>
      <c r="HFL70"/>
      <c r="HFM70"/>
      <c r="HFN70"/>
      <c r="HFO70"/>
      <c r="HFP70"/>
      <c r="HFQ70"/>
      <c r="HFR70"/>
      <c r="HFS70"/>
      <c r="HFT70"/>
      <c r="HFU70"/>
      <c r="HFV70"/>
      <c r="HFW70"/>
      <c r="HFX70"/>
      <c r="HFY70"/>
      <c r="HFZ70"/>
      <c r="HGA70"/>
      <c r="HGB70"/>
      <c r="HGC70"/>
      <c r="HGD70"/>
      <c r="HGE70"/>
      <c r="HGF70"/>
      <c r="HGG70"/>
      <c r="HGH70"/>
      <c r="HGI70"/>
      <c r="HGJ70"/>
      <c r="HGK70"/>
      <c r="HGL70"/>
      <c r="HGM70"/>
      <c r="HGN70"/>
      <c r="HGO70"/>
      <c r="HGP70"/>
      <c r="HGQ70"/>
      <c r="HGR70"/>
      <c r="HGS70"/>
      <c r="HGT70"/>
      <c r="HGU70"/>
      <c r="HGV70"/>
      <c r="HGW70"/>
      <c r="HGX70"/>
      <c r="HGY70"/>
      <c r="HGZ70"/>
      <c r="HHA70"/>
      <c r="HHB70"/>
      <c r="HHC70"/>
      <c r="HHD70"/>
      <c r="HHE70"/>
      <c r="HHF70"/>
      <c r="HHG70"/>
      <c r="HHH70"/>
      <c r="HHI70"/>
      <c r="HHJ70"/>
      <c r="HHK70"/>
      <c r="HHL70"/>
      <c r="HHM70"/>
      <c r="HHN70"/>
      <c r="HHO70"/>
      <c r="HHP70"/>
      <c r="HHQ70"/>
      <c r="HHR70"/>
      <c r="HHS70"/>
      <c r="HHT70"/>
      <c r="HHU70"/>
      <c r="HHV70"/>
      <c r="HHW70"/>
      <c r="HHX70"/>
      <c r="HHY70"/>
      <c r="HHZ70"/>
      <c r="HIA70"/>
      <c r="HIB70"/>
      <c r="HIC70"/>
      <c r="HID70"/>
      <c r="HIE70"/>
      <c r="HIF70"/>
      <c r="HIG70"/>
      <c r="HIH70"/>
      <c r="HII70"/>
      <c r="HIJ70"/>
      <c r="HIK70"/>
      <c r="HIL70"/>
      <c r="HIM70"/>
      <c r="HIN70"/>
      <c r="HIO70"/>
      <c r="HIP70"/>
      <c r="HIQ70"/>
      <c r="HIR70"/>
      <c r="HIS70"/>
      <c r="HIT70"/>
      <c r="HIU70"/>
      <c r="HIV70"/>
      <c r="HIW70"/>
      <c r="HIX70"/>
      <c r="HIY70"/>
      <c r="HIZ70"/>
      <c r="HJA70"/>
      <c r="HJB70"/>
      <c r="HJC70"/>
      <c r="HJD70"/>
      <c r="HJE70"/>
      <c r="HJF70"/>
      <c r="HJG70"/>
      <c r="HJH70"/>
      <c r="HJI70"/>
      <c r="HJJ70"/>
      <c r="HJK70"/>
      <c r="HJL70"/>
      <c r="HJM70"/>
      <c r="HJN70"/>
      <c r="HJO70"/>
      <c r="HJP70"/>
      <c r="HJQ70"/>
      <c r="HJR70"/>
      <c r="HJS70"/>
      <c r="HJT70"/>
      <c r="HJU70"/>
      <c r="HJV70"/>
      <c r="HJW70"/>
      <c r="HJX70"/>
      <c r="HJY70"/>
      <c r="HJZ70"/>
      <c r="HKA70"/>
      <c r="HKB70"/>
      <c r="HKC70"/>
      <c r="HKD70"/>
      <c r="HKE70"/>
      <c r="HKF70"/>
      <c r="HKG70"/>
      <c r="HKH70"/>
      <c r="HKI70"/>
      <c r="HKJ70"/>
      <c r="HKK70"/>
      <c r="HKL70"/>
      <c r="HKM70"/>
      <c r="HKN70"/>
      <c r="HKO70"/>
      <c r="HKP70"/>
      <c r="HKQ70"/>
      <c r="HKR70"/>
      <c r="HKS70"/>
      <c r="HKT70"/>
      <c r="HKU70"/>
      <c r="HKV70"/>
      <c r="HKW70"/>
      <c r="HKX70"/>
      <c r="HKY70"/>
      <c r="HKZ70"/>
      <c r="HLA70"/>
      <c r="HLB70"/>
      <c r="HLC70"/>
      <c r="HLD70"/>
      <c r="HLE70"/>
      <c r="HLF70"/>
      <c r="HLG70"/>
      <c r="HLH70"/>
      <c r="HLI70"/>
      <c r="HLJ70"/>
      <c r="HLK70"/>
      <c r="HLL70"/>
      <c r="HLM70"/>
      <c r="HLN70"/>
      <c r="HLO70"/>
      <c r="HLP70"/>
      <c r="HLQ70"/>
      <c r="HLR70"/>
      <c r="HLS70"/>
      <c r="HLT70"/>
      <c r="HLU70"/>
      <c r="HLV70"/>
      <c r="HLW70"/>
      <c r="HLX70"/>
      <c r="HLY70"/>
      <c r="HLZ70"/>
      <c r="HMA70"/>
      <c r="HMB70"/>
      <c r="HMC70"/>
      <c r="HMD70"/>
      <c r="HME70"/>
      <c r="HMF70"/>
      <c r="HMG70"/>
      <c r="HMH70"/>
      <c r="HMI70"/>
      <c r="HMJ70"/>
      <c r="HMK70"/>
      <c r="HML70"/>
      <c r="HMM70"/>
      <c r="HMN70"/>
      <c r="HMO70"/>
      <c r="HMP70"/>
      <c r="HMQ70"/>
      <c r="HMR70"/>
      <c r="HMS70"/>
      <c r="HMT70"/>
      <c r="HMU70"/>
      <c r="HMV70"/>
      <c r="HMW70"/>
      <c r="HMX70"/>
      <c r="HMY70"/>
      <c r="HMZ70"/>
      <c r="HNA70"/>
      <c r="HNB70"/>
      <c r="HNC70"/>
      <c r="HND70"/>
      <c r="HNE70"/>
      <c r="HNF70"/>
      <c r="HNG70"/>
      <c r="HNH70"/>
      <c r="HNI70"/>
      <c r="HNJ70"/>
      <c r="HNK70"/>
      <c r="HNL70"/>
      <c r="HNM70"/>
      <c r="HNN70"/>
      <c r="HNO70"/>
      <c r="HNP70"/>
      <c r="HNQ70"/>
      <c r="HNR70"/>
      <c r="HNS70"/>
      <c r="HNT70"/>
      <c r="HNU70"/>
      <c r="HNV70"/>
      <c r="HNW70"/>
      <c r="HNX70"/>
      <c r="HNY70"/>
      <c r="HNZ70"/>
      <c r="HOA70"/>
      <c r="HOB70"/>
      <c r="HOC70"/>
      <c r="HOD70"/>
      <c r="HOE70"/>
      <c r="HOF70"/>
      <c r="HOG70"/>
      <c r="HOH70"/>
      <c r="HOI70"/>
      <c r="HOJ70"/>
      <c r="HOK70"/>
      <c r="HOL70"/>
      <c r="HOM70"/>
      <c r="HON70"/>
      <c r="HOO70"/>
      <c r="HOP70"/>
      <c r="HOQ70"/>
      <c r="HOR70"/>
      <c r="HOS70"/>
      <c r="HOT70"/>
      <c r="HOU70"/>
      <c r="HOV70"/>
      <c r="HOW70"/>
      <c r="HOX70"/>
      <c r="HOY70"/>
      <c r="HOZ70"/>
      <c r="HPA70"/>
      <c r="HPB70"/>
      <c r="HPC70"/>
      <c r="HPD70"/>
      <c r="HPE70"/>
      <c r="HPF70"/>
      <c r="HPG70"/>
      <c r="HPH70"/>
      <c r="HPI70"/>
      <c r="HPJ70"/>
      <c r="HPK70"/>
      <c r="HPL70"/>
      <c r="HPM70"/>
      <c r="HPN70"/>
      <c r="HPO70"/>
      <c r="HPP70"/>
      <c r="HPQ70"/>
      <c r="HPR70"/>
      <c r="HPS70"/>
      <c r="HPT70"/>
      <c r="HPU70"/>
      <c r="HPV70"/>
      <c r="HPW70"/>
      <c r="HPX70"/>
      <c r="HPY70"/>
      <c r="HPZ70"/>
      <c r="HQA70"/>
      <c r="HQB70"/>
      <c r="HQC70"/>
      <c r="HQD70"/>
      <c r="HQE70"/>
      <c r="HQF70"/>
      <c r="HQG70"/>
      <c r="HQH70"/>
      <c r="HQI70"/>
      <c r="HQJ70"/>
      <c r="HQK70"/>
      <c r="HQL70"/>
      <c r="HQM70"/>
      <c r="HQN70"/>
      <c r="HQO70"/>
      <c r="HQP70"/>
      <c r="HQQ70"/>
      <c r="HQR70"/>
      <c r="HQS70"/>
      <c r="HQT70"/>
      <c r="HQU70"/>
      <c r="HQV70"/>
      <c r="HQW70"/>
      <c r="HQX70"/>
      <c r="HQY70"/>
      <c r="HQZ70"/>
      <c r="HRA70"/>
      <c r="HRB70"/>
      <c r="HRC70"/>
      <c r="HRD70"/>
      <c r="HRE70"/>
      <c r="HRF70"/>
      <c r="HRG70"/>
      <c r="HRH70"/>
      <c r="HRI70"/>
      <c r="HRJ70"/>
      <c r="HRK70"/>
      <c r="HRL70"/>
      <c r="HRM70"/>
      <c r="HRN70"/>
      <c r="HRO70"/>
      <c r="HRP70"/>
      <c r="HRQ70"/>
      <c r="HRR70"/>
      <c r="HRS70"/>
      <c r="HRT70"/>
      <c r="HRU70"/>
      <c r="HRV70"/>
      <c r="HRW70"/>
      <c r="HRX70"/>
      <c r="HRY70"/>
      <c r="HRZ70"/>
      <c r="HSA70"/>
      <c r="HSB70"/>
      <c r="HSC70"/>
      <c r="HSD70"/>
      <c r="HSE70"/>
      <c r="HSF70"/>
      <c r="HSG70"/>
      <c r="HSH70"/>
      <c r="HSI70"/>
      <c r="HSJ70"/>
      <c r="HSK70"/>
      <c r="HSL70"/>
      <c r="HSM70"/>
      <c r="HSN70"/>
      <c r="HSO70"/>
      <c r="HSP70"/>
      <c r="HSQ70"/>
      <c r="HSR70"/>
      <c r="HSS70"/>
      <c r="HST70"/>
      <c r="HSU70"/>
      <c r="HSV70"/>
      <c r="HSW70"/>
      <c r="HSX70"/>
      <c r="HSY70"/>
      <c r="HSZ70"/>
      <c r="HTA70"/>
      <c r="HTB70"/>
      <c r="HTC70"/>
      <c r="HTD70"/>
      <c r="HTE70"/>
      <c r="HTF70"/>
      <c r="HTG70"/>
      <c r="HTH70"/>
      <c r="HTI70"/>
      <c r="HTJ70"/>
      <c r="HTK70"/>
      <c r="HTL70"/>
      <c r="HTM70"/>
      <c r="HTN70"/>
      <c r="HTO70"/>
      <c r="HTP70"/>
      <c r="HTQ70"/>
      <c r="HTR70"/>
      <c r="HTS70"/>
      <c r="HTT70"/>
      <c r="HTU70"/>
      <c r="HTV70"/>
      <c r="HTW70"/>
      <c r="HTX70"/>
      <c r="HTY70"/>
      <c r="HTZ70"/>
      <c r="HUA70"/>
      <c r="HUB70"/>
      <c r="HUC70"/>
      <c r="HUD70"/>
      <c r="HUE70"/>
      <c r="HUF70"/>
      <c r="HUG70"/>
      <c r="HUH70"/>
      <c r="HUI70"/>
      <c r="HUJ70"/>
      <c r="HUK70"/>
      <c r="HUL70"/>
      <c r="HUM70"/>
      <c r="HUN70"/>
      <c r="HUO70"/>
      <c r="HUP70"/>
      <c r="HUQ70"/>
      <c r="HUR70"/>
      <c r="HUS70"/>
      <c r="HUT70"/>
      <c r="HUU70"/>
      <c r="HUV70"/>
      <c r="HUW70"/>
      <c r="HUX70"/>
      <c r="HUY70"/>
      <c r="HUZ70"/>
      <c r="HVA70"/>
      <c r="HVB70"/>
      <c r="HVC70"/>
      <c r="HVD70"/>
      <c r="HVE70"/>
      <c r="HVF70"/>
      <c r="HVG70"/>
      <c r="HVH70"/>
      <c r="HVI70"/>
      <c r="HVJ70"/>
      <c r="HVK70"/>
      <c r="HVL70"/>
      <c r="HVM70"/>
      <c r="HVN70"/>
      <c r="HVO70"/>
      <c r="HVP70"/>
      <c r="HVQ70"/>
      <c r="HVR70"/>
      <c r="HVS70"/>
      <c r="HVT70"/>
      <c r="HVU70"/>
      <c r="HVV70"/>
      <c r="HVW70"/>
      <c r="HVX70"/>
      <c r="HVY70"/>
      <c r="HVZ70"/>
      <c r="HWA70"/>
      <c r="HWB70"/>
      <c r="HWC70"/>
      <c r="HWD70"/>
      <c r="HWE70"/>
      <c r="HWF70"/>
      <c r="HWG70"/>
      <c r="HWH70"/>
      <c r="HWI70"/>
      <c r="HWJ70"/>
      <c r="HWK70"/>
      <c r="HWL70"/>
      <c r="HWM70"/>
      <c r="HWN70"/>
      <c r="HWO70"/>
      <c r="HWP70"/>
      <c r="HWQ70"/>
      <c r="HWR70"/>
      <c r="HWS70"/>
      <c r="HWT70"/>
      <c r="HWU70"/>
      <c r="HWV70"/>
      <c r="HWW70"/>
      <c r="HWX70"/>
      <c r="HWY70"/>
      <c r="HWZ70"/>
      <c r="HXA70"/>
      <c r="HXB70"/>
      <c r="HXC70"/>
      <c r="HXD70"/>
      <c r="HXE70"/>
      <c r="HXF70"/>
      <c r="HXG70"/>
      <c r="HXH70"/>
      <c r="HXI70"/>
      <c r="HXJ70"/>
      <c r="HXK70"/>
      <c r="HXL70"/>
      <c r="HXM70"/>
      <c r="HXN70"/>
      <c r="HXO70"/>
      <c r="HXP70"/>
      <c r="HXQ70"/>
      <c r="HXR70"/>
      <c r="HXS70"/>
      <c r="HXT70"/>
      <c r="HXU70"/>
      <c r="HXV70"/>
      <c r="HXW70"/>
      <c r="HXX70"/>
      <c r="HXY70"/>
      <c r="HXZ70"/>
      <c r="HYA70"/>
      <c r="HYB70"/>
      <c r="HYC70"/>
      <c r="HYD70"/>
      <c r="HYE70"/>
      <c r="HYF70"/>
      <c r="HYG70"/>
      <c r="HYH70"/>
      <c r="HYI70"/>
      <c r="HYJ70"/>
      <c r="HYK70"/>
      <c r="HYL70"/>
      <c r="HYM70"/>
      <c r="HYN70"/>
      <c r="HYO70"/>
      <c r="HYP70"/>
      <c r="HYQ70"/>
      <c r="HYR70"/>
      <c r="HYS70"/>
      <c r="HYT70"/>
      <c r="HYU70"/>
      <c r="HYV70"/>
      <c r="HYW70"/>
      <c r="HYX70"/>
      <c r="HYY70"/>
      <c r="HYZ70"/>
      <c r="HZA70"/>
      <c r="HZB70"/>
      <c r="HZC70"/>
      <c r="HZD70"/>
      <c r="HZE70"/>
      <c r="HZF70"/>
      <c r="HZG70"/>
      <c r="HZH70"/>
      <c r="HZI70"/>
      <c r="HZJ70"/>
      <c r="HZK70"/>
      <c r="HZL70"/>
      <c r="HZM70"/>
      <c r="HZN70"/>
      <c r="HZO70"/>
      <c r="HZP70"/>
      <c r="HZQ70"/>
      <c r="HZR70"/>
      <c r="HZS70"/>
      <c r="HZT70"/>
      <c r="HZU70"/>
      <c r="HZV70"/>
      <c r="HZW70"/>
      <c r="HZX70"/>
      <c r="HZY70"/>
      <c r="HZZ70"/>
      <c r="IAA70"/>
      <c r="IAB70"/>
      <c r="IAC70"/>
      <c r="IAD70"/>
      <c r="IAE70"/>
      <c r="IAF70"/>
      <c r="IAG70"/>
      <c r="IAH70"/>
      <c r="IAI70"/>
      <c r="IAJ70"/>
      <c r="IAK70"/>
      <c r="IAL70"/>
      <c r="IAM70"/>
      <c r="IAN70"/>
      <c r="IAO70"/>
      <c r="IAP70"/>
      <c r="IAQ70"/>
      <c r="IAR70"/>
      <c r="IAS70"/>
      <c r="IAT70"/>
      <c r="IAU70"/>
      <c r="IAV70"/>
      <c r="IAW70"/>
      <c r="IAX70"/>
      <c r="IAY70"/>
      <c r="IAZ70"/>
      <c r="IBA70"/>
      <c r="IBB70"/>
      <c r="IBC70"/>
      <c r="IBD70"/>
      <c r="IBE70"/>
      <c r="IBF70"/>
      <c r="IBG70"/>
      <c r="IBH70"/>
      <c r="IBI70"/>
      <c r="IBJ70"/>
      <c r="IBK70"/>
      <c r="IBL70"/>
      <c r="IBM70"/>
      <c r="IBN70"/>
      <c r="IBO70"/>
      <c r="IBP70"/>
      <c r="IBQ70"/>
      <c r="IBR70"/>
      <c r="IBS70"/>
      <c r="IBT70"/>
      <c r="IBU70"/>
      <c r="IBV70"/>
      <c r="IBW70"/>
      <c r="IBX70"/>
      <c r="IBY70"/>
      <c r="IBZ70"/>
      <c r="ICA70"/>
      <c r="ICB70"/>
      <c r="ICC70"/>
      <c r="ICD70"/>
      <c r="ICE70"/>
      <c r="ICF70"/>
      <c r="ICG70"/>
      <c r="ICH70"/>
      <c r="ICI70"/>
      <c r="ICJ70"/>
      <c r="ICK70"/>
      <c r="ICL70"/>
      <c r="ICM70"/>
      <c r="ICN70"/>
      <c r="ICO70"/>
      <c r="ICP70"/>
      <c r="ICQ70"/>
      <c r="ICR70"/>
      <c r="ICS70"/>
      <c r="ICT70"/>
      <c r="ICU70"/>
      <c r="ICV70"/>
      <c r="ICW70"/>
      <c r="ICX70"/>
      <c r="ICY70"/>
      <c r="ICZ70"/>
      <c r="IDA70"/>
      <c r="IDB70"/>
      <c r="IDC70"/>
      <c r="IDD70"/>
      <c r="IDE70"/>
      <c r="IDF70"/>
      <c r="IDG70"/>
      <c r="IDH70"/>
      <c r="IDI70"/>
      <c r="IDJ70"/>
      <c r="IDK70"/>
      <c r="IDL70"/>
      <c r="IDM70"/>
      <c r="IDN70"/>
      <c r="IDO70"/>
      <c r="IDP70"/>
      <c r="IDQ70"/>
      <c r="IDR70"/>
      <c r="IDS70"/>
      <c r="IDT70"/>
      <c r="IDU70"/>
      <c r="IDV70"/>
      <c r="IDW70"/>
      <c r="IDX70"/>
      <c r="IDY70"/>
      <c r="IDZ70"/>
      <c r="IEA70"/>
      <c r="IEB70"/>
      <c r="IEC70"/>
      <c r="IED70"/>
      <c r="IEE70"/>
      <c r="IEF70"/>
      <c r="IEG70"/>
      <c r="IEH70"/>
      <c r="IEI70"/>
      <c r="IEJ70"/>
      <c r="IEK70"/>
      <c r="IEL70"/>
      <c r="IEM70"/>
      <c r="IEN70"/>
      <c r="IEO70"/>
      <c r="IEP70"/>
      <c r="IEQ70"/>
      <c r="IER70"/>
      <c r="IES70"/>
      <c r="IET70"/>
      <c r="IEU70"/>
      <c r="IEV70"/>
      <c r="IEW70"/>
      <c r="IEX70"/>
      <c r="IEY70"/>
      <c r="IEZ70"/>
      <c r="IFA70"/>
      <c r="IFB70"/>
      <c r="IFC70"/>
      <c r="IFD70"/>
      <c r="IFE70"/>
      <c r="IFF70"/>
      <c r="IFG70"/>
      <c r="IFH70"/>
      <c r="IFI70"/>
      <c r="IFJ70"/>
      <c r="IFK70"/>
      <c r="IFL70"/>
      <c r="IFM70"/>
      <c r="IFN70"/>
      <c r="IFO70"/>
      <c r="IFP70"/>
      <c r="IFQ70"/>
      <c r="IFR70"/>
      <c r="IFS70"/>
      <c r="IFT70"/>
      <c r="IFU70"/>
      <c r="IFV70"/>
      <c r="IFW70"/>
      <c r="IFX70"/>
      <c r="IFY70"/>
      <c r="IFZ70"/>
      <c r="IGA70"/>
      <c r="IGB70"/>
      <c r="IGC70"/>
      <c r="IGD70"/>
      <c r="IGE70"/>
      <c r="IGF70"/>
      <c r="IGG70"/>
      <c r="IGH70"/>
      <c r="IGI70"/>
      <c r="IGJ70"/>
      <c r="IGK70"/>
      <c r="IGL70"/>
      <c r="IGM70"/>
      <c r="IGN70"/>
      <c r="IGO70"/>
      <c r="IGP70"/>
      <c r="IGQ70"/>
      <c r="IGR70"/>
      <c r="IGS70"/>
      <c r="IGT70"/>
      <c r="IGU70"/>
      <c r="IGV70"/>
      <c r="IGW70"/>
      <c r="IGX70"/>
      <c r="IGY70"/>
      <c r="IGZ70"/>
      <c r="IHA70"/>
      <c r="IHB70"/>
      <c r="IHC70"/>
      <c r="IHD70"/>
      <c r="IHE70"/>
      <c r="IHF70"/>
      <c r="IHG70"/>
      <c r="IHH70"/>
      <c r="IHI70"/>
      <c r="IHJ70"/>
      <c r="IHK70"/>
      <c r="IHL70"/>
      <c r="IHM70"/>
      <c r="IHN70"/>
      <c r="IHO70"/>
      <c r="IHP70"/>
      <c r="IHQ70"/>
      <c r="IHR70"/>
      <c r="IHS70"/>
      <c r="IHT70"/>
      <c r="IHU70"/>
      <c r="IHV70"/>
      <c r="IHW70"/>
      <c r="IHX70"/>
      <c r="IHY70"/>
      <c r="IHZ70"/>
      <c r="IIA70"/>
      <c r="IIB70"/>
      <c r="IIC70"/>
      <c r="IID70"/>
      <c r="IIE70"/>
      <c r="IIF70"/>
      <c r="IIG70"/>
      <c r="IIH70"/>
      <c r="III70"/>
      <c r="IIJ70"/>
      <c r="IIK70"/>
      <c r="IIL70"/>
      <c r="IIM70"/>
      <c r="IIN70"/>
      <c r="IIO70"/>
      <c r="IIP70"/>
      <c r="IIQ70"/>
      <c r="IIR70"/>
      <c r="IIS70"/>
      <c r="IIT70"/>
      <c r="IIU70"/>
      <c r="IIV70"/>
      <c r="IIW70"/>
      <c r="IIX70"/>
      <c r="IIY70"/>
      <c r="IIZ70"/>
      <c r="IJA70"/>
      <c r="IJB70"/>
      <c r="IJC70"/>
      <c r="IJD70"/>
      <c r="IJE70"/>
      <c r="IJF70"/>
      <c r="IJG70"/>
      <c r="IJH70"/>
      <c r="IJI70"/>
      <c r="IJJ70"/>
      <c r="IJK70"/>
      <c r="IJL70"/>
      <c r="IJM70"/>
      <c r="IJN70"/>
      <c r="IJO70"/>
      <c r="IJP70"/>
      <c r="IJQ70"/>
      <c r="IJR70"/>
      <c r="IJS70"/>
      <c r="IJT70"/>
      <c r="IJU70"/>
      <c r="IJV70"/>
      <c r="IJW70"/>
      <c r="IJX70"/>
      <c r="IJY70"/>
      <c r="IJZ70"/>
      <c r="IKA70"/>
      <c r="IKB70"/>
      <c r="IKC70"/>
      <c r="IKD70"/>
      <c r="IKE70"/>
      <c r="IKF70"/>
      <c r="IKG70"/>
      <c r="IKH70"/>
      <c r="IKI70"/>
      <c r="IKJ70"/>
      <c r="IKK70"/>
      <c r="IKL70"/>
      <c r="IKM70"/>
      <c r="IKN70"/>
      <c r="IKO70"/>
      <c r="IKP70"/>
      <c r="IKQ70"/>
      <c r="IKR70"/>
      <c r="IKS70"/>
      <c r="IKT70"/>
      <c r="IKU70"/>
      <c r="IKV70"/>
      <c r="IKW70"/>
      <c r="IKX70"/>
      <c r="IKY70"/>
      <c r="IKZ70"/>
      <c r="ILA70"/>
      <c r="ILB70"/>
      <c r="ILC70"/>
      <c r="ILD70"/>
      <c r="ILE70"/>
      <c r="ILF70"/>
      <c r="ILG70"/>
      <c r="ILH70"/>
      <c r="ILI70"/>
      <c r="ILJ70"/>
      <c r="ILK70"/>
      <c r="ILL70"/>
      <c r="ILM70"/>
      <c r="ILN70"/>
      <c r="ILO70"/>
      <c r="ILP70"/>
      <c r="ILQ70"/>
      <c r="ILR70"/>
      <c r="ILS70"/>
      <c r="ILT70"/>
      <c r="ILU70"/>
      <c r="ILV70"/>
      <c r="ILW70"/>
      <c r="ILX70"/>
      <c r="ILY70"/>
      <c r="ILZ70"/>
      <c r="IMA70"/>
      <c r="IMB70"/>
      <c r="IMC70"/>
      <c r="IMD70"/>
      <c r="IME70"/>
      <c r="IMF70"/>
      <c r="IMG70"/>
      <c r="IMH70"/>
      <c r="IMI70"/>
      <c r="IMJ70"/>
      <c r="IMK70"/>
      <c r="IML70"/>
      <c r="IMM70"/>
      <c r="IMN70"/>
      <c r="IMO70"/>
      <c r="IMP70"/>
      <c r="IMQ70"/>
      <c r="IMR70"/>
      <c r="IMS70"/>
      <c r="IMT70"/>
      <c r="IMU70"/>
      <c r="IMV70"/>
      <c r="IMW70"/>
      <c r="IMX70"/>
      <c r="IMY70"/>
      <c r="IMZ70"/>
      <c r="INA70"/>
      <c r="INB70"/>
      <c r="INC70"/>
      <c r="IND70"/>
      <c r="INE70"/>
      <c r="INF70"/>
      <c r="ING70"/>
      <c r="INH70"/>
      <c r="INI70"/>
      <c r="INJ70"/>
      <c r="INK70"/>
      <c r="INL70"/>
      <c r="INM70"/>
      <c r="INN70"/>
      <c r="INO70"/>
      <c r="INP70"/>
      <c r="INQ70"/>
      <c r="INR70"/>
      <c r="INS70"/>
      <c r="INT70"/>
      <c r="INU70"/>
      <c r="INV70"/>
      <c r="INW70"/>
      <c r="INX70"/>
      <c r="INY70"/>
      <c r="INZ70"/>
      <c r="IOA70"/>
      <c r="IOB70"/>
      <c r="IOC70"/>
      <c r="IOD70"/>
      <c r="IOE70"/>
      <c r="IOF70"/>
      <c r="IOG70"/>
      <c r="IOH70"/>
      <c r="IOI70"/>
      <c r="IOJ70"/>
      <c r="IOK70"/>
      <c r="IOL70"/>
      <c r="IOM70"/>
      <c r="ION70"/>
      <c r="IOO70"/>
      <c r="IOP70"/>
      <c r="IOQ70"/>
      <c r="IOR70"/>
      <c r="IOS70"/>
      <c r="IOT70"/>
      <c r="IOU70"/>
      <c r="IOV70"/>
      <c r="IOW70"/>
      <c r="IOX70"/>
      <c r="IOY70"/>
      <c r="IOZ70"/>
      <c r="IPA70"/>
      <c r="IPB70"/>
      <c r="IPC70"/>
      <c r="IPD70"/>
      <c r="IPE70"/>
      <c r="IPF70"/>
      <c r="IPG70"/>
      <c r="IPH70"/>
      <c r="IPI70"/>
      <c r="IPJ70"/>
      <c r="IPK70"/>
      <c r="IPL70"/>
      <c r="IPM70"/>
      <c r="IPN70"/>
      <c r="IPO70"/>
      <c r="IPP70"/>
      <c r="IPQ70"/>
      <c r="IPR70"/>
      <c r="IPS70"/>
      <c r="IPT70"/>
      <c r="IPU70"/>
      <c r="IPV70"/>
      <c r="IPW70"/>
      <c r="IPX70"/>
      <c r="IPY70"/>
      <c r="IPZ70"/>
      <c r="IQA70"/>
      <c r="IQB70"/>
      <c r="IQC70"/>
      <c r="IQD70"/>
      <c r="IQE70"/>
      <c r="IQF70"/>
      <c r="IQG70"/>
      <c r="IQH70"/>
      <c r="IQI70"/>
      <c r="IQJ70"/>
      <c r="IQK70"/>
      <c r="IQL70"/>
      <c r="IQM70"/>
      <c r="IQN70"/>
      <c r="IQO70"/>
      <c r="IQP70"/>
      <c r="IQQ70"/>
      <c r="IQR70"/>
      <c r="IQS70"/>
      <c r="IQT70"/>
      <c r="IQU70"/>
      <c r="IQV70"/>
      <c r="IQW70"/>
      <c r="IQX70"/>
      <c r="IQY70"/>
      <c r="IQZ70"/>
      <c r="IRA70"/>
      <c r="IRB70"/>
      <c r="IRC70"/>
      <c r="IRD70"/>
      <c r="IRE70"/>
      <c r="IRF70"/>
      <c r="IRG70"/>
      <c r="IRH70"/>
      <c r="IRI70"/>
      <c r="IRJ70"/>
      <c r="IRK70"/>
      <c r="IRL70"/>
      <c r="IRM70"/>
      <c r="IRN70"/>
      <c r="IRO70"/>
      <c r="IRP70"/>
      <c r="IRQ70"/>
      <c r="IRR70"/>
      <c r="IRS70"/>
      <c r="IRT70"/>
      <c r="IRU70"/>
      <c r="IRV70"/>
      <c r="IRW70"/>
      <c r="IRX70"/>
      <c r="IRY70"/>
      <c r="IRZ70"/>
      <c r="ISA70"/>
      <c r="ISB70"/>
      <c r="ISC70"/>
      <c r="ISD70"/>
      <c r="ISE70"/>
      <c r="ISF70"/>
      <c r="ISG70"/>
      <c r="ISH70"/>
      <c r="ISI70"/>
      <c r="ISJ70"/>
      <c r="ISK70"/>
      <c r="ISL70"/>
      <c r="ISM70"/>
      <c r="ISN70"/>
      <c r="ISO70"/>
      <c r="ISP70"/>
      <c r="ISQ70"/>
      <c r="ISR70"/>
      <c r="ISS70"/>
      <c r="IST70"/>
      <c r="ISU70"/>
      <c r="ISV70"/>
      <c r="ISW70"/>
      <c r="ISX70"/>
      <c r="ISY70"/>
      <c r="ISZ70"/>
      <c r="ITA70"/>
      <c r="ITB70"/>
      <c r="ITC70"/>
      <c r="ITD70"/>
      <c r="ITE70"/>
      <c r="ITF70"/>
      <c r="ITG70"/>
      <c r="ITH70"/>
      <c r="ITI70"/>
      <c r="ITJ70"/>
      <c r="ITK70"/>
      <c r="ITL70"/>
      <c r="ITM70"/>
      <c r="ITN70"/>
      <c r="ITO70"/>
      <c r="ITP70"/>
      <c r="ITQ70"/>
      <c r="ITR70"/>
      <c r="ITS70"/>
      <c r="ITT70"/>
      <c r="ITU70"/>
      <c r="ITV70"/>
      <c r="ITW70"/>
      <c r="ITX70"/>
      <c r="ITY70"/>
      <c r="ITZ70"/>
      <c r="IUA70"/>
      <c r="IUB70"/>
      <c r="IUC70"/>
      <c r="IUD70"/>
      <c r="IUE70"/>
      <c r="IUF70"/>
      <c r="IUG70"/>
      <c r="IUH70"/>
      <c r="IUI70"/>
      <c r="IUJ70"/>
      <c r="IUK70"/>
      <c r="IUL70"/>
      <c r="IUM70"/>
      <c r="IUN70"/>
      <c r="IUO70"/>
      <c r="IUP70"/>
      <c r="IUQ70"/>
      <c r="IUR70"/>
      <c r="IUS70"/>
      <c r="IUT70"/>
      <c r="IUU70"/>
      <c r="IUV70"/>
      <c r="IUW70"/>
      <c r="IUX70"/>
      <c r="IUY70"/>
      <c r="IUZ70"/>
      <c r="IVA70"/>
      <c r="IVB70"/>
      <c r="IVC70"/>
      <c r="IVD70"/>
      <c r="IVE70"/>
      <c r="IVF70"/>
      <c r="IVG70"/>
      <c r="IVH70"/>
      <c r="IVI70"/>
      <c r="IVJ70"/>
      <c r="IVK70"/>
      <c r="IVL70"/>
      <c r="IVM70"/>
      <c r="IVN70"/>
      <c r="IVO70"/>
      <c r="IVP70"/>
      <c r="IVQ70"/>
      <c r="IVR70"/>
      <c r="IVS70"/>
      <c r="IVT70"/>
      <c r="IVU70"/>
      <c r="IVV70"/>
      <c r="IVW70"/>
      <c r="IVX70"/>
      <c r="IVY70"/>
      <c r="IVZ70"/>
      <c r="IWA70"/>
      <c r="IWB70"/>
      <c r="IWC70"/>
      <c r="IWD70"/>
      <c r="IWE70"/>
      <c r="IWF70"/>
      <c r="IWG70"/>
      <c r="IWH70"/>
      <c r="IWI70"/>
      <c r="IWJ70"/>
      <c r="IWK70"/>
      <c r="IWL70"/>
      <c r="IWM70"/>
      <c r="IWN70"/>
      <c r="IWO70"/>
      <c r="IWP70"/>
      <c r="IWQ70"/>
      <c r="IWR70"/>
      <c r="IWS70"/>
      <c r="IWT70"/>
      <c r="IWU70"/>
      <c r="IWV70"/>
      <c r="IWW70"/>
      <c r="IWX70"/>
      <c r="IWY70"/>
      <c r="IWZ70"/>
      <c r="IXA70"/>
      <c r="IXB70"/>
      <c r="IXC70"/>
      <c r="IXD70"/>
      <c r="IXE70"/>
      <c r="IXF70"/>
      <c r="IXG70"/>
      <c r="IXH70"/>
      <c r="IXI70"/>
      <c r="IXJ70"/>
      <c r="IXK70"/>
      <c r="IXL70"/>
      <c r="IXM70"/>
      <c r="IXN70"/>
      <c r="IXO70"/>
      <c r="IXP70"/>
      <c r="IXQ70"/>
      <c r="IXR70"/>
      <c r="IXS70"/>
      <c r="IXT70"/>
      <c r="IXU70"/>
      <c r="IXV70"/>
      <c r="IXW70"/>
      <c r="IXX70"/>
      <c r="IXY70"/>
      <c r="IXZ70"/>
      <c r="IYA70"/>
      <c r="IYB70"/>
      <c r="IYC70"/>
      <c r="IYD70"/>
      <c r="IYE70"/>
      <c r="IYF70"/>
      <c r="IYG70"/>
      <c r="IYH70"/>
      <c r="IYI70"/>
      <c r="IYJ70"/>
      <c r="IYK70"/>
      <c r="IYL70"/>
      <c r="IYM70"/>
      <c r="IYN70"/>
      <c r="IYO70"/>
      <c r="IYP70"/>
      <c r="IYQ70"/>
      <c r="IYR70"/>
      <c r="IYS70"/>
      <c r="IYT70"/>
      <c r="IYU70"/>
      <c r="IYV70"/>
      <c r="IYW70"/>
      <c r="IYX70"/>
      <c r="IYY70"/>
      <c r="IYZ70"/>
      <c r="IZA70"/>
      <c r="IZB70"/>
      <c r="IZC70"/>
      <c r="IZD70"/>
      <c r="IZE70"/>
      <c r="IZF70"/>
      <c r="IZG70"/>
      <c r="IZH70"/>
      <c r="IZI70"/>
      <c r="IZJ70"/>
      <c r="IZK70"/>
      <c r="IZL70"/>
      <c r="IZM70"/>
      <c r="IZN70"/>
      <c r="IZO70"/>
      <c r="IZP70"/>
      <c r="IZQ70"/>
      <c r="IZR70"/>
      <c r="IZS70"/>
      <c r="IZT70"/>
      <c r="IZU70"/>
      <c r="IZV70"/>
      <c r="IZW70"/>
      <c r="IZX70"/>
      <c r="IZY70"/>
      <c r="IZZ70"/>
      <c r="JAA70"/>
      <c r="JAB70"/>
      <c r="JAC70"/>
      <c r="JAD70"/>
      <c r="JAE70"/>
      <c r="JAF70"/>
      <c r="JAG70"/>
      <c r="JAH70"/>
      <c r="JAI70"/>
      <c r="JAJ70"/>
      <c r="JAK70"/>
      <c r="JAL70"/>
      <c r="JAM70"/>
      <c r="JAN70"/>
      <c r="JAO70"/>
      <c r="JAP70"/>
      <c r="JAQ70"/>
      <c r="JAR70"/>
      <c r="JAS70"/>
      <c r="JAT70"/>
      <c r="JAU70"/>
      <c r="JAV70"/>
      <c r="JAW70"/>
      <c r="JAX70"/>
      <c r="JAY70"/>
      <c r="JAZ70"/>
      <c r="JBA70"/>
      <c r="JBB70"/>
      <c r="JBC70"/>
      <c r="JBD70"/>
      <c r="JBE70"/>
      <c r="JBF70"/>
      <c r="JBG70"/>
      <c r="JBH70"/>
      <c r="JBI70"/>
      <c r="JBJ70"/>
      <c r="JBK70"/>
      <c r="JBL70"/>
      <c r="JBM70"/>
      <c r="JBN70"/>
      <c r="JBO70"/>
      <c r="JBP70"/>
      <c r="JBQ70"/>
      <c r="JBR70"/>
      <c r="JBS70"/>
      <c r="JBT70"/>
      <c r="JBU70"/>
      <c r="JBV70"/>
      <c r="JBW70"/>
      <c r="JBX70"/>
      <c r="JBY70"/>
      <c r="JBZ70"/>
      <c r="JCA70"/>
      <c r="JCB70"/>
      <c r="JCC70"/>
      <c r="JCD70"/>
      <c r="JCE70"/>
      <c r="JCF70"/>
      <c r="JCG70"/>
      <c r="JCH70"/>
      <c r="JCI70"/>
      <c r="JCJ70"/>
      <c r="JCK70"/>
      <c r="JCL70"/>
      <c r="JCM70"/>
      <c r="JCN70"/>
      <c r="JCO70"/>
      <c r="JCP70"/>
      <c r="JCQ70"/>
      <c r="JCR70"/>
      <c r="JCS70"/>
      <c r="JCT70"/>
      <c r="JCU70"/>
      <c r="JCV70"/>
      <c r="JCW70"/>
      <c r="JCX70"/>
      <c r="JCY70"/>
      <c r="JCZ70"/>
      <c r="JDA70"/>
      <c r="JDB70"/>
      <c r="JDC70"/>
      <c r="JDD70"/>
      <c r="JDE70"/>
      <c r="JDF70"/>
      <c r="JDG70"/>
      <c r="JDH70"/>
      <c r="JDI70"/>
      <c r="JDJ70"/>
      <c r="JDK70"/>
      <c r="JDL70"/>
      <c r="JDM70"/>
      <c r="JDN70"/>
      <c r="JDO70"/>
      <c r="JDP70"/>
      <c r="JDQ70"/>
      <c r="JDR70"/>
      <c r="JDS70"/>
      <c r="JDT70"/>
      <c r="JDU70"/>
      <c r="JDV70"/>
      <c r="JDW70"/>
      <c r="JDX70"/>
      <c r="JDY70"/>
      <c r="JDZ70"/>
      <c r="JEA70"/>
      <c r="JEB70"/>
      <c r="JEC70"/>
      <c r="JED70"/>
      <c r="JEE70"/>
      <c r="JEF70"/>
      <c r="JEG70"/>
      <c r="JEH70"/>
      <c r="JEI70"/>
      <c r="JEJ70"/>
      <c r="JEK70"/>
      <c r="JEL70"/>
      <c r="JEM70"/>
      <c r="JEN70"/>
      <c r="JEO70"/>
      <c r="JEP70"/>
      <c r="JEQ70"/>
      <c r="JER70"/>
      <c r="JES70"/>
      <c r="JET70"/>
      <c r="JEU70"/>
      <c r="JEV70"/>
      <c r="JEW70"/>
      <c r="JEX70"/>
      <c r="JEY70"/>
      <c r="JEZ70"/>
      <c r="JFA70"/>
      <c r="JFB70"/>
      <c r="JFC70"/>
      <c r="JFD70"/>
      <c r="JFE70"/>
      <c r="JFF70"/>
      <c r="JFG70"/>
      <c r="JFH70"/>
      <c r="JFI70"/>
      <c r="JFJ70"/>
      <c r="JFK70"/>
      <c r="JFL70"/>
      <c r="JFM70"/>
      <c r="JFN70"/>
      <c r="JFO70"/>
      <c r="JFP70"/>
      <c r="JFQ70"/>
      <c r="JFR70"/>
      <c r="JFS70"/>
      <c r="JFT70"/>
      <c r="JFU70"/>
      <c r="JFV70"/>
      <c r="JFW70"/>
      <c r="JFX70"/>
      <c r="JFY70"/>
      <c r="JFZ70"/>
      <c r="JGA70"/>
      <c r="JGB70"/>
      <c r="JGC70"/>
      <c r="JGD70"/>
      <c r="JGE70"/>
      <c r="JGF70"/>
      <c r="JGG70"/>
      <c r="JGH70"/>
      <c r="JGI70"/>
      <c r="JGJ70"/>
      <c r="JGK70"/>
      <c r="JGL70"/>
      <c r="JGM70"/>
      <c r="JGN70"/>
      <c r="JGO70"/>
      <c r="JGP70"/>
      <c r="JGQ70"/>
      <c r="JGR70"/>
      <c r="JGS70"/>
      <c r="JGT70"/>
      <c r="JGU70"/>
      <c r="JGV70"/>
      <c r="JGW70"/>
      <c r="JGX70"/>
      <c r="JGY70"/>
      <c r="JGZ70"/>
      <c r="JHA70"/>
      <c r="JHB70"/>
      <c r="JHC70"/>
      <c r="JHD70"/>
      <c r="JHE70"/>
      <c r="JHF70"/>
      <c r="JHG70"/>
      <c r="JHH70"/>
      <c r="JHI70"/>
      <c r="JHJ70"/>
      <c r="JHK70"/>
      <c r="JHL70"/>
      <c r="JHM70"/>
      <c r="JHN70"/>
      <c r="JHO70"/>
      <c r="JHP70"/>
      <c r="JHQ70"/>
      <c r="JHR70"/>
      <c r="JHS70"/>
      <c r="JHT70"/>
      <c r="JHU70"/>
      <c r="JHV70"/>
      <c r="JHW70"/>
      <c r="JHX70"/>
      <c r="JHY70"/>
      <c r="JHZ70"/>
      <c r="JIA70"/>
      <c r="JIB70"/>
      <c r="JIC70"/>
      <c r="JID70"/>
      <c r="JIE70"/>
      <c r="JIF70"/>
      <c r="JIG70"/>
      <c r="JIH70"/>
      <c r="JII70"/>
      <c r="JIJ70"/>
      <c r="JIK70"/>
      <c r="JIL70"/>
      <c r="JIM70"/>
      <c r="JIN70"/>
      <c r="JIO70"/>
      <c r="JIP70"/>
      <c r="JIQ70"/>
      <c r="JIR70"/>
      <c r="JIS70"/>
      <c r="JIT70"/>
      <c r="JIU70"/>
      <c r="JIV70"/>
      <c r="JIW70"/>
      <c r="JIX70"/>
      <c r="JIY70"/>
      <c r="JIZ70"/>
      <c r="JJA70"/>
      <c r="JJB70"/>
      <c r="JJC70"/>
      <c r="JJD70"/>
      <c r="JJE70"/>
      <c r="JJF70"/>
      <c r="JJG70"/>
      <c r="JJH70"/>
      <c r="JJI70"/>
      <c r="JJJ70"/>
      <c r="JJK70"/>
      <c r="JJL70"/>
      <c r="JJM70"/>
      <c r="JJN70"/>
      <c r="JJO70"/>
      <c r="JJP70"/>
      <c r="JJQ70"/>
      <c r="JJR70"/>
      <c r="JJS70"/>
      <c r="JJT70"/>
      <c r="JJU70"/>
      <c r="JJV70"/>
      <c r="JJW70"/>
      <c r="JJX70"/>
      <c r="JJY70"/>
      <c r="JJZ70"/>
      <c r="JKA70"/>
      <c r="JKB70"/>
      <c r="JKC70"/>
      <c r="JKD70"/>
      <c r="JKE70"/>
      <c r="JKF70"/>
      <c r="JKG70"/>
      <c r="JKH70"/>
      <c r="JKI70"/>
      <c r="JKJ70"/>
      <c r="JKK70"/>
      <c r="JKL70"/>
      <c r="JKM70"/>
      <c r="JKN70"/>
      <c r="JKO70"/>
      <c r="JKP70"/>
      <c r="JKQ70"/>
      <c r="JKR70"/>
      <c r="JKS70"/>
      <c r="JKT70"/>
      <c r="JKU70"/>
      <c r="JKV70"/>
      <c r="JKW70"/>
      <c r="JKX70"/>
      <c r="JKY70"/>
      <c r="JKZ70"/>
      <c r="JLA70"/>
      <c r="JLB70"/>
      <c r="JLC70"/>
      <c r="JLD70"/>
      <c r="JLE70"/>
      <c r="JLF70"/>
      <c r="JLG70"/>
      <c r="JLH70"/>
      <c r="JLI70"/>
      <c r="JLJ70"/>
      <c r="JLK70"/>
      <c r="JLL70"/>
      <c r="JLM70"/>
      <c r="JLN70"/>
      <c r="JLO70"/>
      <c r="JLP70"/>
      <c r="JLQ70"/>
      <c r="JLR70"/>
      <c r="JLS70"/>
      <c r="JLT70"/>
      <c r="JLU70"/>
      <c r="JLV70"/>
      <c r="JLW70"/>
      <c r="JLX70"/>
      <c r="JLY70"/>
      <c r="JLZ70"/>
      <c r="JMA70"/>
      <c r="JMB70"/>
      <c r="JMC70"/>
      <c r="JMD70"/>
      <c r="JME70"/>
      <c r="JMF70"/>
      <c r="JMG70"/>
      <c r="JMH70"/>
      <c r="JMI70"/>
      <c r="JMJ70"/>
      <c r="JMK70"/>
      <c r="JML70"/>
      <c r="JMM70"/>
      <c r="JMN70"/>
      <c r="JMO70"/>
      <c r="JMP70"/>
      <c r="JMQ70"/>
      <c r="JMR70"/>
      <c r="JMS70"/>
      <c r="JMT70"/>
      <c r="JMU70"/>
      <c r="JMV70"/>
      <c r="JMW70"/>
      <c r="JMX70"/>
      <c r="JMY70"/>
      <c r="JMZ70"/>
      <c r="JNA70"/>
      <c r="JNB70"/>
      <c r="JNC70"/>
      <c r="JND70"/>
      <c r="JNE70"/>
      <c r="JNF70"/>
      <c r="JNG70"/>
      <c r="JNH70"/>
      <c r="JNI70"/>
      <c r="JNJ70"/>
      <c r="JNK70"/>
      <c r="JNL70"/>
      <c r="JNM70"/>
      <c r="JNN70"/>
      <c r="JNO70"/>
      <c r="JNP70"/>
      <c r="JNQ70"/>
      <c r="JNR70"/>
      <c r="JNS70"/>
      <c r="JNT70"/>
      <c r="JNU70"/>
      <c r="JNV70"/>
      <c r="JNW70"/>
      <c r="JNX70"/>
      <c r="JNY70"/>
      <c r="JNZ70"/>
      <c r="JOA70"/>
      <c r="JOB70"/>
      <c r="JOC70"/>
      <c r="JOD70"/>
      <c r="JOE70"/>
      <c r="JOF70"/>
      <c r="JOG70"/>
      <c r="JOH70"/>
      <c r="JOI70"/>
      <c r="JOJ70"/>
      <c r="JOK70"/>
      <c r="JOL70"/>
      <c r="JOM70"/>
      <c r="JON70"/>
      <c r="JOO70"/>
      <c r="JOP70"/>
      <c r="JOQ70"/>
      <c r="JOR70"/>
      <c r="JOS70"/>
      <c r="JOT70"/>
      <c r="JOU70"/>
      <c r="JOV70"/>
      <c r="JOW70"/>
      <c r="JOX70"/>
      <c r="JOY70"/>
      <c r="JOZ70"/>
      <c r="JPA70"/>
      <c r="JPB70"/>
      <c r="JPC70"/>
      <c r="JPD70"/>
      <c r="JPE70"/>
      <c r="JPF70"/>
      <c r="JPG70"/>
      <c r="JPH70"/>
      <c r="JPI70"/>
      <c r="JPJ70"/>
      <c r="JPK70"/>
      <c r="JPL70"/>
      <c r="JPM70"/>
      <c r="JPN70"/>
      <c r="JPO70"/>
      <c r="JPP70"/>
      <c r="JPQ70"/>
      <c r="JPR70"/>
      <c r="JPS70"/>
      <c r="JPT70"/>
      <c r="JPU70"/>
      <c r="JPV70"/>
      <c r="JPW70"/>
      <c r="JPX70"/>
      <c r="JPY70"/>
      <c r="JPZ70"/>
      <c r="JQA70"/>
      <c r="JQB70"/>
      <c r="JQC70"/>
      <c r="JQD70"/>
      <c r="JQE70"/>
      <c r="JQF70"/>
      <c r="JQG70"/>
      <c r="JQH70"/>
      <c r="JQI70"/>
      <c r="JQJ70"/>
      <c r="JQK70"/>
      <c r="JQL70"/>
      <c r="JQM70"/>
      <c r="JQN70"/>
      <c r="JQO70"/>
      <c r="JQP70"/>
      <c r="JQQ70"/>
      <c r="JQR70"/>
      <c r="JQS70"/>
      <c r="JQT70"/>
      <c r="JQU70"/>
      <c r="JQV70"/>
      <c r="JQW70"/>
      <c r="JQX70"/>
      <c r="JQY70"/>
      <c r="JQZ70"/>
      <c r="JRA70"/>
      <c r="JRB70"/>
      <c r="JRC70"/>
      <c r="JRD70"/>
      <c r="JRE70"/>
      <c r="JRF70"/>
      <c r="JRG70"/>
      <c r="JRH70"/>
      <c r="JRI70"/>
      <c r="JRJ70"/>
      <c r="JRK70"/>
      <c r="JRL70"/>
      <c r="JRM70"/>
      <c r="JRN70"/>
      <c r="JRO70"/>
      <c r="JRP70"/>
      <c r="JRQ70"/>
      <c r="JRR70"/>
      <c r="JRS70"/>
      <c r="JRT70"/>
      <c r="JRU70"/>
      <c r="JRV70"/>
      <c r="JRW70"/>
      <c r="JRX70"/>
      <c r="JRY70"/>
      <c r="JRZ70"/>
      <c r="JSA70"/>
      <c r="JSB70"/>
      <c r="JSC70"/>
      <c r="JSD70"/>
      <c r="JSE70"/>
      <c r="JSF70"/>
      <c r="JSG70"/>
      <c r="JSH70"/>
      <c r="JSI70"/>
      <c r="JSJ70"/>
      <c r="JSK70"/>
      <c r="JSL70"/>
      <c r="JSM70"/>
      <c r="JSN70"/>
      <c r="JSO70"/>
      <c r="JSP70"/>
      <c r="JSQ70"/>
      <c r="JSR70"/>
      <c r="JSS70"/>
      <c r="JST70"/>
      <c r="JSU70"/>
      <c r="JSV70"/>
      <c r="JSW70"/>
      <c r="JSX70"/>
      <c r="JSY70"/>
      <c r="JSZ70"/>
      <c r="JTA70"/>
      <c r="JTB70"/>
      <c r="JTC70"/>
      <c r="JTD70"/>
      <c r="JTE70"/>
      <c r="JTF70"/>
      <c r="JTG70"/>
      <c r="JTH70"/>
      <c r="JTI70"/>
      <c r="JTJ70"/>
      <c r="JTK70"/>
      <c r="JTL70"/>
      <c r="JTM70"/>
      <c r="JTN70"/>
      <c r="JTO70"/>
      <c r="JTP70"/>
      <c r="JTQ70"/>
      <c r="JTR70"/>
      <c r="JTS70"/>
      <c r="JTT70"/>
      <c r="JTU70"/>
      <c r="JTV70"/>
      <c r="JTW70"/>
      <c r="JTX70"/>
      <c r="JTY70"/>
      <c r="JTZ70"/>
      <c r="JUA70"/>
      <c r="JUB70"/>
      <c r="JUC70"/>
      <c r="JUD70"/>
      <c r="JUE70"/>
      <c r="JUF70"/>
      <c r="JUG70"/>
      <c r="JUH70"/>
      <c r="JUI70"/>
      <c r="JUJ70"/>
      <c r="JUK70"/>
      <c r="JUL70"/>
      <c r="JUM70"/>
      <c r="JUN70"/>
      <c r="JUO70"/>
      <c r="JUP70"/>
      <c r="JUQ70"/>
      <c r="JUR70"/>
      <c r="JUS70"/>
      <c r="JUT70"/>
      <c r="JUU70"/>
      <c r="JUV70"/>
      <c r="JUW70"/>
      <c r="JUX70"/>
      <c r="JUY70"/>
      <c r="JUZ70"/>
      <c r="JVA70"/>
      <c r="JVB70"/>
      <c r="JVC70"/>
      <c r="JVD70"/>
      <c r="JVE70"/>
      <c r="JVF70"/>
      <c r="JVG70"/>
      <c r="JVH70"/>
      <c r="JVI70"/>
      <c r="JVJ70"/>
      <c r="JVK70"/>
      <c r="JVL70"/>
      <c r="JVM70"/>
      <c r="JVN70"/>
      <c r="JVO70"/>
      <c r="JVP70"/>
      <c r="JVQ70"/>
      <c r="JVR70"/>
      <c r="JVS70"/>
      <c r="JVT70"/>
      <c r="JVU70"/>
      <c r="JVV70"/>
      <c r="JVW70"/>
      <c r="JVX70"/>
      <c r="JVY70"/>
      <c r="JVZ70"/>
      <c r="JWA70"/>
      <c r="JWB70"/>
      <c r="JWC70"/>
      <c r="JWD70"/>
      <c r="JWE70"/>
      <c r="JWF70"/>
      <c r="JWG70"/>
      <c r="JWH70"/>
      <c r="JWI70"/>
      <c r="JWJ70"/>
      <c r="JWK70"/>
      <c r="JWL70"/>
      <c r="JWM70"/>
      <c r="JWN70"/>
      <c r="JWO70"/>
      <c r="JWP70"/>
      <c r="JWQ70"/>
      <c r="JWR70"/>
      <c r="JWS70"/>
      <c r="JWT70"/>
      <c r="JWU70"/>
      <c r="JWV70"/>
      <c r="JWW70"/>
      <c r="JWX70"/>
      <c r="JWY70"/>
      <c r="JWZ70"/>
      <c r="JXA70"/>
      <c r="JXB70"/>
      <c r="JXC70"/>
      <c r="JXD70"/>
      <c r="JXE70"/>
      <c r="JXF70"/>
      <c r="JXG70"/>
      <c r="JXH70"/>
      <c r="JXI70"/>
      <c r="JXJ70"/>
      <c r="JXK70"/>
      <c r="JXL70"/>
      <c r="JXM70"/>
      <c r="JXN70"/>
      <c r="JXO70"/>
      <c r="JXP70"/>
      <c r="JXQ70"/>
      <c r="JXR70"/>
      <c r="JXS70"/>
      <c r="JXT70"/>
      <c r="JXU70"/>
      <c r="JXV70"/>
      <c r="JXW70"/>
      <c r="JXX70"/>
      <c r="JXY70"/>
      <c r="JXZ70"/>
      <c r="JYA70"/>
      <c r="JYB70"/>
      <c r="JYC70"/>
      <c r="JYD70"/>
      <c r="JYE70"/>
      <c r="JYF70"/>
      <c r="JYG70"/>
      <c r="JYH70"/>
      <c r="JYI70"/>
      <c r="JYJ70"/>
      <c r="JYK70"/>
      <c r="JYL70"/>
      <c r="JYM70"/>
      <c r="JYN70"/>
      <c r="JYO70"/>
      <c r="JYP70"/>
      <c r="JYQ70"/>
      <c r="JYR70"/>
      <c r="JYS70"/>
      <c r="JYT70"/>
      <c r="JYU70"/>
      <c r="JYV70"/>
      <c r="JYW70"/>
      <c r="JYX70"/>
      <c r="JYY70"/>
      <c r="JYZ70"/>
      <c r="JZA70"/>
      <c r="JZB70"/>
      <c r="JZC70"/>
      <c r="JZD70"/>
      <c r="JZE70"/>
      <c r="JZF70"/>
      <c r="JZG70"/>
      <c r="JZH70"/>
      <c r="JZI70"/>
      <c r="JZJ70"/>
      <c r="JZK70"/>
      <c r="JZL70"/>
      <c r="JZM70"/>
      <c r="JZN70"/>
      <c r="JZO70"/>
      <c r="JZP70"/>
      <c r="JZQ70"/>
      <c r="JZR70"/>
      <c r="JZS70"/>
      <c r="JZT70"/>
      <c r="JZU70"/>
      <c r="JZV70"/>
      <c r="JZW70"/>
      <c r="JZX70"/>
      <c r="JZY70"/>
      <c r="JZZ70"/>
      <c r="KAA70"/>
      <c r="KAB70"/>
      <c r="KAC70"/>
      <c r="KAD70"/>
      <c r="KAE70"/>
      <c r="KAF70"/>
      <c r="KAG70"/>
      <c r="KAH70"/>
      <c r="KAI70"/>
      <c r="KAJ70"/>
      <c r="KAK70"/>
      <c r="KAL70"/>
      <c r="KAM70"/>
      <c r="KAN70"/>
      <c r="KAO70"/>
      <c r="KAP70"/>
      <c r="KAQ70"/>
      <c r="KAR70"/>
      <c r="KAS70"/>
      <c r="KAT70"/>
      <c r="KAU70"/>
      <c r="KAV70"/>
      <c r="KAW70"/>
      <c r="KAX70"/>
      <c r="KAY70"/>
      <c r="KAZ70"/>
      <c r="KBA70"/>
      <c r="KBB70"/>
      <c r="KBC70"/>
      <c r="KBD70"/>
      <c r="KBE70"/>
      <c r="KBF70"/>
      <c r="KBG70"/>
      <c r="KBH70"/>
      <c r="KBI70"/>
      <c r="KBJ70"/>
      <c r="KBK70"/>
      <c r="KBL70"/>
      <c r="KBM70"/>
      <c r="KBN70"/>
      <c r="KBO70"/>
      <c r="KBP70"/>
      <c r="KBQ70"/>
      <c r="KBR70"/>
      <c r="KBS70"/>
      <c r="KBT70"/>
      <c r="KBU70"/>
      <c r="KBV70"/>
      <c r="KBW70"/>
      <c r="KBX70"/>
      <c r="KBY70"/>
      <c r="KBZ70"/>
      <c r="KCA70"/>
      <c r="KCB70"/>
      <c r="KCC70"/>
      <c r="KCD70"/>
      <c r="KCE70"/>
      <c r="KCF70"/>
      <c r="KCG70"/>
      <c r="KCH70"/>
      <c r="KCI70"/>
      <c r="KCJ70"/>
      <c r="KCK70"/>
      <c r="KCL70"/>
      <c r="KCM70"/>
      <c r="KCN70"/>
      <c r="KCO70"/>
      <c r="KCP70"/>
      <c r="KCQ70"/>
      <c r="KCR70"/>
      <c r="KCS70"/>
      <c r="KCT70"/>
      <c r="KCU70"/>
      <c r="KCV70"/>
      <c r="KCW70"/>
      <c r="KCX70"/>
      <c r="KCY70"/>
      <c r="KCZ70"/>
      <c r="KDA70"/>
      <c r="KDB70"/>
      <c r="KDC70"/>
      <c r="KDD70"/>
      <c r="KDE70"/>
      <c r="KDF70"/>
      <c r="KDG70"/>
      <c r="KDH70"/>
      <c r="KDI70"/>
      <c r="KDJ70"/>
      <c r="KDK70"/>
      <c r="KDL70"/>
      <c r="KDM70"/>
      <c r="KDN70"/>
      <c r="KDO70"/>
      <c r="KDP70"/>
      <c r="KDQ70"/>
      <c r="KDR70"/>
      <c r="KDS70"/>
      <c r="KDT70"/>
      <c r="KDU70"/>
      <c r="KDV70"/>
      <c r="KDW70"/>
      <c r="KDX70"/>
      <c r="KDY70"/>
      <c r="KDZ70"/>
      <c r="KEA70"/>
      <c r="KEB70"/>
      <c r="KEC70"/>
      <c r="KED70"/>
      <c r="KEE70"/>
      <c r="KEF70"/>
      <c r="KEG70"/>
      <c r="KEH70"/>
      <c r="KEI70"/>
      <c r="KEJ70"/>
      <c r="KEK70"/>
      <c r="KEL70"/>
      <c r="KEM70"/>
      <c r="KEN70"/>
      <c r="KEO70"/>
      <c r="KEP70"/>
      <c r="KEQ70"/>
      <c r="KER70"/>
      <c r="KES70"/>
      <c r="KET70"/>
      <c r="KEU70"/>
      <c r="KEV70"/>
      <c r="KEW70"/>
      <c r="KEX70"/>
      <c r="KEY70"/>
      <c r="KEZ70"/>
      <c r="KFA70"/>
      <c r="KFB70"/>
      <c r="KFC70"/>
      <c r="KFD70"/>
      <c r="KFE70"/>
      <c r="KFF70"/>
      <c r="KFG70"/>
      <c r="KFH70"/>
      <c r="KFI70"/>
      <c r="KFJ70"/>
      <c r="KFK70"/>
      <c r="KFL70"/>
      <c r="KFM70"/>
      <c r="KFN70"/>
      <c r="KFO70"/>
      <c r="KFP70"/>
      <c r="KFQ70"/>
      <c r="KFR70"/>
      <c r="KFS70"/>
      <c r="KFT70"/>
      <c r="KFU70"/>
      <c r="KFV70"/>
      <c r="KFW70"/>
      <c r="KFX70"/>
      <c r="KFY70"/>
      <c r="KFZ70"/>
      <c r="KGA70"/>
      <c r="KGB70"/>
      <c r="KGC70"/>
      <c r="KGD70"/>
      <c r="KGE70"/>
      <c r="KGF70"/>
      <c r="KGG70"/>
      <c r="KGH70"/>
      <c r="KGI70"/>
      <c r="KGJ70"/>
      <c r="KGK70"/>
      <c r="KGL70"/>
      <c r="KGM70"/>
      <c r="KGN70"/>
      <c r="KGO70"/>
      <c r="KGP70"/>
      <c r="KGQ70"/>
      <c r="KGR70"/>
      <c r="KGS70"/>
      <c r="KGT70"/>
      <c r="KGU70"/>
      <c r="KGV70"/>
      <c r="KGW70"/>
      <c r="KGX70"/>
      <c r="KGY70"/>
      <c r="KGZ70"/>
      <c r="KHA70"/>
      <c r="KHB70"/>
      <c r="KHC70"/>
      <c r="KHD70"/>
      <c r="KHE70"/>
      <c r="KHF70"/>
      <c r="KHG70"/>
      <c r="KHH70"/>
      <c r="KHI70"/>
      <c r="KHJ70"/>
      <c r="KHK70"/>
      <c r="KHL70"/>
      <c r="KHM70"/>
      <c r="KHN70"/>
      <c r="KHO70"/>
      <c r="KHP70"/>
      <c r="KHQ70"/>
      <c r="KHR70"/>
      <c r="KHS70"/>
      <c r="KHT70"/>
      <c r="KHU70"/>
      <c r="KHV70"/>
      <c r="KHW70"/>
      <c r="KHX70"/>
      <c r="KHY70"/>
      <c r="KHZ70"/>
      <c r="KIA70"/>
      <c r="KIB70"/>
      <c r="KIC70"/>
      <c r="KID70"/>
      <c r="KIE70"/>
      <c r="KIF70"/>
      <c r="KIG70"/>
      <c r="KIH70"/>
      <c r="KII70"/>
      <c r="KIJ70"/>
      <c r="KIK70"/>
      <c r="KIL70"/>
      <c r="KIM70"/>
      <c r="KIN70"/>
      <c r="KIO70"/>
      <c r="KIP70"/>
      <c r="KIQ70"/>
      <c r="KIR70"/>
      <c r="KIS70"/>
      <c r="KIT70"/>
      <c r="KIU70"/>
      <c r="KIV70"/>
      <c r="KIW70"/>
      <c r="KIX70"/>
      <c r="KIY70"/>
      <c r="KIZ70"/>
      <c r="KJA70"/>
      <c r="KJB70"/>
      <c r="KJC70"/>
      <c r="KJD70"/>
      <c r="KJE70"/>
      <c r="KJF70"/>
      <c r="KJG70"/>
      <c r="KJH70"/>
      <c r="KJI70"/>
      <c r="KJJ70"/>
      <c r="KJK70"/>
      <c r="KJL70"/>
      <c r="KJM70"/>
      <c r="KJN70"/>
      <c r="KJO70"/>
      <c r="KJP70"/>
      <c r="KJQ70"/>
      <c r="KJR70"/>
      <c r="KJS70"/>
      <c r="KJT70"/>
      <c r="KJU70"/>
      <c r="KJV70"/>
      <c r="KJW70"/>
      <c r="KJX70"/>
      <c r="KJY70"/>
      <c r="KJZ70"/>
      <c r="KKA70"/>
      <c r="KKB70"/>
      <c r="KKC70"/>
      <c r="KKD70"/>
      <c r="KKE70"/>
      <c r="KKF70"/>
      <c r="KKG70"/>
      <c r="KKH70"/>
      <c r="KKI70"/>
      <c r="KKJ70"/>
      <c r="KKK70"/>
      <c r="KKL70"/>
      <c r="KKM70"/>
      <c r="KKN70"/>
      <c r="KKO70"/>
      <c r="KKP70"/>
      <c r="KKQ70"/>
      <c r="KKR70"/>
      <c r="KKS70"/>
      <c r="KKT70"/>
      <c r="KKU70"/>
      <c r="KKV70"/>
      <c r="KKW70"/>
      <c r="KKX70"/>
      <c r="KKY70"/>
      <c r="KKZ70"/>
      <c r="KLA70"/>
      <c r="KLB70"/>
      <c r="KLC70"/>
      <c r="KLD70"/>
      <c r="KLE70"/>
      <c r="KLF70"/>
      <c r="KLG70"/>
      <c r="KLH70"/>
      <c r="KLI70"/>
      <c r="KLJ70"/>
      <c r="KLK70"/>
      <c r="KLL70"/>
      <c r="KLM70"/>
      <c r="KLN70"/>
      <c r="KLO70"/>
      <c r="KLP70"/>
      <c r="KLQ70"/>
      <c r="KLR70"/>
      <c r="KLS70"/>
      <c r="KLT70"/>
      <c r="KLU70"/>
      <c r="KLV70"/>
      <c r="KLW70"/>
      <c r="KLX70"/>
      <c r="KLY70"/>
      <c r="KLZ70"/>
      <c r="KMA70"/>
      <c r="KMB70"/>
      <c r="KMC70"/>
      <c r="KMD70"/>
      <c r="KME70"/>
      <c r="KMF70"/>
      <c r="KMG70"/>
      <c r="KMH70"/>
      <c r="KMI70"/>
      <c r="KMJ70"/>
      <c r="KMK70"/>
      <c r="KML70"/>
      <c r="KMM70"/>
      <c r="KMN70"/>
      <c r="KMO70"/>
      <c r="KMP70"/>
      <c r="KMQ70"/>
      <c r="KMR70"/>
      <c r="KMS70"/>
      <c r="KMT70"/>
      <c r="KMU70"/>
      <c r="KMV70"/>
      <c r="KMW70"/>
      <c r="KMX70"/>
      <c r="KMY70"/>
      <c r="KMZ70"/>
      <c r="KNA70"/>
      <c r="KNB70"/>
      <c r="KNC70"/>
      <c r="KND70"/>
      <c r="KNE70"/>
      <c r="KNF70"/>
      <c r="KNG70"/>
      <c r="KNH70"/>
      <c r="KNI70"/>
      <c r="KNJ70"/>
      <c r="KNK70"/>
      <c r="KNL70"/>
      <c r="KNM70"/>
      <c r="KNN70"/>
      <c r="KNO70"/>
      <c r="KNP70"/>
      <c r="KNQ70"/>
      <c r="KNR70"/>
      <c r="KNS70"/>
      <c r="KNT70"/>
      <c r="KNU70"/>
      <c r="KNV70"/>
      <c r="KNW70"/>
      <c r="KNX70"/>
      <c r="KNY70"/>
      <c r="KNZ70"/>
      <c r="KOA70"/>
      <c r="KOB70"/>
      <c r="KOC70"/>
      <c r="KOD70"/>
      <c r="KOE70"/>
      <c r="KOF70"/>
      <c r="KOG70"/>
      <c r="KOH70"/>
      <c r="KOI70"/>
      <c r="KOJ70"/>
      <c r="KOK70"/>
      <c r="KOL70"/>
      <c r="KOM70"/>
      <c r="KON70"/>
      <c r="KOO70"/>
      <c r="KOP70"/>
      <c r="KOQ70"/>
      <c r="KOR70"/>
      <c r="KOS70"/>
      <c r="KOT70"/>
      <c r="KOU70"/>
      <c r="KOV70"/>
      <c r="KOW70"/>
      <c r="KOX70"/>
      <c r="KOY70"/>
      <c r="KOZ70"/>
      <c r="KPA70"/>
      <c r="KPB70"/>
      <c r="KPC70"/>
      <c r="KPD70"/>
      <c r="KPE70"/>
      <c r="KPF70"/>
      <c r="KPG70"/>
      <c r="KPH70"/>
      <c r="KPI70"/>
      <c r="KPJ70"/>
      <c r="KPK70"/>
      <c r="KPL70"/>
      <c r="KPM70"/>
      <c r="KPN70"/>
      <c r="KPO70"/>
      <c r="KPP70"/>
      <c r="KPQ70"/>
      <c r="KPR70"/>
      <c r="KPS70"/>
      <c r="KPT70"/>
      <c r="KPU70"/>
      <c r="KPV70"/>
      <c r="KPW70"/>
      <c r="KPX70"/>
      <c r="KPY70"/>
      <c r="KPZ70"/>
      <c r="KQA70"/>
      <c r="KQB70"/>
      <c r="KQC70"/>
      <c r="KQD70"/>
      <c r="KQE70"/>
      <c r="KQF70"/>
      <c r="KQG70"/>
      <c r="KQH70"/>
      <c r="KQI70"/>
      <c r="KQJ70"/>
      <c r="KQK70"/>
      <c r="KQL70"/>
      <c r="KQM70"/>
      <c r="KQN70"/>
      <c r="KQO70"/>
      <c r="KQP70"/>
      <c r="KQQ70"/>
      <c r="KQR70"/>
      <c r="KQS70"/>
      <c r="KQT70"/>
      <c r="KQU70"/>
      <c r="KQV70"/>
      <c r="KQW70"/>
      <c r="KQX70"/>
      <c r="KQY70"/>
      <c r="KQZ70"/>
      <c r="KRA70"/>
      <c r="KRB70"/>
      <c r="KRC70"/>
      <c r="KRD70"/>
      <c r="KRE70"/>
      <c r="KRF70"/>
      <c r="KRG70"/>
      <c r="KRH70"/>
      <c r="KRI70"/>
      <c r="KRJ70"/>
      <c r="KRK70"/>
      <c r="KRL70"/>
      <c r="KRM70"/>
      <c r="KRN70"/>
      <c r="KRO70"/>
      <c r="KRP70"/>
      <c r="KRQ70"/>
      <c r="KRR70"/>
      <c r="KRS70"/>
      <c r="KRT70"/>
      <c r="KRU70"/>
      <c r="KRV70"/>
      <c r="KRW70"/>
      <c r="KRX70"/>
      <c r="KRY70"/>
      <c r="KRZ70"/>
      <c r="KSA70"/>
      <c r="KSB70"/>
      <c r="KSC70"/>
      <c r="KSD70"/>
      <c r="KSE70"/>
      <c r="KSF70"/>
      <c r="KSG70"/>
      <c r="KSH70"/>
      <c r="KSI70"/>
      <c r="KSJ70"/>
      <c r="KSK70"/>
      <c r="KSL70"/>
      <c r="KSM70"/>
      <c r="KSN70"/>
      <c r="KSO70"/>
      <c r="KSP70"/>
      <c r="KSQ70"/>
      <c r="KSR70"/>
      <c r="KSS70"/>
      <c r="KST70"/>
      <c r="KSU70"/>
      <c r="KSV70"/>
      <c r="KSW70"/>
      <c r="KSX70"/>
      <c r="KSY70"/>
      <c r="KSZ70"/>
      <c r="KTA70"/>
      <c r="KTB70"/>
      <c r="KTC70"/>
      <c r="KTD70"/>
      <c r="KTE70"/>
      <c r="KTF70"/>
      <c r="KTG70"/>
      <c r="KTH70"/>
      <c r="KTI70"/>
      <c r="KTJ70"/>
      <c r="KTK70"/>
      <c r="KTL70"/>
      <c r="KTM70"/>
      <c r="KTN70"/>
      <c r="KTO70"/>
      <c r="KTP70"/>
      <c r="KTQ70"/>
      <c r="KTR70"/>
      <c r="KTS70"/>
      <c r="KTT70"/>
      <c r="KTU70"/>
      <c r="KTV70"/>
      <c r="KTW70"/>
      <c r="KTX70"/>
      <c r="KTY70"/>
      <c r="KTZ70"/>
      <c r="KUA70"/>
      <c r="KUB70"/>
      <c r="KUC70"/>
      <c r="KUD70"/>
      <c r="KUE70"/>
      <c r="KUF70"/>
      <c r="KUG70"/>
      <c r="KUH70"/>
      <c r="KUI70"/>
      <c r="KUJ70"/>
      <c r="KUK70"/>
      <c r="KUL70"/>
      <c r="KUM70"/>
      <c r="KUN70"/>
      <c r="KUO70"/>
      <c r="KUP70"/>
      <c r="KUQ70"/>
      <c r="KUR70"/>
      <c r="KUS70"/>
      <c r="KUT70"/>
      <c r="KUU70"/>
      <c r="KUV70"/>
      <c r="KUW70"/>
      <c r="KUX70"/>
      <c r="KUY70"/>
      <c r="KUZ70"/>
      <c r="KVA70"/>
      <c r="KVB70"/>
      <c r="KVC70"/>
      <c r="KVD70"/>
      <c r="KVE70"/>
      <c r="KVF70"/>
      <c r="KVG70"/>
      <c r="KVH70"/>
      <c r="KVI70"/>
      <c r="KVJ70"/>
      <c r="KVK70"/>
      <c r="KVL70"/>
      <c r="KVM70"/>
      <c r="KVN70"/>
      <c r="KVO70"/>
      <c r="KVP70"/>
      <c r="KVQ70"/>
      <c r="KVR70"/>
      <c r="KVS70"/>
      <c r="KVT70"/>
      <c r="KVU70"/>
      <c r="KVV70"/>
      <c r="KVW70"/>
      <c r="KVX70"/>
      <c r="KVY70"/>
      <c r="KVZ70"/>
      <c r="KWA70"/>
      <c r="KWB70"/>
      <c r="KWC70"/>
      <c r="KWD70"/>
      <c r="KWE70"/>
      <c r="KWF70"/>
      <c r="KWG70"/>
      <c r="KWH70"/>
      <c r="KWI70"/>
      <c r="KWJ70"/>
      <c r="KWK70"/>
      <c r="KWL70"/>
      <c r="KWM70"/>
      <c r="KWN70"/>
      <c r="KWO70"/>
      <c r="KWP70"/>
      <c r="KWQ70"/>
      <c r="KWR70"/>
      <c r="KWS70"/>
      <c r="KWT70"/>
      <c r="KWU70"/>
      <c r="KWV70"/>
      <c r="KWW70"/>
      <c r="KWX70"/>
      <c r="KWY70"/>
      <c r="KWZ70"/>
      <c r="KXA70"/>
      <c r="KXB70"/>
      <c r="KXC70"/>
      <c r="KXD70"/>
      <c r="KXE70"/>
      <c r="KXF70"/>
      <c r="KXG70"/>
      <c r="KXH70"/>
      <c r="KXI70"/>
      <c r="KXJ70"/>
      <c r="KXK70"/>
      <c r="KXL70"/>
      <c r="KXM70"/>
      <c r="KXN70"/>
      <c r="KXO70"/>
      <c r="KXP70"/>
      <c r="KXQ70"/>
      <c r="KXR70"/>
      <c r="KXS70"/>
      <c r="KXT70"/>
      <c r="KXU70"/>
      <c r="KXV70"/>
      <c r="KXW70"/>
      <c r="KXX70"/>
      <c r="KXY70"/>
      <c r="KXZ70"/>
      <c r="KYA70"/>
      <c r="KYB70"/>
      <c r="KYC70"/>
      <c r="KYD70"/>
      <c r="KYE70"/>
      <c r="KYF70"/>
      <c r="KYG70"/>
      <c r="KYH70"/>
      <c r="KYI70"/>
      <c r="KYJ70"/>
      <c r="KYK70"/>
      <c r="KYL70"/>
      <c r="KYM70"/>
      <c r="KYN70"/>
      <c r="KYO70"/>
      <c r="KYP70"/>
      <c r="KYQ70"/>
      <c r="KYR70"/>
      <c r="KYS70"/>
      <c r="KYT70"/>
      <c r="KYU70"/>
      <c r="KYV70"/>
      <c r="KYW70"/>
      <c r="KYX70"/>
      <c r="KYY70"/>
      <c r="KYZ70"/>
      <c r="KZA70"/>
      <c r="KZB70"/>
      <c r="KZC70"/>
      <c r="KZD70"/>
      <c r="KZE70"/>
      <c r="KZF70"/>
      <c r="KZG70"/>
      <c r="KZH70"/>
      <c r="KZI70"/>
      <c r="KZJ70"/>
      <c r="KZK70"/>
      <c r="KZL70"/>
      <c r="KZM70"/>
      <c r="KZN70"/>
      <c r="KZO70"/>
      <c r="KZP70"/>
      <c r="KZQ70"/>
      <c r="KZR70"/>
      <c r="KZS70"/>
      <c r="KZT70"/>
      <c r="KZU70"/>
      <c r="KZV70"/>
      <c r="KZW70"/>
      <c r="KZX70"/>
      <c r="KZY70"/>
      <c r="KZZ70"/>
      <c r="LAA70"/>
      <c r="LAB70"/>
      <c r="LAC70"/>
      <c r="LAD70"/>
      <c r="LAE70"/>
      <c r="LAF70"/>
      <c r="LAG70"/>
      <c r="LAH70"/>
      <c r="LAI70"/>
      <c r="LAJ70"/>
      <c r="LAK70"/>
      <c r="LAL70"/>
      <c r="LAM70"/>
      <c r="LAN70"/>
      <c r="LAO70"/>
      <c r="LAP70"/>
      <c r="LAQ70"/>
      <c r="LAR70"/>
      <c r="LAS70"/>
      <c r="LAT70"/>
      <c r="LAU70"/>
      <c r="LAV70"/>
      <c r="LAW70"/>
      <c r="LAX70"/>
      <c r="LAY70"/>
      <c r="LAZ70"/>
      <c r="LBA70"/>
      <c r="LBB70"/>
      <c r="LBC70"/>
      <c r="LBD70"/>
      <c r="LBE70"/>
      <c r="LBF70"/>
      <c r="LBG70"/>
      <c r="LBH70"/>
      <c r="LBI70"/>
      <c r="LBJ70"/>
      <c r="LBK70"/>
      <c r="LBL70"/>
      <c r="LBM70"/>
      <c r="LBN70"/>
      <c r="LBO70"/>
      <c r="LBP70"/>
      <c r="LBQ70"/>
      <c r="LBR70"/>
      <c r="LBS70"/>
      <c r="LBT70"/>
      <c r="LBU70"/>
      <c r="LBV70"/>
      <c r="LBW70"/>
      <c r="LBX70"/>
      <c r="LBY70"/>
      <c r="LBZ70"/>
      <c r="LCA70"/>
      <c r="LCB70"/>
      <c r="LCC70"/>
      <c r="LCD70"/>
      <c r="LCE70"/>
      <c r="LCF70"/>
      <c r="LCG70"/>
      <c r="LCH70"/>
      <c r="LCI70"/>
      <c r="LCJ70"/>
      <c r="LCK70"/>
      <c r="LCL70"/>
      <c r="LCM70"/>
      <c r="LCN70"/>
      <c r="LCO70"/>
      <c r="LCP70"/>
      <c r="LCQ70"/>
      <c r="LCR70"/>
      <c r="LCS70"/>
      <c r="LCT70"/>
      <c r="LCU70"/>
      <c r="LCV70"/>
      <c r="LCW70"/>
      <c r="LCX70"/>
      <c r="LCY70"/>
      <c r="LCZ70"/>
      <c r="LDA70"/>
      <c r="LDB70"/>
      <c r="LDC70"/>
      <c r="LDD70"/>
      <c r="LDE70"/>
      <c r="LDF70"/>
      <c r="LDG70"/>
      <c r="LDH70"/>
      <c r="LDI70"/>
      <c r="LDJ70"/>
      <c r="LDK70"/>
      <c r="LDL70"/>
      <c r="LDM70"/>
      <c r="LDN70"/>
      <c r="LDO70"/>
      <c r="LDP70"/>
      <c r="LDQ70"/>
      <c r="LDR70"/>
      <c r="LDS70"/>
      <c r="LDT70"/>
      <c r="LDU70"/>
      <c r="LDV70"/>
      <c r="LDW70"/>
      <c r="LDX70"/>
      <c r="LDY70"/>
      <c r="LDZ70"/>
      <c r="LEA70"/>
      <c r="LEB70"/>
      <c r="LEC70"/>
      <c r="LED70"/>
      <c r="LEE70"/>
      <c r="LEF70"/>
      <c r="LEG70"/>
      <c r="LEH70"/>
      <c r="LEI70"/>
      <c r="LEJ70"/>
      <c r="LEK70"/>
      <c r="LEL70"/>
      <c r="LEM70"/>
      <c r="LEN70"/>
      <c r="LEO70"/>
      <c r="LEP70"/>
      <c r="LEQ70"/>
      <c r="LER70"/>
      <c r="LES70"/>
      <c r="LET70"/>
      <c r="LEU70"/>
      <c r="LEV70"/>
      <c r="LEW70"/>
      <c r="LEX70"/>
      <c r="LEY70"/>
      <c r="LEZ70"/>
      <c r="LFA70"/>
      <c r="LFB70"/>
      <c r="LFC70"/>
      <c r="LFD70"/>
      <c r="LFE70"/>
      <c r="LFF70"/>
      <c r="LFG70"/>
      <c r="LFH70"/>
      <c r="LFI70"/>
      <c r="LFJ70"/>
      <c r="LFK70"/>
      <c r="LFL70"/>
      <c r="LFM70"/>
      <c r="LFN70"/>
      <c r="LFO70"/>
      <c r="LFP70"/>
      <c r="LFQ70"/>
      <c r="LFR70"/>
      <c r="LFS70"/>
      <c r="LFT70"/>
      <c r="LFU70"/>
      <c r="LFV70"/>
      <c r="LFW70"/>
      <c r="LFX70"/>
      <c r="LFY70"/>
      <c r="LFZ70"/>
      <c r="LGA70"/>
      <c r="LGB70"/>
      <c r="LGC70"/>
      <c r="LGD70"/>
      <c r="LGE70"/>
      <c r="LGF70"/>
      <c r="LGG70"/>
      <c r="LGH70"/>
      <c r="LGI70"/>
      <c r="LGJ70"/>
      <c r="LGK70"/>
      <c r="LGL70"/>
      <c r="LGM70"/>
      <c r="LGN70"/>
      <c r="LGO70"/>
      <c r="LGP70"/>
      <c r="LGQ70"/>
      <c r="LGR70"/>
      <c r="LGS70"/>
      <c r="LGT70"/>
      <c r="LGU70"/>
      <c r="LGV70"/>
      <c r="LGW70"/>
      <c r="LGX70"/>
      <c r="LGY70"/>
      <c r="LGZ70"/>
      <c r="LHA70"/>
      <c r="LHB70"/>
      <c r="LHC70"/>
      <c r="LHD70"/>
      <c r="LHE70"/>
      <c r="LHF70"/>
      <c r="LHG70"/>
      <c r="LHH70"/>
      <c r="LHI70"/>
      <c r="LHJ70"/>
      <c r="LHK70"/>
      <c r="LHL70"/>
      <c r="LHM70"/>
      <c r="LHN70"/>
      <c r="LHO70"/>
      <c r="LHP70"/>
      <c r="LHQ70"/>
      <c r="LHR70"/>
      <c r="LHS70"/>
      <c r="LHT70"/>
      <c r="LHU70"/>
      <c r="LHV70"/>
      <c r="LHW70"/>
      <c r="LHX70"/>
      <c r="LHY70"/>
      <c r="LHZ70"/>
      <c r="LIA70"/>
      <c r="LIB70"/>
      <c r="LIC70"/>
      <c r="LID70"/>
      <c r="LIE70"/>
      <c r="LIF70"/>
      <c r="LIG70"/>
      <c r="LIH70"/>
      <c r="LII70"/>
      <c r="LIJ70"/>
      <c r="LIK70"/>
      <c r="LIL70"/>
      <c r="LIM70"/>
      <c r="LIN70"/>
      <c r="LIO70"/>
      <c r="LIP70"/>
      <c r="LIQ70"/>
      <c r="LIR70"/>
      <c r="LIS70"/>
      <c r="LIT70"/>
      <c r="LIU70"/>
      <c r="LIV70"/>
      <c r="LIW70"/>
      <c r="LIX70"/>
      <c r="LIY70"/>
      <c r="LIZ70"/>
      <c r="LJA70"/>
      <c r="LJB70"/>
      <c r="LJC70"/>
      <c r="LJD70"/>
      <c r="LJE70"/>
      <c r="LJF70"/>
      <c r="LJG70"/>
      <c r="LJH70"/>
      <c r="LJI70"/>
      <c r="LJJ70"/>
      <c r="LJK70"/>
      <c r="LJL70"/>
      <c r="LJM70"/>
      <c r="LJN70"/>
      <c r="LJO70"/>
      <c r="LJP70"/>
      <c r="LJQ70"/>
      <c r="LJR70"/>
      <c r="LJS70"/>
      <c r="LJT70"/>
      <c r="LJU70"/>
      <c r="LJV70"/>
      <c r="LJW70"/>
      <c r="LJX70"/>
      <c r="LJY70"/>
      <c r="LJZ70"/>
      <c r="LKA70"/>
      <c r="LKB70"/>
      <c r="LKC70"/>
      <c r="LKD70"/>
      <c r="LKE70"/>
      <c r="LKF70"/>
      <c r="LKG70"/>
      <c r="LKH70"/>
      <c r="LKI70"/>
      <c r="LKJ70"/>
      <c r="LKK70"/>
      <c r="LKL70"/>
      <c r="LKM70"/>
      <c r="LKN70"/>
      <c r="LKO70"/>
      <c r="LKP70"/>
      <c r="LKQ70"/>
      <c r="LKR70"/>
      <c r="LKS70"/>
      <c r="LKT70"/>
      <c r="LKU70"/>
      <c r="LKV70"/>
      <c r="LKW70"/>
      <c r="LKX70"/>
      <c r="LKY70"/>
      <c r="LKZ70"/>
      <c r="LLA70"/>
      <c r="LLB70"/>
      <c r="LLC70"/>
      <c r="LLD70"/>
      <c r="LLE70"/>
      <c r="LLF70"/>
      <c r="LLG70"/>
      <c r="LLH70"/>
      <c r="LLI70"/>
      <c r="LLJ70"/>
      <c r="LLK70"/>
      <c r="LLL70"/>
      <c r="LLM70"/>
      <c r="LLN70"/>
      <c r="LLO70"/>
      <c r="LLP70"/>
      <c r="LLQ70"/>
      <c r="LLR70"/>
      <c r="LLS70"/>
      <c r="LLT70"/>
      <c r="LLU70"/>
      <c r="LLV70"/>
      <c r="LLW70"/>
      <c r="LLX70"/>
      <c r="LLY70"/>
      <c r="LLZ70"/>
      <c r="LMA70"/>
      <c r="LMB70"/>
      <c r="LMC70"/>
      <c r="LMD70"/>
      <c r="LME70"/>
      <c r="LMF70"/>
      <c r="LMG70"/>
      <c r="LMH70"/>
      <c r="LMI70"/>
      <c r="LMJ70"/>
      <c r="LMK70"/>
      <c r="LML70"/>
      <c r="LMM70"/>
      <c r="LMN70"/>
      <c r="LMO70"/>
      <c r="LMP70"/>
      <c r="LMQ70"/>
      <c r="LMR70"/>
      <c r="LMS70"/>
      <c r="LMT70"/>
      <c r="LMU70"/>
      <c r="LMV70"/>
      <c r="LMW70"/>
      <c r="LMX70"/>
      <c r="LMY70"/>
      <c r="LMZ70"/>
      <c r="LNA70"/>
      <c r="LNB70"/>
      <c r="LNC70"/>
      <c r="LND70"/>
      <c r="LNE70"/>
      <c r="LNF70"/>
      <c r="LNG70"/>
      <c r="LNH70"/>
      <c r="LNI70"/>
      <c r="LNJ70"/>
      <c r="LNK70"/>
      <c r="LNL70"/>
      <c r="LNM70"/>
      <c r="LNN70"/>
      <c r="LNO70"/>
      <c r="LNP70"/>
      <c r="LNQ70"/>
      <c r="LNR70"/>
      <c r="LNS70"/>
      <c r="LNT70"/>
      <c r="LNU70"/>
      <c r="LNV70"/>
      <c r="LNW70"/>
      <c r="LNX70"/>
      <c r="LNY70"/>
      <c r="LNZ70"/>
      <c r="LOA70"/>
      <c r="LOB70"/>
      <c r="LOC70"/>
      <c r="LOD70"/>
      <c r="LOE70"/>
      <c r="LOF70"/>
      <c r="LOG70"/>
      <c r="LOH70"/>
      <c r="LOI70"/>
      <c r="LOJ70"/>
      <c r="LOK70"/>
      <c r="LOL70"/>
      <c r="LOM70"/>
      <c r="LON70"/>
      <c r="LOO70"/>
      <c r="LOP70"/>
      <c r="LOQ70"/>
      <c r="LOR70"/>
      <c r="LOS70"/>
      <c r="LOT70"/>
      <c r="LOU70"/>
      <c r="LOV70"/>
      <c r="LOW70"/>
      <c r="LOX70"/>
      <c r="LOY70"/>
      <c r="LOZ70"/>
      <c r="LPA70"/>
      <c r="LPB70"/>
      <c r="LPC70"/>
      <c r="LPD70"/>
      <c r="LPE70"/>
      <c r="LPF70"/>
      <c r="LPG70"/>
      <c r="LPH70"/>
      <c r="LPI70"/>
      <c r="LPJ70"/>
      <c r="LPK70"/>
      <c r="LPL70"/>
      <c r="LPM70"/>
      <c r="LPN70"/>
      <c r="LPO70"/>
      <c r="LPP70"/>
      <c r="LPQ70"/>
      <c r="LPR70"/>
      <c r="LPS70"/>
      <c r="LPT70"/>
      <c r="LPU70"/>
      <c r="LPV70"/>
      <c r="LPW70"/>
      <c r="LPX70"/>
      <c r="LPY70"/>
      <c r="LPZ70"/>
      <c r="LQA70"/>
      <c r="LQB70"/>
      <c r="LQC70"/>
      <c r="LQD70"/>
      <c r="LQE70"/>
      <c r="LQF70"/>
      <c r="LQG70"/>
      <c r="LQH70"/>
      <c r="LQI70"/>
      <c r="LQJ70"/>
      <c r="LQK70"/>
      <c r="LQL70"/>
      <c r="LQM70"/>
      <c r="LQN70"/>
      <c r="LQO70"/>
      <c r="LQP70"/>
      <c r="LQQ70"/>
      <c r="LQR70"/>
      <c r="LQS70"/>
      <c r="LQT70"/>
      <c r="LQU70"/>
      <c r="LQV70"/>
      <c r="LQW70"/>
      <c r="LQX70"/>
      <c r="LQY70"/>
      <c r="LQZ70"/>
      <c r="LRA70"/>
      <c r="LRB70"/>
      <c r="LRC70"/>
      <c r="LRD70"/>
      <c r="LRE70"/>
      <c r="LRF70"/>
      <c r="LRG70"/>
      <c r="LRH70"/>
      <c r="LRI70"/>
      <c r="LRJ70"/>
      <c r="LRK70"/>
      <c r="LRL70"/>
      <c r="LRM70"/>
      <c r="LRN70"/>
      <c r="LRO70"/>
      <c r="LRP70"/>
      <c r="LRQ70"/>
      <c r="LRR70"/>
      <c r="LRS70"/>
      <c r="LRT70"/>
      <c r="LRU70"/>
      <c r="LRV70"/>
      <c r="LRW70"/>
      <c r="LRX70"/>
      <c r="LRY70"/>
      <c r="LRZ70"/>
      <c r="LSA70"/>
      <c r="LSB70"/>
      <c r="LSC70"/>
      <c r="LSD70"/>
      <c r="LSE70"/>
      <c r="LSF70"/>
      <c r="LSG70"/>
      <c r="LSH70"/>
      <c r="LSI70"/>
      <c r="LSJ70"/>
      <c r="LSK70"/>
      <c r="LSL70"/>
      <c r="LSM70"/>
      <c r="LSN70"/>
      <c r="LSO70"/>
      <c r="LSP70"/>
      <c r="LSQ70"/>
      <c r="LSR70"/>
      <c r="LSS70"/>
      <c r="LST70"/>
      <c r="LSU70"/>
      <c r="LSV70"/>
      <c r="LSW70"/>
      <c r="LSX70"/>
      <c r="LSY70"/>
      <c r="LSZ70"/>
      <c r="LTA70"/>
      <c r="LTB70"/>
      <c r="LTC70"/>
      <c r="LTD70"/>
      <c r="LTE70"/>
      <c r="LTF70"/>
      <c r="LTG70"/>
      <c r="LTH70"/>
      <c r="LTI70"/>
      <c r="LTJ70"/>
      <c r="LTK70"/>
      <c r="LTL70"/>
      <c r="LTM70"/>
      <c r="LTN70"/>
      <c r="LTO70"/>
      <c r="LTP70"/>
      <c r="LTQ70"/>
      <c r="LTR70"/>
      <c r="LTS70"/>
      <c r="LTT70"/>
      <c r="LTU70"/>
      <c r="LTV70"/>
      <c r="LTW70"/>
      <c r="LTX70"/>
      <c r="LTY70"/>
      <c r="LTZ70"/>
      <c r="LUA70"/>
      <c r="LUB70"/>
      <c r="LUC70"/>
      <c r="LUD70"/>
      <c r="LUE70"/>
      <c r="LUF70"/>
      <c r="LUG70"/>
      <c r="LUH70"/>
      <c r="LUI70"/>
      <c r="LUJ70"/>
      <c r="LUK70"/>
      <c r="LUL70"/>
      <c r="LUM70"/>
      <c r="LUN70"/>
      <c r="LUO70"/>
      <c r="LUP70"/>
      <c r="LUQ70"/>
      <c r="LUR70"/>
      <c r="LUS70"/>
      <c r="LUT70"/>
      <c r="LUU70"/>
      <c r="LUV70"/>
      <c r="LUW70"/>
      <c r="LUX70"/>
      <c r="LUY70"/>
      <c r="LUZ70"/>
      <c r="LVA70"/>
      <c r="LVB70"/>
      <c r="LVC70"/>
      <c r="LVD70"/>
      <c r="LVE70"/>
      <c r="LVF70"/>
      <c r="LVG70"/>
      <c r="LVH70"/>
      <c r="LVI70"/>
      <c r="LVJ70"/>
      <c r="LVK70"/>
      <c r="LVL70"/>
      <c r="LVM70"/>
      <c r="LVN70"/>
      <c r="LVO70"/>
      <c r="LVP70"/>
      <c r="LVQ70"/>
      <c r="LVR70"/>
      <c r="LVS70"/>
      <c r="LVT70"/>
      <c r="LVU70"/>
      <c r="LVV70"/>
      <c r="LVW70"/>
      <c r="LVX70"/>
      <c r="LVY70"/>
      <c r="LVZ70"/>
      <c r="LWA70"/>
      <c r="LWB70"/>
      <c r="LWC70"/>
      <c r="LWD70"/>
      <c r="LWE70"/>
      <c r="LWF70"/>
      <c r="LWG70"/>
      <c r="LWH70"/>
      <c r="LWI70"/>
      <c r="LWJ70"/>
      <c r="LWK70"/>
      <c r="LWL70"/>
      <c r="LWM70"/>
      <c r="LWN70"/>
      <c r="LWO70"/>
      <c r="LWP70"/>
      <c r="LWQ70"/>
      <c r="LWR70"/>
      <c r="LWS70"/>
      <c r="LWT70"/>
      <c r="LWU70"/>
      <c r="LWV70"/>
      <c r="LWW70"/>
      <c r="LWX70"/>
      <c r="LWY70"/>
      <c r="LWZ70"/>
      <c r="LXA70"/>
      <c r="LXB70"/>
      <c r="LXC70"/>
      <c r="LXD70"/>
      <c r="LXE70"/>
      <c r="LXF70"/>
      <c r="LXG70"/>
      <c r="LXH70"/>
      <c r="LXI70"/>
      <c r="LXJ70"/>
      <c r="LXK70"/>
      <c r="LXL70"/>
      <c r="LXM70"/>
      <c r="LXN70"/>
      <c r="LXO70"/>
      <c r="LXP70"/>
      <c r="LXQ70"/>
      <c r="LXR70"/>
      <c r="LXS70"/>
      <c r="LXT70"/>
      <c r="LXU70"/>
      <c r="LXV70"/>
      <c r="LXW70"/>
      <c r="LXX70"/>
      <c r="LXY70"/>
      <c r="LXZ70"/>
      <c r="LYA70"/>
      <c r="LYB70"/>
      <c r="LYC70"/>
      <c r="LYD70"/>
      <c r="LYE70"/>
      <c r="LYF70"/>
      <c r="LYG70"/>
      <c r="LYH70"/>
      <c r="LYI70"/>
      <c r="LYJ70"/>
      <c r="LYK70"/>
      <c r="LYL70"/>
      <c r="LYM70"/>
      <c r="LYN70"/>
      <c r="LYO70"/>
      <c r="LYP70"/>
      <c r="LYQ70"/>
      <c r="LYR70"/>
      <c r="LYS70"/>
      <c r="LYT70"/>
      <c r="LYU70"/>
      <c r="LYV70"/>
      <c r="LYW70"/>
      <c r="LYX70"/>
      <c r="LYY70"/>
      <c r="LYZ70"/>
      <c r="LZA70"/>
      <c r="LZB70"/>
      <c r="LZC70"/>
      <c r="LZD70"/>
      <c r="LZE70"/>
      <c r="LZF70"/>
      <c r="LZG70"/>
      <c r="LZH70"/>
      <c r="LZI70"/>
      <c r="LZJ70"/>
      <c r="LZK70"/>
      <c r="LZL70"/>
      <c r="LZM70"/>
      <c r="LZN70"/>
      <c r="LZO70"/>
      <c r="LZP70"/>
      <c r="LZQ70"/>
      <c r="LZR70"/>
      <c r="LZS70"/>
      <c r="LZT70"/>
      <c r="LZU70"/>
      <c r="LZV70"/>
      <c r="LZW70"/>
      <c r="LZX70"/>
      <c r="LZY70"/>
      <c r="LZZ70"/>
      <c r="MAA70"/>
      <c r="MAB70"/>
      <c r="MAC70"/>
      <c r="MAD70"/>
      <c r="MAE70"/>
      <c r="MAF70"/>
      <c r="MAG70"/>
      <c r="MAH70"/>
      <c r="MAI70"/>
      <c r="MAJ70"/>
      <c r="MAK70"/>
      <c r="MAL70"/>
      <c r="MAM70"/>
      <c r="MAN70"/>
      <c r="MAO70"/>
      <c r="MAP70"/>
      <c r="MAQ70"/>
      <c r="MAR70"/>
      <c r="MAS70"/>
      <c r="MAT70"/>
      <c r="MAU70"/>
      <c r="MAV70"/>
      <c r="MAW70"/>
      <c r="MAX70"/>
      <c r="MAY70"/>
      <c r="MAZ70"/>
      <c r="MBA70"/>
      <c r="MBB70"/>
      <c r="MBC70"/>
      <c r="MBD70"/>
      <c r="MBE70"/>
      <c r="MBF70"/>
      <c r="MBG70"/>
      <c r="MBH70"/>
      <c r="MBI70"/>
      <c r="MBJ70"/>
      <c r="MBK70"/>
      <c r="MBL70"/>
      <c r="MBM70"/>
      <c r="MBN70"/>
      <c r="MBO70"/>
      <c r="MBP70"/>
      <c r="MBQ70"/>
      <c r="MBR70"/>
      <c r="MBS70"/>
      <c r="MBT70"/>
      <c r="MBU70"/>
      <c r="MBV70"/>
      <c r="MBW70"/>
      <c r="MBX70"/>
      <c r="MBY70"/>
      <c r="MBZ70"/>
      <c r="MCA70"/>
      <c r="MCB70"/>
      <c r="MCC70"/>
      <c r="MCD70"/>
      <c r="MCE70"/>
      <c r="MCF70"/>
      <c r="MCG70"/>
      <c r="MCH70"/>
      <c r="MCI70"/>
      <c r="MCJ70"/>
      <c r="MCK70"/>
      <c r="MCL70"/>
      <c r="MCM70"/>
      <c r="MCN70"/>
      <c r="MCO70"/>
      <c r="MCP70"/>
      <c r="MCQ70"/>
      <c r="MCR70"/>
      <c r="MCS70"/>
      <c r="MCT70"/>
      <c r="MCU70"/>
      <c r="MCV70"/>
      <c r="MCW70"/>
      <c r="MCX70"/>
      <c r="MCY70"/>
      <c r="MCZ70"/>
      <c r="MDA70"/>
      <c r="MDB70"/>
      <c r="MDC70"/>
      <c r="MDD70"/>
      <c r="MDE70"/>
      <c r="MDF70"/>
      <c r="MDG70"/>
      <c r="MDH70"/>
      <c r="MDI70"/>
      <c r="MDJ70"/>
      <c r="MDK70"/>
      <c r="MDL70"/>
      <c r="MDM70"/>
      <c r="MDN70"/>
      <c r="MDO70"/>
      <c r="MDP70"/>
      <c r="MDQ70"/>
      <c r="MDR70"/>
      <c r="MDS70"/>
      <c r="MDT70"/>
      <c r="MDU70"/>
      <c r="MDV70"/>
      <c r="MDW70"/>
      <c r="MDX70"/>
      <c r="MDY70"/>
      <c r="MDZ70"/>
      <c r="MEA70"/>
      <c r="MEB70"/>
      <c r="MEC70"/>
      <c r="MED70"/>
      <c r="MEE70"/>
      <c r="MEF70"/>
      <c r="MEG70"/>
      <c r="MEH70"/>
      <c r="MEI70"/>
      <c r="MEJ70"/>
      <c r="MEK70"/>
      <c r="MEL70"/>
      <c r="MEM70"/>
      <c r="MEN70"/>
      <c r="MEO70"/>
      <c r="MEP70"/>
      <c r="MEQ70"/>
      <c r="MER70"/>
      <c r="MES70"/>
      <c r="MET70"/>
      <c r="MEU70"/>
      <c r="MEV70"/>
      <c r="MEW70"/>
      <c r="MEX70"/>
      <c r="MEY70"/>
      <c r="MEZ70"/>
      <c r="MFA70"/>
      <c r="MFB70"/>
      <c r="MFC70"/>
      <c r="MFD70"/>
      <c r="MFE70"/>
      <c r="MFF70"/>
      <c r="MFG70"/>
      <c r="MFH70"/>
      <c r="MFI70"/>
      <c r="MFJ70"/>
      <c r="MFK70"/>
      <c r="MFL70"/>
      <c r="MFM70"/>
      <c r="MFN70"/>
      <c r="MFO70"/>
      <c r="MFP70"/>
      <c r="MFQ70"/>
      <c r="MFR70"/>
      <c r="MFS70"/>
      <c r="MFT70"/>
      <c r="MFU70"/>
      <c r="MFV70"/>
      <c r="MFW70"/>
      <c r="MFX70"/>
      <c r="MFY70"/>
      <c r="MFZ70"/>
      <c r="MGA70"/>
      <c r="MGB70"/>
      <c r="MGC70"/>
      <c r="MGD70"/>
      <c r="MGE70"/>
      <c r="MGF70"/>
      <c r="MGG70"/>
      <c r="MGH70"/>
      <c r="MGI70"/>
      <c r="MGJ70"/>
      <c r="MGK70"/>
      <c r="MGL70"/>
      <c r="MGM70"/>
      <c r="MGN70"/>
      <c r="MGO70"/>
      <c r="MGP70"/>
      <c r="MGQ70"/>
      <c r="MGR70"/>
      <c r="MGS70"/>
      <c r="MGT70"/>
      <c r="MGU70"/>
      <c r="MGV70"/>
      <c r="MGW70"/>
      <c r="MGX70"/>
      <c r="MGY70"/>
      <c r="MGZ70"/>
      <c r="MHA70"/>
      <c r="MHB70"/>
      <c r="MHC70"/>
      <c r="MHD70"/>
      <c r="MHE70"/>
      <c r="MHF70"/>
      <c r="MHG70"/>
      <c r="MHH70"/>
      <c r="MHI70"/>
      <c r="MHJ70"/>
      <c r="MHK70"/>
      <c r="MHL70"/>
      <c r="MHM70"/>
      <c r="MHN70"/>
      <c r="MHO70"/>
      <c r="MHP70"/>
      <c r="MHQ70"/>
      <c r="MHR70"/>
      <c r="MHS70"/>
      <c r="MHT70"/>
      <c r="MHU70"/>
      <c r="MHV70"/>
      <c r="MHW70"/>
      <c r="MHX70"/>
      <c r="MHY70"/>
      <c r="MHZ70"/>
      <c r="MIA70"/>
      <c r="MIB70"/>
      <c r="MIC70"/>
      <c r="MID70"/>
      <c r="MIE70"/>
      <c r="MIF70"/>
      <c r="MIG70"/>
      <c r="MIH70"/>
      <c r="MII70"/>
      <c r="MIJ70"/>
      <c r="MIK70"/>
      <c r="MIL70"/>
      <c r="MIM70"/>
      <c r="MIN70"/>
      <c r="MIO70"/>
      <c r="MIP70"/>
      <c r="MIQ70"/>
      <c r="MIR70"/>
      <c r="MIS70"/>
      <c r="MIT70"/>
      <c r="MIU70"/>
      <c r="MIV70"/>
      <c r="MIW70"/>
      <c r="MIX70"/>
      <c r="MIY70"/>
      <c r="MIZ70"/>
      <c r="MJA70"/>
      <c r="MJB70"/>
      <c r="MJC70"/>
      <c r="MJD70"/>
      <c r="MJE70"/>
      <c r="MJF70"/>
      <c r="MJG70"/>
      <c r="MJH70"/>
      <c r="MJI70"/>
      <c r="MJJ70"/>
      <c r="MJK70"/>
      <c r="MJL70"/>
      <c r="MJM70"/>
      <c r="MJN70"/>
      <c r="MJO70"/>
      <c r="MJP70"/>
      <c r="MJQ70"/>
      <c r="MJR70"/>
      <c r="MJS70"/>
      <c r="MJT70"/>
      <c r="MJU70"/>
      <c r="MJV70"/>
      <c r="MJW70"/>
      <c r="MJX70"/>
      <c r="MJY70"/>
      <c r="MJZ70"/>
      <c r="MKA70"/>
      <c r="MKB70"/>
      <c r="MKC70"/>
      <c r="MKD70"/>
      <c r="MKE70"/>
      <c r="MKF70"/>
      <c r="MKG70"/>
      <c r="MKH70"/>
      <c r="MKI70"/>
      <c r="MKJ70"/>
      <c r="MKK70"/>
      <c r="MKL70"/>
      <c r="MKM70"/>
      <c r="MKN70"/>
      <c r="MKO70"/>
      <c r="MKP70"/>
      <c r="MKQ70"/>
      <c r="MKR70"/>
      <c r="MKS70"/>
      <c r="MKT70"/>
      <c r="MKU70"/>
      <c r="MKV70"/>
      <c r="MKW70"/>
      <c r="MKX70"/>
      <c r="MKY70"/>
      <c r="MKZ70"/>
      <c r="MLA70"/>
      <c r="MLB70"/>
      <c r="MLC70"/>
      <c r="MLD70"/>
      <c r="MLE70"/>
      <c r="MLF70"/>
      <c r="MLG70"/>
      <c r="MLH70"/>
      <c r="MLI70"/>
      <c r="MLJ70"/>
      <c r="MLK70"/>
      <c r="MLL70"/>
      <c r="MLM70"/>
      <c r="MLN70"/>
      <c r="MLO70"/>
      <c r="MLP70"/>
      <c r="MLQ70"/>
      <c r="MLR70"/>
      <c r="MLS70"/>
      <c r="MLT70"/>
      <c r="MLU70"/>
      <c r="MLV70"/>
      <c r="MLW70"/>
      <c r="MLX70"/>
      <c r="MLY70"/>
      <c r="MLZ70"/>
      <c r="MMA70"/>
      <c r="MMB70"/>
      <c r="MMC70"/>
      <c r="MMD70"/>
      <c r="MME70"/>
      <c r="MMF70"/>
      <c r="MMG70"/>
      <c r="MMH70"/>
      <c r="MMI70"/>
      <c r="MMJ70"/>
      <c r="MMK70"/>
      <c r="MML70"/>
      <c r="MMM70"/>
      <c r="MMN70"/>
      <c r="MMO70"/>
      <c r="MMP70"/>
      <c r="MMQ70"/>
      <c r="MMR70"/>
      <c r="MMS70"/>
      <c r="MMT70"/>
      <c r="MMU70"/>
      <c r="MMV70"/>
      <c r="MMW70"/>
      <c r="MMX70"/>
      <c r="MMY70"/>
      <c r="MMZ70"/>
      <c r="MNA70"/>
      <c r="MNB70"/>
      <c r="MNC70"/>
      <c r="MND70"/>
      <c r="MNE70"/>
      <c r="MNF70"/>
      <c r="MNG70"/>
      <c r="MNH70"/>
      <c r="MNI70"/>
      <c r="MNJ70"/>
      <c r="MNK70"/>
      <c r="MNL70"/>
      <c r="MNM70"/>
      <c r="MNN70"/>
      <c r="MNO70"/>
      <c r="MNP70"/>
      <c r="MNQ70"/>
      <c r="MNR70"/>
      <c r="MNS70"/>
      <c r="MNT70"/>
      <c r="MNU70"/>
      <c r="MNV70"/>
      <c r="MNW70"/>
      <c r="MNX70"/>
      <c r="MNY70"/>
      <c r="MNZ70"/>
      <c r="MOA70"/>
      <c r="MOB70"/>
      <c r="MOC70"/>
      <c r="MOD70"/>
      <c r="MOE70"/>
      <c r="MOF70"/>
      <c r="MOG70"/>
      <c r="MOH70"/>
      <c r="MOI70"/>
      <c r="MOJ70"/>
      <c r="MOK70"/>
      <c r="MOL70"/>
      <c r="MOM70"/>
      <c r="MON70"/>
      <c r="MOO70"/>
      <c r="MOP70"/>
      <c r="MOQ70"/>
      <c r="MOR70"/>
      <c r="MOS70"/>
      <c r="MOT70"/>
      <c r="MOU70"/>
      <c r="MOV70"/>
      <c r="MOW70"/>
      <c r="MOX70"/>
      <c r="MOY70"/>
      <c r="MOZ70"/>
      <c r="MPA70"/>
      <c r="MPB70"/>
      <c r="MPC70"/>
      <c r="MPD70"/>
      <c r="MPE70"/>
      <c r="MPF70"/>
      <c r="MPG70"/>
      <c r="MPH70"/>
      <c r="MPI70"/>
      <c r="MPJ70"/>
      <c r="MPK70"/>
      <c r="MPL70"/>
      <c r="MPM70"/>
      <c r="MPN70"/>
      <c r="MPO70"/>
      <c r="MPP70"/>
      <c r="MPQ70"/>
      <c r="MPR70"/>
      <c r="MPS70"/>
      <c r="MPT70"/>
      <c r="MPU70"/>
      <c r="MPV70"/>
      <c r="MPW70"/>
      <c r="MPX70"/>
      <c r="MPY70"/>
      <c r="MPZ70"/>
      <c r="MQA70"/>
      <c r="MQB70"/>
      <c r="MQC70"/>
      <c r="MQD70"/>
      <c r="MQE70"/>
      <c r="MQF70"/>
      <c r="MQG70"/>
      <c r="MQH70"/>
      <c r="MQI70"/>
      <c r="MQJ70"/>
      <c r="MQK70"/>
      <c r="MQL70"/>
      <c r="MQM70"/>
      <c r="MQN70"/>
      <c r="MQO70"/>
      <c r="MQP70"/>
      <c r="MQQ70"/>
      <c r="MQR70"/>
      <c r="MQS70"/>
      <c r="MQT70"/>
      <c r="MQU70"/>
      <c r="MQV70"/>
      <c r="MQW70"/>
      <c r="MQX70"/>
      <c r="MQY70"/>
      <c r="MQZ70"/>
      <c r="MRA70"/>
      <c r="MRB70"/>
      <c r="MRC70"/>
      <c r="MRD70"/>
      <c r="MRE70"/>
      <c r="MRF70"/>
      <c r="MRG70"/>
      <c r="MRH70"/>
      <c r="MRI70"/>
      <c r="MRJ70"/>
      <c r="MRK70"/>
      <c r="MRL70"/>
      <c r="MRM70"/>
      <c r="MRN70"/>
      <c r="MRO70"/>
      <c r="MRP70"/>
      <c r="MRQ70"/>
      <c r="MRR70"/>
      <c r="MRS70"/>
      <c r="MRT70"/>
      <c r="MRU70"/>
      <c r="MRV70"/>
      <c r="MRW70"/>
      <c r="MRX70"/>
      <c r="MRY70"/>
      <c r="MRZ70"/>
      <c r="MSA70"/>
      <c r="MSB70"/>
      <c r="MSC70"/>
      <c r="MSD70"/>
      <c r="MSE70"/>
      <c r="MSF70"/>
      <c r="MSG70"/>
      <c r="MSH70"/>
      <c r="MSI70"/>
      <c r="MSJ70"/>
      <c r="MSK70"/>
      <c r="MSL70"/>
      <c r="MSM70"/>
      <c r="MSN70"/>
      <c r="MSO70"/>
      <c r="MSP70"/>
      <c r="MSQ70"/>
      <c r="MSR70"/>
      <c r="MSS70"/>
      <c r="MST70"/>
      <c r="MSU70"/>
      <c r="MSV70"/>
      <c r="MSW70"/>
      <c r="MSX70"/>
      <c r="MSY70"/>
      <c r="MSZ70"/>
      <c r="MTA70"/>
      <c r="MTB70"/>
      <c r="MTC70"/>
      <c r="MTD70"/>
      <c r="MTE70"/>
      <c r="MTF70"/>
      <c r="MTG70"/>
      <c r="MTH70"/>
      <c r="MTI70"/>
      <c r="MTJ70"/>
      <c r="MTK70"/>
      <c r="MTL70"/>
      <c r="MTM70"/>
      <c r="MTN70"/>
      <c r="MTO70"/>
      <c r="MTP70"/>
      <c r="MTQ70"/>
      <c r="MTR70"/>
      <c r="MTS70"/>
      <c r="MTT70"/>
      <c r="MTU70"/>
      <c r="MTV70"/>
      <c r="MTW70"/>
      <c r="MTX70"/>
      <c r="MTY70"/>
      <c r="MTZ70"/>
      <c r="MUA70"/>
      <c r="MUB70"/>
      <c r="MUC70"/>
      <c r="MUD70"/>
      <c r="MUE70"/>
      <c r="MUF70"/>
      <c r="MUG70"/>
      <c r="MUH70"/>
      <c r="MUI70"/>
      <c r="MUJ70"/>
      <c r="MUK70"/>
      <c r="MUL70"/>
      <c r="MUM70"/>
      <c r="MUN70"/>
      <c r="MUO70"/>
      <c r="MUP70"/>
      <c r="MUQ70"/>
      <c r="MUR70"/>
      <c r="MUS70"/>
      <c r="MUT70"/>
      <c r="MUU70"/>
      <c r="MUV70"/>
      <c r="MUW70"/>
      <c r="MUX70"/>
      <c r="MUY70"/>
      <c r="MUZ70"/>
      <c r="MVA70"/>
      <c r="MVB70"/>
      <c r="MVC70"/>
      <c r="MVD70"/>
      <c r="MVE70"/>
      <c r="MVF70"/>
      <c r="MVG70"/>
      <c r="MVH70"/>
      <c r="MVI70"/>
      <c r="MVJ70"/>
      <c r="MVK70"/>
      <c r="MVL70"/>
      <c r="MVM70"/>
      <c r="MVN70"/>
      <c r="MVO70"/>
      <c r="MVP70"/>
      <c r="MVQ70"/>
      <c r="MVR70"/>
      <c r="MVS70"/>
      <c r="MVT70"/>
      <c r="MVU70"/>
      <c r="MVV70"/>
      <c r="MVW70"/>
      <c r="MVX70"/>
      <c r="MVY70"/>
      <c r="MVZ70"/>
      <c r="MWA70"/>
      <c r="MWB70"/>
      <c r="MWC70"/>
      <c r="MWD70"/>
      <c r="MWE70"/>
      <c r="MWF70"/>
      <c r="MWG70"/>
      <c r="MWH70"/>
      <c r="MWI70"/>
      <c r="MWJ70"/>
      <c r="MWK70"/>
      <c r="MWL70"/>
      <c r="MWM70"/>
      <c r="MWN70"/>
      <c r="MWO70"/>
      <c r="MWP70"/>
      <c r="MWQ70"/>
      <c r="MWR70"/>
      <c r="MWS70"/>
      <c r="MWT70"/>
      <c r="MWU70"/>
      <c r="MWV70"/>
      <c r="MWW70"/>
      <c r="MWX70"/>
      <c r="MWY70"/>
      <c r="MWZ70"/>
      <c r="MXA70"/>
      <c r="MXB70"/>
      <c r="MXC70"/>
      <c r="MXD70"/>
      <c r="MXE70"/>
      <c r="MXF70"/>
      <c r="MXG70"/>
      <c r="MXH70"/>
      <c r="MXI70"/>
      <c r="MXJ70"/>
      <c r="MXK70"/>
      <c r="MXL70"/>
      <c r="MXM70"/>
      <c r="MXN70"/>
      <c r="MXO70"/>
      <c r="MXP70"/>
      <c r="MXQ70"/>
      <c r="MXR70"/>
      <c r="MXS70"/>
      <c r="MXT70"/>
      <c r="MXU70"/>
      <c r="MXV70"/>
      <c r="MXW70"/>
      <c r="MXX70"/>
      <c r="MXY70"/>
      <c r="MXZ70"/>
      <c r="MYA70"/>
      <c r="MYB70"/>
      <c r="MYC70"/>
      <c r="MYD70"/>
      <c r="MYE70"/>
      <c r="MYF70"/>
      <c r="MYG70"/>
      <c r="MYH70"/>
      <c r="MYI70"/>
      <c r="MYJ70"/>
      <c r="MYK70"/>
      <c r="MYL70"/>
      <c r="MYM70"/>
      <c r="MYN70"/>
      <c r="MYO70"/>
      <c r="MYP70"/>
      <c r="MYQ70"/>
      <c r="MYR70"/>
      <c r="MYS70"/>
      <c r="MYT70"/>
      <c r="MYU70"/>
      <c r="MYV70"/>
      <c r="MYW70"/>
      <c r="MYX70"/>
      <c r="MYY70"/>
      <c r="MYZ70"/>
      <c r="MZA70"/>
      <c r="MZB70"/>
      <c r="MZC70"/>
      <c r="MZD70"/>
      <c r="MZE70"/>
      <c r="MZF70"/>
      <c r="MZG70"/>
      <c r="MZH70"/>
      <c r="MZI70"/>
      <c r="MZJ70"/>
      <c r="MZK70"/>
      <c r="MZL70"/>
      <c r="MZM70"/>
      <c r="MZN70"/>
      <c r="MZO70"/>
      <c r="MZP70"/>
      <c r="MZQ70"/>
      <c r="MZR70"/>
      <c r="MZS70"/>
      <c r="MZT70"/>
      <c r="MZU70"/>
      <c r="MZV70"/>
      <c r="MZW70"/>
      <c r="MZX70"/>
      <c r="MZY70"/>
      <c r="MZZ70"/>
      <c r="NAA70"/>
      <c r="NAB70"/>
      <c r="NAC70"/>
      <c r="NAD70"/>
      <c r="NAE70"/>
      <c r="NAF70"/>
      <c r="NAG70"/>
      <c r="NAH70"/>
      <c r="NAI70"/>
      <c r="NAJ70"/>
      <c r="NAK70"/>
      <c r="NAL70"/>
      <c r="NAM70"/>
      <c r="NAN70"/>
      <c r="NAO70"/>
      <c r="NAP70"/>
      <c r="NAQ70"/>
      <c r="NAR70"/>
      <c r="NAS70"/>
      <c r="NAT70"/>
      <c r="NAU70"/>
      <c r="NAV70"/>
      <c r="NAW70"/>
      <c r="NAX70"/>
      <c r="NAY70"/>
      <c r="NAZ70"/>
      <c r="NBA70"/>
      <c r="NBB70"/>
      <c r="NBC70"/>
      <c r="NBD70"/>
      <c r="NBE70"/>
      <c r="NBF70"/>
      <c r="NBG70"/>
      <c r="NBH70"/>
      <c r="NBI70"/>
      <c r="NBJ70"/>
      <c r="NBK70"/>
      <c r="NBL70"/>
      <c r="NBM70"/>
      <c r="NBN70"/>
      <c r="NBO70"/>
      <c r="NBP70"/>
      <c r="NBQ70"/>
      <c r="NBR70"/>
      <c r="NBS70"/>
      <c r="NBT70"/>
      <c r="NBU70"/>
      <c r="NBV70"/>
      <c r="NBW70"/>
      <c r="NBX70"/>
      <c r="NBY70"/>
      <c r="NBZ70"/>
      <c r="NCA70"/>
      <c r="NCB70"/>
      <c r="NCC70"/>
      <c r="NCD70"/>
      <c r="NCE70"/>
      <c r="NCF70"/>
      <c r="NCG70"/>
      <c r="NCH70"/>
      <c r="NCI70"/>
      <c r="NCJ70"/>
      <c r="NCK70"/>
      <c r="NCL70"/>
      <c r="NCM70"/>
      <c r="NCN70"/>
      <c r="NCO70"/>
      <c r="NCP70"/>
      <c r="NCQ70"/>
      <c r="NCR70"/>
      <c r="NCS70"/>
      <c r="NCT70"/>
      <c r="NCU70"/>
      <c r="NCV70"/>
      <c r="NCW70"/>
      <c r="NCX70"/>
      <c r="NCY70"/>
      <c r="NCZ70"/>
      <c r="NDA70"/>
      <c r="NDB70"/>
      <c r="NDC70"/>
      <c r="NDD70"/>
      <c r="NDE70"/>
      <c r="NDF70"/>
      <c r="NDG70"/>
      <c r="NDH70"/>
      <c r="NDI70"/>
      <c r="NDJ70"/>
      <c r="NDK70"/>
      <c r="NDL70"/>
      <c r="NDM70"/>
      <c r="NDN70"/>
      <c r="NDO70"/>
      <c r="NDP70"/>
      <c r="NDQ70"/>
      <c r="NDR70"/>
      <c r="NDS70"/>
      <c r="NDT70"/>
      <c r="NDU70"/>
      <c r="NDV70"/>
      <c r="NDW70"/>
      <c r="NDX70"/>
      <c r="NDY70"/>
      <c r="NDZ70"/>
      <c r="NEA70"/>
      <c r="NEB70"/>
      <c r="NEC70"/>
      <c r="NED70"/>
      <c r="NEE70"/>
      <c r="NEF70"/>
      <c r="NEG70"/>
      <c r="NEH70"/>
      <c r="NEI70"/>
      <c r="NEJ70"/>
      <c r="NEK70"/>
      <c r="NEL70"/>
      <c r="NEM70"/>
      <c r="NEN70"/>
      <c r="NEO70"/>
      <c r="NEP70"/>
      <c r="NEQ70"/>
      <c r="NER70"/>
      <c r="NES70"/>
      <c r="NET70"/>
      <c r="NEU70"/>
      <c r="NEV70"/>
      <c r="NEW70"/>
      <c r="NEX70"/>
      <c r="NEY70"/>
      <c r="NEZ70"/>
      <c r="NFA70"/>
      <c r="NFB70"/>
      <c r="NFC70"/>
      <c r="NFD70"/>
      <c r="NFE70"/>
      <c r="NFF70"/>
      <c r="NFG70"/>
      <c r="NFH70"/>
      <c r="NFI70"/>
      <c r="NFJ70"/>
      <c r="NFK70"/>
      <c r="NFL70"/>
      <c r="NFM70"/>
      <c r="NFN70"/>
      <c r="NFO70"/>
      <c r="NFP70"/>
      <c r="NFQ70"/>
      <c r="NFR70"/>
      <c r="NFS70"/>
      <c r="NFT70"/>
      <c r="NFU70"/>
      <c r="NFV70"/>
      <c r="NFW70"/>
      <c r="NFX70"/>
      <c r="NFY70"/>
      <c r="NFZ70"/>
      <c r="NGA70"/>
      <c r="NGB70"/>
      <c r="NGC70"/>
      <c r="NGD70"/>
      <c r="NGE70"/>
      <c r="NGF70"/>
      <c r="NGG70"/>
      <c r="NGH70"/>
      <c r="NGI70"/>
      <c r="NGJ70"/>
      <c r="NGK70"/>
      <c r="NGL70"/>
      <c r="NGM70"/>
      <c r="NGN70"/>
      <c r="NGO70"/>
      <c r="NGP70"/>
      <c r="NGQ70"/>
      <c r="NGR70"/>
      <c r="NGS70"/>
      <c r="NGT70"/>
      <c r="NGU70"/>
      <c r="NGV70"/>
      <c r="NGW70"/>
      <c r="NGX70"/>
      <c r="NGY70"/>
      <c r="NGZ70"/>
      <c r="NHA70"/>
      <c r="NHB70"/>
      <c r="NHC70"/>
      <c r="NHD70"/>
      <c r="NHE70"/>
      <c r="NHF70"/>
      <c r="NHG70"/>
      <c r="NHH70"/>
      <c r="NHI70"/>
      <c r="NHJ70"/>
      <c r="NHK70"/>
      <c r="NHL70"/>
      <c r="NHM70"/>
      <c r="NHN70"/>
      <c r="NHO70"/>
      <c r="NHP70"/>
      <c r="NHQ70"/>
      <c r="NHR70"/>
      <c r="NHS70"/>
      <c r="NHT70"/>
      <c r="NHU70"/>
      <c r="NHV70"/>
      <c r="NHW70"/>
      <c r="NHX70"/>
      <c r="NHY70"/>
      <c r="NHZ70"/>
      <c r="NIA70"/>
      <c r="NIB70"/>
      <c r="NIC70"/>
      <c r="NID70"/>
      <c r="NIE70"/>
      <c r="NIF70"/>
      <c r="NIG70"/>
      <c r="NIH70"/>
      <c r="NII70"/>
      <c r="NIJ70"/>
      <c r="NIK70"/>
      <c r="NIL70"/>
      <c r="NIM70"/>
      <c r="NIN70"/>
      <c r="NIO70"/>
      <c r="NIP70"/>
      <c r="NIQ70"/>
      <c r="NIR70"/>
      <c r="NIS70"/>
      <c r="NIT70"/>
      <c r="NIU70"/>
      <c r="NIV70"/>
      <c r="NIW70"/>
      <c r="NIX70"/>
      <c r="NIY70"/>
      <c r="NIZ70"/>
      <c r="NJA70"/>
      <c r="NJB70"/>
      <c r="NJC70"/>
      <c r="NJD70"/>
      <c r="NJE70"/>
      <c r="NJF70"/>
      <c r="NJG70"/>
      <c r="NJH70"/>
      <c r="NJI70"/>
      <c r="NJJ70"/>
      <c r="NJK70"/>
      <c r="NJL70"/>
      <c r="NJM70"/>
      <c r="NJN70"/>
      <c r="NJO70"/>
      <c r="NJP70"/>
      <c r="NJQ70"/>
      <c r="NJR70"/>
      <c r="NJS70"/>
      <c r="NJT70"/>
      <c r="NJU70"/>
      <c r="NJV70"/>
      <c r="NJW70"/>
      <c r="NJX70"/>
      <c r="NJY70"/>
      <c r="NJZ70"/>
      <c r="NKA70"/>
      <c r="NKB70"/>
      <c r="NKC70"/>
      <c r="NKD70"/>
      <c r="NKE70"/>
      <c r="NKF70"/>
      <c r="NKG70"/>
      <c r="NKH70"/>
      <c r="NKI70"/>
      <c r="NKJ70"/>
      <c r="NKK70"/>
      <c r="NKL70"/>
      <c r="NKM70"/>
      <c r="NKN70"/>
      <c r="NKO70"/>
      <c r="NKP70"/>
      <c r="NKQ70"/>
      <c r="NKR70"/>
      <c r="NKS70"/>
      <c r="NKT70"/>
      <c r="NKU70"/>
      <c r="NKV70"/>
      <c r="NKW70"/>
      <c r="NKX70"/>
      <c r="NKY70"/>
      <c r="NKZ70"/>
      <c r="NLA70"/>
      <c r="NLB70"/>
      <c r="NLC70"/>
      <c r="NLD70"/>
      <c r="NLE70"/>
      <c r="NLF70"/>
      <c r="NLG70"/>
      <c r="NLH70"/>
      <c r="NLI70"/>
      <c r="NLJ70"/>
      <c r="NLK70"/>
      <c r="NLL70"/>
      <c r="NLM70"/>
      <c r="NLN70"/>
      <c r="NLO70"/>
      <c r="NLP70"/>
      <c r="NLQ70"/>
      <c r="NLR70"/>
      <c r="NLS70"/>
      <c r="NLT70"/>
      <c r="NLU70"/>
      <c r="NLV70"/>
      <c r="NLW70"/>
      <c r="NLX70"/>
      <c r="NLY70"/>
      <c r="NLZ70"/>
      <c r="NMA70"/>
      <c r="NMB70"/>
      <c r="NMC70"/>
      <c r="NMD70"/>
      <c r="NME70"/>
      <c r="NMF70"/>
      <c r="NMG70"/>
      <c r="NMH70"/>
      <c r="NMI70"/>
      <c r="NMJ70"/>
      <c r="NMK70"/>
      <c r="NML70"/>
      <c r="NMM70"/>
      <c r="NMN70"/>
      <c r="NMO70"/>
      <c r="NMP70"/>
      <c r="NMQ70"/>
      <c r="NMR70"/>
      <c r="NMS70"/>
      <c r="NMT70"/>
      <c r="NMU70"/>
      <c r="NMV70"/>
      <c r="NMW70"/>
      <c r="NMX70"/>
      <c r="NMY70"/>
      <c r="NMZ70"/>
      <c r="NNA70"/>
      <c r="NNB70"/>
      <c r="NNC70"/>
      <c r="NND70"/>
      <c r="NNE70"/>
      <c r="NNF70"/>
      <c r="NNG70"/>
      <c r="NNH70"/>
      <c r="NNI70"/>
      <c r="NNJ70"/>
      <c r="NNK70"/>
      <c r="NNL70"/>
      <c r="NNM70"/>
      <c r="NNN70"/>
      <c r="NNO70"/>
      <c r="NNP70"/>
      <c r="NNQ70"/>
      <c r="NNR70"/>
      <c r="NNS70"/>
      <c r="NNT70"/>
      <c r="NNU70"/>
      <c r="NNV70"/>
      <c r="NNW70"/>
      <c r="NNX70"/>
      <c r="NNY70"/>
      <c r="NNZ70"/>
      <c r="NOA70"/>
      <c r="NOB70"/>
      <c r="NOC70"/>
      <c r="NOD70"/>
      <c r="NOE70"/>
      <c r="NOF70"/>
      <c r="NOG70"/>
      <c r="NOH70"/>
      <c r="NOI70"/>
      <c r="NOJ70"/>
      <c r="NOK70"/>
      <c r="NOL70"/>
      <c r="NOM70"/>
      <c r="NON70"/>
      <c r="NOO70"/>
      <c r="NOP70"/>
      <c r="NOQ70"/>
      <c r="NOR70"/>
      <c r="NOS70"/>
      <c r="NOT70"/>
      <c r="NOU70"/>
      <c r="NOV70"/>
      <c r="NOW70"/>
      <c r="NOX70"/>
      <c r="NOY70"/>
      <c r="NOZ70"/>
      <c r="NPA70"/>
      <c r="NPB70"/>
      <c r="NPC70"/>
      <c r="NPD70"/>
      <c r="NPE70"/>
      <c r="NPF70"/>
      <c r="NPG70"/>
      <c r="NPH70"/>
      <c r="NPI70"/>
      <c r="NPJ70"/>
      <c r="NPK70"/>
      <c r="NPL70"/>
      <c r="NPM70"/>
      <c r="NPN70"/>
      <c r="NPO70"/>
      <c r="NPP70"/>
      <c r="NPQ70"/>
      <c r="NPR70"/>
      <c r="NPS70"/>
      <c r="NPT70"/>
      <c r="NPU70"/>
      <c r="NPV70"/>
      <c r="NPW70"/>
      <c r="NPX70"/>
      <c r="NPY70"/>
      <c r="NPZ70"/>
      <c r="NQA70"/>
      <c r="NQB70"/>
      <c r="NQC70"/>
      <c r="NQD70"/>
      <c r="NQE70"/>
      <c r="NQF70"/>
      <c r="NQG70"/>
      <c r="NQH70"/>
      <c r="NQI70"/>
      <c r="NQJ70"/>
      <c r="NQK70"/>
      <c r="NQL70"/>
      <c r="NQM70"/>
      <c r="NQN70"/>
      <c r="NQO70"/>
      <c r="NQP70"/>
      <c r="NQQ70"/>
      <c r="NQR70"/>
      <c r="NQS70"/>
      <c r="NQT70"/>
      <c r="NQU70"/>
      <c r="NQV70"/>
      <c r="NQW70"/>
      <c r="NQX70"/>
      <c r="NQY70"/>
      <c r="NQZ70"/>
      <c r="NRA70"/>
      <c r="NRB70"/>
      <c r="NRC70"/>
      <c r="NRD70"/>
      <c r="NRE70"/>
      <c r="NRF70"/>
      <c r="NRG70"/>
      <c r="NRH70"/>
      <c r="NRI70"/>
      <c r="NRJ70"/>
      <c r="NRK70"/>
      <c r="NRL70"/>
      <c r="NRM70"/>
      <c r="NRN70"/>
      <c r="NRO70"/>
      <c r="NRP70"/>
      <c r="NRQ70"/>
      <c r="NRR70"/>
      <c r="NRS70"/>
      <c r="NRT70"/>
      <c r="NRU70"/>
      <c r="NRV70"/>
      <c r="NRW70"/>
      <c r="NRX70"/>
      <c r="NRY70"/>
      <c r="NRZ70"/>
      <c r="NSA70"/>
      <c r="NSB70"/>
      <c r="NSC70"/>
      <c r="NSD70"/>
      <c r="NSE70"/>
      <c r="NSF70"/>
      <c r="NSG70"/>
      <c r="NSH70"/>
      <c r="NSI70"/>
      <c r="NSJ70"/>
      <c r="NSK70"/>
      <c r="NSL70"/>
      <c r="NSM70"/>
      <c r="NSN70"/>
      <c r="NSO70"/>
      <c r="NSP70"/>
      <c r="NSQ70"/>
      <c r="NSR70"/>
      <c r="NSS70"/>
      <c r="NST70"/>
      <c r="NSU70"/>
      <c r="NSV70"/>
      <c r="NSW70"/>
      <c r="NSX70"/>
      <c r="NSY70"/>
      <c r="NSZ70"/>
      <c r="NTA70"/>
      <c r="NTB70"/>
      <c r="NTC70"/>
      <c r="NTD70"/>
      <c r="NTE70"/>
      <c r="NTF70"/>
      <c r="NTG70"/>
      <c r="NTH70"/>
      <c r="NTI70"/>
      <c r="NTJ70"/>
      <c r="NTK70"/>
      <c r="NTL70"/>
      <c r="NTM70"/>
      <c r="NTN70"/>
      <c r="NTO70"/>
      <c r="NTP70"/>
      <c r="NTQ70"/>
      <c r="NTR70"/>
      <c r="NTS70"/>
      <c r="NTT70"/>
      <c r="NTU70"/>
      <c r="NTV70"/>
      <c r="NTW70"/>
      <c r="NTX70"/>
      <c r="NTY70"/>
      <c r="NTZ70"/>
      <c r="NUA70"/>
      <c r="NUB70"/>
      <c r="NUC70"/>
      <c r="NUD70"/>
      <c r="NUE70"/>
      <c r="NUF70"/>
      <c r="NUG70"/>
      <c r="NUH70"/>
      <c r="NUI70"/>
      <c r="NUJ70"/>
      <c r="NUK70"/>
      <c r="NUL70"/>
      <c r="NUM70"/>
      <c r="NUN70"/>
      <c r="NUO70"/>
      <c r="NUP70"/>
      <c r="NUQ70"/>
      <c r="NUR70"/>
      <c r="NUS70"/>
      <c r="NUT70"/>
      <c r="NUU70"/>
      <c r="NUV70"/>
      <c r="NUW70"/>
      <c r="NUX70"/>
      <c r="NUY70"/>
      <c r="NUZ70"/>
      <c r="NVA70"/>
      <c r="NVB70"/>
      <c r="NVC70"/>
      <c r="NVD70"/>
      <c r="NVE70"/>
      <c r="NVF70"/>
      <c r="NVG70"/>
      <c r="NVH70"/>
      <c r="NVI70"/>
      <c r="NVJ70"/>
      <c r="NVK70"/>
      <c r="NVL70"/>
      <c r="NVM70"/>
      <c r="NVN70"/>
      <c r="NVO70"/>
      <c r="NVP70"/>
      <c r="NVQ70"/>
      <c r="NVR70"/>
      <c r="NVS70"/>
      <c r="NVT70"/>
      <c r="NVU70"/>
      <c r="NVV70"/>
      <c r="NVW70"/>
      <c r="NVX70"/>
      <c r="NVY70"/>
      <c r="NVZ70"/>
      <c r="NWA70"/>
      <c r="NWB70"/>
      <c r="NWC70"/>
      <c r="NWD70"/>
      <c r="NWE70"/>
      <c r="NWF70"/>
      <c r="NWG70"/>
      <c r="NWH70"/>
      <c r="NWI70"/>
      <c r="NWJ70"/>
      <c r="NWK70"/>
      <c r="NWL70"/>
      <c r="NWM70"/>
      <c r="NWN70"/>
      <c r="NWO70"/>
      <c r="NWP70"/>
      <c r="NWQ70"/>
      <c r="NWR70"/>
      <c r="NWS70"/>
      <c r="NWT70"/>
      <c r="NWU70"/>
      <c r="NWV70"/>
      <c r="NWW70"/>
      <c r="NWX70"/>
      <c r="NWY70"/>
      <c r="NWZ70"/>
      <c r="NXA70"/>
      <c r="NXB70"/>
      <c r="NXC70"/>
      <c r="NXD70"/>
      <c r="NXE70"/>
      <c r="NXF70"/>
      <c r="NXG70"/>
      <c r="NXH70"/>
      <c r="NXI70"/>
      <c r="NXJ70"/>
      <c r="NXK70"/>
      <c r="NXL70"/>
      <c r="NXM70"/>
      <c r="NXN70"/>
      <c r="NXO70"/>
      <c r="NXP70"/>
      <c r="NXQ70"/>
      <c r="NXR70"/>
      <c r="NXS70"/>
      <c r="NXT70"/>
      <c r="NXU70"/>
      <c r="NXV70"/>
      <c r="NXW70"/>
      <c r="NXX70"/>
      <c r="NXY70"/>
      <c r="NXZ70"/>
      <c r="NYA70"/>
      <c r="NYB70"/>
      <c r="NYC70"/>
      <c r="NYD70"/>
      <c r="NYE70"/>
      <c r="NYF70"/>
      <c r="NYG70"/>
      <c r="NYH70"/>
      <c r="NYI70"/>
      <c r="NYJ70"/>
      <c r="NYK70"/>
      <c r="NYL70"/>
      <c r="NYM70"/>
      <c r="NYN70"/>
      <c r="NYO70"/>
      <c r="NYP70"/>
      <c r="NYQ70"/>
      <c r="NYR70"/>
      <c r="NYS70"/>
      <c r="NYT70"/>
      <c r="NYU70"/>
      <c r="NYV70"/>
      <c r="NYW70"/>
      <c r="NYX70"/>
      <c r="NYY70"/>
      <c r="NYZ70"/>
      <c r="NZA70"/>
      <c r="NZB70"/>
      <c r="NZC70"/>
      <c r="NZD70"/>
      <c r="NZE70"/>
      <c r="NZF70"/>
      <c r="NZG70"/>
      <c r="NZH70"/>
      <c r="NZI70"/>
      <c r="NZJ70"/>
      <c r="NZK70"/>
      <c r="NZL70"/>
      <c r="NZM70"/>
      <c r="NZN70"/>
      <c r="NZO70"/>
      <c r="NZP70"/>
      <c r="NZQ70"/>
      <c r="NZR70"/>
      <c r="NZS70"/>
      <c r="NZT70"/>
      <c r="NZU70"/>
      <c r="NZV70"/>
      <c r="NZW70"/>
      <c r="NZX70"/>
      <c r="NZY70"/>
      <c r="NZZ70"/>
      <c r="OAA70"/>
      <c r="OAB70"/>
      <c r="OAC70"/>
      <c r="OAD70"/>
      <c r="OAE70"/>
      <c r="OAF70"/>
      <c r="OAG70"/>
      <c r="OAH70"/>
      <c r="OAI70"/>
      <c r="OAJ70"/>
      <c r="OAK70"/>
      <c r="OAL70"/>
      <c r="OAM70"/>
      <c r="OAN70"/>
      <c r="OAO70"/>
      <c r="OAP70"/>
      <c r="OAQ70"/>
      <c r="OAR70"/>
      <c r="OAS70"/>
      <c r="OAT70"/>
      <c r="OAU70"/>
      <c r="OAV70"/>
      <c r="OAW70"/>
      <c r="OAX70"/>
      <c r="OAY70"/>
      <c r="OAZ70"/>
      <c r="OBA70"/>
      <c r="OBB70"/>
      <c r="OBC70"/>
      <c r="OBD70"/>
      <c r="OBE70"/>
      <c r="OBF70"/>
      <c r="OBG70"/>
      <c r="OBH70"/>
      <c r="OBI70"/>
      <c r="OBJ70"/>
      <c r="OBK70"/>
      <c r="OBL70"/>
      <c r="OBM70"/>
      <c r="OBN70"/>
      <c r="OBO70"/>
      <c r="OBP70"/>
      <c r="OBQ70"/>
      <c r="OBR70"/>
      <c r="OBS70"/>
      <c r="OBT70"/>
      <c r="OBU70"/>
      <c r="OBV70"/>
      <c r="OBW70"/>
      <c r="OBX70"/>
      <c r="OBY70"/>
      <c r="OBZ70"/>
      <c r="OCA70"/>
      <c r="OCB70"/>
      <c r="OCC70"/>
      <c r="OCD70"/>
      <c r="OCE70"/>
      <c r="OCF70"/>
      <c r="OCG70"/>
      <c r="OCH70"/>
      <c r="OCI70"/>
      <c r="OCJ70"/>
      <c r="OCK70"/>
      <c r="OCL70"/>
      <c r="OCM70"/>
      <c r="OCN70"/>
      <c r="OCO70"/>
      <c r="OCP70"/>
      <c r="OCQ70"/>
      <c r="OCR70"/>
      <c r="OCS70"/>
      <c r="OCT70"/>
      <c r="OCU70"/>
      <c r="OCV70"/>
      <c r="OCW70"/>
      <c r="OCX70"/>
      <c r="OCY70"/>
      <c r="OCZ70"/>
      <c r="ODA70"/>
      <c r="ODB70"/>
      <c r="ODC70"/>
      <c r="ODD70"/>
      <c r="ODE70"/>
      <c r="ODF70"/>
      <c r="ODG70"/>
      <c r="ODH70"/>
      <c r="ODI70"/>
      <c r="ODJ70"/>
      <c r="ODK70"/>
      <c r="ODL70"/>
      <c r="ODM70"/>
      <c r="ODN70"/>
      <c r="ODO70"/>
      <c r="ODP70"/>
      <c r="ODQ70"/>
      <c r="ODR70"/>
      <c r="ODS70"/>
      <c r="ODT70"/>
      <c r="ODU70"/>
      <c r="ODV70"/>
      <c r="ODW70"/>
      <c r="ODX70"/>
      <c r="ODY70"/>
      <c r="ODZ70"/>
      <c r="OEA70"/>
      <c r="OEB70"/>
      <c r="OEC70"/>
      <c r="OED70"/>
      <c r="OEE70"/>
      <c r="OEF70"/>
      <c r="OEG70"/>
      <c r="OEH70"/>
      <c r="OEI70"/>
      <c r="OEJ70"/>
      <c r="OEK70"/>
      <c r="OEL70"/>
      <c r="OEM70"/>
      <c r="OEN70"/>
      <c r="OEO70"/>
      <c r="OEP70"/>
      <c r="OEQ70"/>
      <c r="OER70"/>
      <c r="OES70"/>
      <c r="OET70"/>
      <c r="OEU70"/>
      <c r="OEV70"/>
      <c r="OEW70"/>
      <c r="OEX70"/>
      <c r="OEY70"/>
      <c r="OEZ70"/>
      <c r="OFA70"/>
      <c r="OFB70"/>
      <c r="OFC70"/>
      <c r="OFD70"/>
      <c r="OFE70"/>
      <c r="OFF70"/>
      <c r="OFG70"/>
      <c r="OFH70"/>
      <c r="OFI70"/>
      <c r="OFJ70"/>
      <c r="OFK70"/>
      <c r="OFL70"/>
      <c r="OFM70"/>
      <c r="OFN70"/>
      <c r="OFO70"/>
      <c r="OFP70"/>
      <c r="OFQ70"/>
      <c r="OFR70"/>
      <c r="OFS70"/>
      <c r="OFT70"/>
      <c r="OFU70"/>
      <c r="OFV70"/>
      <c r="OFW70"/>
      <c r="OFX70"/>
      <c r="OFY70"/>
      <c r="OFZ70"/>
      <c r="OGA70"/>
      <c r="OGB70"/>
      <c r="OGC70"/>
      <c r="OGD70"/>
      <c r="OGE70"/>
      <c r="OGF70"/>
      <c r="OGG70"/>
      <c r="OGH70"/>
      <c r="OGI70"/>
      <c r="OGJ70"/>
      <c r="OGK70"/>
      <c r="OGL70"/>
      <c r="OGM70"/>
      <c r="OGN70"/>
      <c r="OGO70"/>
      <c r="OGP70"/>
      <c r="OGQ70"/>
      <c r="OGR70"/>
      <c r="OGS70"/>
      <c r="OGT70"/>
      <c r="OGU70"/>
      <c r="OGV70"/>
      <c r="OGW70"/>
      <c r="OGX70"/>
      <c r="OGY70"/>
      <c r="OGZ70"/>
      <c r="OHA70"/>
      <c r="OHB70"/>
      <c r="OHC70"/>
      <c r="OHD70"/>
      <c r="OHE70"/>
      <c r="OHF70"/>
      <c r="OHG70"/>
      <c r="OHH70"/>
      <c r="OHI70"/>
      <c r="OHJ70"/>
      <c r="OHK70"/>
      <c r="OHL70"/>
      <c r="OHM70"/>
      <c r="OHN70"/>
      <c r="OHO70"/>
      <c r="OHP70"/>
      <c r="OHQ70"/>
      <c r="OHR70"/>
      <c r="OHS70"/>
      <c r="OHT70"/>
      <c r="OHU70"/>
      <c r="OHV70"/>
      <c r="OHW70"/>
      <c r="OHX70"/>
      <c r="OHY70"/>
      <c r="OHZ70"/>
      <c r="OIA70"/>
      <c r="OIB70"/>
      <c r="OIC70"/>
      <c r="OID70"/>
      <c r="OIE70"/>
      <c r="OIF70"/>
      <c r="OIG70"/>
      <c r="OIH70"/>
      <c r="OII70"/>
      <c r="OIJ70"/>
      <c r="OIK70"/>
      <c r="OIL70"/>
      <c r="OIM70"/>
      <c r="OIN70"/>
      <c r="OIO70"/>
      <c r="OIP70"/>
      <c r="OIQ70"/>
      <c r="OIR70"/>
      <c r="OIS70"/>
      <c r="OIT70"/>
      <c r="OIU70"/>
      <c r="OIV70"/>
      <c r="OIW70"/>
      <c r="OIX70"/>
      <c r="OIY70"/>
      <c r="OIZ70"/>
      <c r="OJA70"/>
      <c r="OJB70"/>
      <c r="OJC70"/>
      <c r="OJD70"/>
      <c r="OJE70"/>
      <c r="OJF70"/>
      <c r="OJG70"/>
      <c r="OJH70"/>
      <c r="OJI70"/>
      <c r="OJJ70"/>
      <c r="OJK70"/>
      <c r="OJL70"/>
      <c r="OJM70"/>
      <c r="OJN70"/>
      <c r="OJO70"/>
      <c r="OJP70"/>
      <c r="OJQ70"/>
      <c r="OJR70"/>
      <c r="OJS70"/>
      <c r="OJT70"/>
      <c r="OJU70"/>
      <c r="OJV70"/>
      <c r="OJW70"/>
      <c r="OJX70"/>
      <c r="OJY70"/>
      <c r="OJZ70"/>
      <c r="OKA70"/>
      <c r="OKB70"/>
      <c r="OKC70"/>
      <c r="OKD70"/>
      <c r="OKE70"/>
      <c r="OKF70"/>
      <c r="OKG70"/>
      <c r="OKH70"/>
      <c r="OKI70"/>
      <c r="OKJ70"/>
      <c r="OKK70"/>
      <c r="OKL70"/>
      <c r="OKM70"/>
      <c r="OKN70"/>
      <c r="OKO70"/>
      <c r="OKP70"/>
      <c r="OKQ70"/>
      <c r="OKR70"/>
      <c r="OKS70"/>
      <c r="OKT70"/>
      <c r="OKU70"/>
      <c r="OKV70"/>
      <c r="OKW70"/>
      <c r="OKX70"/>
      <c r="OKY70"/>
      <c r="OKZ70"/>
      <c r="OLA70"/>
      <c r="OLB70"/>
      <c r="OLC70"/>
      <c r="OLD70"/>
      <c r="OLE70"/>
      <c r="OLF70"/>
      <c r="OLG70"/>
      <c r="OLH70"/>
      <c r="OLI70"/>
      <c r="OLJ70"/>
      <c r="OLK70"/>
      <c r="OLL70"/>
      <c r="OLM70"/>
      <c r="OLN70"/>
      <c r="OLO70"/>
      <c r="OLP70"/>
      <c r="OLQ70"/>
      <c r="OLR70"/>
      <c r="OLS70"/>
      <c r="OLT70"/>
      <c r="OLU70"/>
      <c r="OLV70"/>
      <c r="OLW70"/>
      <c r="OLX70"/>
      <c r="OLY70"/>
      <c r="OLZ70"/>
      <c r="OMA70"/>
      <c r="OMB70"/>
      <c r="OMC70"/>
      <c r="OMD70"/>
      <c r="OME70"/>
      <c r="OMF70"/>
      <c r="OMG70"/>
      <c r="OMH70"/>
      <c r="OMI70"/>
      <c r="OMJ70"/>
      <c r="OMK70"/>
      <c r="OML70"/>
      <c r="OMM70"/>
      <c r="OMN70"/>
      <c r="OMO70"/>
      <c r="OMP70"/>
      <c r="OMQ70"/>
      <c r="OMR70"/>
      <c r="OMS70"/>
      <c r="OMT70"/>
      <c r="OMU70"/>
      <c r="OMV70"/>
      <c r="OMW70"/>
      <c r="OMX70"/>
      <c r="OMY70"/>
      <c r="OMZ70"/>
      <c r="ONA70"/>
      <c r="ONB70"/>
      <c r="ONC70"/>
      <c r="OND70"/>
      <c r="ONE70"/>
      <c r="ONF70"/>
      <c r="ONG70"/>
      <c r="ONH70"/>
      <c r="ONI70"/>
      <c r="ONJ70"/>
      <c r="ONK70"/>
      <c r="ONL70"/>
      <c r="ONM70"/>
      <c r="ONN70"/>
      <c r="ONO70"/>
      <c r="ONP70"/>
      <c r="ONQ70"/>
      <c r="ONR70"/>
      <c r="ONS70"/>
      <c r="ONT70"/>
      <c r="ONU70"/>
      <c r="ONV70"/>
      <c r="ONW70"/>
      <c r="ONX70"/>
      <c r="ONY70"/>
      <c r="ONZ70"/>
      <c r="OOA70"/>
      <c r="OOB70"/>
      <c r="OOC70"/>
      <c r="OOD70"/>
      <c r="OOE70"/>
      <c r="OOF70"/>
      <c r="OOG70"/>
      <c r="OOH70"/>
      <c r="OOI70"/>
      <c r="OOJ70"/>
      <c r="OOK70"/>
      <c r="OOL70"/>
      <c r="OOM70"/>
      <c r="OON70"/>
      <c r="OOO70"/>
      <c r="OOP70"/>
      <c r="OOQ70"/>
      <c r="OOR70"/>
      <c r="OOS70"/>
      <c r="OOT70"/>
      <c r="OOU70"/>
      <c r="OOV70"/>
      <c r="OOW70"/>
      <c r="OOX70"/>
      <c r="OOY70"/>
      <c r="OOZ70"/>
      <c r="OPA70"/>
      <c r="OPB70"/>
      <c r="OPC70"/>
      <c r="OPD70"/>
      <c r="OPE70"/>
      <c r="OPF70"/>
      <c r="OPG70"/>
      <c r="OPH70"/>
      <c r="OPI70"/>
      <c r="OPJ70"/>
      <c r="OPK70"/>
      <c r="OPL70"/>
      <c r="OPM70"/>
      <c r="OPN70"/>
      <c r="OPO70"/>
      <c r="OPP70"/>
      <c r="OPQ70"/>
      <c r="OPR70"/>
      <c r="OPS70"/>
      <c r="OPT70"/>
      <c r="OPU70"/>
      <c r="OPV70"/>
      <c r="OPW70"/>
      <c r="OPX70"/>
      <c r="OPY70"/>
      <c r="OPZ70"/>
      <c r="OQA70"/>
      <c r="OQB70"/>
      <c r="OQC70"/>
      <c r="OQD70"/>
      <c r="OQE70"/>
      <c r="OQF70"/>
      <c r="OQG70"/>
      <c r="OQH70"/>
      <c r="OQI70"/>
      <c r="OQJ70"/>
      <c r="OQK70"/>
      <c r="OQL70"/>
      <c r="OQM70"/>
      <c r="OQN70"/>
      <c r="OQO70"/>
      <c r="OQP70"/>
      <c r="OQQ70"/>
      <c r="OQR70"/>
      <c r="OQS70"/>
      <c r="OQT70"/>
      <c r="OQU70"/>
      <c r="OQV70"/>
      <c r="OQW70"/>
      <c r="OQX70"/>
      <c r="OQY70"/>
      <c r="OQZ70"/>
      <c r="ORA70"/>
      <c r="ORB70"/>
      <c r="ORC70"/>
      <c r="ORD70"/>
      <c r="ORE70"/>
      <c r="ORF70"/>
      <c r="ORG70"/>
      <c r="ORH70"/>
      <c r="ORI70"/>
      <c r="ORJ70"/>
      <c r="ORK70"/>
      <c r="ORL70"/>
      <c r="ORM70"/>
      <c r="ORN70"/>
      <c r="ORO70"/>
      <c r="ORP70"/>
      <c r="ORQ70"/>
      <c r="ORR70"/>
      <c r="ORS70"/>
      <c r="ORT70"/>
      <c r="ORU70"/>
      <c r="ORV70"/>
      <c r="ORW70"/>
      <c r="ORX70"/>
      <c r="ORY70"/>
      <c r="ORZ70"/>
      <c r="OSA70"/>
      <c r="OSB70"/>
      <c r="OSC70"/>
      <c r="OSD70"/>
      <c r="OSE70"/>
      <c r="OSF70"/>
      <c r="OSG70"/>
      <c r="OSH70"/>
      <c r="OSI70"/>
      <c r="OSJ70"/>
      <c r="OSK70"/>
      <c r="OSL70"/>
      <c r="OSM70"/>
      <c r="OSN70"/>
      <c r="OSO70"/>
      <c r="OSP70"/>
      <c r="OSQ70"/>
      <c r="OSR70"/>
      <c r="OSS70"/>
      <c r="OST70"/>
      <c r="OSU70"/>
      <c r="OSV70"/>
      <c r="OSW70"/>
      <c r="OSX70"/>
      <c r="OSY70"/>
      <c r="OSZ70"/>
      <c r="OTA70"/>
      <c r="OTB70"/>
      <c r="OTC70"/>
      <c r="OTD70"/>
      <c r="OTE70"/>
      <c r="OTF70"/>
      <c r="OTG70"/>
      <c r="OTH70"/>
      <c r="OTI70"/>
      <c r="OTJ70"/>
      <c r="OTK70"/>
      <c r="OTL70"/>
      <c r="OTM70"/>
      <c r="OTN70"/>
      <c r="OTO70"/>
      <c r="OTP70"/>
      <c r="OTQ70"/>
      <c r="OTR70"/>
      <c r="OTS70"/>
      <c r="OTT70"/>
      <c r="OTU70"/>
      <c r="OTV70"/>
      <c r="OTW70"/>
      <c r="OTX70"/>
      <c r="OTY70"/>
      <c r="OTZ70"/>
      <c r="OUA70"/>
      <c r="OUB70"/>
      <c r="OUC70"/>
      <c r="OUD70"/>
      <c r="OUE70"/>
      <c r="OUF70"/>
      <c r="OUG70"/>
      <c r="OUH70"/>
      <c r="OUI70"/>
      <c r="OUJ70"/>
      <c r="OUK70"/>
      <c r="OUL70"/>
      <c r="OUM70"/>
      <c r="OUN70"/>
      <c r="OUO70"/>
      <c r="OUP70"/>
      <c r="OUQ70"/>
      <c r="OUR70"/>
      <c r="OUS70"/>
      <c r="OUT70"/>
      <c r="OUU70"/>
      <c r="OUV70"/>
      <c r="OUW70"/>
      <c r="OUX70"/>
      <c r="OUY70"/>
      <c r="OUZ70"/>
      <c r="OVA70"/>
      <c r="OVB70"/>
      <c r="OVC70"/>
      <c r="OVD70"/>
      <c r="OVE70"/>
      <c r="OVF70"/>
      <c r="OVG70"/>
      <c r="OVH70"/>
      <c r="OVI70"/>
      <c r="OVJ70"/>
      <c r="OVK70"/>
      <c r="OVL70"/>
      <c r="OVM70"/>
      <c r="OVN70"/>
      <c r="OVO70"/>
      <c r="OVP70"/>
      <c r="OVQ70"/>
      <c r="OVR70"/>
      <c r="OVS70"/>
      <c r="OVT70"/>
      <c r="OVU70"/>
      <c r="OVV70"/>
      <c r="OVW70"/>
      <c r="OVX70"/>
      <c r="OVY70"/>
      <c r="OVZ70"/>
      <c r="OWA70"/>
      <c r="OWB70"/>
      <c r="OWC70"/>
      <c r="OWD70"/>
      <c r="OWE70"/>
      <c r="OWF70"/>
      <c r="OWG70"/>
      <c r="OWH70"/>
      <c r="OWI70"/>
      <c r="OWJ70"/>
      <c r="OWK70"/>
      <c r="OWL70"/>
      <c r="OWM70"/>
      <c r="OWN70"/>
      <c r="OWO70"/>
      <c r="OWP70"/>
      <c r="OWQ70"/>
      <c r="OWR70"/>
      <c r="OWS70"/>
      <c r="OWT70"/>
      <c r="OWU70"/>
      <c r="OWV70"/>
      <c r="OWW70"/>
      <c r="OWX70"/>
      <c r="OWY70"/>
      <c r="OWZ70"/>
      <c r="OXA70"/>
      <c r="OXB70"/>
      <c r="OXC70"/>
      <c r="OXD70"/>
      <c r="OXE70"/>
      <c r="OXF70"/>
      <c r="OXG70"/>
      <c r="OXH70"/>
      <c r="OXI70"/>
      <c r="OXJ70"/>
      <c r="OXK70"/>
      <c r="OXL70"/>
      <c r="OXM70"/>
      <c r="OXN70"/>
      <c r="OXO70"/>
      <c r="OXP70"/>
      <c r="OXQ70"/>
      <c r="OXR70"/>
      <c r="OXS70"/>
      <c r="OXT70"/>
      <c r="OXU70"/>
      <c r="OXV70"/>
      <c r="OXW70"/>
      <c r="OXX70"/>
      <c r="OXY70"/>
      <c r="OXZ70"/>
      <c r="OYA70"/>
      <c r="OYB70"/>
      <c r="OYC70"/>
      <c r="OYD70"/>
      <c r="OYE70"/>
      <c r="OYF70"/>
      <c r="OYG70"/>
      <c r="OYH70"/>
      <c r="OYI70"/>
      <c r="OYJ70"/>
      <c r="OYK70"/>
      <c r="OYL70"/>
      <c r="OYM70"/>
      <c r="OYN70"/>
      <c r="OYO70"/>
      <c r="OYP70"/>
      <c r="OYQ70"/>
      <c r="OYR70"/>
      <c r="OYS70"/>
      <c r="OYT70"/>
      <c r="OYU70"/>
      <c r="OYV70"/>
      <c r="OYW70"/>
      <c r="OYX70"/>
      <c r="OYY70"/>
      <c r="OYZ70"/>
      <c r="OZA70"/>
      <c r="OZB70"/>
      <c r="OZC70"/>
      <c r="OZD70"/>
      <c r="OZE70"/>
      <c r="OZF70"/>
      <c r="OZG70"/>
      <c r="OZH70"/>
      <c r="OZI70"/>
      <c r="OZJ70"/>
      <c r="OZK70"/>
      <c r="OZL70"/>
      <c r="OZM70"/>
      <c r="OZN70"/>
      <c r="OZO70"/>
      <c r="OZP70"/>
      <c r="OZQ70"/>
      <c r="OZR70"/>
      <c r="OZS70"/>
      <c r="OZT70"/>
      <c r="OZU70"/>
      <c r="OZV70"/>
      <c r="OZW70"/>
      <c r="OZX70"/>
      <c r="OZY70"/>
      <c r="OZZ70"/>
      <c r="PAA70"/>
      <c r="PAB70"/>
      <c r="PAC70"/>
      <c r="PAD70"/>
      <c r="PAE70"/>
      <c r="PAF70"/>
      <c r="PAG70"/>
      <c r="PAH70"/>
      <c r="PAI70"/>
      <c r="PAJ70"/>
      <c r="PAK70"/>
      <c r="PAL70"/>
      <c r="PAM70"/>
      <c r="PAN70"/>
      <c r="PAO70"/>
      <c r="PAP70"/>
      <c r="PAQ70"/>
      <c r="PAR70"/>
      <c r="PAS70"/>
      <c r="PAT70"/>
      <c r="PAU70"/>
      <c r="PAV70"/>
      <c r="PAW70"/>
      <c r="PAX70"/>
      <c r="PAY70"/>
      <c r="PAZ70"/>
      <c r="PBA70"/>
      <c r="PBB70"/>
      <c r="PBC70"/>
      <c r="PBD70"/>
      <c r="PBE70"/>
      <c r="PBF70"/>
      <c r="PBG70"/>
      <c r="PBH70"/>
      <c r="PBI70"/>
      <c r="PBJ70"/>
      <c r="PBK70"/>
      <c r="PBL70"/>
      <c r="PBM70"/>
      <c r="PBN70"/>
      <c r="PBO70"/>
      <c r="PBP70"/>
      <c r="PBQ70"/>
      <c r="PBR70"/>
      <c r="PBS70"/>
      <c r="PBT70"/>
      <c r="PBU70"/>
      <c r="PBV70"/>
      <c r="PBW70"/>
      <c r="PBX70"/>
      <c r="PBY70"/>
      <c r="PBZ70"/>
      <c r="PCA70"/>
      <c r="PCB70"/>
      <c r="PCC70"/>
      <c r="PCD70"/>
      <c r="PCE70"/>
      <c r="PCF70"/>
      <c r="PCG70"/>
      <c r="PCH70"/>
      <c r="PCI70"/>
      <c r="PCJ70"/>
      <c r="PCK70"/>
      <c r="PCL70"/>
      <c r="PCM70"/>
      <c r="PCN70"/>
      <c r="PCO70"/>
      <c r="PCP70"/>
      <c r="PCQ70"/>
      <c r="PCR70"/>
      <c r="PCS70"/>
      <c r="PCT70"/>
      <c r="PCU70"/>
      <c r="PCV70"/>
      <c r="PCW70"/>
      <c r="PCX70"/>
      <c r="PCY70"/>
      <c r="PCZ70"/>
      <c r="PDA70"/>
      <c r="PDB70"/>
      <c r="PDC70"/>
      <c r="PDD70"/>
      <c r="PDE70"/>
      <c r="PDF70"/>
      <c r="PDG70"/>
      <c r="PDH70"/>
      <c r="PDI70"/>
      <c r="PDJ70"/>
      <c r="PDK70"/>
      <c r="PDL70"/>
      <c r="PDM70"/>
      <c r="PDN70"/>
      <c r="PDO70"/>
      <c r="PDP70"/>
      <c r="PDQ70"/>
      <c r="PDR70"/>
      <c r="PDS70"/>
      <c r="PDT70"/>
      <c r="PDU70"/>
      <c r="PDV70"/>
      <c r="PDW70"/>
      <c r="PDX70"/>
      <c r="PDY70"/>
      <c r="PDZ70"/>
      <c r="PEA70"/>
      <c r="PEB70"/>
      <c r="PEC70"/>
      <c r="PED70"/>
      <c r="PEE70"/>
      <c r="PEF70"/>
      <c r="PEG70"/>
      <c r="PEH70"/>
      <c r="PEI70"/>
      <c r="PEJ70"/>
      <c r="PEK70"/>
      <c r="PEL70"/>
      <c r="PEM70"/>
      <c r="PEN70"/>
      <c r="PEO70"/>
      <c r="PEP70"/>
      <c r="PEQ70"/>
      <c r="PER70"/>
      <c r="PES70"/>
      <c r="PET70"/>
      <c r="PEU70"/>
      <c r="PEV70"/>
      <c r="PEW70"/>
      <c r="PEX70"/>
      <c r="PEY70"/>
      <c r="PEZ70"/>
      <c r="PFA70"/>
      <c r="PFB70"/>
      <c r="PFC70"/>
      <c r="PFD70"/>
      <c r="PFE70"/>
      <c r="PFF70"/>
      <c r="PFG70"/>
      <c r="PFH70"/>
      <c r="PFI70"/>
      <c r="PFJ70"/>
      <c r="PFK70"/>
      <c r="PFL70"/>
      <c r="PFM70"/>
      <c r="PFN70"/>
      <c r="PFO70"/>
      <c r="PFP70"/>
      <c r="PFQ70"/>
      <c r="PFR70"/>
      <c r="PFS70"/>
      <c r="PFT70"/>
      <c r="PFU70"/>
      <c r="PFV70"/>
      <c r="PFW70"/>
      <c r="PFX70"/>
      <c r="PFY70"/>
      <c r="PFZ70"/>
      <c r="PGA70"/>
      <c r="PGB70"/>
      <c r="PGC70"/>
      <c r="PGD70"/>
      <c r="PGE70"/>
      <c r="PGF70"/>
      <c r="PGG70"/>
      <c r="PGH70"/>
      <c r="PGI70"/>
      <c r="PGJ70"/>
      <c r="PGK70"/>
      <c r="PGL70"/>
      <c r="PGM70"/>
      <c r="PGN70"/>
      <c r="PGO70"/>
      <c r="PGP70"/>
      <c r="PGQ70"/>
      <c r="PGR70"/>
      <c r="PGS70"/>
      <c r="PGT70"/>
      <c r="PGU70"/>
      <c r="PGV70"/>
      <c r="PGW70"/>
      <c r="PGX70"/>
      <c r="PGY70"/>
      <c r="PGZ70"/>
      <c r="PHA70"/>
      <c r="PHB70"/>
      <c r="PHC70"/>
      <c r="PHD70"/>
      <c r="PHE70"/>
      <c r="PHF70"/>
      <c r="PHG70"/>
      <c r="PHH70"/>
      <c r="PHI70"/>
      <c r="PHJ70"/>
      <c r="PHK70"/>
      <c r="PHL70"/>
      <c r="PHM70"/>
      <c r="PHN70"/>
      <c r="PHO70"/>
      <c r="PHP70"/>
      <c r="PHQ70"/>
      <c r="PHR70"/>
      <c r="PHS70"/>
      <c r="PHT70"/>
      <c r="PHU70"/>
      <c r="PHV70"/>
      <c r="PHW70"/>
      <c r="PHX70"/>
      <c r="PHY70"/>
      <c r="PHZ70"/>
      <c r="PIA70"/>
      <c r="PIB70"/>
      <c r="PIC70"/>
      <c r="PID70"/>
      <c r="PIE70"/>
      <c r="PIF70"/>
      <c r="PIG70"/>
      <c r="PIH70"/>
      <c r="PII70"/>
      <c r="PIJ70"/>
      <c r="PIK70"/>
      <c r="PIL70"/>
      <c r="PIM70"/>
      <c r="PIN70"/>
      <c r="PIO70"/>
      <c r="PIP70"/>
      <c r="PIQ70"/>
      <c r="PIR70"/>
      <c r="PIS70"/>
      <c r="PIT70"/>
      <c r="PIU70"/>
      <c r="PIV70"/>
      <c r="PIW70"/>
      <c r="PIX70"/>
      <c r="PIY70"/>
      <c r="PIZ70"/>
      <c r="PJA70"/>
      <c r="PJB70"/>
      <c r="PJC70"/>
      <c r="PJD70"/>
      <c r="PJE70"/>
      <c r="PJF70"/>
      <c r="PJG70"/>
      <c r="PJH70"/>
      <c r="PJI70"/>
      <c r="PJJ70"/>
      <c r="PJK70"/>
      <c r="PJL70"/>
      <c r="PJM70"/>
      <c r="PJN70"/>
      <c r="PJO70"/>
      <c r="PJP70"/>
      <c r="PJQ70"/>
      <c r="PJR70"/>
      <c r="PJS70"/>
      <c r="PJT70"/>
      <c r="PJU70"/>
      <c r="PJV70"/>
      <c r="PJW70"/>
      <c r="PJX70"/>
      <c r="PJY70"/>
      <c r="PJZ70"/>
      <c r="PKA70"/>
      <c r="PKB70"/>
      <c r="PKC70"/>
      <c r="PKD70"/>
      <c r="PKE70"/>
      <c r="PKF70"/>
      <c r="PKG70"/>
      <c r="PKH70"/>
      <c r="PKI70"/>
      <c r="PKJ70"/>
      <c r="PKK70"/>
      <c r="PKL70"/>
      <c r="PKM70"/>
      <c r="PKN70"/>
      <c r="PKO70"/>
      <c r="PKP70"/>
      <c r="PKQ70"/>
      <c r="PKR70"/>
      <c r="PKS70"/>
      <c r="PKT70"/>
      <c r="PKU70"/>
      <c r="PKV70"/>
      <c r="PKW70"/>
      <c r="PKX70"/>
      <c r="PKY70"/>
      <c r="PKZ70"/>
      <c r="PLA70"/>
      <c r="PLB70"/>
      <c r="PLC70"/>
      <c r="PLD70"/>
      <c r="PLE70"/>
      <c r="PLF70"/>
      <c r="PLG70"/>
      <c r="PLH70"/>
      <c r="PLI70"/>
      <c r="PLJ70"/>
      <c r="PLK70"/>
      <c r="PLL70"/>
      <c r="PLM70"/>
      <c r="PLN70"/>
      <c r="PLO70"/>
      <c r="PLP70"/>
      <c r="PLQ70"/>
      <c r="PLR70"/>
      <c r="PLS70"/>
      <c r="PLT70"/>
      <c r="PLU70"/>
      <c r="PLV70"/>
      <c r="PLW70"/>
      <c r="PLX70"/>
      <c r="PLY70"/>
      <c r="PLZ70"/>
      <c r="PMA70"/>
      <c r="PMB70"/>
      <c r="PMC70"/>
      <c r="PMD70"/>
      <c r="PME70"/>
      <c r="PMF70"/>
      <c r="PMG70"/>
      <c r="PMH70"/>
      <c r="PMI70"/>
      <c r="PMJ70"/>
      <c r="PMK70"/>
      <c r="PML70"/>
      <c r="PMM70"/>
      <c r="PMN70"/>
      <c r="PMO70"/>
      <c r="PMP70"/>
      <c r="PMQ70"/>
      <c r="PMR70"/>
      <c r="PMS70"/>
      <c r="PMT70"/>
      <c r="PMU70"/>
      <c r="PMV70"/>
      <c r="PMW70"/>
      <c r="PMX70"/>
      <c r="PMY70"/>
      <c r="PMZ70"/>
      <c r="PNA70"/>
      <c r="PNB70"/>
      <c r="PNC70"/>
      <c r="PND70"/>
      <c r="PNE70"/>
      <c r="PNF70"/>
      <c r="PNG70"/>
      <c r="PNH70"/>
      <c r="PNI70"/>
      <c r="PNJ70"/>
      <c r="PNK70"/>
      <c r="PNL70"/>
      <c r="PNM70"/>
      <c r="PNN70"/>
      <c r="PNO70"/>
      <c r="PNP70"/>
      <c r="PNQ70"/>
      <c r="PNR70"/>
      <c r="PNS70"/>
      <c r="PNT70"/>
      <c r="PNU70"/>
      <c r="PNV70"/>
      <c r="PNW70"/>
      <c r="PNX70"/>
      <c r="PNY70"/>
      <c r="PNZ70"/>
      <c r="POA70"/>
      <c r="POB70"/>
      <c r="POC70"/>
      <c r="POD70"/>
      <c r="POE70"/>
      <c r="POF70"/>
      <c r="POG70"/>
      <c r="POH70"/>
      <c r="POI70"/>
      <c r="POJ70"/>
      <c r="POK70"/>
      <c r="POL70"/>
      <c r="POM70"/>
      <c r="PON70"/>
      <c r="POO70"/>
      <c r="POP70"/>
      <c r="POQ70"/>
      <c r="POR70"/>
      <c r="POS70"/>
      <c r="POT70"/>
      <c r="POU70"/>
      <c r="POV70"/>
      <c r="POW70"/>
      <c r="POX70"/>
      <c r="POY70"/>
      <c r="POZ70"/>
      <c r="PPA70"/>
      <c r="PPB70"/>
      <c r="PPC70"/>
      <c r="PPD70"/>
      <c r="PPE70"/>
      <c r="PPF70"/>
      <c r="PPG70"/>
      <c r="PPH70"/>
      <c r="PPI70"/>
      <c r="PPJ70"/>
      <c r="PPK70"/>
      <c r="PPL70"/>
      <c r="PPM70"/>
      <c r="PPN70"/>
      <c r="PPO70"/>
      <c r="PPP70"/>
      <c r="PPQ70"/>
      <c r="PPR70"/>
      <c r="PPS70"/>
      <c r="PPT70"/>
      <c r="PPU70"/>
      <c r="PPV70"/>
      <c r="PPW70"/>
      <c r="PPX70"/>
      <c r="PPY70"/>
      <c r="PPZ70"/>
      <c r="PQA70"/>
      <c r="PQB70"/>
      <c r="PQC70"/>
      <c r="PQD70"/>
      <c r="PQE70"/>
      <c r="PQF70"/>
      <c r="PQG70"/>
      <c r="PQH70"/>
      <c r="PQI70"/>
      <c r="PQJ70"/>
      <c r="PQK70"/>
      <c r="PQL70"/>
      <c r="PQM70"/>
      <c r="PQN70"/>
      <c r="PQO70"/>
      <c r="PQP70"/>
      <c r="PQQ70"/>
      <c r="PQR70"/>
      <c r="PQS70"/>
      <c r="PQT70"/>
      <c r="PQU70"/>
      <c r="PQV70"/>
      <c r="PQW70"/>
      <c r="PQX70"/>
      <c r="PQY70"/>
      <c r="PQZ70"/>
      <c r="PRA70"/>
      <c r="PRB70"/>
      <c r="PRC70"/>
      <c r="PRD70"/>
      <c r="PRE70"/>
      <c r="PRF70"/>
      <c r="PRG70"/>
      <c r="PRH70"/>
      <c r="PRI70"/>
      <c r="PRJ70"/>
      <c r="PRK70"/>
      <c r="PRL70"/>
      <c r="PRM70"/>
      <c r="PRN70"/>
      <c r="PRO70"/>
      <c r="PRP70"/>
      <c r="PRQ70"/>
      <c r="PRR70"/>
      <c r="PRS70"/>
      <c r="PRT70"/>
      <c r="PRU70"/>
      <c r="PRV70"/>
      <c r="PRW70"/>
      <c r="PRX70"/>
      <c r="PRY70"/>
      <c r="PRZ70"/>
      <c r="PSA70"/>
      <c r="PSB70"/>
      <c r="PSC70"/>
      <c r="PSD70"/>
      <c r="PSE70"/>
      <c r="PSF70"/>
      <c r="PSG70"/>
      <c r="PSH70"/>
      <c r="PSI70"/>
      <c r="PSJ70"/>
      <c r="PSK70"/>
      <c r="PSL70"/>
      <c r="PSM70"/>
      <c r="PSN70"/>
      <c r="PSO70"/>
      <c r="PSP70"/>
      <c r="PSQ70"/>
      <c r="PSR70"/>
      <c r="PSS70"/>
      <c r="PST70"/>
      <c r="PSU70"/>
      <c r="PSV70"/>
      <c r="PSW70"/>
      <c r="PSX70"/>
      <c r="PSY70"/>
      <c r="PSZ70"/>
      <c r="PTA70"/>
      <c r="PTB70"/>
      <c r="PTC70"/>
      <c r="PTD70"/>
      <c r="PTE70"/>
      <c r="PTF70"/>
      <c r="PTG70"/>
      <c r="PTH70"/>
      <c r="PTI70"/>
      <c r="PTJ70"/>
      <c r="PTK70"/>
      <c r="PTL70"/>
      <c r="PTM70"/>
      <c r="PTN70"/>
      <c r="PTO70"/>
      <c r="PTP70"/>
      <c r="PTQ70"/>
      <c r="PTR70"/>
      <c r="PTS70"/>
      <c r="PTT70"/>
      <c r="PTU70"/>
      <c r="PTV70"/>
      <c r="PTW70"/>
      <c r="PTX70"/>
      <c r="PTY70"/>
      <c r="PTZ70"/>
      <c r="PUA70"/>
      <c r="PUB70"/>
      <c r="PUC70"/>
      <c r="PUD70"/>
      <c r="PUE70"/>
      <c r="PUF70"/>
      <c r="PUG70"/>
      <c r="PUH70"/>
      <c r="PUI70"/>
      <c r="PUJ70"/>
      <c r="PUK70"/>
      <c r="PUL70"/>
      <c r="PUM70"/>
      <c r="PUN70"/>
      <c r="PUO70"/>
      <c r="PUP70"/>
      <c r="PUQ70"/>
      <c r="PUR70"/>
      <c r="PUS70"/>
      <c r="PUT70"/>
      <c r="PUU70"/>
      <c r="PUV70"/>
      <c r="PUW70"/>
      <c r="PUX70"/>
      <c r="PUY70"/>
      <c r="PUZ70"/>
      <c r="PVA70"/>
      <c r="PVB70"/>
      <c r="PVC70"/>
      <c r="PVD70"/>
      <c r="PVE70"/>
      <c r="PVF70"/>
      <c r="PVG70"/>
      <c r="PVH70"/>
      <c r="PVI70"/>
      <c r="PVJ70"/>
      <c r="PVK70"/>
      <c r="PVL70"/>
      <c r="PVM70"/>
      <c r="PVN70"/>
      <c r="PVO70"/>
      <c r="PVP70"/>
      <c r="PVQ70"/>
      <c r="PVR70"/>
      <c r="PVS70"/>
      <c r="PVT70"/>
      <c r="PVU70"/>
      <c r="PVV70"/>
      <c r="PVW70"/>
      <c r="PVX70"/>
      <c r="PVY70"/>
      <c r="PVZ70"/>
      <c r="PWA70"/>
      <c r="PWB70"/>
      <c r="PWC70"/>
      <c r="PWD70"/>
      <c r="PWE70"/>
      <c r="PWF70"/>
      <c r="PWG70"/>
      <c r="PWH70"/>
      <c r="PWI70"/>
      <c r="PWJ70"/>
      <c r="PWK70"/>
      <c r="PWL70"/>
      <c r="PWM70"/>
      <c r="PWN70"/>
      <c r="PWO70"/>
      <c r="PWP70"/>
      <c r="PWQ70"/>
      <c r="PWR70"/>
      <c r="PWS70"/>
      <c r="PWT70"/>
      <c r="PWU70"/>
      <c r="PWV70"/>
      <c r="PWW70"/>
      <c r="PWX70"/>
      <c r="PWY70"/>
      <c r="PWZ70"/>
      <c r="PXA70"/>
      <c r="PXB70"/>
      <c r="PXC70"/>
      <c r="PXD70"/>
      <c r="PXE70"/>
      <c r="PXF70"/>
      <c r="PXG70"/>
      <c r="PXH70"/>
      <c r="PXI70"/>
      <c r="PXJ70"/>
      <c r="PXK70"/>
      <c r="PXL70"/>
      <c r="PXM70"/>
      <c r="PXN70"/>
      <c r="PXO70"/>
      <c r="PXP70"/>
      <c r="PXQ70"/>
      <c r="PXR70"/>
      <c r="PXS70"/>
      <c r="PXT70"/>
      <c r="PXU70"/>
      <c r="PXV70"/>
      <c r="PXW70"/>
      <c r="PXX70"/>
      <c r="PXY70"/>
      <c r="PXZ70"/>
      <c r="PYA70"/>
      <c r="PYB70"/>
      <c r="PYC70"/>
      <c r="PYD70"/>
      <c r="PYE70"/>
      <c r="PYF70"/>
      <c r="PYG70"/>
      <c r="PYH70"/>
      <c r="PYI70"/>
      <c r="PYJ70"/>
      <c r="PYK70"/>
      <c r="PYL70"/>
      <c r="PYM70"/>
      <c r="PYN70"/>
      <c r="PYO70"/>
      <c r="PYP70"/>
      <c r="PYQ70"/>
      <c r="PYR70"/>
      <c r="PYS70"/>
      <c r="PYT70"/>
      <c r="PYU70"/>
      <c r="PYV70"/>
      <c r="PYW70"/>
      <c r="PYX70"/>
      <c r="PYY70"/>
      <c r="PYZ70"/>
      <c r="PZA70"/>
      <c r="PZB70"/>
      <c r="PZC70"/>
      <c r="PZD70"/>
      <c r="PZE70"/>
      <c r="PZF70"/>
      <c r="PZG70"/>
      <c r="PZH70"/>
      <c r="PZI70"/>
      <c r="PZJ70"/>
      <c r="PZK70"/>
      <c r="PZL70"/>
      <c r="PZM70"/>
      <c r="PZN70"/>
      <c r="PZO70"/>
      <c r="PZP70"/>
      <c r="PZQ70"/>
      <c r="PZR70"/>
      <c r="PZS70"/>
      <c r="PZT70"/>
      <c r="PZU70"/>
      <c r="PZV70"/>
      <c r="PZW70"/>
      <c r="PZX70"/>
      <c r="PZY70"/>
      <c r="PZZ70"/>
      <c r="QAA70"/>
      <c r="QAB70"/>
      <c r="QAC70"/>
      <c r="QAD70"/>
      <c r="QAE70"/>
      <c r="QAF70"/>
      <c r="QAG70"/>
      <c r="QAH70"/>
      <c r="QAI70"/>
      <c r="QAJ70"/>
      <c r="QAK70"/>
      <c r="QAL70"/>
      <c r="QAM70"/>
      <c r="QAN70"/>
      <c r="QAO70"/>
      <c r="QAP70"/>
      <c r="QAQ70"/>
      <c r="QAR70"/>
      <c r="QAS70"/>
      <c r="QAT70"/>
      <c r="QAU70"/>
      <c r="QAV70"/>
      <c r="QAW70"/>
      <c r="QAX70"/>
      <c r="QAY70"/>
      <c r="QAZ70"/>
      <c r="QBA70"/>
      <c r="QBB70"/>
      <c r="QBC70"/>
      <c r="QBD70"/>
      <c r="QBE70"/>
      <c r="QBF70"/>
      <c r="QBG70"/>
      <c r="QBH70"/>
      <c r="QBI70"/>
      <c r="QBJ70"/>
      <c r="QBK70"/>
      <c r="QBL70"/>
      <c r="QBM70"/>
      <c r="QBN70"/>
      <c r="QBO70"/>
      <c r="QBP70"/>
      <c r="QBQ70"/>
      <c r="QBR70"/>
      <c r="QBS70"/>
      <c r="QBT70"/>
      <c r="QBU70"/>
      <c r="QBV70"/>
      <c r="QBW70"/>
      <c r="QBX70"/>
      <c r="QBY70"/>
      <c r="QBZ70"/>
      <c r="QCA70"/>
      <c r="QCB70"/>
      <c r="QCC70"/>
      <c r="QCD70"/>
      <c r="QCE70"/>
      <c r="QCF70"/>
      <c r="QCG70"/>
      <c r="QCH70"/>
      <c r="QCI70"/>
      <c r="QCJ70"/>
      <c r="QCK70"/>
      <c r="QCL70"/>
      <c r="QCM70"/>
      <c r="QCN70"/>
      <c r="QCO70"/>
      <c r="QCP70"/>
      <c r="QCQ70"/>
      <c r="QCR70"/>
      <c r="QCS70"/>
      <c r="QCT70"/>
      <c r="QCU70"/>
      <c r="QCV70"/>
      <c r="QCW70"/>
      <c r="QCX70"/>
      <c r="QCY70"/>
      <c r="QCZ70"/>
      <c r="QDA70"/>
      <c r="QDB70"/>
      <c r="QDC70"/>
      <c r="QDD70"/>
      <c r="QDE70"/>
      <c r="QDF70"/>
      <c r="QDG70"/>
      <c r="QDH70"/>
      <c r="QDI70"/>
      <c r="QDJ70"/>
      <c r="QDK70"/>
      <c r="QDL70"/>
      <c r="QDM70"/>
      <c r="QDN70"/>
      <c r="QDO70"/>
      <c r="QDP70"/>
      <c r="QDQ70"/>
      <c r="QDR70"/>
      <c r="QDS70"/>
      <c r="QDT70"/>
      <c r="QDU70"/>
      <c r="QDV70"/>
      <c r="QDW70"/>
      <c r="QDX70"/>
      <c r="QDY70"/>
      <c r="QDZ70"/>
      <c r="QEA70"/>
      <c r="QEB70"/>
      <c r="QEC70"/>
      <c r="QED70"/>
      <c r="QEE70"/>
      <c r="QEF70"/>
      <c r="QEG70"/>
      <c r="QEH70"/>
      <c r="QEI70"/>
      <c r="QEJ70"/>
      <c r="QEK70"/>
      <c r="QEL70"/>
      <c r="QEM70"/>
      <c r="QEN70"/>
      <c r="QEO70"/>
      <c r="QEP70"/>
      <c r="QEQ70"/>
      <c r="QER70"/>
      <c r="QES70"/>
      <c r="QET70"/>
      <c r="QEU70"/>
      <c r="QEV70"/>
      <c r="QEW70"/>
      <c r="QEX70"/>
      <c r="QEY70"/>
      <c r="QEZ70"/>
      <c r="QFA70"/>
      <c r="QFB70"/>
      <c r="QFC70"/>
      <c r="QFD70"/>
      <c r="QFE70"/>
      <c r="QFF70"/>
      <c r="QFG70"/>
      <c r="QFH70"/>
      <c r="QFI70"/>
      <c r="QFJ70"/>
      <c r="QFK70"/>
      <c r="QFL70"/>
      <c r="QFM70"/>
      <c r="QFN70"/>
      <c r="QFO70"/>
      <c r="QFP70"/>
      <c r="QFQ70"/>
      <c r="QFR70"/>
      <c r="QFS70"/>
      <c r="QFT70"/>
      <c r="QFU70"/>
      <c r="QFV70"/>
      <c r="QFW70"/>
      <c r="QFX70"/>
      <c r="QFY70"/>
      <c r="QFZ70"/>
      <c r="QGA70"/>
      <c r="QGB70"/>
      <c r="QGC70"/>
      <c r="QGD70"/>
      <c r="QGE70"/>
      <c r="QGF70"/>
      <c r="QGG70"/>
      <c r="QGH70"/>
      <c r="QGI70"/>
      <c r="QGJ70"/>
      <c r="QGK70"/>
      <c r="QGL70"/>
      <c r="QGM70"/>
      <c r="QGN70"/>
      <c r="QGO70"/>
      <c r="QGP70"/>
      <c r="QGQ70"/>
      <c r="QGR70"/>
      <c r="QGS70"/>
      <c r="QGT70"/>
      <c r="QGU70"/>
      <c r="QGV70"/>
      <c r="QGW70"/>
      <c r="QGX70"/>
      <c r="QGY70"/>
      <c r="QGZ70"/>
      <c r="QHA70"/>
      <c r="QHB70"/>
      <c r="QHC70"/>
      <c r="QHD70"/>
      <c r="QHE70"/>
      <c r="QHF70"/>
      <c r="QHG70"/>
      <c r="QHH70"/>
      <c r="QHI70"/>
      <c r="QHJ70"/>
      <c r="QHK70"/>
      <c r="QHL70"/>
      <c r="QHM70"/>
      <c r="QHN70"/>
      <c r="QHO70"/>
      <c r="QHP70"/>
      <c r="QHQ70"/>
      <c r="QHR70"/>
      <c r="QHS70"/>
      <c r="QHT70"/>
      <c r="QHU70"/>
      <c r="QHV70"/>
      <c r="QHW70"/>
      <c r="QHX70"/>
      <c r="QHY70"/>
      <c r="QHZ70"/>
      <c r="QIA70"/>
      <c r="QIB70"/>
      <c r="QIC70"/>
      <c r="QID70"/>
      <c r="QIE70"/>
      <c r="QIF70"/>
      <c r="QIG70"/>
      <c r="QIH70"/>
      <c r="QII70"/>
      <c r="QIJ70"/>
      <c r="QIK70"/>
      <c r="QIL70"/>
      <c r="QIM70"/>
      <c r="QIN70"/>
      <c r="QIO70"/>
      <c r="QIP70"/>
      <c r="QIQ70"/>
      <c r="QIR70"/>
      <c r="QIS70"/>
      <c r="QIT70"/>
      <c r="QIU70"/>
      <c r="QIV70"/>
      <c r="QIW70"/>
      <c r="QIX70"/>
      <c r="QIY70"/>
      <c r="QIZ70"/>
      <c r="QJA70"/>
      <c r="QJB70"/>
      <c r="QJC70"/>
      <c r="QJD70"/>
      <c r="QJE70"/>
      <c r="QJF70"/>
      <c r="QJG70"/>
      <c r="QJH70"/>
      <c r="QJI70"/>
      <c r="QJJ70"/>
      <c r="QJK70"/>
      <c r="QJL70"/>
      <c r="QJM70"/>
      <c r="QJN70"/>
      <c r="QJO70"/>
      <c r="QJP70"/>
      <c r="QJQ70"/>
      <c r="QJR70"/>
      <c r="QJS70"/>
      <c r="QJT70"/>
      <c r="QJU70"/>
      <c r="QJV70"/>
      <c r="QJW70"/>
      <c r="QJX70"/>
      <c r="QJY70"/>
      <c r="QJZ70"/>
      <c r="QKA70"/>
      <c r="QKB70"/>
      <c r="QKC70"/>
      <c r="QKD70"/>
      <c r="QKE70"/>
      <c r="QKF70"/>
      <c r="QKG70"/>
      <c r="QKH70"/>
      <c r="QKI70"/>
      <c r="QKJ70"/>
      <c r="QKK70"/>
      <c r="QKL70"/>
      <c r="QKM70"/>
      <c r="QKN70"/>
      <c r="QKO70"/>
      <c r="QKP70"/>
      <c r="QKQ70"/>
      <c r="QKR70"/>
      <c r="QKS70"/>
      <c r="QKT70"/>
      <c r="QKU70"/>
      <c r="QKV70"/>
      <c r="QKW70"/>
      <c r="QKX70"/>
      <c r="QKY70"/>
      <c r="QKZ70"/>
      <c r="QLA70"/>
      <c r="QLB70"/>
      <c r="QLC70"/>
      <c r="QLD70"/>
      <c r="QLE70"/>
      <c r="QLF70"/>
      <c r="QLG70"/>
      <c r="QLH70"/>
      <c r="QLI70"/>
      <c r="QLJ70"/>
      <c r="QLK70"/>
      <c r="QLL70"/>
      <c r="QLM70"/>
      <c r="QLN70"/>
      <c r="QLO70"/>
      <c r="QLP70"/>
      <c r="QLQ70"/>
      <c r="QLR70"/>
      <c r="QLS70"/>
      <c r="QLT70"/>
      <c r="QLU70"/>
      <c r="QLV70"/>
      <c r="QLW70"/>
      <c r="QLX70"/>
      <c r="QLY70"/>
      <c r="QLZ70"/>
      <c r="QMA70"/>
      <c r="QMB70"/>
      <c r="QMC70"/>
      <c r="QMD70"/>
      <c r="QME70"/>
      <c r="QMF70"/>
      <c r="QMG70"/>
      <c r="QMH70"/>
      <c r="QMI70"/>
      <c r="QMJ70"/>
      <c r="QMK70"/>
      <c r="QML70"/>
      <c r="QMM70"/>
      <c r="QMN70"/>
      <c r="QMO70"/>
      <c r="QMP70"/>
      <c r="QMQ70"/>
      <c r="QMR70"/>
      <c r="QMS70"/>
      <c r="QMT70"/>
      <c r="QMU70"/>
      <c r="QMV70"/>
      <c r="QMW70"/>
      <c r="QMX70"/>
      <c r="QMY70"/>
      <c r="QMZ70"/>
      <c r="QNA70"/>
      <c r="QNB70"/>
      <c r="QNC70"/>
      <c r="QND70"/>
      <c r="QNE70"/>
      <c r="QNF70"/>
      <c r="QNG70"/>
      <c r="QNH70"/>
      <c r="QNI70"/>
      <c r="QNJ70"/>
      <c r="QNK70"/>
      <c r="QNL70"/>
      <c r="QNM70"/>
      <c r="QNN70"/>
      <c r="QNO70"/>
      <c r="QNP70"/>
      <c r="QNQ70"/>
      <c r="QNR70"/>
      <c r="QNS70"/>
      <c r="QNT70"/>
      <c r="QNU70"/>
      <c r="QNV70"/>
      <c r="QNW70"/>
      <c r="QNX70"/>
      <c r="QNY70"/>
      <c r="QNZ70"/>
      <c r="QOA70"/>
      <c r="QOB70"/>
      <c r="QOC70"/>
      <c r="QOD70"/>
      <c r="QOE70"/>
      <c r="QOF70"/>
      <c r="QOG70"/>
      <c r="QOH70"/>
      <c r="QOI70"/>
      <c r="QOJ70"/>
      <c r="QOK70"/>
      <c r="QOL70"/>
      <c r="QOM70"/>
      <c r="QON70"/>
      <c r="QOO70"/>
      <c r="QOP70"/>
      <c r="QOQ70"/>
      <c r="QOR70"/>
      <c r="QOS70"/>
      <c r="QOT70"/>
      <c r="QOU70"/>
      <c r="QOV70"/>
      <c r="QOW70"/>
      <c r="QOX70"/>
      <c r="QOY70"/>
      <c r="QOZ70"/>
      <c r="QPA70"/>
      <c r="QPB70"/>
      <c r="QPC70"/>
      <c r="QPD70"/>
      <c r="QPE70"/>
      <c r="QPF70"/>
      <c r="QPG70"/>
      <c r="QPH70"/>
      <c r="QPI70"/>
      <c r="QPJ70"/>
      <c r="QPK70"/>
      <c r="QPL70"/>
      <c r="QPM70"/>
      <c r="QPN70"/>
      <c r="QPO70"/>
      <c r="QPP70"/>
      <c r="QPQ70"/>
      <c r="QPR70"/>
      <c r="QPS70"/>
      <c r="QPT70"/>
      <c r="QPU70"/>
      <c r="QPV70"/>
      <c r="QPW70"/>
      <c r="QPX70"/>
      <c r="QPY70"/>
      <c r="QPZ70"/>
      <c r="QQA70"/>
      <c r="QQB70"/>
      <c r="QQC70"/>
      <c r="QQD70"/>
      <c r="QQE70"/>
      <c r="QQF70"/>
      <c r="QQG70"/>
      <c r="QQH70"/>
      <c r="QQI70"/>
      <c r="QQJ70"/>
      <c r="QQK70"/>
      <c r="QQL70"/>
      <c r="QQM70"/>
      <c r="QQN70"/>
      <c r="QQO70"/>
      <c r="QQP70"/>
      <c r="QQQ70"/>
      <c r="QQR70"/>
      <c r="QQS70"/>
      <c r="QQT70"/>
      <c r="QQU70"/>
      <c r="QQV70"/>
      <c r="QQW70"/>
      <c r="QQX70"/>
      <c r="QQY70"/>
      <c r="QQZ70"/>
      <c r="QRA70"/>
      <c r="QRB70"/>
      <c r="QRC70"/>
      <c r="QRD70"/>
      <c r="QRE70"/>
      <c r="QRF70"/>
      <c r="QRG70"/>
      <c r="QRH70"/>
      <c r="QRI70"/>
      <c r="QRJ70"/>
      <c r="QRK70"/>
      <c r="QRL70"/>
      <c r="QRM70"/>
      <c r="QRN70"/>
      <c r="QRO70"/>
      <c r="QRP70"/>
      <c r="QRQ70"/>
      <c r="QRR70"/>
      <c r="QRS70"/>
      <c r="QRT70"/>
      <c r="QRU70"/>
      <c r="QRV70"/>
      <c r="QRW70"/>
      <c r="QRX70"/>
      <c r="QRY70"/>
      <c r="QRZ70"/>
      <c r="QSA70"/>
      <c r="QSB70"/>
      <c r="QSC70"/>
      <c r="QSD70"/>
      <c r="QSE70"/>
      <c r="QSF70"/>
      <c r="QSG70"/>
      <c r="QSH70"/>
      <c r="QSI70"/>
      <c r="QSJ70"/>
      <c r="QSK70"/>
      <c r="QSL70"/>
      <c r="QSM70"/>
      <c r="QSN70"/>
      <c r="QSO70"/>
      <c r="QSP70"/>
      <c r="QSQ70"/>
      <c r="QSR70"/>
      <c r="QSS70"/>
      <c r="QST70"/>
      <c r="QSU70"/>
      <c r="QSV70"/>
      <c r="QSW70"/>
      <c r="QSX70"/>
      <c r="QSY70"/>
      <c r="QSZ70"/>
      <c r="QTA70"/>
      <c r="QTB70"/>
      <c r="QTC70"/>
      <c r="QTD70"/>
      <c r="QTE70"/>
      <c r="QTF70"/>
      <c r="QTG70"/>
      <c r="QTH70"/>
      <c r="QTI70"/>
      <c r="QTJ70"/>
      <c r="QTK70"/>
      <c r="QTL70"/>
      <c r="QTM70"/>
      <c r="QTN70"/>
      <c r="QTO70"/>
      <c r="QTP70"/>
      <c r="QTQ70"/>
      <c r="QTR70"/>
      <c r="QTS70"/>
      <c r="QTT70"/>
      <c r="QTU70"/>
      <c r="QTV70"/>
      <c r="QTW70"/>
      <c r="QTX70"/>
      <c r="QTY70"/>
      <c r="QTZ70"/>
      <c r="QUA70"/>
      <c r="QUB70"/>
      <c r="QUC70"/>
      <c r="QUD70"/>
      <c r="QUE70"/>
      <c r="QUF70"/>
      <c r="QUG70"/>
      <c r="QUH70"/>
      <c r="QUI70"/>
      <c r="QUJ70"/>
      <c r="QUK70"/>
      <c r="QUL70"/>
      <c r="QUM70"/>
      <c r="QUN70"/>
      <c r="QUO70"/>
      <c r="QUP70"/>
      <c r="QUQ70"/>
      <c r="QUR70"/>
      <c r="QUS70"/>
      <c r="QUT70"/>
      <c r="QUU70"/>
      <c r="QUV70"/>
      <c r="QUW70"/>
      <c r="QUX70"/>
      <c r="QUY70"/>
      <c r="QUZ70"/>
      <c r="QVA70"/>
      <c r="QVB70"/>
      <c r="QVC70"/>
      <c r="QVD70"/>
      <c r="QVE70"/>
      <c r="QVF70"/>
      <c r="QVG70"/>
      <c r="QVH70"/>
      <c r="QVI70"/>
      <c r="QVJ70"/>
      <c r="QVK70"/>
      <c r="QVL70"/>
      <c r="QVM70"/>
      <c r="QVN70"/>
      <c r="QVO70"/>
      <c r="QVP70"/>
      <c r="QVQ70"/>
      <c r="QVR70"/>
      <c r="QVS70"/>
      <c r="QVT70"/>
      <c r="QVU70"/>
      <c r="QVV70"/>
      <c r="QVW70"/>
      <c r="QVX70"/>
      <c r="QVY70"/>
      <c r="QVZ70"/>
      <c r="QWA70"/>
      <c r="QWB70"/>
      <c r="QWC70"/>
      <c r="QWD70"/>
      <c r="QWE70"/>
      <c r="QWF70"/>
      <c r="QWG70"/>
      <c r="QWH70"/>
      <c r="QWI70"/>
      <c r="QWJ70"/>
      <c r="QWK70"/>
      <c r="QWL70"/>
      <c r="QWM70"/>
      <c r="QWN70"/>
      <c r="QWO70"/>
      <c r="QWP70"/>
      <c r="QWQ70"/>
      <c r="QWR70"/>
      <c r="QWS70"/>
      <c r="QWT70"/>
      <c r="QWU70"/>
      <c r="QWV70"/>
      <c r="QWW70"/>
      <c r="QWX70"/>
      <c r="QWY70"/>
      <c r="QWZ70"/>
      <c r="QXA70"/>
      <c r="QXB70"/>
      <c r="QXC70"/>
      <c r="QXD70"/>
      <c r="QXE70"/>
      <c r="QXF70"/>
      <c r="QXG70"/>
      <c r="QXH70"/>
      <c r="QXI70"/>
      <c r="QXJ70"/>
      <c r="QXK70"/>
      <c r="QXL70"/>
      <c r="QXM70"/>
      <c r="QXN70"/>
      <c r="QXO70"/>
      <c r="QXP70"/>
      <c r="QXQ70"/>
      <c r="QXR70"/>
      <c r="QXS70"/>
      <c r="QXT70"/>
      <c r="QXU70"/>
      <c r="QXV70"/>
      <c r="QXW70"/>
      <c r="QXX70"/>
      <c r="QXY70"/>
      <c r="QXZ70"/>
      <c r="QYA70"/>
      <c r="QYB70"/>
      <c r="QYC70"/>
      <c r="QYD70"/>
      <c r="QYE70"/>
      <c r="QYF70"/>
      <c r="QYG70"/>
      <c r="QYH70"/>
      <c r="QYI70"/>
      <c r="QYJ70"/>
      <c r="QYK70"/>
      <c r="QYL70"/>
      <c r="QYM70"/>
      <c r="QYN70"/>
      <c r="QYO70"/>
      <c r="QYP70"/>
      <c r="QYQ70"/>
      <c r="QYR70"/>
      <c r="QYS70"/>
      <c r="QYT70"/>
      <c r="QYU70"/>
      <c r="QYV70"/>
      <c r="QYW70"/>
      <c r="QYX70"/>
      <c r="QYY70"/>
      <c r="QYZ70"/>
      <c r="QZA70"/>
      <c r="QZB70"/>
      <c r="QZC70"/>
      <c r="QZD70"/>
      <c r="QZE70"/>
      <c r="QZF70"/>
      <c r="QZG70"/>
      <c r="QZH70"/>
      <c r="QZI70"/>
      <c r="QZJ70"/>
      <c r="QZK70"/>
      <c r="QZL70"/>
      <c r="QZM70"/>
      <c r="QZN70"/>
      <c r="QZO70"/>
      <c r="QZP70"/>
      <c r="QZQ70"/>
      <c r="QZR70"/>
      <c r="QZS70"/>
      <c r="QZT70"/>
      <c r="QZU70"/>
      <c r="QZV70"/>
      <c r="QZW70"/>
      <c r="QZX70"/>
      <c r="QZY70"/>
      <c r="QZZ70"/>
      <c r="RAA70"/>
      <c r="RAB70"/>
      <c r="RAC70"/>
      <c r="RAD70"/>
      <c r="RAE70"/>
      <c r="RAF70"/>
      <c r="RAG70"/>
      <c r="RAH70"/>
      <c r="RAI70"/>
      <c r="RAJ70"/>
      <c r="RAK70"/>
      <c r="RAL70"/>
      <c r="RAM70"/>
      <c r="RAN70"/>
      <c r="RAO70"/>
      <c r="RAP70"/>
      <c r="RAQ70"/>
      <c r="RAR70"/>
      <c r="RAS70"/>
      <c r="RAT70"/>
      <c r="RAU70"/>
      <c r="RAV70"/>
      <c r="RAW70"/>
      <c r="RAX70"/>
      <c r="RAY70"/>
      <c r="RAZ70"/>
      <c r="RBA70"/>
      <c r="RBB70"/>
      <c r="RBC70"/>
      <c r="RBD70"/>
      <c r="RBE70"/>
      <c r="RBF70"/>
      <c r="RBG70"/>
      <c r="RBH70"/>
      <c r="RBI70"/>
      <c r="RBJ70"/>
      <c r="RBK70"/>
      <c r="RBL70"/>
      <c r="RBM70"/>
      <c r="RBN70"/>
      <c r="RBO70"/>
      <c r="RBP70"/>
      <c r="RBQ70"/>
      <c r="RBR70"/>
      <c r="RBS70"/>
      <c r="RBT70"/>
      <c r="RBU70"/>
      <c r="RBV70"/>
      <c r="RBW70"/>
      <c r="RBX70"/>
      <c r="RBY70"/>
      <c r="RBZ70"/>
      <c r="RCA70"/>
      <c r="RCB70"/>
      <c r="RCC70"/>
      <c r="RCD70"/>
      <c r="RCE70"/>
      <c r="RCF70"/>
      <c r="RCG70"/>
      <c r="RCH70"/>
      <c r="RCI70"/>
      <c r="RCJ70"/>
      <c r="RCK70"/>
      <c r="RCL70"/>
      <c r="RCM70"/>
      <c r="RCN70"/>
      <c r="RCO70"/>
      <c r="RCP70"/>
      <c r="RCQ70"/>
      <c r="RCR70"/>
      <c r="RCS70"/>
      <c r="RCT70"/>
      <c r="RCU70"/>
      <c r="RCV70"/>
      <c r="RCW70"/>
      <c r="RCX70"/>
      <c r="RCY70"/>
      <c r="RCZ70"/>
      <c r="RDA70"/>
      <c r="RDB70"/>
      <c r="RDC70"/>
      <c r="RDD70"/>
      <c r="RDE70"/>
      <c r="RDF70"/>
      <c r="RDG70"/>
      <c r="RDH70"/>
      <c r="RDI70"/>
      <c r="RDJ70"/>
      <c r="RDK70"/>
      <c r="RDL70"/>
      <c r="RDM70"/>
      <c r="RDN70"/>
      <c r="RDO70"/>
      <c r="RDP70"/>
      <c r="RDQ70"/>
      <c r="RDR70"/>
      <c r="RDS70"/>
      <c r="RDT70"/>
      <c r="RDU70"/>
      <c r="RDV70"/>
      <c r="RDW70"/>
      <c r="RDX70"/>
      <c r="RDY70"/>
      <c r="RDZ70"/>
      <c r="REA70"/>
      <c r="REB70"/>
      <c r="REC70"/>
      <c r="RED70"/>
      <c r="REE70"/>
      <c r="REF70"/>
      <c r="REG70"/>
      <c r="REH70"/>
      <c r="REI70"/>
      <c r="REJ70"/>
      <c r="REK70"/>
      <c r="REL70"/>
      <c r="REM70"/>
      <c r="REN70"/>
      <c r="REO70"/>
      <c r="REP70"/>
      <c r="REQ70"/>
      <c r="RER70"/>
      <c r="RES70"/>
      <c r="RET70"/>
      <c r="REU70"/>
      <c r="REV70"/>
      <c r="REW70"/>
      <c r="REX70"/>
      <c r="REY70"/>
      <c r="REZ70"/>
      <c r="RFA70"/>
      <c r="RFB70"/>
      <c r="RFC70"/>
      <c r="RFD70"/>
      <c r="RFE70"/>
      <c r="RFF70"/>
      <c r="RFG70"/>
      <c r="RFH70"/>
      <c r="RFI70"/>
      <c r="RFJ70"/>
      <c r="RFK70"/>
      <c r="RFL70"/>
      <c r="RFM70"/>
      <c r="RFN70"/>
      <c r="RFO70"/>
      <c r="RFP70"/>
      <c r="RFQ70"/>
      <c r="RFR70"/>
      <c r="RFS70"/>
      <c r="RFT70"/>
      <c r="RFU70"/>
      <c r="RFV70"/>
      <c r="RFW70"/>
      <c r="RFX70"/>
      <c r="RFY70"/>
      <c r="RFZ70"/>
      <c r="RGA70"/>
      <c r="RGB70"/>
      <c r="RGC70"/>
      <c r="RGD70"/>
      <c r="RGE70"/>
      <c r="RGF70"/>
      <c r="RGG70"/>
      <c r="RGH70"/>
      <c r="RGI70"/>
      <c r="RGJ70"/>
      <c r="RGK70"/>
      <c r="RGL70"/>
      <c r="RGM70"/>
      <c r="RGN70"/>
      <c r="RGO70"/>
      <c r="RGP70"/>
      <c r="RGQ70"/>
      <c r="RGR70"/>
      <c r="RGS70"/>
      <c r="RGT70"/>
      <c r="RGU70"/>
      <c r="RGV70"/>
      <c r="RGW70"/>
      <c r="RGX70"/>
      <c r="RGY70"/>
      <c r="RGZ70"/>
      <c r="RHA70"/>
      <c r="RHB70"/>
      <c r="RHC70"/>
      <c r="RHD70"/>
      <c r="RHE70"/>
      <c r="RHF70"/>
      <c r="RHG70"/>
      <c r="RHH70"/>
      <c r="RHI70"/>
      <c r="RHJ70"/>
      <c r="RHK70"/>
      <c r="RHL70"/>
      <c r="RHM70"/>
      <c r="RHN70"/>
      <c r="RHO70"/>
      <c r="RHP70"/>
      <c r="RHQ70"/>
      <c r="RHR70"/>
      <c r="RHS70"/>
      <c r="RHT70"/>
      <c r="RHU70"/>
      <c r="RHV70"/>
      <c r="RHW70"/>
      <c r="RHX70"/>
      <c r="RHY70"/>
      <c r="RHZ70"/>
      <c r="RIA70"/>
      <c r="RIB70"/>
      <c r="RIC70"/>
      <c r="RID70"/>
      <c r="RIE70"/>
      <c r="RIF70"/>
      <c r="RIG70"/>
      <c r="RIH70"/>
      <c r="RII70"/>
      <c r="RIJ70"/>
      <c r="RIK70"/>
      <c r="RIL70"/>
      <c r="RIM70"/>
      <c r="RIN70"/>
      <c r="RIO70"/>
      <c r="RIP70"/>
      <c r="RIQ70"/>
      <c r="RIR70"/>
      <c r="RIS70"/>
      <c r="RIT70"/>
      <c r="RIU70"/>
      <c r="RIV70"/>
      <c r="RIW70"/>
      <c r="RIX70"/>
      <c r="RIY70"/>
      <c r="RIZ70"/>
      <c r="RJA70"/>
      <c r="RJB70"/>
      <c r="RJC70"/>
      <c r="RJD70"/>
      <c r="RJE70"/>
      <c r="RJF70"/>
      <c r="RJG70"/>
      <c r="RJH70"/>
      <c r="RJI70"/>
      <c r="RJJ70"/>
      <c r="RJK70"/>
      <c r="RJL70"/>
      <c r="RJM70"/>
      <c r="RJN70"/>
      <c r="RJO70"/>
      <c r="RJP70"/>
      <c r="RJQ70"/>
      <c r="RJR70"/>
      <c r="RJS70"/>
      <c r="RJT70"/>
      <c r="RJU70"/>
      <c r="RJV70"/>
      <c r="RJW70"/>
      <c r="RJX70"/>
      <c r="RJY70"/>
      <c r="RJZ70"/>
      <c r="RKA70"/>
      <c r="RKB70"/>
      <c r="RKC70"/>
      <c r="RKD70"/>
      <c r="RKE70"/>
      <c r="RKF70"/>
      <c r="RKG70"/>
      <c r="RKH70"/>
      <c r="RKI70"/>
      <c r="RKJ70"/>
      <c r="RKK70"/>
      <c r="RKL70"/>
      <c r="RKM70"/>
      <c r="RKN70"/>
      <c r="RKO70"/>
      <c r="RKP70"/>
      <c r="RKQ70"/>
      <c r="RKR70"/>
      <c r="RKS70"/>
      <c r="RKT70"/>
      <c r="RKU70"/>
      <c r="RKV70"/>
      <c r="RKW70"/>
      <c r="RKX70"/>
      <c r="RKY70"/>
      <c r="RKZ70"/>
      <c r="RLA70"/>
      <c r="RLB70"/>
      <c r="RLC70"/>
      <c r="RLD70"/>
      <c r="RLE70"/>
      <c r="RLF70"/>
      <c r="RLG70"/>
      <c r="RLH70"/>
      <c r="RLI70"/>
      <c r="RLJ70"/>
      <c r="RLK70"/>
      <c r="RLL70"/>
      <c r="RLM70"/>
      <c r="RLN70"/>
      <c r="RLO70"/>
      <c r="RLP70"/>
      <c r="RLQ70"/>
      <c r="RLR70"/>
      <c r="RLS70"/>
      <c r="RLT70"/>
      <c r="RLU70"/>
      <c r="RLV70"/>
      <c r="RLW70"/>
      <c r="RLX70"/>
      <c r="RLY70"/>
      <c r="RLZ70"/>
      <c r="RMA70"/>
      <c r="RMB70"/>
      <c r="RMC70"/>
      <c r="RMD70"/>
      <c r="RME70"/>
      <c r="RMF70"/>
      <c r="RMG70"/>
      <c r="RMH70"/>
      <c r="RMI70"/>
      <c r="RMJ70"/>
      <c r="RMK70"/>
      <c r="RML70"/>
      <c r="RMM70"/>
      <c r="RMN70"/>
      <c r="RMO70"/>
      <c r="RMP70"/>
      <c r="RMQ70"/>
      <c r="RMR70"/>
      <c r="RMS70"/>
      <c r="RMT70"/>
      <c r="RMU70"/>
      <c r="RMV70"/>
      <c r="RMW70"/>
      <c r="RMX70"/>
      <c r="RMY70"/>
      <c r="RMZ70"/>
      <c r="RNA70"/>
      <c r="RNB70"/>
      <c r="RNC70"/>
      <c r="RND70"/>
      <c r="RNE70"/>
      <c r="RNF70"/>
      <c r="RNG70"/>
      <c r="RNH70"/>
      <c r="RNI70"/>
      <c r="RNJ70"/>
      <c r="RNK70"/>
      <c r="RNL70"/>
      <c r="RNM70"/>
      <c r="RNN70"/>
      <c r="RNO70"/>
      <c r="RNP70"/>
      <c r="RNQ70"/>
      <c r="RNR70"/>
      <c r="RNS70"/>
      <c r="RNT70"/>
      <c r="RNU70"/>
      <c r="RNV70"/>
      <c r="RNW70"/>
      <c r="RNX70"/>
      <c r="RNY70"/>
      <c r="RNZ70"/>
      <c r="ROA70"/>
      <c r="ROB70"/>
      <c r="ROC70"/>
      <c r="ROD70"/>
      <c r="ROE70"/>
      <c r="ROF70"/>
      <c r="ROG70"/>
      <c r="ROH70"/>
      <c r="ROI70"/>
      <c r="ROJ70"/>
      <c r="ROK70"/>
      <c r="ROL70"/>
      <c r="ROM70"/>
      <c r="RON70"/>
      <c r="ROO70"/>
      <c r="ROP70"/>
      <c r="ROQ70"/>
      <c r="ROR70"/>
      <c r="ROS70"/>
      <c r="ROT70"/>
      <c r="ROU70"/>
      <c r="ROV70"/>
      <c r="ROW70"/>
      <c r="ROX70"/>
      <c r="ROY70"/>
      <c r="ROZ70"/>
      <c r="RPA70"/>
      <c r="RPB70"/>
      <c r="RPC70"/>
      <c r="RPD70"/>
      <c r="RPE70"/>
      <c r="RPF70"/>
      <c r="RPG70"/>
      <c r="RPH70"/>
      <c r="RPI70"/>
      <c r="RPJ70"/>
      <c r="RPK70"/>
      <c r="RPL70"/>
      <c r="RPM70"/>
      <c r="RPN70"/>
      <c r="RPO70"/>
      <c r="RPP70"/>
      <c r="RPQ70"/>
      <c r="RPR70"/>
      <c r="RPS70"/>
      <c r="RPT70"/>
      <c r="RPU70"/>
      <c r="RPV70"/>
      <c r="RPW70"/>
      <c r="RPX70"/>
      <c r="RPY70"/>
      <c r="RPZ70"/>
      <c r="RQA70"/>
      <c r="RQB70"/>
      <c r="RQC70"/>
      <c r="RQD70"/>
      <c r="RQE70"/>
      <c r="RQF70"/>
      <c r="RQG70"/>
      <c r="RQH70"/>
      <c r="RQI70"/>
      <c r="RQJ70"/>
      <c r="RQK70"/>
      <c r="RQL70"/>
      <c r="RQM70"/>
      <c r="RQN70"/>
      <c r="RQO70"/>
      <c r="RQP70"/>
      <c r="RQQ70"/>
      <c r="RQR70"/>
      <c r="RQS70"/>
      <c r="RQT70"/>
      <c r="RQU70"/>
      <c r="RQV70"/>
      <c r="RQW70"/>
      <c r="RQX70"/>
      <c r="RQY70"/>
      <c r="RQZ70"/>
      <c r="RRA70"/>
      <c r="RRB70"/>
      <c r="RRC70"/>
      <c r="RRD70"/>
      <c r="RRE70"/>
      <c r="RRF70"/>
      <c r="RRG70"/>
      <c r="RRH70"/>
      <c r="RRI70"/>
      <c r="RRJ70"/>
      <c r="RRK70"/>
      <c r="RRL70"/>
      <c r="RRM70"/>
      <c r="RRN70"/>
      <c r="RRO70"/>
      <c r="RRP70"/>
      <c r="RRQ70"/>
      <c r="RRR70"/>
      <c r="RRS70"/>
      <c r="RRT70"/>
      <c r="RRU70"/>
      <c r="RRV70"/>
      <c r="RRW70"/>
      <c r="RRX70"/>
      <c r="RRY70"/>
      <c r="RRZ70"/>
      <c r="RSA70"/>
      <c r="RSB70"/>
      <c r="RSC70"/>
      <c r="RSD70"/>
      <c r="RSE70"/>
      <c r="RSF70"/>
      <c r="RSG70"/>
      <c r="RSH70"/>
      <c r="RSI70"/>
      <c r="RSJ70"/>
      <c r="RSK70"/>
      <c r="RSL70"/>
      <c r="RSM70"/>
      <c r="RSN70"/>
      <c r="RSO70"/>
      <c r="RSP70"/>
      <c r="RSQ70"/>
      <c r="RSR70"/>
      <c r="RSS70"/>
      <c r="RST70"/>
      <c r="RSU70"/>
      <c r="RSV70"/>
      <c r="RSW70"/>
      <c r="RSX70"/>
      <c r="RSY70"/>
      <c r="RSZ70"/>
      <c r="RTA70"/>
      <c r="RTB70"/>
      <c r="RTC70"/>
      <c r="RTD70"/>
      <c r="RTE70"/>
      <c r="RTF70"/>
      <c r="RTG70"/>
      <c r="RTH70"/>
      <c r="RTI70"/>
      <c r="RTJ70"/>
      <c r="RTK70"/>
      <c r="RTL70"/>
      <c r="RTM70"/>
      <c r="RTN70"/>
      <c r="RTO70"/>
      <c r="RTP70"/>
      <c r="RTQ70"/>
      <c r="RTR70"/>
      <c r="RTS70"/>
      <c r="RTT70"/>
      <c r="RTU70"/>
      <c r="RTV70"/>
      <c r="RTW70"/>
      <c r="RTX70"/>
      <c r="RTY70"/>
      <c r="RTZ70"/>
      <c r="RUA70"/>
      <c r="RUB70"/>
      <c r="RUC70"/>
      <c r="RUD70"/>
      <c r="RUE70"/>
      <c r="RUF70"/>
      <c r="RUG70"/>
      <c r="RUH70"/>
      <c r="RUI70"/>
      <c r="RUJ70"/>
      <c r="RUK70"/>
      <c r="RUL70"/>
      <c r="RUM70"/>
      <c r="RUN70"/>
      <c r="RUO70"/>
      <c r="RUP70"/>
      <c r="RUQ70"/>
      <c r="RUR70"/>
      <c r="RUS70"/>
      <c r="RUT70"/>
      <c r="RUU70"/>
      <c r="RUV70"/>
      <c r="RUW70"/>
      <c r="RUX70"/>
      <c r="RUY70"/>
      <c r="RUZ70"/>
      <c r="RVA70"/>
      <c r="RVB70"/>
      <c r="RVC70"/>
      <c r="RVD70"/>
      <c r="RVE70"/>
      <c r="RVF70"/>
      <c r="RVG70"/>
      <c r="RVH70"/>
      <c r="RVI70"/>
      <c r="RVJ70"/>
      <c r="RVK70"/>
      <c r="RVL70"/>
      <c r="RVM70"/>
      <c r="RVN70"/>
      <c r="RVO70"/>
      <c r="RVP70"/>
      <c r="RVQ70"/>
      <c r="RVR70"/>
      <c r="RVS70"/>
      <c r="RVT70"/>
      <c r="RVU70"/>
      <c r="RVV70"/>
      <c r="RVW70"/>
      <c r="RVX70"/>
      <c r="RVY70"/>
      <c r="RVZ70"/>
      <c r="RWA70"/>
      <c r="RWB70"/>
      <c r="RWC70"/>
      <c r="RWD70"/>
      <c r="RWE70"/>
      <c r="RWF70"/>
      <c r="RWG70"/>
      <c r="RWH70"/>
      <c r="RWI70"/>
      <c r="RWJ70"/>
      <c r="RWK70"/>
      <c r="RWL70"/>
      <c r="RWM70"/>
      <c r="RWN70"/>
      <c r="RWO70"/>
      <c r="RWP70"/>
      <c r="RWQ70"/>
      <c r="RWR70"/>
      <c r="RWS70"/>
      <c r="RWT70"/>
      <c r="RWU70"/>
      <c r="RWV70"/>
      <c r="RWW70"/>
      <c r="RWX70"/>
      <c r="RWY70"/>
      <c r="RWZ70"/>
      <c r="RXA70"/>
      <c r="RXB70"/>
      <c r="RXC70"/>
      <c r="RXD70"/>
      <c r="RXE70"/>
      <c r="RXF70"/>
      <c r="RXG70"/>
      <c r="RXH70"/>
      <c r="RXI70"/>
      <c r="RXJ70"/>
      <c r="RXK70"/>
      <c r="RXL70"/>
      <c r="RXM70"/>
      <c r="RXN70"/>
      <c r="RXO70"/>
      <c r="RXP70"/>
      <c r="RXQ70"/>
      <c r="RXR70"/>
      <c r="RXS70"/>
      <c r="RXT70"/>
      <c r="RXU70"/>
      <c r="RXV70"/>
      <c r="RXW70"/>
      <c r="RXX70"/>
      <c r="RXY70"/>
      <c r="RXZ70"/>
      <c r="RYA70"/>
      <c r="RYB70"/>
      <c r="RYC70"/>
      <c r="RYD70"/>
      <c r="RYE70"/>
      <c r="RYF70"/>
      <c r="RYG70"/>
      <c r="RYH70"/>
      <c r="RYI70"/>
      <c r="RYJ70"/>
      <c r="RYK70"/>
      <c r="RYL70"/>
      <c r="RYM70"/>
      <c r="RYN70"/>
      <c r="RYO70"/>
      <c r="RYP70"/>
      <c r="RYQ70"/>
      <c r="RYR70"/>
      <c r="RYS70"/>
      <c r="RYT70"/>
      <c r="RYU70"/>
      <c r="RYV70"/>
      <c r="RYW70"/>
      <c r="RYX70"/>
      <c r="RYY70"/>
      <c r="RYZ70"/>
      <c r="RZA70"/>
      <c r="RZB70"/>
      <c r="RZC70"/>
      <c r="RZD70"/>
      <c r="RZE70"/>
      <c r="RZF70"/>
      <c r="RZG70"/>
      <c r="RZH70"/>
      <c r="RZI70"/>
      <c r="RZJ70"/>
      <c r="RZK70"/>
      <c r="RZL70"/>
      <c r="RZM70"/>
      <c r="RZN70"/>
      <c r="RZO70"/>
      <c r="RZP70"/>
      <c r="RZQ70"/>
      <c r="RZR70"/>
      <c r="RZS70"/>
      <c r="RZT70"/>
      <c r="RZU70"/>
      <c r="RZV70"/>
      <c r="RZW70"/>
      <c r="RZX70"/>
      <c r="RZY70"/>
      <c r="RZZ70"/>
      <c r="SAA70"/>
      <c r="SAB70"/>
      <c r="SAC70"/>
      <c r="SAD70"/>
      <c r="SAE70"/>
      <c r="SAF70"/>
      <c r="SAG70"/>
      <c r="SAH70"/>
      <c r="SAI70"/>
      <c r="SAJ70"/>
      <c r="SAK70"/>
      <c r="SAL70"/>
      <c r="SAM70"/>
      <c r="SAN70"/>
      <c r="SAO70"/>
      <c r="SAP70"/>
      <c r="SAQ70"/>
      <c r="SAR70"/>
      <c r="SAS70"/>
      <c r="SAT70"/>
      <c r="SAU70"/>
      <c r="SAV70"/>
      <c r="SAW70"/>
      <c r="SAX70"/>
      <c r="SAY70"/>
      <c r="SAZ70"/>
      <c r="SBA70"/>
      <c r="SBB70"/>
      <c r="SBC70"/>
      <c r="SBD70"/>
      <c r="SBE70"/>
      <c r="SBF70"/>
      <c r="SBG70"/>
      <c r="SBH70"/>
      <c r="SBI70"/>
      <c r="SBJ70"/>
      <c r="SBK70"/>
      <c r="SBL70"/>
      <c r="SBM70"/>
      <c r="SBN70"/>
      <c r="SBO70"/>
      <c r="SBP70"/>
      <c r="SBQ70"/>
      <c r="SBR70"/>
      <c r="SBS70"/>
      <c r="SBT70"/>
      <c r="SBU70"/>
      <c r="SBV70"/>
      <c r="SBW70"/>
      <c r="SBX70"/>
      <c r="SBY70"/>
      <c r="SBZ70"/>
      <c r="SCA70"/>
      <c r="SCB70"/>
      <c r="SCC70"/>
      <c r="SCD70"/>
      <c r="SCE70"/>
      <c r="SCF70"/>
      <c r="SCG70"/>
      <c r="SCH70"/>
      <c r="SCI70"/>
      <c r="SCJ70"/>
      <c r="SCK70"/>
      <c r="SCL70"/>
      <c r="SCM70"/>
      <c r="SCN70"/>
      <c r="SCO70"/>
      <c r="SCP70"/>
      <c r="SCQ70"/>
      <c r="SCR70"/>
      <c r="SCS70"/>
      <c r="SCT70"/>
      <c r="SCU70"/>
      <c r="SCV70"/>
      <c r="SCW70"/>
      <c r="SCX70"/>
      <c r="SCY70"/>
      <c r="SCZ70"/>
      <c r="SDA70"/>
      <c r="SDB70"/>
      <c r="SDC70"/>
      <c r="SDD70"/>
      <c r="SDE70"/>
      <c r="SDF70"/>
      <c r="SDG70"/>
      <c r="SDH70"/>
      <c r="SDI70"/>
      <c r="SDJ70"/>
      <c r="SDK70"/>
      <c r="SDL70"/>
      <c r="SDM70"/>
      <c r="SDN70"/>
      <c r="SDO70"/>
      <c r="SDP70"/>
      <c r="SDQ70"/>
      <c r="SDR70"/>
      <c r="SDS70"/>
      <c r="SDT70"/>
      <c r="SDU70"/>
      <c r="SDV70"/>
      <c r="SDW70"/>
      <c r="SDX70"/>
      <c r="SDY70"/>
      <c r="SDZ70"/>
      <c r="SEA70"/>
      <c r="SEB70"/>
      <c r="SEC70"/>
      <c r="SED70"/>
      <c r="SEE70"/>
      <c r="SEF70"/>
      <c r="SEG70"/>
      <c r="SEH70"/>
      <c r="SEI70"/>
      <c r="SEJ70"/>
      <c r="SEK70"/>
      <c r="SEL70"/>
      <c r="SEM70"/>
      <c r="SEN70"/>
      <c r="SEO70"/>
      <c r="SEP70"/>
      <c r="SEQ70"/>
      <c r="SER70"/>
      <c r="SES70"/>
      <c r="SET70"/>
      <c r="SEU70"/>
      <c r="SEV70"/>
      <c r="SEW70"/>
      <c r="SEX70"/>
      <c r="SEY70"/>
      <c r="SEZ70"/>
      <c r="SFA70"/>
      <c r="SFB70"/>
      <c r="SFC70"/>
      <c r="SFD70"/>
      <c r="SFE70"/>
      <c r="SFF70"/>
      <c r="SFG70"/>
      <c r="SFH70"/>
      <c r="SFI70"/>
      <c r="SFJ70"/>
      <c r="SFK70"/>
      <c r="SFL70"/>
      <c r="SFM70"/>
      <c r="SFN70"/>
      <c r="SFO70"/>
      <c r="SFP70"/>
      <c r="SFQ70"/>
      <c r="SFR70"/>
      <c r="SFS70"/>
      <c r="SFT70"/>
      <c r="SFU70"/>
      <c r="SFV70"/>
      <c r="SFW70"/>
      <c r="SFX70"/>
      <c r="SFY70"/>
      <c r="SFZ70"/>
      <c r="SGA70"/>
      <c r="SGB70"/>
      <c r="SGC70"/>
      <c r="SGD70"/>
      <c r="SGE70"/>
      <c r="SGF70"/>
      <c r="SGG70"/>
      <c r="SGH70"/>
      <c r="SGI70"/>
      <c r="SGJ70"/>
      <c r="SGK70"/>
      <c r="SGL70"/>
      <c r="SGM70"/>
      <c r="SGN70"/>
      <c r="SGO70"/>
      <c r="SGP70"/>
      <c r="SGQ70"/>
      <c r="SGR70"/>
      <c r="SGS70"/>
      <c r="SGT70"/>
      <c r="SGU70"/>
      <c r="SGV70"/>
      <c r="SGW70"/>
      <c r="SGX70"/>
      <c r="SGY70"/>
      <c r="SGZ70"/>
      <c r="SHA70"/>
      <c r="SHB70"/>
      <c r="SHC70"/>
      <c r="SHD70"/>
      <c r="SHE70"/>
      <c r="SHF70"/>
      <c r="SHG70"/>
      <c r="SHH70"/>
      <c r="SHI70"/>
      <c r="SHJ70"/>
      <c r="SHK70"/>
      <c r="SHL70"/>
      <c r="SHM70"/>
      <c r="SHN70"/>
      <c r="SHO70"/>
      <c r="SHP70"/>
      <c r="SHQ70"/>
      <c r="SHR70"/>
      <c r="SHS70"/>
      <c r="SHT70"/>
      <c r="SHU70"/>
      <c r="SHV70"/>
      <c r="SHW70"/>
      <c r="SHX70"/>
      <c r="SHY70"/>
      <c r="SHZ70"/>
      <c r="SIA70"/>
      <c r="SIB70"/>
      <c r="SIC70"/>
      <c r="SID70"/>
      <c r="SIE70"/>
      <c r="SIF70"/>
      <c r="SIG70"/>
      <c r="SIH70"/>
      <c r="SII70"/>
      <c r="SIJ70"/>
      <c r="SIK70"/>
      <c r="SIL70"/>
      <c r="SIM70"/>
      <c r="SIN70"/>
      <c r="SIO70"/>
      <c r="SIP70"/>
      <c r="SIQ70"/>
      <c r="SIR70"/>
      <c r="SIS70"/>
      <c r="SIT70"/>
      <c r="SIU70"/>
      <c r="SIV70"/>
      <c r="SIW70"/>
      <c r="SIX70"/>
      <c r="SIY70"/>
      <c r="SIZ70"/>
      <c r="SJA70"/>
      <c r="SJB70"/>
      <c r="SJC70"/>
      <c r="SJD70"/>
      <c r="SJE70"/>
      <c r="SJF70"/>
      <c r="SJG70"/>
      <c r="SJH70"/>
      <c r="SJI70"/>
      <c r="SJJ70"/>
      <c r="SJK70"/>
      <c r="SJL70"/>
      <c r="SJM70"/>
      <c r="SJN70"/>
      <c r="SJO70"/>
      <c r="SJP70"/>
      <c r="SJQ70"/>
      <c r="SJR70"/>
      <c r="SJS70"/>
      <c r="SJT70"/>
      <c r="SJU70"/>
      <c r="SJV70"/>
      <c r="SJW70"/>
      <c r="SJX70"/>
      <c r="SJY70"/>
      <c r="SJZ70"/>
      <c r="SKA70"/>
      <c r="SKB70"/>
      <c r="SKC70"/>
      <c r="SKD70"/>
      <c r="SKE70"/>
      <c r="SKF70"/>
      <c r="SKG70"/>
      <c r="SKH70"/>
      <c r="SKI70"/>
      <c r="SKJ70"/>
      <c r="SKK70"/>
      <c r="SKL70"/>
      <c r="SKM70"/>
      <c r="SKN70"/>
      <c r="SKO70"/>
      <c r="SKP70"/>
      <c r="SKQ70"/>
      <c r="SKR70"/>
      <c r="SKS70"/>
      <c r="SKT70"/>
      <c r="SKU70"/>
      <c r="SKV70"/>
      <c r="SKW70"/>
      <c r="SKX70"/>
      <c r="SKY70"/>
      <c r="SKZ70"/>
      <c r="SLA70"/>
      <c r="SLB70"/>
      <c r="SLC70"/>
      <c r="SLD70"/>
      <c r="SLE70"/>
      <c r="SLF70"/>
      <c r="SLG70"/>
      <c r="SLH70"/>
      <c r="SLI70"/>
      <c r="SLJ70"/>
      <c r="SLK70"/>
      <c r="SLL70"/>
      <c r="SLM70"/>
      <c r="SLN70"/>
      <c r="SLO70"/>
      <c r="SLP70"/>
      <c r="SLQ70"/>
      <c r="SLR70"/>
      <c r="SLS70"/>
      <c r="SLT70"/>
      <c r="SLU70"/>
      <c r="SLV70"/>
      <c r="SLW70"/>
      <c r="SLX70"/>
      <c r="SLY70"/>
      <c r="SLZ70"/>
      <c r="SMA70"/>
      <c r="SMB70"/>
      <c r="SMC70"/>
      <c r="SMD70"/>
      <c r="SME70"/>
      <c r="SMF70"/>
      <c r="SMG70"/>
      <c r="SMH70"/>
      <c r="SMI70"/>
      <c r="SMJ70"/>
      <c r="SMK70"/>
      <c r="SML70"/>
      <c r="SMM70"/>
      <c r="SMN70"/>
      <c r="SMO70"/>
      <c r="SMP70"/>
      <c r="SMQ70"/>
      <c r="SMR70"/>
      <c r="SMS70"/>
      <c r="SMT70"/>
      <c r="SMU70"/>
      <c r="SMV70"/>
      <c r="SMW70"/>
      <c r="SMX70"/>
      <c r="SMY70"/>
      <c r="SMZ70"/>
      <c r="SNA70"/>
      <c r="SNB70"/>
      <c r="SNC70"/>
      <c r="SND70"/>
      <c r="SNE70"/>
      <c r="SNF70"/>
      <c r="SNG70"/>
      <c r="SNH70"/>
      <c r="SNI70"/>
      <c r="SNJ70"/>
      <c r="SNK70"/>
      <c r="SNL70"/>
      <c r="SNM70"/>
      <c r="SNN70"/>
      <c r="SNO70"/>
      <c r="SNP70"/>
      <c r="SNQ70"/>
      <c r="SNR70"/>
      <c r="SNS70"/>
      <c r="SNT70"/>
      <c r="SNU70"/>
      <c r="SNV70"/>
      <c r="SNW70"/>
      <c r="SNX70"/>
      <c r="SNY70"/>
      <c r="SNZ70"/>
      <c r="SOA70"/>
      <c r="SOB70"/>
      <c r="SOC70"/>
      <c r="SOD70"/>
      <c r="SOE70"/>
      <c r="SOF70"/>
      <c r="SOG70"/>
      <c r="SOH70"/>
      <c r="SOI70"/>
      <c r="SOJ70"/>
      <c r="SOK70"/>
      <c r="SOL70"/>
      <c r="SOM70"/>
      <c r="SON70"/>
      <c r="SOO70"/>
      <c r="SOP70"/>
      <c r="SOQ70"/>
      <c r="SOR70"/>
      <c r="SOS70"/>
      <c r="SOT70"/>
      <c r="SOU70"/>
      <c r="SOV70"/>
      <c r="SOW70"/>
      <c r="SOX70"/>
      <c r="SOY70"/>
      <c r="SOZ70"/>
      <c r="SPA70"/>
      <c r="SPB70"/>
      <c r="SPC70"/>
      <c r="SPD70"/>
      <c r="SPE70"/>
      <c r="SPF70"/>
      <c r="SPG70"/>
      <c r="SPH70"/>
      <c r="SPI70"/>
      <c r="SPJ70"/>
      <c r="SPK70"/>
      <c r="SPL70"/>
      <c r="SPM70"/>
      <c r="SPN70"/>
      <c r="SPO70"/>
      <c r="SPP70"/>
      <c r="SPQ70"/>
      <c r="SPR70"/>
      <c r="SPS70"/>
      <c r="SPT70"/>
      <c r="SPU70"/>
      <c r="SPV70"/>
      <c r="SPW70"/>
      <c r="SPX70"/>
      <c r="SPY70"/>
      <c r="SPZ70"/>
      <c r="SQA70"/>
      <c r="SQB70"/>
      <c r="SQC70"/>
      <c r="SQD70"/>
      <c r="SQE70"/>
      <c r="SQF70"/>
      <c r="SQG70"/>
      <c r="SQH70"/>
      <c r="SQI70"/>
      <c r="SQJ70"/>
      <c r="SQK70"/>
      <c r="SQL70"/>
      <c r="SQM70"/>
      <c r="SQN70"/>
      <c r="SQO70"/>
      <c r="SQP70"/>
      <c r="SQQ70"/>
      <c r="SQR70"/>
      <c r="SQS70"/>
      <c r="SQT70"/>
      <c r="SQU70"/>
      <c r="SQV70"/>
      <c r="SQW70"/>
      <c r="SQX70"/>
      <c r="SQY70"/>
      <c r="SQZ70"/>
      <c r="SRA70"/>
      <c r="SRB70"/>
      <c r="SRC70"/>
      <c r="SRD70"/>
      <c r="SRE70"/>
      <c r="SRF70"/>
      <c r="SRG70"/>
      <c r="SRH70"/>
      <c r="SRI70"/>
      <c r="SRJ70"/>
      <c r="SRK70"/>
      <c r="SRL70"/>
      <c r="SRM70"/>
      <c r="SRN70"/>
      <c r="SRO70"/>
      <c r="SRP70"/>
      <c r="SRQ70"/>
      <c r="SRR70"/>
      <c r="SRS70"/>
      <c r="SRT70"/>
      <c r="SRU70"/>
      <c r="SRV70"/>
      <c r="SRW70"/>
      <c r="SRX70"/>
      <c r="SRY70"/>
      <c r="SRZ70"/>
      <c r="SSA70"/>
      <c r="SSB70"/>
      <c r="SSC70"/>
      <c r="SSD70"/>
      <c r="SSE70"/>
      <c r="SSF70"/>
      <c r="SSG70"/>
      <c r="SSH70"/>
      <c r="SSI70"/>
      <c r="SSJ70"/>
      <c r="SSK70"/>
      <c r="SSL70"/>
      <c r="SSM70"/>
      <c r="SSN70"/>
      <c r="SSO70"/>
      <c r="SSP70"/>
      <c r="SSQ70"/>
      <c r="SSR70"/>
      <c r="SSS70"/>
      <c r="SST70"/>
      <c r="SSU70"/>
      <c r="SSV70"/>
      <c r="SSW70"/>
      <c r="SSX70"/>
      <c r="SSY70"/>
      <c r="SSZ70"/>
      <c r="STA70"/>
      <c r="STB70"/>
      <c r="STC70"/>
      <c r="STD70"/>
      <c r="STE70"/>
      <c r="STF70"/>
      <c r="STG70"/>
      <c r="STH70"/>
      <c r="STI70"/>
      <c r="STJ70"/>
      <c r="STK70"/>
      <c r="STL70"/>
      <c r="STM70"/>
      <c r="STN70"/>
      <c r="STO70"/>
      <c r="STP70"/>
      <c r="STQ70"/>
      <c r="STR70"/>
      <c r="STS70"/>
      <c r="STT70"/>
      <c r="STU70"/>
      <c r="STV70"/>
      <c r="STW70"/>
      <c r="STX70"/>
      <c r="STY70"/>
      <c r="STZ70"/>
      <c r="SUA70"/>
      <c r="SUB70"/>
      <c r="SUC70"/>
      <c r="SUD70"/>
      <c r="SUE70"/>
      <c r="SUF70"/>
      <c r="SUG70"/>
      <c r="SUH70"/>
      <c r="SUI70"/>
      <c r="SUJ70"/>
      <c r="SUK70"/>
      <c r="SUL70"/>
      <c r="SUM70"/>
      <c r="SUN70"/>
      <c r="SUO70"/>
      <c r="SUP70"/>
      <c r="SUQ70"/>
      <c r="SUR70"/>
      <c r="SUS70"/>
      <c r="SUT70"/>
      <c r="SUU70"/>
      <c r="SUV70"/>
      <c r="SUW70"/>
      <c r="SUX70"/>
      <c r="SUY70"/>
      <c r="SUZ70"/>
      <c r="SVA70"/>
      <c r="SVB70"/>
      <c r="SVC70"/>
      <c r="SVD70"/>
      <c r="SVE70"/>
      <c r="SVF70"/>
      <c r="SVG70"/>
      <c r="SVH70"/>
      <c r="SVI70"/>
      <c r="SVJ70"/>
      <c r="SVK70"/>
      <c r="SVL70"/>
      <c r="SVM70"/>
      <c r="SVN70"/>
      <c r="SVO70"/>
      <c r="SVP70"/>
      <c r="SVQ70"/>
      <c r="SVR70"/>
      <c r="SVS70"/>
      <c r="SVT70"/>
      <c r="SVU70"/>
      <c r="SVV70"/>
      <c r="SVW70"/>
      <c r="SVX70"/>
      <c r="SVY70"/>
      <c r="SVZ70"/>
      <c r="SWA70"/>
      <c r="SWB70"/>
      <c r="SWC70"/>
      <c r="SWD70"/>
      <c r="SWE70"/>
      <c r="SWF70"/>
      <c r="SWG70"/>
      <c r="SWH70"/>
      <c r="SWI70"/>
      <c r="SWJ70"/>
      <c r="SWK70"/>
      <c r="SWL70"/>
      <c r="SWM70"/>
      <c r="SWN70"/>
      <c r="SWO70"/>
      <c r="SWP70"/>
      <c r="SWQ70"/>
      <c r="SWR70"/>
      <c r="SWS70"/>
      <c r="SWT70"/>
      <c r="SWU70"/>
      <c r="SWV70"/>
      <c r="SWW70"/>
      <c r="SWX70"/>
      <c r="SWY70"/>
      <c r="SWZ70"/>
      <c r="SXA70"/>
      <c r="SXB70"/>
      <c r="SXC70"/>
      <c r="SXD70"/>
      <c r="SXE70"/>
      <c r="SXF70"/>
      <c r="SXG70"/>
      <c r="SXH70"/>
      <c r="SXI70"/>
      <c r="SXJ70"/>
      <c r="SXK70"/>
      <c r="SXL70"/>
      <c r="SXM70"/>
      <c r="SXN70"/>
      <c r="SXO70"/>
      <c r="SXP70"/>
      <c r="SXQ70"/>
      <c r="SXR70"/>
      <c r="SXS70"/>
      <c r="SXT70"/>
      <c r="SXU70"/>
      <c r="SXV70"/>
      <c r="SXW70"/>
      <c r="SXX70"/>
      <c r="SXY70"/>
      <c r="SXZ70"/>
      <c r="SYA70"/>
      <c r="SYB70"/>
      <c r="SYC70"/>
      <c r="SYD70"/>
      <c r="SYE70"/>
      <c r="SYF70"/>
      <c r="SYG70"/>
      <c r="SYH70"/>
      <c r="SYI70"/>
      <c r="SYJ70"/>
      <c r="SYK70"/>
      <c r="SYL70"/>
      <c r="SYM70"/>
      <c r="SYN70"/>
      <c r="SYO70"/>
      <c r="SYP70"/>
      <c r="SYQ70"/>
      <c r="SYR70"/>
      <c r="SYS70"/>
      <c r="SYT70"/>
      <c r="SYU70"/>
      <c r="SYV70"/>
      <c r="SYW70"/>
      <c r="SYX70"/>
      <c r="SYY70"/>
      <c r="SYZ70"/>
      <c r="SZA70"/>
      <c r="SZB70"/>
      <c r="SZC70"/>
      <c r="SZD70"/>
      <c r="SZE70"/>
      <c r="SZF70"/>
      <c r="SZG70"/>
      <c r="SZH70"/>
      <c r="SZI70"/>
      <c r="SZJ70"/>
      <c r="SZK70"/>
      <c r="SZL70"/>
      <c r="SZM70"/>
      <c r="SZN70"/>
      <c r="SZO70"/>
      <c r="SZP70"/>
      <c r="SZQ70"/>
      <c r="SZR70"/>
      <c r="SZS70"/>
      <c r="SZT70"/>
      <c r="SZU70"/>
      <c r="SZV70"/>
      <c r="SZW70"/>
      <c r="SZX70"/>
      <c r="SZY70"/>
      <c r="SZZ70"/>
      <c r="TAA70"/>
      <c r="TAB70"/>
      <c r="TAC70"/>
      <c r="TAD70"/>
      <c r="TAE70"/>
      <c r="TAF70"/>
      <c r="TAG70"/>
      <c r="TAH70"/>
      <c r="TAI70"/>
      <c r="TAJ70"/>
      <c r="TAK70"/>
      <c r="TAL70"/>
      <c r="TAM70"/>
      <c r="TAN70"/>
      <c r="TAO70"/>
      <c r="TAP70"/>
      <c r="TAQ70"/>
      <c r="TAR70"/>
      <c r="TAS70"/>
      <c r="TAT70"/>
      <c r="TAU70"/>
      <c r="TAV70"/>
      <c r="TAW70"/>
      <c r="TAX70"/>
      <c r="TAY70"/>
      <c r="TAZ70"/>
      <c r="TBA70"/>
      <c r="TBB70"/>
      <c r="TBC70"/>
      <c r="TBD70"/>
      <c r="TBE70"/>
      <c r="TBF70"/>
      <c r="TBG70"/>
      <c r="TBH70"/>
      <c r="TBI70"/>
      <c r="TBJ70"/>
      <c r="TBK70"/>
      <c r="TBL70"/>
      <c r="TBM70"/>
      <c r="TBN70"/>
      <c r="TBO70"/>
      <c r="TBP70"/>
      <c r="TBQ70"/>
      <c r="TBR70"/>
      <c r="TBS70"/>
      <c r="TBT70"/>
      <c r="TBU70"/>
      <c r="TBV70"/>
      <c r="TBW70"/>
      <c r="TBX70"/>
      <c r="TBY70"/>
      <c r="TBZ70"/>
      <c r="TCA70"/>
      <c r="TCB70"/>
      <c r="TCC70"/>
      <c r="TCD70"/>
      <c r="TCE70"/>
      <c r="TCF70"/>
      <c r="TCG70"/>
      <c r="TCH70"/>
      <c r="TCI70"/>
      <c r="TCJ70"/>
      <c r="TCK70"/>
      <c r="TCL70"/>
      <c r="TCM70"/>
      <c r="TCN70"/>
      <c r="TCO70"/>
      <c r="TCP70"/>
      <c r="TCQ70"/>
      <c r="TCR70"/>
      <c r="TCS70"/>
      <c r="TCT70"/>
      <c r="TCU70"/>
      <c r="TCV70"/>
      <c r="TCW70"/>
      <c r="TCX70"/>
      <c r="TCY70"/>
      <c r="TCZ70"/>
      <c r="TDA70"/>
      <c r="TDB70"/>
      <c r="TDC70"/>
      <c r="TDD70"/>
      <c r="TDE70"/>
      <c r="TDF70"/>
      <c r="TDG70"/>
      <c r="TDH70"/>
      <c r="TDI70"/>
      <c r="TDJ70"/>
      <c r="TDK70"/>
      <c r="TDL70"/>
      <c r="TDM70"/>
      <c r="TDN70"/>
      <c r="TDO70"/>
      <c r="TDP70"/>
      <c r="TDQ70"/>
      <c r="TDR70"/>
      <c r="TDS70"/>
      <c r="TDT70"/>
      <c r="TDU70"/>
      <c r="TDV70"/>
      <c r="TDW70"/>
      <c r="TDX70"/>
      <c r="TDY70"/>
      <c r="TDZ70"/>
      <c r="TEA70"/>
      <c r="TEB70"/>
      <c r="TEC70"/>
      <c r="TED70"/>
      <c r="TEE70"/>
      <c r="TEF70"/>
      <c r="TEG70"/>
      <c r="TEH70"/>
      <c r="TEI70"/>
      <c r="TEJ70"/>
      <c r="TEK70"/>
      <c r="TEL70"/>
      <c r="TEM70"/>
      <c r="TEN70"/>
      <c r="TEO70"/>
      <c r="TEP70"/>
      <c r="TEQ70"/>
      <c r="TER70"/>
      <c r="TES70"/>
      <c r="TET70"/>
      <c r="TEU70"/>
      <c r="TEV70"/>
      <c r="TEW70"/>
      <c r="TEX70"/>
      <c r="TEY70"/>
      <c r="TEZ70"/>
      <c r="TFA70"/>
      <c r="TFB70"/>
      <c r="TFC70"/>
      <c r="TFD70"/>
      <c r="TFE70"/>
      <c r="TFF70"/>
      <c r="TFG70"/>
      <c r="TFH70"/>
      <c r="TFI70"/>
      <c r="TFJ70"/>
      <c r="TFK70"/>
      <c r="TFL70"/>
      <c r="TFM70"/>
      <c r="TFN70"/>
      <c r="TFO70"/>
      <c r="TFP70"/>
      <c r="TFQ70"/>
      <c r="TFR70"/>
      <c r="TFS70"/>
      <c r="TFT70"/>
      <c r="TFU70"/>
      <c r="TFV70"/>
      <c r="TFW70"/>
      <c r="TFX70"/>
      <c r="TFY70"/>
      <c r="TFZ70"/>
      <c r="TGA70"/>
      <c r="TGB70"/>
      <c r="TGC70"/>
      <c r="TGD70"/>
      <c r="TGE70"/>
      <c r="TGF70"/>
      <c r="TGG70"/>
      <c r="TGH70"/>
      <c r="TGI70"/>
      <c r="TGJ70"/>
      <c r="TGK70"/>
      <c r="TGL70"/>
      <c r="TGM70"/>
      <c r="TGN70"/>
      <c r="TGO70"/>
      <c r="TGP70"/>
      <c r="TGQ70"/>
      <c r="TGR70"/>
      <c r="TGS70"/>
      <c r="TGT70"/>
      <c r="TGU70"/>
      <c r="TGV70"/>
      <c r="TGW70"/>
      <c r="TGX70"/>
      <c r="TGY70"/>
      <c r="TGZ70"/>
      <c r="THA70"/>
      <c r="THB70"/>
      <c r="THC70"/>
      <c r="THD70"/>
      <c r="THE70"/>
      <c r="THF70"/>
      <c r="THG70"/>
      <c r="THH70"/>
      <c r="THI70"/>
      <c r="THJ70"/>
      <c r="THK70"/>
      <c r="THL70"/>
      <c r="THM70"/>
      <c r="THN70"/>
      <c r="THO70"/>
      <c r="THP70"/>
      <c r="THQ70"/>
      <c r="THR70"/>
      <c r="THS70"/>
      <c r="THT70"/>
      <c r="THU70"/>
      <c r="THV70"/>
      <c r="THW70"/>
      <c r="THX70"/>
      <c r="THY70"/>
      <c r="THZ70"/>
      <c r="TIA70"/>
      <c r="TIB70"/>
      <c r="TIC70"/>
      <c r="TID70"/>
      <c r="TIE70"/>
      <c r="TIF70"/>
      <c r="TIG70"/>
      <c r="TIH70"/>
      <c r="TII70"/>
      <c r="TIJ70"/>
      <c r="TIK70"/>
      <c r="TIL70"/>
      <c r="TIM70"/>
      <c r="TIN70"/>
      <c r="TIO70"/>
      <c r="TIP70"/>
      <c r="TIQ70"/>
      <c r="TIR70"/>
      <c r="TIS70"/>
      <c r="TIT70"/>
      <c r="TIU70"/>
      <c r="TIV70"/>
      <c r="TIW70"/>
      <c r="TIX70"/>
      <c r="TIY70"/>
      <c r="TIZ70"/>
      <c r="TJA70"/>
      <c r="TJB70"/>
      <c r="TJC70"/>
      <c r="TJD70"/>
      <c r="TJE70"/>
      <c r="TJF70"/>
      <c r="TJG70"/>
      <c r="TJH70"/>
      <c r="TJI70"/>
      <c r="TJJ70"/>
      <c r="TJK70"/>
      <c r="TJL70"/>
      <c r="TJM70"/>
      <c r="TJN70"/>
      <c r="TJO70"/>
      <c r="TJP70"/>
      <c r="TJQ70"/>
      <c r="TJR70"/>
      <c r="TJS70"/>
      <c r="TJT70"/>
      <c r="TJU70"/>
      <c r="TJV70"/>
      <c r="TJW70"/>
      <c r="TJX70"/>
      <c r="TJY70"/>
      <c r="TJZ70"/>
      <c r="TKA70"/>
      <c r="TKB70"/>
      <c r="TKC70"/>
      <c r="TKD70"/>
      <c r="TKE70"/>
      <c r="TKF70"/>
      <c r="TKG70"/>
      <c r="TKH70"/>
      <c r="TKI70"/>
      <c r="TKJ70"/>
      <c r="TKK70"/>
      <c r="TKL70"/>
      <c r="TKM70"/>
      <c r="TKN70"/>
      <c r="TKO70"/>
      <c r="TKP70"/>
      <c r="TKQ70"/>
      <c r="TKR70"/>
      <c r="TKS70"/>
      <c r="TKT70"/>
      <c r="TKU70"/>
      <c r="TKV70"/>
      <c r="TKW70"/>
      <c r="TKX70"/>
      <c r="TKY70"/>
      <c r="TKZ70"/>
      <c r="TLA70"/>
      <c r="TLB70"/>
      <c r="TLC70"/>
      <c r="TLD70"/>
      <c r="TLE70"/>
      <c r="TLF70"/>
      <c r="TLG70"/>
      <c r="TLH70"/>
      <c r="TLI70"/>
      <c r="TLJ70"/>
      <c r="TLK70"/>
      <c r="TLL70"/>
      <c r="TLM70"/>
      <c r="TLN70"/>
      <c r="TLO70"/>
      <c r="TLP70"/>
      <c r="TLQ70"/>
      <c r="TLR70"/>
      <c r="TLS70"/>
      <c r="TLT70"/>
      <c r="TLU70"/>
      <c r="TLV70"/>
      <c r="TLW70"/>
      <c r="TLX70"/>
      <c r="TLY70"/>
      <c r="TLZ70"/>
      <c r="TMA70"/>
      <c r="TMB70"/>
      <c r="TMC70"/>
      <c r="TMD70"/>
      <c r="TME70"/>
      <c r="TMF70"/>
      <c r="TMG70"/>
      <c r="TMH70"/>
      <c r="TMI70"/>
      <c r="TMJ70"/>
      <c r="TMK70"/>
      <c r="TML70"/>
      <c r="TMM70"/>
      <c r="TMN70"/>
      <c r="TMO70"/>
      <c r="TMP70"/>
      <c r="TMQ70"/>
      <c r="TMR70"/>
      <c r="TMS70"/>
      <c r="TMT70"/>
      <c r="TMU70"/>
      <c r="TMV70"/>
      <c r="TMW70"/>
      <c r="TMX70"/>
      <c r="TMY70"/>
      <c r="TMZ70"/>
      <c r="TNA70"/>
      <c r="TNB70"/>
      <c r="TNC70"/>
      <c r="TND70"/>
      <c r="TNE70"/>
      <c r="TNF70"/>
      <c r="TNG70"/>
      <c r="TNH70"/>
      <c r="TNI70"/>
      <c r="TNJ70"/>
      <c r="TNK70"/>
      <c r="TNL70"/>
      <c r="TNM70"/>
      <c r="TNN70"/>
      <c r="TNO70"/>
      <c r="TNP70"/>
      <c r="TNQ70"/>
      <c r="TNR70"/>
      <c r="TNS70"/>
      <c r="TNT70"/>
      <c r="TNU70"/>
      <c r="TNV70"/>
      <c r="TNW70"/>
      <c r="TNX70"/>
      <c r="TNY70"/>
      <c r="TNZ70"/>
      <c r="TOA70"/>
      <c r="TOB70"/>
      <c r="TOC70"/>
      <c r="TOD70"/>
      <c r="TOE70"/>
      <c r="TOF70"/>
      <c r="TOG70"/>
      <c r="TOH70"/>
      <c r="TOI70"/>
      <c r="TOJ70"/>
      <c r="TOK70"/>
      <c r="TOL70"/>
      <c r="TOM70"/>
      <c r="TON70"/>
      <c r="TOO70"/>
      <c r="TOP70"/>
      <c r="TOQ70"/>
      <c r="TOR70"/>
      <c r="TOS70"/>
      <c r="TOT70"/>
      <c r="TOU70"/>
      <c r="TOV70"/>
      <c r="TOW70"/>
      <c r="TOX70"/>
      <c r="TOY70"/>
      <c r="TOZ70"/>
      <c r="TPA70"/>
      <c r="TPB70"/>
      <c r="TPC70"/>
      <c r="TPD70"/>
      <c r="TPE70"/>
      <c r="TPF70"/>
      <c r="TPG70"/>
      <c r="TPH70"/>
      <c r="TPI70"/>
      <c r="TPJ70"/>
      <c r="TPK70"/>
      <c r="TPL70"/>
      <c r="TPM70"/>
      <c r="TPN70"/>
      <c r="TPO70"/>
      <c r="TPP70"/>
      <c r="TPQ70"/>
      <c r="TPR70"/>
      <c r="TPS70"/>
      <c r="TPT70"/>
      <c r="TPU70"/>
      <c r="TPV70"/>
      <c r="TPW70"/>
      <c r="TPX70"/>
      <c r="TPY70"/>
      <c r="TPZ70"/>
      <c r="TQA70"/>
      <c r="TQB70"/>
      <c r="TQC70"/>
      <c r="TQD70"/>
      <c r="TQE70"/>
      <c r="TQF70"/>
      <c r="TQG70"/>
      <c r="TQH70"/>
      <c r="TQI70"/>
      <c r="TQJ70"/>
      <c r="TQK70"/>
      <c r="TQL70"/>
      <c r="TQM70"/>
      <c r="TQN70"/>
      <c r="TQO70"/>
      <c r="TQP70"/>
      <c r="TQQ70"/>
      <c r="TQR70"/>
      <c r="TQS70"/>
      <c r="TQT70"/>
      <c r="TQU70"/>
      <c r="TQV70"/>
      <c r="TQW70"/>
      <c r="TQX70"/>
      <c r="TQY70"/>
      <c r="TQZ70"/>
      <c r="TRA70"/>
      <c r="TRB70"/>
      <c r="TRC70"/>
      <c r="TRD70"/>
      <c r="TRE70"/>
      <c r="TRF70"/>
      <c r="TRG70"/>
      <c r="TRH70"/>
      <c r="TRI70"/>
      <c r="TRJ70"/>
      <c r="TRK70"/>
      <c r="TRL70"/>
      <c r="TRM70"/>
      <c r="TRN70"/>
      <c r="TRO70"/>
      <c r="TRP70"/>
      <c r="TRQ70"/>
      <c r="TRR70"/>
      <c r="TRS70"/>
      <c r="TRT70"/>
      <c r="TRU70"/>
      <c r="TRV70"/>
      <c r="TRW70"/>
      <c r="TRX70"/>
      <c r="TRY70"/>
      <c r="TRZ70"/>
      <c r="TSA70"/>
      <c r="TSB70"/>
      <c r="TSC70"/>
      <c r="TSD70"/>
      <c r="TSE70"/>
      <c r="TSF70"/>
      <c r="TSG70"/>
      <c r="TSH70"/>
      <c r="TSI70"/>
      <c r="TSJ70"/>
      <c r="TSK70"/>
      <c r="TSL70"/>
      <c r="TSM70"/>
      <c r="TSN70"/>
      <c r="TSO70"/>
      <c r="TSP70"/>
      <c r="TSQ70"/>
      <c r="TSR70"/>
      <c r="TSS70"/>
      <c r="TST70"/>
      <c r="TSU70"/>
      <c r="TSV70"/>
      <c r="TSW70"/>
      <c r="TSX70"/>
      <c r="TSY70"/>
      <c r="TSZ70"/>
      <c r="TTA70"/>
      <c r="TTB70"/>
      <c r="TTC70"/>
      <c r="TTD70"/>
      <c r="TTE70"/>
      <c r="TTF70"/>
      <c r="TTG70"/>
      <c r="TTH70"/>
      <c r="TTI70"/>
      <c r="TTJ70"/>
      <c r="TTK70"/>
      <c r="TTL70"/>
      <c r="TTM70"/>
      <c r="TTN70"/>
      <c r="TTO70"/>
      <c r="TTP70"/>
      <c r="TTQ70"/>
      <c r="TTR70"/>
      <c r="TTS70"/>
      <c r="TTT70"/>
      <c r="TTU70"/>
      <c r="TTV70"/>
      <c r="TTW70"/>
      <c r="TTX70"/>
      <c r="TTY70"/>
      <c r="TTZ70"/>
      <c r="TUA70"/>
      <c r="TUB70"/>
      <c r="TUC70"/>
      <c r="TUD70"/>
      <c r="TUE70"/>
      <c r="TUF70"/>
      <c r="TUG70"/>
      <c r="TUH70"/>
      <c r="TUI70"/>
      <c r="TUJ70"/>
      <c r="TUK70"/>
      <c r="TUL70"/>
      <c r="TUM70"/>
      <c r="TUN70"/>
      <c r="TUO70"/>
      <c r="TUP70"/>
      <c r="TUQ70"/>
      <c r="TUR70"/>
      <c r="TUS70"/>
      <c r="TUT70"/>
      <c r="TUU70"/>
      <c r="TUV70"/>
      <c r="TUW70"/>
      <c r="TUX70"/>
      <c r="TUY70"/>
      <c r="TUZ70"/>
      <c r="TVA70"/>
      <c r="TVB70"/>
      <c r="TVC70"/>
      <c r="TVD70"/>
      <c r="TVE70"/>
      <c r="TVF70"/>
      <c r="TVG70"/>
      <c r="TVH70"/>
      <c r="TVI70"/>
      <c r="TVJ70"/>
      <c r="TVK70"/>
      <c r="TVL70"/>
      <c r="TVM70"/>
      <c r="TVN70"/>
      <c r="TVO70"/>
      <c r="TVP70"/>
      <c r="TVQ70"/>
      <c r="TVR70"/>
      <c r="TVS70"/>
      <c r="TVT70"/>
      <c r="TVU70"/>
      <c r="TVV70"/>
      <c r="TVW70"/>
      <c r="TVX70"/>
      <c r="TVY70"/>
      <c r="TVZ70"/>
      <c r="TWA70"/>
      <c r="TWB70"/>
      <c r="TWC70"/>
      <c r="TWD70"/>
      <c r="TWE70"/>
      <c r="TWF70"/>
      <c r="TWG70"/>
      <c r="TWH70"/>
      <c r="TWI70"/>
      <c r="TWJ70"/>
      <c r="TWK70"/>
      <c r="TWL70"/>
      <c r="TWM70"/>
      <c r="TWN70"/>
      <c r="TWO70"/>
      <c r="TWP70"/>
      <c r="TWQ70"/>
      <c r="TWR70"/>
      <c r="TWS70"/>
      <c r="TWT70"/>
      <c r="TWU70"/>
      <c r="TWV70"/>
      <c r="TWW70"/>
      <c r="TWX70"/>
      <c r="TWY70"/>
      <c r="TWZ70"/>
      <c r="TXA70"/>
      <c r="TXB70"/>
      <c r="TXC70"/>
      <c r="TXD70"/>
      <c r="TXE70"/>
      <c r="TXF70"/>
      <c r="TXG70"/>
      <c r="TXH70"/>
      <c r="TXI70"/>
      <c r="TXJ70"/>
      <c r="TXK70"/>
      <c r="TXL70"/>
      <c r="TXM70"/>
      <c r="TXN70"/>
      <c r="TXO70"/>
      <c r="TXP70"/>
      <c r="TXQ70"/>
      <c r="TXR70"/>
      <c r="TXS70"/>
      <c r="TXT70"/>
      <c r="TXU70"/>
      <c r="TXV70"/>
      <c r="TXW70"/>
      <c r="TXX70"/>
      <c r="TXY70"/>
      <c r="TXZ70"/>
      <c r="TYA70"/>
      <c r="TYB70"/>
      <c r="TYC70"/>
      <c r="TYD70"/>
      <c r="TYE70"/>
      <c r="TYF70"/>
      <c r="TYG70"/>
      <c r="TYH70"/>
      <c r="TYI70"/>
      <c r="TYJ70"/>
      <c r="TYK70"/>
      <c r="TYL70"/>
      <c r="TYM70"/>
      <c r="TYN70"/>
      <c r="TYO70"/>
      <c r="TYP70"/>
      <c r="TYQ70"/>
      <c r="TYR70"/>
      <c r="TYS70"/>
      <c r="TYT70"/>
      <c r="TYU70"/>
      <c r="TYV70"/>
      <c r="TYW70"/>
      <c r="TYX70"/>
      <c r="TYY70"/>
      <c r="TYZ70"/>
      <c r="TZA70"/>
      <c r="TZB70"/>
      <c r="TZC70"/>
      <c r="TZD70"/>
      <c r="TZE70"/>
      <c r="TZF70"/>
      <c r="TZG70"/>
      <c r="TZH70"/>
      <c r="TZI70"/>
      <c r="TZJ70"/>
      <c r="TZK70"/>
      <c r="TZL70"/>
      <c r="TZM70"/>
      <c r="TZN70"/>
      <c r="TZO70"/>
      <c r="TZP70"/>
      <c r="TZQ70"/>
      <c r="TZR70"/>
      <c r="TZS70"/>
      <c r="TZT70"/>
      <c r="TZU70"/>
      <c r="TZV70"/>
      <c r="TZW70"/>
      <c r="TZX70"/>
      <c r="TZY70"/>
      <c r="TZZ70"/>
      <c r="UAA70"/>
      <c r="UAB70"/>
      <c r="UAC70"/>
      <c r="UAD70"/>
      <c r="UAE70"/>
      <c r="UAF70"/>
      <c r="UAG70"/>
      <c r="UAH70"/>
      <c r="UAI70"/>
      <c r="UAJ70"/>
      <c r="UAK70"/>
      <c r="UAL70"/>
      <c r="UAM70"/>
      <c r="UAN70"/>
      <c r="UAO70"/>
      <c r="UAP70"/>
      <c r="UAQ70"/>
      <c r="UAR70"/>
      <c r="UAS70"/>
      <c r="UAT70"/>
      <c r="UAU70"/>
      <c r="UAV70"/>
      <c r="UAW70"/>
      <c r="UAX70"/>
      <c r="UAY70"/>
      <c r="UAZ70"/>
      <c r="UBA70"/>
      <c r="UBB70"/>
      <c r="UBC70"/>
      <c r="UBD70"/>
      <c r="UBE70"/>
      <c r="UBF70"/>
      <c r="UBG70"/>
      <c r="UBH70"/>
      <c r="UBI70"/>
      <c r="UBJ70"/>
      <c r="UBK70"/>
      <c r="UBL70"/>
      <c r="UBM70"/>
      <c r="UBN70"/>
      <c r="UBO70"/>
      <c r="UBP70"/>
      <c r="UBQ70"/>
      <c r="UBR70"/>
      <c r="UBS70"/>
      <c r="UBT70"/>
      <c r="UBU70"/>
      <c r="UBV70"/>
      <c r="UBW70"/>
      <c r="UBX70"/>
      <c r="UBY70"/>
      <c r="UBZ70"/>
      <c r="UCA70"/>
      <c r="UCB70"/>
      <c r="UCC70"/>
      <c r="UCD70"/>
      <c r="UCE70"/>
      <c r="UCF70"/>
      <c r="UCG70"/>
      <c r="UCH70"/>
      <c r="UCI70"/>
      <c r="UCJ70"/>
      <c r="UCK70"/>
      <c r="UCL70"/>
      <c r="UCM70"/>
      <c r="UCN70"/>
      <c r="UCO70"/>
      <c r="UCP70"/>
      <c r="UCQ70"/>
      <c r="UCR70"/>
      <c r="UCS70"/>
      <c r="UCT70"/>
      <c r="UCU70"/>
      <c r="UCV70"/>
      <c r="UCW70"/>
      <c r="UCX70"/>
      <c r="UCY70"/>
      <c r="UCZ70"/>
      <c r="UDA70"/>
      <c r="UDB70"/>
      <c r="UDC70"/>
      <c r="UDD70"/>
      <c r="UDE70"/>
      <c r="UDF70"/>
      <c r="UDG70"/>
      <c r="UDH70"/>
      <c r="UDI70"/>
      <c r="UDJ70"/>
      <c r="UDK70"/>
      <c r="UDL70"/>
      <c r="UDM70"/>
      <c r="UDN70"/>
      <c r="UDO70"/>
      <c r="UDP70"/>
      <c r="UDQ70"/>
      <c r="UDR70"/>
      <c r="UDS70"/>
      <c r="UDT70"/>
      <c r="UDU70"/>
      <c r="UDV70"/>
      <c r="UDW70"/>
      <c r="UDX70"/>
      <c r="UDY70"/>
      <c r="UDZ70"/>
      <c r="UEA70"/>
      <c r="UEB70"/>
      <c r="UEC70"/>
      <c r="UED70"/>
      <c r="UEE70"/>
      <c r="UEF70"/>
      <c r="UEG70"/>
      <c r="UEH70"/>
      <c r="UEI70"/>
      <c r="UEJ70"/>
      <c r="UEK70"/>
      <c r="UEL70"/>
      <c r="UEM70"/>
      <c r="UEN70"/>
      <c r="UEO70"/>
      <c r="UEP70"/>
      <c r="UEQ70"/>
      <c r="UER70"/>
      <c r="UES70"/>
      <c r="UET70"/>
      <c r="UEU70"/>
      <c r="UEV70"/>
      <c r="UEW70"/>
      <c r="UEX70"/>
      <c r="UEY70"/>
      <c r="UEZ70"/>
      <c r="UFA70"/>
      <c r="UFB70"/>
      <c r="UFC70"/>
      <c r="UFD70"/>
      <c r="UFE70"/>
      <c r="UFF70"/>
      <c r="UFG70"/>
      <c r="UFH70"/>
      <c r="UFI70"/>
      <c r="UFJ70"/>
      <c r="UFK70"/>
      <c r="UFL70"/>
      <c r="UFM70"/>
      <c r="UFN70"/>
      <c r="UFO70"/>
      <c r="UFP70"/>
      <c r="UFQ70"/>
      <c r="UFR70"/>
      <c r="UFS70"/>
      <c r="UFT70"/>
      <c r="UFU70"/>
      <c r="UFV70"/>
      <c r="UFW70"/>
      <c r="UFX70"/>
      <c r="UFY70"/>
      <c r="UFZ70"/>
      <c r="UGA70"/>
      <c r="UGB70"/>
      <c r="UGC70"/>
      <c r="UGD70"/>
      <c r="UGE70"/>
      <c r="UGF70"/>
      <c r="UGG70"/>
      <c r="UGH70"/>
      <c r="UGI70"/>
      <c r="UGJ70"/>
      <c r="UGK70"/>
      <c r="UGL70"/>
      <c r="UGM70"/>
      <c r="UGN70"/>
      <c r="UGO70"/>
      <c r="UGP70"/>
      <c r="UGQ70"/>
      <c r="UGR70"/>
      <c r="UGS70"/>
      <c r="UGT70"/>
      <c r="UGU70"/>
      <c r="UGV70"/>
      <c r="UGW70"/>
      <c r="UGX70"/>
      <c r="UGY70"/>
      <c r="UGZ70"/>
      <c r="UHA70"/>
      <c r="UHB70"/>
      <c r="UHC70"/>
      <c r="UHD70"/>
      <c r="UHE70"/>
      <c r="UHF70"/>
      <c r="UHG70"/>
      <c r="UHH70"/>
      <c r="UHI70"/>
      <c r="UHJ70"/>
      <c r="UHK70"/>
      <c r="UHL70"/>
      <c r="UHM70"/>
      <c r="UHN70"/>
      <c r="UHO70"/>
      <c r="UHP70"/>
      <c r="UHQ70"/>
      <c r="UHR70"/>
      <c r="UHS70"/>
      <c r="UHT70"/>
      <c r="UHU70"/>
      <c r="UHV70"/>
      <c r="UHW70"/>
      <c r="UHX70"/>
      <c r="UHY70"/>
      <c r="UHZ70"/>
      <c r="UIA70"/>
      <c r="UIB70"/>
      <c r="UIC70"/>
      <c r="UID70"/>
      <c r="UIE70"/>
      <c r="UIF70"/>
      <c r="UIG70"/>
      <c r="UIH70"/>
      <c r="UII70"/>
      <c r="UIJ70"/>
      <c r="UIK70"/>
      <c r="UIL70"/>
      <c r="UIM70"/>
      <c r="UIN70"/>
      <c r="UIO70"/>
      <c r="UIP70"/>
      <c r="UIQ70"/>
      <c r="UIR70"/>
      <c r="UIS70"/>
      <c r="UIT70"/>
      <c r="UIU70"/>
      <c r="UIV70"/>
      <c r="UIW70"/>
      <c r="UIX70"/>
      <c r="UIY70"/>
      <c r="UIZ70"/>
      <c r="UJA70"/>
      <c r="UJB70"/>
      <c r="UJC70"/>
      <c r="UJD70"/>
      <c r="UJE70"/>
      <c r="UJF70"/>
      <c r="UJG70"/>
      <c r="UJH70"/>
      <c r="UJI70"/>
      <c r="UJJ70"/>
      <c r="UJK70"/>
      <c r="UJL70"/>
      <c r="UJM70"/>
      <c r="UJN70"/>
      <c r="UJO70"/>
      <c r="UJP70"/>
      <c r="UJQ70"/>
      <c r="UJR70"/>
      <c r="UJS70"/>
      <c r="UJT70"/>
      <c r="UJU70"/>
      <c r="UJV70"/>
      <c r="UJW70"/>
      <c r="UJX70"/>
      <c r="UJY70"/>
      <c r="UJZ70"/>
      <c r="UKA70"/>
      <c r="UKB70"/>
      <c r="UKC70"/>
      <c r="UKD70"/>
      <c r="UKE70"/>
      <c r="UKF70"/>
      <c r="UKG70"/>
      <c r="UKH70"/>
      <c r="UKI70"/>
      <c r="UKJ70"/>
      <c r="UKK70"/>
      <c r="UKL70"/>
      <c r="UKM70"/>
      <c r="UKN70"/>
      <c r="UKO70"/>
      <c r="UKP70"/>
      <c r="UKQ70"/>
      <c r="UKR70"/>
      <c r="UKS70"/>
      <c r="UKT70"/>
      <c r="UKU70"/>
      <c r="UKV70"/>
      <c r="UKW70"/>
      <c r="UKX70"/>
      <c r="UKY70"/>
      <c r="UKZ70"/>
      <c r="ULA70"/>
      <c r="ULB70"/>
      <c r="ULC70"/>
      <c r="ULD70"/>
      <c r="ULE70"/>
      <c r="ULF70"/>
      <c r="ULG70"/>
      <c r="ULH70"/>
      <c r="ULI70"/>
      <c r="ULJ70"/>
      <c r="ULK70"/>
      <c r="ULL70"/>
      <c r="ULM70"/>
      <c r="ULN70"/>
      <c r="ULO70"/>
      <c r="ULP70"/>
      <c r="ULQ70"/>
      <c r="ULR70"/>
      <c r="ULS70"/>
      <c r="ULT70"/>
      <c r="ULU70"/>
      <c r="ULV70"/>
      <c r="ULW70"/>
      <c r="ULX70"/>
      <c r="ULY70"/>
      <c r="ULZ70"/>
      <c r="UMA70"/>
      <c r="UMB70"/>
      <c r="UMC70"/>
      <c r="UMD70"/>
      <c r="UME70"/>
      <c r="UMF70"/>
      <c r="UMG70"/>
      <c r="UMH70"/>
      <c r="UMI70"/>
      <c r="UMJ70"/>
      <c r="UMK70"/>
      <c r="UML70"/>
      <c r="UMM70"/>
      <c r="UMN70"/>
      <c r="UMO70"/>
      <c r="UMP70"/>
      <c r="UMQ70"/>
      <c r="UMR70"/>
      <c r="UMS70"/>
      <c r="UMT70"/>
      <c r="UMU70"/>
      <c r="UMV70"/>
      <c r="UMW70"/>
      <c r="UMX70"/>
      <c r="UMY70"/>
      <c r="UMZ70"/>
      <c r="UNA70"/>
      <c r="UNB70"/>
      <c r="UNC70"/>
      <c r="UND70"/>
      <c r="UNE70"/>
      <c r="UNF70"/>
      <c r="UNG70"/>
      <c r="UNH70"/>
      <c r="UNI70"/>
      <c r="UNJ70"/>
      <c r="UNK70"/>
      <c r="UNL70"/>
      <c r="UNM70"/>
      <c r="UNN70"/>
      <c r="UNO70"/>
      <c r="UNP70"/>
      <c r="UNQ70"/>
      <c r="UNR70"/>
      <c r="UNS70"/>
      <c r="UNT70"/>
      <c r="UNU70"/>
      <c r="UNV70"/>
      <c r="UNW70"/>
      <c r="UNX70"/>
      <c r="UNY70"/>
      <c r="UNZ70"/>
      <c r="UOA70"/>
      <c r="UOB70"/>
      <c r="UOC70"/>
      <c r="UOD70"/>
      <c r="UOE70"/>
      <c r="UOF70"/>
      <c r="UOG70"/>
      <c r="UOH70"/>
      <c r="UOI70"/>
      <c r="UOJ70"/>
      <c r="UOK70"/>
      <c r="UOL70"/>
      <c r="UOM70"/>
      <c r="UON70"/>
      <c r="UOO70"/>
      <c r="UOP70"/>
      <c r="UOQ70"/>
      <c r="UOR70"/>
      <c r="UOS70"/>
      <c r="UOT70"/>
      <c r="UOU70"/>
      <c r="UOV70"/>
      <c r="UOW70"/>
      <c r="UOX70"/>
      <c r="UOY70"/>
      <c r="UOZ70"/>
      <c r="UPA70"/>
      <c r="UPB70"/>
      <c r="UPC70"/>
      <c r="UPD70"/>
      <c r="UPE70"/>
      <c r="UPF70"/>
      <c r="UPG70"/>
      <c r="UPH70"/>
      <c r="UPI70"/>
      <c r="UPJ70"/>
      <c r="UPK70"/>
      <c r="UPL70"/>
      <c r="UPM70"/>
      <c r="UPN70"/>
      <c r="UPO70"/>
      <c r="UPP70"/>
      <c r="UPQ70"/>
      <c r="UPR70"/>
      <c r="UPS70"/>
      <c r="UPT70"/>
      <c r="UPU70"/>
      <c r="UPV70"/>
      <c r="UPW70"/>
      <c r="UPX70"/>
      <c r="UPY70"/>
      <c r="UPZ70"/>
      <c r="UQA70"/>
      <c r="UQB70"/>
      <c r="UQC70"/>
      <c r="UQD70"/>
      <c r="UQE70"/>
      <c r="UQF70"/>
      <c r="UQG70"/>
      <c r="UQH70"/>
      <c r="UQI70"/>
      <c r="UQJ70"/>
      <c r="UQK70"/>
      <c r="UQL70"/>
      <c r="UQM70"/>
      <c r="UQN70"/>
      <c r="UQO70"/>
      <c r="UQP70"/>
      <c r="UQQ70"/>
      <c r="UQR70"/>
      <c r="UQS70"/>
      <c r="UQT70"/>
      <c r="UQU70"/>
      <c r="UQV70"/>
      <c r="UQW70"/>
      <c r="UQX70"/>
      <c r="UQY70"/>
      <c r="UQZ70"/>
      <c r="URA70"/>
      <c r="URB70"/>
      <c r="URC70"/>
      <c r="URD70"/>
      <c r="URE70"/>
      <c r="URF70"/>
      <c r="URG70"/>
      <c r="URH70"/>
      <c r="URI70"/>
      <c r="URJ70"/>
      <c r="URK70"/>
      <c r="URL70"/>
      <c r="URM70"/>
      <c r="URN70"/>
      <c r="URO70"/>
      <c r="URP70"/>
      <c r="URQ70"/>
      <c r="URR70"/>
      <c r="URS70"/>
      <c r="URT70"/>
      <c r="URU70"/>
      <c r="URV70"/>
      <c r="URW70"/>
      <c r="URX70"/>
      <c r="URY70"/>
      <c r="URZ70"/>
      <c r="USA70"/>
      <c r="USB70"/>
      <c r="USC70"/>
      <c r="USD70"/>
      <c r="USE70"/>
      <c r="USF70"/>
      <c r="USG70"/>
      <c r="USH70"/>
      <c r="USI70"/>
      <c r="USJ70"/>
      <c r="USK70"/>
      <c r="USL70"/>
      <c r="USM70"/>
      <c r="USN70"/>
      <c r="USO70"/>
      <c r="USP70"/>
      <c r="USQ70"/>
      <c r="USR70"/>
      <c r="USS70"/>
      <c r="UST70"/>
      <c r="USU70"/>
      <c r="USV70"/>
      <c r="USW70"/>
      <c r="USX70"/>
      <c r="USY70"/>
      <c r="USZ70"/>
      <c r="UTA70"/>
      <c r="UTB70"/>
      <c r="UTC70"/>
      <c r="UTD70"/>
      <c r="UTE70"/>
      <c r="UTF70"/>
      <c r="UTG70"/>
      <c r="UTH70"/>
      <c r="UTI70"/>
      <c r="UTJ70"/>
      <c r="UTK70"/>
      <c r="UTL70"/>
      <c r="UTM70"/>
      <c r="UTN70"/>
      <c r="UTO70"/>
      <c r="UTP70"/>
      <c r="UTQ70"/>
      <c r="UTR70"/>
      <c r="UTS70"/>
      <c r="UTT70"/>
      <c r="UTU70"/>
      <c r="UTV70"/>
      <c r="UTW70"/>
      <c r="UTX70"/>
      <c r="UTY70"/>
      <c r="UTZ70"/>
      <c r="UUA70"/>
      <c r="UUB70"/>
      <c r="UUC70"/>
      <c r="UUD70"/>
      <c r="UUE70"/>
      <c r="UUF70"/>
      <c r="UUG70"/>
      <c r="UUH70"/>
      <c r="UUI70"/>
      <c r="UUJ70"/>
      <c r="UUK70"/>
      <c r="UUL70"/>
      <c r="UUM70"/>
      <c r="UUN70"/>
      <c r="UUO70"/>
      <c r="UUP70"/>
      <c r="UUQ70"/>
      <c r="UUR70"/>
      <c r="UUS70"/>
      <c r="UUT70"/>
      <c r="UUU70"/>
      <c r="UUV70"/>
      <c r="UUW70"/>
      <c r="UUX70"/>
      <c r="UUY70"/>
      <c r="UUZ70"/>
      <c r="UVA70"/>
      <c r="UVB70"/>
      <c r="UVC70"/>
      <c r="UVD70"/>
      <c r="UVE70"/>
      <c r="UVF70"/>
      <c r="UVG70"/>
      <c r="UVH70"/>
      <c r="UVI70"/>
      <c r="UVJ70"/>
      <c r="UVK70"/>
      <c r="UVL70"/>
      <c r="UVM70"/>
      <c r="UVN70"/>
      <c r="UVO70"/>
      <c r="UVP70"/>
      <c r="UVQ70"/>
      <c r="UVR70"/>
      <c r="UVS70"/>
      <c r="UVT70"/>
      <c r="UVU70"/>
      <c r="UVV70"/>
      <c r="UVW70"/>
      <c r="UVX70"/>
      <c r="UVY70"/>
      <c r="UVZ70"/>
      <c r="UWA70"/>
      <c r="UWB70"/>
      <c r="UWC70"/>
      <c r="UWD70"/>
      <c r="UWE70"/>
      <c r="UWF70"/>
      <c r="UWG70"/>
      <c r="UWH70"/>
      <c r="UWI70"/>
      <c r="UWJ70"/>
      <c r="UWK70"/>
      <c r="UWL70"/>
      <c r="UWM70"/>
      <c r="UWN70"/>
      <c r="UWO70"/>
      <c r="UWP70"/>
      <c r="UWQ70"/>
      <c r="UWR70"/>
      <c r="UWS70"/>
      <c r="UWT70"/>
      <c r="UWU70"/>
      <c r="UWV70"/>
      <c r="UWW70"/>
      <c r="UWX70"/>
      <c r="UWY70"/>
      <c r="UWZ70"/>
      <c r="UXA70"/>
      <c r="UXB70"/>
      <c r="UXC70"/>
      <c r="UXD70"/>
      <c r="UXE70"/>
      <c r="UXF70"/>
      <c r="UXG70"/>
      <c r="UXH70"/>
      <c r="UXI70"/>
      <c r="UXJ70"/>
      <c r="UXK70"/>
      <c r="UXL70"/>
      <c r="UXM70"/>
      <c r="UXN70"/>
      <c r="UXO70"/>
      <c r="UXP70"/>
      <c r="UXQ70"/>
      <c r="UXR70"/>
      <c r="UXS70"/>
      <c r="UXT70"/>
      <c r="UXU70"/>
      <c r="UXV70"/>
      <c r="UXW70"/>
      <c r="UXX70"/>
      <c r="UXY70"/>
      <c r="UXZ70"/>
      <c r="UYA70"/>
      <c r="UYB70"/>
      <c r="UYC70"/>
      <c r="UYD70"/>
      <c r="UYE70"/>
      <c r="UYF70"/>
      <c r="UYG70"/>
      <c r="UYH70"/>
      <c r="UYI70"/>
      <c r="UYJ70"/>
      <c r="UYK70"/>
      <c r="UYL70"/>
      <c r="UYM70"/>
      <c r="UYN70"/>
      <c r="UYO70"/>
      <c r="UYP70"/>
      <c r="UYQ70"/>
      <c r="UYR70"/>
      <c r="UYS70"/>
      <c r="UYT70"/>
      <c r="UYU70"/>
      <c r="UYV70"/>
      <c r="UYW70"/>
      <c r="UYX70"/>
      <c r="UYY70"/>
      <c r="UYZ70"/>
      <c r="UZA70"/>
      <c r="UZB70"/>
      <c r="UZC70"/>
      <c r="UZD70"/>
      <c r="UZE70"/>
      <c r="UZF70"/>
      <c r="UZG70"/>
      <c r="UZH70"/>
      <c r="UZI70"/>
      <c r="UZJ70"/>
      <c r="UZK70"/>
      <c r="UZL70"/>
      <c r="UZM70"/>
      <c r="UZN70"/>
      <c r="UZO70"/>
      <c r="UZP70"/>
      <c r="UZQ70"/>
      <c r="UZR70"/>
      <c r="UZS70"/>
      <c r="UZT70"/>
      <c r="UZU70"/>
      <c r="UZV70"/>
      <c r="UZW70"/>
      <c r="UZX70"/>
      <c r="UZY70"/>
      <c r="UZZ70"/>
      <c r="VAA70"/>
      <c r="VAB70"/>
      <c r="VAC70"/>
      <c r="VAD70"/>
      <c r="VAE70"/>
      <c r="VAF70"/>
      <c r="VAG70"/>
      <c r="VAH70"/>
      <c r="VAI70"/>
      <c r="VAJ70"/>
      <c r="VAK70"/>
      <c r="VAL70"/>
      <c r="VAM70"/>
      <c r="VAN70"/>
      <c r="VAO70"/>
      <c r="VAP70"/>
      <c r="VAQ70"/>
      <c r="VAR70"/>
      <c r="VAS70"/>
      <c r="VAT70"/>
      <c r="VAU70"/>
      <c r="VAV70"/>
      <c r="VAW70"/>
      <c r="VAX70"/>
      <c r="VAY70"/>
      <c r="VAZ70"/>
      <c r="VBA70"/>
      <c r="VBB70"/>
      <c r="VBC70"/>
      <c r="VBD70"/>
      <c r="VBE70"/>
      <c r="VBF70"/>
      <c r="VBG70"/>
      <c r="VBH70"/>
      <c r="VBI70"/>
      <c r="VBJ70"/>
      <c r="VBK70"/>
      <c r="VBL70"/>
      <c r="VBM70"/>
      <c r="VBN70"/>
      <c r="VBO70"/>
      <c r="VBP70"/>
      <c r="VBQ70"/>
      <c r="VBR70"/>
      <c r="VBS70"/>
      <c r="VBT70"/>
      <c r="VBU70"/>
      <c r="VBV70"/>
      <c r="VBW70"/>
      <c r="VBX70"/>
      <c r="VBY70"/>
      <c r="VBZ70"/>
      <c r="VCA70"/>
      <c r="VCB70"/>
      <c r="VCC70"/>
      <c r="VCD70"/>
      <c r="VCE70"/>
      <c r="VCF70"/>
      <c r="VCG70"/>
      <c r="VCH70"/>
      <c r="VCI70"/>
      <c r="VCJ70"/>
      <c r="VCK70"/>
      <c r="VCL70"/>
      <c r="VCM70"/>
      <c r="VCN70"/>
      <c r="VCO70"/>
      <c r="VCP70"/>
      <c r="VCQ70"/>
      <c r="VCR70"/>
      <c r="VCS70"/>
      <c r="VCT70"/>
      <c r="VCU70"/>
      <c r="VCV70"/>
      <c r="VCW70"/>
      <c r="VCX70"/>
      <c r="VCY70"/>
      <c r="VCZ70"/>
      <c r="VDA70"/>
      <c r="VDB70"/>
      <c r="VDC70"/>
      <c r="VDD70"/>
      <c r="VDE70"/>
      <c r="VDF70"/>
      <c r="VDG70"/>
      <c r="VDH70"/>
      <c r="VDI70"/>
      <c r="VDJ70"/>
      <c r="VDK70"/>
      <c r="VDL70"/>
      <c r="VDM70"/>
      <c r="VDN70"/>
      <c r="VDO70"/>
      <c r="VDP70"/>
      <c r="VDQ70"/>
      <c r="VDR70"/>
      <c r="VDS70"/>
      <c r="VDT70"/>
      <c r="VDU70"/>
      <c r="VDV70"/>
      <c r="VDW70"/>
      <c r="VDX70"/>
      <c r="VDY70"/>
      <c r="VDZ70"/>
      <c r="VEA70"/>
      <c r="VEB70"/>
      <c r="VEC70"/>
      <c r="VED70"/>
      <c r="VEE70"/>
      <c r="VEF70"/>
      <c r="VEG70"/>
      <c r="VEH70"/>
      <c r="VEI70"/>
      <c r="VEJ70"/>
      <c r="VEK70"/>
      <c r="VEL70"/>
      <c r="VEM70"/>
      <c r="VEN70"/>
      <c r="VEO70"/>
      <c r="VEP70"/>
      <c r="VEQ70"/>
      <c r="VER70"/>
      <c r="VES70"/>
      <c r="VET70"/>
      <c r="VEU70"/>
      <c r="VEV70"/>
      <c r="VEW70"/>
      <c r="VEX70"/>
      <c r="VEY70"/>
      <c r="VEZ70"/>
      <c r="VFA70"/>
      <c r="VFB70"/>
      <c r="VFC70"/>
      <c r="VFD70"/>
      <c r="VFE70"/>
      <c r="VFF70"/>
      <c r="VFG70"/>
      <c r="VFH70"/>
      <c r="VFI70"/>
      <c r="VFJ70"/>
      <c r="VFK70"/>
      <c r="VFL70"/>
      <c r="VFM70"/>
      <c r="VFN70"/>
      <c r="VFO70"/>
      <c r="VFP70"/>
      <c r="VFQ70"/>
      <c r="VFR70"/>
      <c r="VFS70"/>
      <c r="VFT70"/>
      <c r="VFU70"/>
      <c r="VFV70"/>
      <c r="VFW70"/>
      <c r="VFX70"/>
      <c r="VFY70"/>
      <c r="VFZ70"/>
      <c r="VGA70"/>
      <c r="VGB70"/>
      <c r="VGC70"/>
      <c r="VGD70"/>
      <c r="VGE70"/>
      <c r="VGF70"/>
      <c r="VGG70"/>
      <c r="VGH70"/>
      <c r="VGI70"/>
      <c r="VGJ70"/>
      <c r="VGK70"/>
      <c r="VGL70"/>
      <c r="VGM70"/>
      <c r="VGN70"/>
      <c r="VGO70"/>
      <c r="VGP70"/>
      <c r="VGQ70"/>
      <c r="VGR70"/>
      <c r="VGS70"/>
      <c r="VGT70"/>
      <c r="VGU70"/>
      <c r="VGV70"/>
      <c r="VGW70"/>
      <c r="VGX70"/>
      <c r="VGY70"/>
      <c r="VGZ70"/>
      <c r="VHA70"/>
      <c r="VHB70"/>
      <c r="VHC70"/>
      <c r="VHD70"/>
      <c r="VHE70"/>
      <c r="VHF70"/>
      <c r="VHG70"/>
      <c r="VHH70"/>
      <c r="VHI70"/>
      <c r="VHJ70"/>
      <c r="VHK70"/>
      <c r="VHL70"/>
      <c r="VHM70"/>
      <c r="VHN70"/>
      <c r="VHO70"/>
      <c r="VHP70"/>
      <c r="VHQ70"/>
      <c r="VHR70"/>
      <c r="VHS70"/>
      <c r="VHT70"/>
      <c r="VHU70"/>
      <c r="VHV70"/>
      <c r="VHW70"/>
      <c r="VHX70"/>
      <c r="VHY70"/>
      <c r="VHZ70"/>
      <c r="VIA70"/>
      <c r="VIB70"/>
      <c r="VIC70"/>
      <c r="VID70"/>
      <c r="VIE70"/>
      <c r="VIF70"/>
      <c r="VIG70"/>
      <c r="VIH70"/>
      <c r="VII70"/>
      <c r="VIJ70"/>
      <c r="VIK70"/>
      <c r="VIL70"/>
      <c r="VIM70"/>
      <c r="VIN70"/>
      <c r="VIO70"/>
      <c r="VIP70"/>
      <c r="VIQ70"/>
      <c r="VIR70"/>
      <c r="VIS70"/>
      <c r="VIT70"/>
      <c r="VIU70"/>
      <c r="VIV70"/>
      <c r="VIW70"/>
      <c r="VIX70"/>
      <c r="VIY70"/>
      <c r="VIZ70"/>
      <c r="VJA70"/>
      <c r="VJB70"/>
      <c r="VJC70"/>
      <c r="VJD70"/>
      <c r="VJE70"/>
      <c r="VJF70"/>
      <c r="VJG70"/>
      <c r="VJH70"/>
      <c r="VJI70"/>
      <c r="VJJ70"/>
      <c r="VJK70"/>
      <c r="VJL70"/>
      <c r="VJM70"/>
      <c r="VJN70"/>
      <c r="VJO70"/>
      <c r="VJP70"/>
      <c r="VJQ70"/>
      <c r="VJR70"/>
      <c r="VJS70"/>
      <c r="VJT70"/>
      <c r="VJU70"/>
      <c r="VJV70"/>
      <c r="VJW70"/>
      <c r="VJX70"/>
      <c r="VJY70"/>
      <c r="VJZ70"/>
      <c r="VKA70"/>
      <c r="VKB70"/>
      <c r="VKC70"/>
      <c r="VKD70"/>
      <c r="VKE70"/>
      <c r="VKF70"/>
      <c r="VKG70"/>
      <c r="VKH70"/>
      <c r="VKI70"/>
      <c r="VKJ70"/>
      <c r="VKK70"/>
      <c r="VKL70"/>
      <c r="VKM70"/>
      <c r="VKN70"/>
      <c r="VKO70"/>
      <c r="VKP70"/>
      <c r="VKQ70"/>
      <c r="VKR70"/>
      <c r="VKS70"/>
      <c r="VKT70"/>
      <c r="VKU70"/>
      <c r="VKV70"/>
      <c r="VKW70"/>
      <c r="VKX70"/>
      <c r="VKY70"/>
      <c r="VKZ70"/>
      <c r="VLA70"/>
      <c r="VLB70"/>
      <c r="VLC70"/>
      <c r="VLD70"/>
      <c r="VLE70"/>
      <c r="VLF70"/>
      <c r="VLG70"/>
      <c r="VLH70"/>
      <c r="VLI70"/>
      <c r="VLJ70"/>
      <c r="VLK70"/>
      <c r="VLL70"/>
      <c r="VLM70"/>
      <c r="VLN70"/>
      <c r="VLO70"/>
      <c r="VLP70"/>
      <c r="VLQ70"/>
      <c r="VLR70"/>
      <c r="VLS70"/>
      <c r="VLT70"/>
      <c r="VLU70"/>
      <c r="VLV70"/>
      <c r="VLW70"/>
      <c r="VLX70"/>
      <c r="VLY70"/>
      <c r="VLZ70"/>
      <c r="VMA70"/>
      <c r="VMB70"/>
      <c r="VMC70"/>
      <c r="VMD70"/>
      <c r="VME70"/>
      <c r="VMF70"/>
      <c r="VMG70"/>
      <c r="VMH70"/>
      <c r="VMI70"/>
      <c r="VMJ70"/>
      <c r="VMK70"/>
      <c r="VML70"/>
      <c r="VMM70"/>
      <c r="VMN70"/>
      <c r="VMO70"/>
      <c r="VMP70"/>
      <c r="VMQ70"/>
      <c r="VMR70"/>
      <c r="VMS70"/>
      <c r="VMT70"/>
      <c r="VMU70"/>
      <c r="VMV70"/>
      <c r="VMW70"/>
      <c r="VMX70"/>
      <c r="VMY70"/>
      <c r="VMZ70"/>
      <c r="VNA70"/>
      <c r="VNB70"/>
      <c r="VNC70"/>
      <c r="VND70"/>
      <c r="VNE70"/>
      <c r="VNF70"/>
      <c r="VNG70"/>
      <c r="VNH70"/>
      <c r="VNI70"/>
      <c r="VNJ70"/>
      <c r="VNK70"/>
      <c r="VNL70"/>
      <c r="VNM70"/>
      <c r="VNN70"/>
      <c r="VNO70"/>
      <c r="VNP70"/>
      <c r="VNQ70"/>
      <c r="VNR70"/>
      <c r="VNS70"/>
      <c r="VNT70"/>
      <c r="VNU70"/>
      <c r="VNV70"/>
      <c r="VNW70"/>
      <c r="VNX70"/>
      <c r="VNY70"/>
      <c r="VNZ70"/>
      <c r="VOA70"/>
      <c r="VOB70"/>
      <c r="VOC70"/>
      <c r="VOD70"/>
      <c r="VOE70"/>
      <c r="VOF70"/>
      <c r="VOG70"/>
      <c r="VOH70"/>
      <c r="VOI70"/>
      <c r="VOJ70"/>
      <c r="VOK70"/>
      <c r="VOL70"/>
      <c r="VOM70"/>
      <c r="VON70"/>
      <c r="VOO70"/>
      <c r="VOP70"/>
      <c r="VOQ70"/>
      <c r="VOR70"/>
      <c r="VOS70"/>
      <c r="VOT70"/>
      <c r="VOU70"/>
      <c r="VOV70"/>
      <c r="VOW70"/>
      <c r="VOX70"/>
      <c r="VOY70"/>
      <c r="VOZ70"/>
      <c r="VPA70"/>
      <c r="VPB70"/>
      <c r="VPC70"/>
      <c r="VPD70"/>
      <c r="VPE70"/>
      <c r="VPF70"/>
      <c r="VPG70"/>
      <c r="VPH70"/>
      <c r="VPI70"/>
      <c r="VPJ70"/>
      <c r="VPK70"/>
      <c r="VPL70"/>
      <c r="VPM70"/>
      <c r="VPN70"/>
      <c r="VPO70"/>
      <c r="VPP70"/>
      <c r="VPQ70"/>
      <c r="VPR70"/>
      <c r="VPS70"/>
      <c r="VPT70"/>
      <c r="VPU70"/>
      <c r="VPV70"/>
      <c r="VPW70"/>
      <c r="VPX70"/>
      <c r="VPY70"/>
      <c r="VPZ70"/>
      <c r="VQA70"/>
      <c r="VQB70"/>
      <c r="VQC70"/>
      <c r="VQD70"/>
      <c r="VQE70"/>
      <c r="VQF70"/>
      <c r="VQG70"/>
      <c r="VQH70"/>
      <c r="VQI70"/>
      <c r="VQJ70"/>
      <c r="VQK70"/>
      <c r="VQL70"/>
      <c r="VQM70"/>
      <c r="VQN70"/>
      <c r="VQO70"/>
      <c r="VQP70"/>
      <c r="VQQ70"/>
      <c r="VQR70"/>
      <c r="VQS70"/>
      <c r="VQT70"/>
      <c r="VQU70"/>
      <c r="VQV70"/>
      <c r="VQW70"/>
      <c r="VQX70"/>
      <c r="VQY70"/>
      <c r="VQZ70"/>
      <c r="VRA70"/>
      <c r="VRB70"/>
      <c r="VRC70"/>
      <c r="VRD70"/>
      <c r="VRE70"/>
      <c r="VRF70"/>
      <c r="VRG70"/>
      <c r="VRH70"/>
      <c r="VRI70"/>
      <c r="VRJ70"/>
      <c r="VRK70"/>
      <c r="VRL70"/>
      <c r="VRM70"/>
      <c r="VRN70"/>
      <c r="VRO70"/>
      <c r="VRP70"/>
      <c r="VRQ70"/>
      <c r="VRR70"/>
      <c r="VRS70"/>
      <c r="VRT70"/>
      <c r="VRU70"/>
      <c r="VRV70"/>
      <c r="VRW70"/>
      <c r="VRX70"/>
      <c r="VRY70"/>
      <c r="VRZ70"/>
      <c r="VSA70"/>
      <c r="VSB70"/>
      <c r="VSC70"/>
      <c r="VSD70"/>
      <c r="VSE70"/>
      <c r="VSF70"/>
      <c r="VSG70"/>
      <c r="VSH70"/>
      <c r="VSI70"/>
      <c r="VSJ70"/>
      <c r="VSK70"/>
      <c r="VSL70"/>
      <c r="VSM70"/>
      <c r="VSN70"/>
      <c r="VSO70"/>
      <c r="VSP70"/>
      <c r="VSQ70"/>
      <c r="VSR70"/>
      <c r="VSS70"/>
      <c r="VST70"/>
      <c r="VSU70"/>
      <c r="VSV70"/>
      <c r="VSW70"/>
      <c r="VSX70"/>
      <c r="VSY70"/>
      <c r="VSZ70"/>
      <c r="VTA70"/>
      <c r="VTB70"/>
      <c r="VTC70"/>
      <c r="VTD70"/>
      <c r="VTE70"/>
      <c r="VTF70"/>
      <c r="VTG70"/>
      <c r="VTH70"/>
      <c r="VTI70"/>
      <c r="VTJ70"/>
      <c r="VTK70"/>
      <c r="VTL70"/>
      <c r="VTM70"/>
      <c r="VTN70"/>
      <c r="VTO70"/>
      <c r="VTP70"/>
      <c r="VTQ70"/>
      <c r="VTR70"/>
      <c r="VTS70"/>
      <c r="VTT70"/>
      <c r="VTU70"/>
      <c r="VTV70"/>
      <c r="VTW70"/>
      <c r="VTX70"/>
      <c r="VTY70"/>
      <c r="VTZ70"/>
      <c r="VUA70"/>
      <c r="VUB70"/>
      <c r="VUC70"/>
      <c r="VUD70"/>
      <c r="VUE70"/>
      <c r="VUF70"/>
      <c r="VUG70"/>
      <c r="VUH70"/>
      <c r="VUI70"/>
      <c r="VUJ70"/>
      <c r="VUK70"/>
      <c r="VUL70"/>
      <c r="VUM70"/>
      <c r="VUN70"/>
      <c r="VUO70"/>
      <c r="VUP70"/>
      <c r="VUQ70"/>
      <c r="VUR70"/>
      <c r="VUS70"/>
      <c r="VUT70"/>
      <c r="VUU70"/>
      <c r="VUV70"/>
      <c r="VUW70"/>
      <c r="VUX70"/>
      <c r="VUY70"/>
      <c r="VUZ70"/>
      <c r="VVA70"/>
      <c r="VVB70"/>
      <c r="VVC70"/>
      <c r="VVD70"/>
      <c r="VVE70"/>
      <c r="VVF70"/>
      <c r="VVG70"/>
      <c r="VVH70"/>
      <c r="VVI70"/>
      <c r="VVJ70"/>
      <c r="VVK70"/>
      <c r="VVL70"/>
      <c r="VVM70"/>
      <c r="VVN70"/>
      <c r="VVO70"/>
      <c r="VVP70"/>
      <c r="VVQ70"/>
      <c r="VVR70"/>
      <c r="VVS70"/>
      <c r="VVT70"/>
      <c r="VVU70"/>
      <c r="VVV70"/>
      <c r="VVW70"/>
      <c r="VVX70"/>
      <c r="VVY70"/>
      <c r="VVZ70"/>
      <c r="VWA70"/>
      <c r="VWB70"/>
      <c r="VWC70"/>
      <c r="VWD70"/>
      <c r="VWE70"/>
      <c r="VWF70"/>
      <c r="VWG70"/>
      <c r="VWH70"/>
      <c r="VWI70"/>
      <c r="VWJ70"/>
      <c r="VWK70"/>
      <c r="VWL70"/>
      <c r="VWM70"/>
      <c r="VWN70"/>
      <c r="VWO70"/>
      <c r="VWP70"/>
      <c r="VWQ70"/>
      <c r="VWR70"/>
      <c r="VWS70"/>
      <c r="VWT70"/>
      <c r="VWU70"/>
      <c r="VWV70"/>
      <c r="VWW70"/>
      <c r="VWX70"/>
      <c r="VWY70"/>
      <c r="VWZ70"/>
      <c r="VXA70"/>
      <c r="VXB70"/>
      <c r="VXC70"/>
      <c r="VXD70"/>
      <c r="VXE70"/>
      <c r="VXF70"/>
      <c r="VXG70"/>
      <c r="VXH70"/>
      <c r="VXI70"/>
      <c r="VXJ70"/>
      <c r="VXK70"/>
      <c r="VXL70"/>
      <c r="VXM70"/>
      <c r="VXN70"/>
      <c r="VXO70"/>
      <c r="VXP70"/>
      <c r="VXQ70"/>
      <c r="VXR70"/>
      <c r="VXS70"/>
      <c r="VXT70"/>
      <c r="VXU70"/>
      <c r="VXV70"/>
      <c r="VXW70"/>
      <c r="VXX70"/>
      <c r="VXY70"/>
      <c r="VXZ70"/>
      <c r="VYA70"/>
      <c r="VYB70"/>
      <c r="VYC70"/>
      <c r="VYD70"/>
      <c r="VYE70"/>
      <c r="VYF70"/>
      <c r="VYG70"/>
      <c r="VYH70"/>
      <c r="VYI70"/>
      <c r="VYJ70"/>
      <c r="VYK70"/>
      <c r="VYL70"/>
      <c r="VYM70"/>
      <c r="VYN70"/>
      <c r="VYO70"/>
      <c r="VYP70"/>
      <c r="VYQ70"/>
      <c r="VYR70"/>
      <c r="VYS70"/>
      <c r="VYT70"/>
      <c r="VYU70"/>
      <c r="VYV70"/>
      <c r="VYW70"/>
      <c r="VYX70"/>
      <c r="VYY70"/>
      <c r="VYZ70"/>
      <c r="VZA70"/>
      <c r="VZB70"/>
      <c r="VZC70"/>
      <c r="VZD70"/>
      <c r="VZE70"/>
      <c r="VZF70"/>
      <c r="VZG70"/>
      <c r="VZH70"/>
      <c r="VZI70"/>
      <c r="VZJ70"/>
      <c r="VZK70"/>
      <c r="VZL70"/>
      <c r="VZM70"/>
      <c r="VZN70"/>
      <c r="VZO70"/>
      <c r="VZP70"/>
      <c r="VZQ70"/>
      <c r="VZR70"/>
      <c r="VZS70"/>
      <c r="VZT70"/>
      <c r="VZU70"/>
      <c r="VZV70"/>
      <c r="VZW70"/>
      <c r="VZX70"/>
      <c r="VZY70"/>
      <c r="VZZ70"/>
      <c r="WAA70"/>
      <c r="WAB70"/>
      <c r="WAC70"/>
      <c r="WAD70"/>
      <c r="WAE70"/>
      <c r="WAF70"/>
      <c r="WAG70"/>
      <c r="WAH70"/>
      <c r="WAI70"/>
      <c r="WAJ70"/>
      <c r="WAK70"/>
      <c r="WAL70"/>
      <c r="WAM70"/>
      <c r="WAN70"/>
      <c r="WAO70"/>
      <c r="WAP70"/>
      <c r="WAQ70"/>
      <c r="WAR70"/>
      <c r="WAS70"/>
      <c r="WAT70"/>
      <c r="WAU70"/>
      <c r="WAV70"/>
      <c r="WAW70"/>
      <c r="WAX70"/>
      <c r="WAY70"/>
      <c r="WAZ70"/>
      <c r="WBA70"/>
      <c r="WBB70"/>
      <c r="WBC70"/>
      <c r="WBD70"/>
      <c r="WBE70"/>
      <c r="WBF70"/>
      <c r="WBG70"/>
      <c r="WBH70"/>
      <c r="WBI70"/>
      <c r="WBJ70"/>
      <c r="WBK70"/>
      <c r="WBL70"/>
      <c r="WBM70"/>
      <c r="WBN70"/>
      <c r="WBO70"/>
      <c r="WBP70"/>
      <c r="WBQ70"/>
      <c r="WBR70"/>
      <c r="WBS70"/>
      <c r="WBT70"/>
      <c r="WBU70"/>
      <c r="WBV70"/>
      <c r="WBW70"/>
      <c r="WBX70"/>
      <c r="WBY70"/>
      <c r="WBZ70"/>
      <c r="WCA70"/>
      <c r="WCB70"/>
      <c r="WCC70"/>
      <c r="WCD70"/>
      <c r="WCE70"/>
      <c r="WCF70"/>
      <c r="WCG70"/>
      <c r="WCH70"/>
      <c r="WCI70"/>
      <c r="WCJ70"/>
      <c r="WCK70"/>
      <c r="WCL70"/>
      <c r="WCM70"/>
      <c r="WCN70"/>
      <c r="WCO70"/>
      <c r="WCP70"/>
      <c r="WCQ70"/>
      <c r="WCR70"/>
      <c r="WCS70"/>
      <c r="WCT70"/>
      <c r="WCU70"/>
      <c r="WCV70"/>
      <c r="WCW70"/>
      <c r="WCX70"/>
      <c r="WCY70"/>
      <c r="WCZ70"/>
      <c r="WDA70"/>
      <c r="WDB70"/>
      <c r="WDC70"/>
      <c r="WDD70"/>
      <c r="WDE70"/>
      <c r="WDF70"/>
      <c r="WDG70"/>
      <c r="WDH70"/>
      <c r="WDI70"/>
      <c r="WDJ70"/>
      <c r="WDK70"/>
      <c r="WDL70"/>
      <c r="WDM70"/>
      <c r="WDN70"/>
      <c r="WDO70"/>
      <c r="WDP70"/>
      <c r="WDQ70"/>
      <c r="WDR70"/>
      <c r="WDS70"/>
      <c r="WDT70"/>
      <c r="WDU70"/>
      <c r="WDV70"/>
      <c r="WDW70"/>
      <c r="WDX70"/>
      <c r="WDY70"/>
      <c r="WDZ70"/>
      <c r="WEA70"/>
      <c r="WEB70"/>
      <c r="WEC70"/>
      <c r="WED70"/>
      <c r="WEE70"/>
      <c r="WEF70"/>
      <c r="WEG70"/>
      <c r="WEH70"/>
      <c r="WEI70"/>
      <c r="WEJ70"/>
      <c r="WEK70"/>
      <c r="WEL70"/>
      <c r="WEM70"/>
      <c r="WEN70"/>
      <c r="WEO70"/>
      <c r="WEP70"/>
      <c r="WEQ70"/>
      <c r="WER70"/>
      <c r="WES70"/>
      <c r="WET70"/>
      <c r="WEU70"/>
      <c r="WEV70"/>
      <c r="WEW70"/>
      <c r="WEX70"/>
      <c r="WEY70"/>
      <c r="WEZ70"/>
      <c r="WFA70"/>
      <c r="WFB70"/>
      <c r="WFC70"/>
      <c r="WFD70"/>
      <c r="WFE70"/>
      <c r="WFF70"/>
      <c r="WFG70"/>
      <c r="WFH70"/>
      <c r="WFI70"/>
      <c r="WFJ70"/>
      <c r="WFK70"/>
      <c r="WFL70"/>
      <c r="WFM70"/>
      <c r="WFN70"/>
      <c r="WFO70"/>
      <c r="WFP70"/>
      <c r="WFQ70"/>
      <c r="WFR70"/>
      <c r="WFS70"/>
      <c r="WFT70"/>
      <c r="WFU70"/>
      <c r="WFV70"/>
      <c r="WFW70"/>
      <c r="WFX70"/>
      <c r="WFY70"/>
      <c r="WFZ70"/>
      <c r="WGA70"/>
      <c r="WGB70"/>
      <c r="WGC70"/>
      <c r="WGD70"/>
      <c r="WGE70"/>
      <c r="WGF70"/>
      <c r="WGG70"/>
      <c r="WGH70"/>
      <c r="WGI70"/>
      <c r="WGJ70"/>
      <c r="WGK70"/>
      <c r="WGL70"/>
      <c r="WGM70"/>
      <c r="WGN70"/>
      <c r="WGO70"/>
      <c r="WGP70"/>
      <c r="WGQ70"/>
      <c r="WGR70"/>
      <c r="WGS70"/>
      <c r="WGT70"/>
      <c r="WGU70"/>
      <c r="WGV70"/>
      <c r="WGW70"/>
      <c r="WGX70"/>
      <c r="WGY70"/>
      <c r="WGZ70"/>
      <c r="WHA70"/>
      <c r="WHB70"/>
      <c r="WHC70"/>
      <c r="WHD70"/>
      <c r="WHE70"/>
      <c r="WHF70"/>
      <c r="WHG70"/>
      <c r="WHH70"/>
      <c r="WHI70"/>
      <c r="WHJ70"/>
      <c r="WHK70"/>
      <c r="WHL70"/>
      <c r="WHM70"/>
      <c r="WHN70"/>
      <c r="WHO70"/>
      <c r="WHP70"/>
      <c r="WHQ70"/>
      <c r="WHR70"/>
      <c r="WHS70"/>
      <c r="WHT70"/>
      <c r="WHU70"/>
      <c r="WHV70"/>
      <c r="WHW70"/>
      <c r="WHX70"/>
      <c r="WHY70"/>
      <c r="WHZ70"/>
      <c r="WIA70"/>
      <c r="WIB70"/>
      <c r="WIC70"/>
      <c r="WID70"/>
      <c r="WIE70"/>
      <c r="WIF70"/>
      <c r="WIG70"/>
      <c r="WIH70"/>
      <c r="WII70"/>
      <c r="WIJ70"/>
      <c r="WIK70"/>
      <c r="WIL70"/>
      <c r="WIM70"/>
      <c r="WIN70"/>
      <c r="WIO70"/>
      <c r="WIP70"/>
      <c r="WIQ70"/>
      <c r="WIR70"/>
      <c r="WIS70"/>
      <c r="WIT70"/>
      <c r="WIU70"/>
      <c r="WIV70"/>
      <c r="WIW70"/>
      <c r="WIX70"/>
      <c r="WIY70"/>
      <c r="WIZ70"/>
      <c r="WJA70"/>
      <c r="WJB70"/>
      <c r="WJC70"/>
      <c r="WJD70"/>
      <c r="WJE70"/>
      <c r="WJF70"/>
      <c r="WJG70"/>
      <c r="WJH70"/>
      <c r="WJI70"/>
      <c r="WJJ70"/>
      <c r="WJK70"/>
      <c r="WJL70"/>
      <c r="WJM70"/>
      <c r="WJN70"/>
      <c r="WJO70"/>
      <c r="WJP70"/>
      <c r="WJQ70"/>
      <c r="WJR70"/>
      <c r="WJS70"/>
      <c r="WJT70"/>
      <c r="WJU70"/>
      <c r="WJV70"/>
      <c r="WJW70"/>
      <c r="WJX70"/>
      <c r="WJY70"/>
      <c r="WJZ70"/>
      <c r="WKA70"/>
      <c r="WKB70"/>
      <c r="WKC70"/>
      <c r="WKD70"/>
      <c r="WKE70"/>
      <c r="WKF70"/>
      <c r="WKG70"/>
      <c r="WKH70"/>
      <c r="WKI70"/>
      <c r="WKJ70"/>
      <c r="WKK70"/>
      <c r="WKL70"/>
      <c r="WKM70"/>
      <c r="WKN70"/>
      <c r="WKO70"/>
      <c r="WKP70"/>
      <c r="WKQ70"/>
      <c r="WKR70"/>
      <c r="WKS70"/>
      <c r="WKT70"/>
      <c r="WKU70"/>
      <c r="WKV70"/>
      <c r="WKW70"/>
      <c r="WKX70"/>
      <c r="WKY70"/>
      <c r="WKZ70"/>
      <c r="WLA70"/>
      <c r="WLB70"/>
      <c r="WLC70"/>
      <c r="WLD70"/>
      <c r="WLE70"/>
      <c r="WLF70"/>
      <c r="WLG70"/>
      <c r="WLH70"/>
      <c r="WLI70"/>
      <c r="WLJ70"/>
      <c r="WLK70"/>
      <c r="WLL70"/>
      <c r="WLM70"/>
      <c r="WLN70"/>
      <c r="WLO70"/>
      <c r="WLP70"/>
      <c r="WLQ70"/>
      <c r="WLR70"/>
      <c r="WLS70"/>
      <c r="WLT70"/>
      <c r="WLU70"/>
      <c r="WLV70"/>
      <c r="WLW70"/>
      <c r="WLX70"/>
      <c r="WLY70"/>
      <c r="WLZ70"/>
      <c r="WMA70"/>
      <c r="WMB70"/>
      <c r="WMC70"/>
      <c r="WMD70"/>
      <c r="WME70"/>
      <c r="WMF70"/>
      <c r="WMG70"/>
      <c r="WMH70"/>
      <c r="WMI70"/>
      <c r="WMJ70"/>
      <c r="WMK70"/>
      <c r="WML70"/>
      <c r="WMM70"/>
      <c r="WMN70"/>
      <c r="WMO70"/>
      <c r="WMP70"/>
      <c r="WMQ70"/>
      <c r="WMR70"/>
      <c r="WMS70"/>
      <c r="WMT70"/>
      <c r="WMU70"/>
      <c r="WMV70"/>
      <c r="WMW70"/>
      <c r="WMX70"/>
      <c r="WMY70"/>
      <c r="WMZ70"/>
      <c r="WNA70"/>
      <c r="WNB70"/>
      <c r="WNC70"/>
      <c r="WND70"/>
      <c r="WNE70"/>
      <c r="WNF70"/>
      <c r="WNG70"/>
      <c r="WNH70"/>
      <c r="WNI70"/>
      <c r="WNJ70"/>
      <c r="WNK70"/>
      <c r="WNL70"/>
      <c r="WNM70"/>
      <c r="WNN70"/>
      <c r="WNO70"/>
      <c r="WNP70"/>
      <c r="WNQ70"/>
      <c r="WNR70"/>
      <c r="WNS70"/>
      <c r="WNT70"/>
      <c r="WNU70"/>
      <c r="WNV70"/>
      <c r="WNW70"/>
      <c r="WNX70"/>
      <c r="WNY70"/>
      <c r="WNZ70"/>
      <c r="WOA70"/>
      <c r="WOB70"/>
      <c r="WOC70"/>
      <c r="WOD70"/>
      <c r="WOE70"/>
      <c r="WOF70"/>
      <c r="WOG70"/>
      <c r="WOH70"/>
      <c r="WOI70"/>
      <c r="WOJ70"/>
      <c r="WOK70"/>
      <c r="WOL70"/>
      <c r="WOM70"/>
      <c r="WON70"/>
      <c r="WOO70"/>
      <c r="WOP70"/>
      <c r="WOQ70"/>
      <c r="WOR70"/>
      <c r="WOS70"/>
      <c r="WOT70"/>
      <c r="WOU70"/>
      <c r="WOV70"/>
      <c r="WOW70"/>
      <c r="WOX70"/>
      <c r="WOY70"/>
      <c r="WOZ70"/>
      <c r="WPA70"/>
      <c r="WPB70"/>
      <c r="WPC70"/>
      <c r="WPD70"/>
      <c r="WPE70"/>
      <c r="WPF70"/>
      <c r="WPG70"/>
      <c r="WPH70"/>
      <c r="WPI70"/>
      <c r="WPJ70"/>
      <c r="WPK70"/>
      <c r="WPL70"/>
      <c r="WPM70"/>
      <c r="WPN70"/>
      <c r="WPO70"/>
      <c r="WPP70"/>
      <c r="WPQ70"/>
      <c r="WPR70"/>
      <c r="WPS70"/>
      <c r="WPT70"/>
      <c r="WPU70"/>
      <c r="WPV70"/>
      <c r="WPW70"/>
      <c r="WPX70"/>
      <c r="WPY70"/>
      <c r="WPZ70"/>
      <c r="WQA70"/>
      <c r="WQB70"/>
      <c r="WQC70"/>
      <c r="WQD70"/>
      <c r="WQE70"/>
      <c r="WQF70"/>
      <c r="WQG70"/>
      <c r="WQH70"/>
      <c r="WQI70"/>
      <c r="WQJ70"/>
      <c r="WQK70"/>
      <c r="WQL70"/>
      <c r="WQM70"/>
      <c r="WQN70"/>
      <c r="WQO70"/>
      <c r="WQP70"/>
      <c r="WQQ70"/>
      <c r="WQR70"/>
      <c r="WQS70"/>
      <c r="WQT70"/>
      <c r="WQU70"/>
      <c r="WQV70"/>
      <c r="WQW70"/>
      <c r="WQX70"/>
      <c r="WQY70"/>
      <c r="WQZ70"/>
      <c r="WRA70"/>
      <c r="WRB70"/>
      <c r="WRC70"/>
      <c r="WRD70"/>
      <c r="WRE70"/>
      <c r="WRF70"/>
      <c r="WRG70"/>
      <c r="WRH70"/>
      <c r="WRI70"/>
      <c r="WRJ70"/>
      <c r="WRK70"/>
      <c r="WRL70"/>
      <c r="WRM70"/>
      <c r="WRN70"/>
      <c r="WRO70"/>
      <c r="WRP70"/>
      <c r="WRQ70"/>
      <c r="WRR70"/>
      <c r="WRS70"/>
      <c r="WRT70"/>
      <c r="WRU70"/>
      <c r="WRV70"/>
      <c r="WRW70"/>
      <c r="WRX70"/>
      <c r="WRY70"/>
      <c r="WRZ70"/>
      <c r="WSA70"/>
      <c r="WSB70"/>
      <c r="WSC70"/>
      <c r="WSD70"/>
      <c r="WSE70"/>
      <c r="WSF70"/>
      <c r="WSG70"/>
      <c r="WSH70"/>
      <c r="WSI70"/>
      <c r="WSJ70"/>
      <c r="WSK70"/>
      <c r="WSL70"/>
      <c r="WSM70"/>
      <c r="WSN70"/>
      <c r="WSO70"/>
      <c r="WSP70"/>
      <c r="WSQ70"/>
      <c r="WSR70"/>
      <c r="WSS70"/>
      <c r="WST70"/>
      <c r="WSU70"/>
      <c r="WSV70"/>
      <c r="WSW70"/>
      <c r="WSX70"/>
      <c r="WSY70"/>
      <c r="WSZ70"/>
      <c r="WTA70"/>
      <c r="WTB70"/>
      <c r="WTC70"/>
      <c r="WTD70"/>
      <c r="WTE70"/>
      <c r="WTF70"/>
      <c r="WTG70"/>
      <c r="WTH70"/>
      <c r="WTI70"/>
      <c r="WTJ70"/>
      <c r="WTK70"/>
      <c r="WTL70"/>
      <c r="WTM70"/>
      <c r="WTN70"/>
      <c r="WTO70"/>
      <c r="WTP70"/>
      <c r="WTQ70"/>
      <c r="WTR70"/>
      <c r="WTS70"/>
      <c r="WTT70"/>
      <c r="WTU70"/>
      <c r="WTV70"/>
      <c r="WTW70"/>
      <c r="WTX70"/>
      <c r="WTY70"/>
      <c r="WTZ70"/>
      <c r="WUA70"/>
      <c r="WUB70"/>
      <c r="WUC70"/>
      <c r="WUD70"/>
      <c r="WUE70"/>
      <c r="WUF70"/>
      <c r="WUG70"/>
      <c r="WUH70"/>
      <c r="WUI70"/>
      <c r="WUJ70"/>
      <c r="WUK70"/>
      <c r="WUL70"/>
      <c r="WUM70"/>
      <c r="WUN70"/>
      <c r="WUO70"/>
      <c r="WUP70"/>
      <c r="WUQ70"/>
      <c r="WUR70"/>
      <c r="WUS70"/>
      <c r="WUT70"/>
      <c r="WUU70"/>
      <c r="WUV70"/>
      <c r="WUW70"/>
      <c r="WUX70"/>
      <c r="WUY70"/>
      <c r="WUZ70"/>
      <c r="WVA70"/>
      <c r="WVB70"/>
      <c r="WVC70"/>
      <c r="WVD70"/>
      <c r="WVE70"/>
      <c r="WVF70"/>
      <c r="WVG70"/>
      <c r="WVH70"/>
      <c r="WVI70"/>
      <c r="WVJ70"/>
      <c r="WVK70"/>
      <c r="WVL70"/>
      <c r="WVM70"/>
      <c r="WVN70"/>
      <c r="WVO70"/>
      <c r="WVP70"/>
      <c r="WVQ70"/>
      <c r="WVR70"/>
      <c r="WVS70"/>
      <c r="WVT70"/>
      <c r="WVU70"/>
      <c r="WVV70"/>
      <c r="WVW70"/>
      <c r="WVX70"/>
      <c r="WVY70"/>
      <c r="WVZ70"/>
      <c r="WWA70"/>
      <c r="WWB70"/>
      <c r="WWC70"/>
      <c r="WWD70"/>
      <c r="WWE70"/>
      <c r="WWF70"/>
      <c r="WWG70"/>
      <c r="WWH70"/>
      <c r="WWI70"/>
      <c r="WWJ70"/>
      <c r="WWK70"/>
      <c r="WWL70"/>
      <c r="WWM70"/>
      <c r="WWN70"/>
      <c r="WWO70"/>
      <c r="WWP70"/>
      <c r="WWQ70"/>
      <c r="WWR70"/>
      <c r="WWS70"/>
      <c r="WWT70"/>
      <c r="WWU70"/>
      <c r="WWV70"/>
      <c r="WWW70"/>
      <c r="WWX70"/>
      <c r="WWY70"/>
      <c r="WWZ70"/>
      <c r="WXA70"/>
      <c r="WXB70"/>
      <c r="WXC70"/>
      <c r="WXD70"/>
      <c r="WXE70"/>
      <c r="WXF70"/>
      <c r="WXG70"/>
      <c r="WXH70"/>
      <c r="WXI70"/>
      <c r="WXJ70"/>
      <c r="WXK70"/>
      <c r="WXL70"/>
      <c r="WXM70"/>
      <c r="WXN70"/>
      <c r="WXO70"/>
      <c r="WXP70"/>
      <c r="WXQ70"/>
      <c r="WXR70"/>
      <c r="WXS70"/>
      <c r="WXT70"/>
      <c r="WXU70"/>
      <c r="WXV70"/>
      <c r="WXW70"/>
      <c r="WXX70"/>
      <c r="WXY70"/>
      <c r="WXZ70"/>
      <c r="WYA70"/>
      <c r="WYB70"/>
      <c r="WYC70"/>
      <c r="WYD70"/>
      <c r="WYE70"/>
      <c r="WYF70"/>
      <c r="WYG70"/>
      <c r="WYH70"/>
      <c r="WYI70"/>
      <c r="WYJ70"/>
      <c r="WYK70"/>
      <c r="WYL70"/>
      <c r="WYM70"/>
      <c r="WYN70"/>
      <c r="WYO70"/>
      <c r="WYP70"/>
      <c r="WYQ70"/>
      <c r="WYR70"/>
      <c r="WYS70"/>
      <c r="WYT70"/>
      <c r="WYU70"/>
      <c r="WYV70"/>
      <c r="WYW70"/>
      <c r="WYX70"/>
      <c r="WYY70"/>
      <c r="WYZ70"/>
      <c r="WZA70"/>
      <c r="WZB70"/>
      <c r="WZC70"/>
      <c r="WZD70"/>
      <c r="WZE70"/>
      <c r="WZF70"/>
      <c r="WZG70"/>
      <c r="WZH70"/>
      <c r="WZI70"/>
      <c r="WZJ70"/>
      <c r="WZK70"/>
      <c r="WZL70"/>
      <c r="WZM70"/>
      <c r="WZN70"/>
      <c r="WZO70"/>
      <c r="WZP70"/>
      <c r="WZQ70"/>
      <c r="WZR70"/>
      <c r="WZS70"/>
      <c r="WZT70"/>
      <c r="WZU70"/>
      <c r="WZV70"/>
      <c r="WZW70"/>
      <c r="WZX70"/>
      <c r="WZY70"/>
      <c r="WZZ70"/>
      <c r="XAA70"/>
      <c r="XAB70"/>
      <c r="XAC70"/>
      <c r="XAD70"/>
      <c r="XAE70"/>
      <c r="XAF70"/>
      <c r="XAG70"/>
      <c r="XAH70"/>
      <c r="XAI70"/>
      <c r="XAJ70"/>
      <c r="XAK70"/>
      <c r="XAL70"/>
      <c r="XAM70"/>
      <c r="XAN70"/>
      <c r="XAO70"/>
      <c r="XAP70"/>
      <c r="XAQ70"/>
      <c r="XAR70"/>
      <c r="XAS70"/>
      <c r="XAT70"/>
      <c r="XAU70"/>
      <c r="XAV70"/>
      <c r="XAW70"/>
      <c r="XAX70"/>
      <c r="XAY70"/>
      <c r="XAZ70"/>
      <c r="XBA70"/>
      <c r="XBB70"/>
      <c r="XBC70"/>
      <c r="XBD70"/>
      <c r="XBE70"/>
      <c r="XBF70"/>
      <c r="XBG70"/>
      <c r="XBH70"/>
      <c r="XBI70"/>
      <c r="XBJ70"/>
      <c r="XBK70"/>
      <c r="XBL70"/>
      <c r="XBM70"/>
      <c r="XBN70"/>
      <c r="XBO70"/>
      <c r="XBP70"/>
      <c r="XBQ70"/>
      <c r="XBR70"/>
      <c r="XBS70"/>
      <c r="XBT70"/>
      <c r="XBU70"/>
      <c r="XBV70"/>
      <c r="XBW70"/>
      <c r="XBX70"/>
      <c r="XBY70"/>
      <c r="XBZ70"/>
      <c r="XCA70"/>
      <c r="XCB70"/>
      <c r="XCC70"/>
      <c r="XCD70"/>
      <c r="XCE70"/>
      <c r="XCF70"/>
      <c r="XCG70"/>
      <c r="XCH70"/>
      <c r="XCI70"/>
      <c r="XCJ70"/>
      <c r="XCK70"/>
      <c r="XCL70"/>
      <c r="XCM70"/>
      <c r="XCN70"/>
      <c r="XCO70"/>
      <c r="XCP70"/>
      <c r="XCQ70"/>
      <c r="XCR70"/>
      <c r="XCS70"/>
      <c r="XCT70"/>
      <c r="XCU70"/>
      <c r="XCV70"/>
      <c r="XCW70"/>
      <c r="XCX70"/>
      <c r="XCY70"/>
      <c r="XCZ70"/>
      <c r="XDA70"/>
      <c r="XDB70"/>
      <c r="XDC70"/>
      <c r="XDD70"/>
      <c r="XDE70"/>
      <c r="XDF70"/>
      <c r="XDG70"/>
      <c r="XDH70"/>
      <c r="XDI70"/>
      <c r="XDJ70"/>
      <c r="XDK70"/>
      <c r="XDL70"/>
      <c r="XDM70"/>
      <c r="XDN70"/>
      <c r="XDO70"/>
      <c r="XDP70"/>
      <c r="XDQ70"/>
      <c r="XDR70"/>
      <c r="XDS70"/>
      <c r="XDT70"/>
      <c r="XDU70"/>
      <c r="XDV70"/>
      <c r="XDW70"/>
      <c r="XDX70"/>
      <c r="XDY70"/>
      <c r="XDZ70"/>
      <c r="XEA70"/>
      <c r="XEB70"/>
      <c r="XEC70"/>
      <c r="XED70"/>
      <c r="XEE70"/>
      <c r="XEF70"/>
      <c r="XEG70"/>
      <c r="XEH70"/>
      <c r="XEI70"/>
      <c r="XEJ70"/>
      <c r="XEK70"/>
      <c r="XEL70"/>
      <c r="XEM70"/>
      <c r="XEN70"/>
      <c r="XEO70"/>
      <c r="XEP70"/>
      <c r="XEQ70"/>
      <c r="XER70"/>
      <c r="XES70"/>
      <c r="XET70"/>
      <c r="XEU70"/>
      <c r="XEV70"/>
      <c r="XEW70"/>
      <c r="XEX70"/>
      <c r="XEY70"/>
      <c r="XEZ70"/>
      <c r="XFA70"/>
      <c r="XFB70"/>
      <c r="XFC70"/>
      <c r="XFD70"/>
    </row>
    <row r="71" spans="3:16384" ht="31.5">
      <c r="C71" s="1226" t="s">
        <v>1841</v>
      </c>
      <c r="D71" s="1213"/>
      <c r="E71" s="1214"/>
      <c r="F71" s="1214"/>
      <c r="G71" s="1214"/>
      <c r="H71" s="1214"/>
      <c r="I71" s="1214"/>
      <c r="J71" s="1214"/>
      <c r="K71" s="1213"/>
      <c r="L71" s="1213"/>
      <c r="M71" s="1213"/>
      <c r="N71" s="1235"/>
      <c r="O71" s="1214"/>
      <c r="P71" s="1235"/>
      <c r="Q71" s="1214"/>
      <c r="R71" s="1246" t="s">
        <v>1663</v>
      </c>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c r="GS71"/>
      <c r="GT71"/>
      <c r="GU71"/>
      <c r="GV71"/>
      <c r="GW71"/>
      <c r="GX71"/>
      <c r="GY71"/>
      <c r="GZ71"/>
      <c r="HA71"/>
      <c r="HB71"/>
      <c r="HC71"/>
      <c r="HD71"/>
      <c r="HE71"/>
      <c r="HF71"/>
      <c r="HG71"/>
      <c r="HH71"/>
      <c r="HI71"/>
      <c r="HJ71"/>
      <c r="HK71"/>
      <c r="HL71"/>
      <c r="HM71"/>
      <c r="HN71"/>
      <c r="HO71"/>
      <c r="HP71"/>
      <c r="HQ71"/>
      <c r="HR71"/>
      <c r="HS71"/>
      <c r="HT71"/>
      <c r="HU71"/>
      <c r="HV71"/>
      <c r="HW71"/>
      <c r="HX71"/>
      <c r="HY71"/>
      <c r="HZ71"/>
      <c r="IA71"/>
      <c r="IB71"/>
      <c r="IC71"/>
      <c r="ID71"/>
      <c r="IE71"/>
      <c r="IF71"/>
      <c r="IG71"/>
      <c r="IH71"/>
      <c r="II71"/>
      <c r="IJ71"/>
      <c r="IK71"/>
      <c r="IL71"/>
      <c r="IM71"/>
      <c r="IN71"/>
      <c r="IO71"/>
      <c r="IP71"/>
      <c r="IQ71"/>
      <c r="IR71"/>
      <c r="IS71"/>
      <c r="IT71"/>
      <c r="IU71"/>
      <c r="IV71"/>
      <c r="IW71"/>
      <c r="IX71"/>
      <c r="IY71"/>
      <c r="IZ71"/>
      <c r="JA71"/>
      <c r="JB71"/>
      <c r="JC71"/>
      <c r="JD71"/>
      <c r="JE71"/>
      <c r="JF71"/>
      <c r="JG71"/>
      <c r="JH71"/>
      <c r="JI71"/>
      <c r="JJ71"/>
      <c r="JK71"/>
      <c r="JL71"/>
      <c r="JM71"/>
      <c r="JN71"/>
      <c r="JO71"/>
      <c r="JP71"/>
      <c r="JQ71"/>
      <c r="JR71"/>
      <c r="JS71"/>
      <c r="JT71"/>
      <c r="JU71"/>
      <c r="JV71"/>
      <c r="JW71"/>
      <c r="JX71"/>
      <c r="JY71"/>
      <c r="JZ71"/>
      <c r="KA71"/>
      <c r="KB71"/>
      <c r="KC71"/>
      <c r="KD71"/>
      <c r="KE71"/>
      <c r="KF71"/>
      <c r="KG71"/>
      <c r="KH71"/>
      <c r="KI71"/>
      <c r="KJ71"/>
      <c r="KK71"/>
      <c r="KL71"/>
      <c r="KM71"/>
      <c r="KN71"/>
      <c r="KO71"/>
      <c r="KP71"/>
      <c r="KQ71"/>
      <c r="KR71"/>
      <c r="KS71"/>
      <c r="KT71"/>
      <c r="KU71"/>
      <c r="KV71"/>
      <c r="KW71"/>
      <c r="KX71"/>
      <c r="KY71"/>
      <c r="KZ71"/>
      <c r="LA71"/>
      <c r="LB71"/>
      <c r="LC71"/>
      <c r="LD71"/>
      <c r="LE71"/>
      <c r="LF71"/>
      <c r="LG71"/>
      <c r="LH71"/>
      <c r="LI71"/>
      <c r="LJ71"/>
      <c r="LK71"/>
      <c r="LL71"/>
      <c r="LM71"/>
      <c r="LN71"/>
      <c r="LO71"/>
      <c r="LP71"/>
      <c r="LQ71"/>
      <c r="LR71"/>
      <c r="LS71"/>
      <c r="LT71"/>
      <c r="LU71"/>
      <c r="LV71"/>
      <c r="LW71"/>
      <c r="LX71"/>
      <c r="LY71"/>
      <c r="LZ71"/>
      <c r="MA71"/>
      <c r="MB71"/>
      <c r="MC71"/>
      <c r="MD71"/>
      <c r="ME71"/>
      <c r="MF71"/>
      <c r="MG71"/>
      <c r="MH71"/>
      <c r="MI71"/>
      <c r="MJ71"/>
      <c r="MK71"/>
      <c r="ML71"/>
      <c r="MM71"/>
      <c r="MN71"/>
      <c r="MO71"/>
      <c r="MP71"/>
      <c r="MQ71"/>
      <c r="MR71"/>
      <c r="MS71"/>
      <c r="MT71"/>
      <c r="MU71"/>
      <c r="MV71"/>
      <c r="MW71"/>
      <c r="MX71"/>
      <c r="MY71"/>
      <c r="MZ71"/>
      <c r="NA71"/>
      <c r="NB71"/>
      <c r="NC71"/>
      <c r="ND71"/>
      <c r="NE71"/>
      <c r="NF71"/>
      <c r="NG71"/>
      <c r="NH71"/>
      <c r="NI71"/>
      <c r="NJ71"/>
      <c r="NK71"/>
      <c r="NL71"/>
      <c r="NM71"/>
      <c r="NN71"/>
      <c r="NO71"/>
      <c r="NP71"/>
      <c r="NQ71"/>
      <c r="NR71"/>
      <c r="NS71"/>
      <c r="NT71"/>
      <c r="NU71"/>
      <c r="NV71"/>
      <c r="NW71"/>
      <c r="NX71"/>
      <c r="NY71"/>
      <c r="NZ71"/>
      <c r="OA71"/>
      <c r="OB71"/>
      <c r="OC71"/>
      <c r="OD71"/>
      <c r="OE71"/>
      <c r="OF71"/>
      <c r="OG71"/>
      <c r="OH71"/>
      <c r="OI71"/>
      <c r="OJ71"/>
      <c r="OK71"/>
      <c r="OL71"/>
      <c r="OM71"/>
      <c r="ON71"/>
      <c r="OO71"/>
      <c r="OP71"/>
      <c r="OQ71"/>
      <c r="OR71"/>
      <c r="OS71"/>
      <c r="OT71"/>
      <c r="OU71"/>
      <c r="OV71"/>
      <c r="OW71"/>
      <c r="OX71"/>
      <c r="OY71"/>
      <c r="OZ71"/>
      <c r="PA71"/>
      <c r="PB71"/>
      <c r="PC71"/>
      <c r="PD71"/>
      <c r="PE71"/>
      <c r="PF71"/>
      <c r="PG71"/>
      <c r="PH71"/>
      <c r="PI71"/>
      <c r="PJ71"/>
      <c r="PK71"/>
      <c r="PL71"/>
      <c r="PM71"/>
      <c r="PN71"/>
      <c r="PO71"/>
      <c r="PP71"/>
      <c r="PQ71"/>
      <c r="PR71"/>
      <c r="PS71"/>
      <c r="PT71"/>
      <c r="PU71"/>
      <c r="PV71"/>
      <c r="PW71"/>
      <c r="PX71"/>
      <c r="PY71"/>
      <c r="PZ71"/>
      <c r="QA71"/>
      <c r="QB71"/>
      <c r="QC71"/>
      <c r="QD71"/>
      <c r="QE71"/>
      <c r="QF71"/>
      <c r="QG71"/>
      <c r="QH71"/>
      <c r="QI71"/>
      <c r="QJ71"/>
      <c r="QK71"/>
      <c r="QL71"/>
      <c r="QM71"/>
      <c r="QN71"/>
      <c r="QO71"/>
      <c r="QP71"/>
      <c r="QQ71"/>
      <c r="QR71"/>
      <c r="QS71"/>
      <c r="QT71"/>
      <c r="QU71"/>
      <c r="QV71"/>
      <c r="QW71"/>
      <c r="QX71"/>
      <c r="QY71"/>
      <c r="QZ71"/>
      <c r="RA71"/>
      <c r="RB71"/>
      <c r="RC71"/>
      <c r="RD71"/>
      <c r="RE71"/>
      <c r="RF71"/>
      <c r="RG71"/>
      <c r="RH71"/>
      <c r="RI71"/>
      <c r="RJ71"/>
      <c r="RK71"/>
      <c r="RL71"/>
      <c r="RM71"/>
      <c r="RN71"/>
      <c r="RO71"/>
      <c r="RP71"/>
      <c r="RQ71"/>
      <c r="RR71"/>
      <c r="RS71"/>
      <c r="RT71"/>
      <c r="RU71"/>
      <c r="RV71"/>
      <c r="RW71"/>
      <c r="RX71"/>
      <c r="RY71"/>
      <c r="RZ71"/>
      <c r="SA71"/>
      <c r="SB71"/>
      <c r="SC71"/>
      <c r="SD71"/>
      <c r="SE71"/>
      <c r="SF71"/>
      <c r="SG71"/>
      <c r="SH71"/>
      <c r="SI71"/>
      <c r="SJ71"/>
      <c r="SK71"/>
      <c r="SL71"/>
      <c r="SM71"/>
      <c r="SN71"/>
      <c r="SO71"/>
      <c r="SP71"/>
      <c r="SQ71"/>
      <c r="SR71"/>
      <c r="SS71"/>
      <c r="ST71"/>
      <c r="SU71"/>
      <c r="SV71"/>
      <c r="SW71"/>
      <c r="SX71"/>
      <c r="SY71"/>
      <c r="SZ71"/>
      <c r="TA71"/>
      <c r="TB71"/>
      <c r="TC71"/>
      <c r="TD71"/>
      <c r="TE71"/>
      <c r="TF71"/>
      <c r="TG71"/>
      <c r="TH71"/>
      <c r="TI71"/>
      <c r="TJ71"/>
      <c r="TK71"/>
      <c r="TL71"/>
      <c r="TM71"/>
      <c r="TN71"/>
      <c r="TO71"/>
      <c r="TP71"/>
      <c r="TQ71"/>
      <c r="TR71"/>
      <c r="TS71"/>
      <c r="TT71"/>
      <c r="TU71"/>
      <c r="TV71"/>
      <c r="TW71"/>
      <c r="TX71"/>
      <c r="TY71"/>
      <c r="TZ71"/>
      <c r="UA71"/>
      <c r="UB71"/>
      <c r="UC71"/>
      <c r="UD71"/>
      <c r="UE71"/>
      <c r="UF71"/>
      <c r="UG71"/>
      <c r="UH71"/>
      <c r="UI71"/>
      <c r="UJ71"/>
      <c r="UK71"/>
      <c r="UL71"/>
      <c r="UM71"/>
      <c r="UN71"/>
      <c r="UO71"/>
      <c r="UP71"/>
      <c r="UQ71"/>
      <c r="UR71"/>
      <c r="US71"/>
      <c r="UT71"/>
      <c r="UU71"/>
      <c r="UV71"/>
      <c r="UW71"/>
      <c r="UX71"/>
      <c r="UY71"/>
      <c r="UZ71"/>
      <c r="VA71"/>
      <c r="VB71"/>
      <c r="VC71"/>
      <c r="VD71"/>
      <c r="VE71"/>
      <c r="VF71"/>
      <c r="VG71"/>
      <c r="VH71"/>
      <c r="VI71"/>
      <c r="VJ71"/>
      <c r="VK71"/>
      <c r="VL71"/>
      <c r="VM71"/>
      <c r="VN71"/>
      <c r="VO71"/>
      <c r="VP71"/>
      <c r="VQ71"/>
      <c r="VR71"/>
      <c r="VS71"/>
      <c r="VT71"/>
      <c r="VU71"/>
      <c r="VV71"/>
      <c r="VW71"/>
      <c r="VX71"/>
      <c r="VY71"/>
      <c r="VZ71"/>
      <c r="WA71"/>
      <c r="WB71"/>
      <c r="WC71"/>
      <c r="WD71"/>
      <c r="WE71"/>
      <c r="WF71"/>
      <c r="WG71"/>
      <c r="WH71"/>
      <c r="WI71"/>
      <c r="WJ71"/>
      <c r="WK71"/>
      <c r="WL71"/>
      <c r="WM71"/>
      <c r="WN71"/>
      <c r="WO71"/>
      <c r="WP71"/>
      <c r="WQ71"/>
      <c r="WR71"/>
      <c r="WS71"/>
      <c r="WT71"/>
      <c r="WU71"/>
      <c r="WV71"/>
      <c r="WW71"/>
      <c r="WX71"/>
      <c r="WY71"/>
      <c r="WZ71"/>
      <c r="XA71"/>
      <c r="XB71"/>
      <c r="XC71"/>
      <c r="XD71"/>
      <c r="XE71"/>
      <c r="XF71"/>
      <c r="XG71"/>
      <c r="XH71"/>
      <c r="XI71"/>
      <c r="XJ71"/>
      <c r="XK71"/>
      <c r="XL71"/>
      <c r="XM71"/>
      <c r="XN71"/>
      <c r="XO71"/>
      <c r="XP71"/>
      <c r="XQ71"/>
      <c r="XR71"/>
      <c r="XS71"/>
      <c r="XT71"/>
      <c r="XU71"/>
      <c r="XV71"/>
      <c r="XW71"/>
      <c r="XX71"/>
      <c r="XY71"/>
      <c r="XZ71"/>
      <c r="YA71"/>
      <c r="YB71"/>
      <c r="YC71"/>
      <c r="YD71"/>
      <c r="YE71"/>
      <c r="YF71"/>
      <c r="YG71"/>
      <c r="YH71"/>
      <c r="YI71"/>
      <c r="YJ71"/>
      <c r="YK71"/>
      <c r="YL71"/>
      <c r="YM71"/>
      <c r="YN71"/>
      <c r="YO71"/>
      <c r="YP71"/>
      <c r="YQ71"/>
      <c r="YR71"/>
      <c r="YS71"/>
      <c r="YT71"/>
      <c r="YU71"/>
      <c r="YV71"/>
      <c r="YW71"/>
      <c r="YX71"/>
      <c r="YY71"/>
      <c r="YZ71"/>
      <c r="ZA71"/>
      <c r="ZB71"/>
      <c r="ZC71"/>
      <c r="ZD71"/>
      <c r="ZE71"/>
      <c r="ZF71"/>
      <c r="ZG71"/>
      <c r="ZH71"/>
      <c r="ZI71"/>
      <c r="ZJ71"/>
      <c r="ZK71"/>
      <c r="ZL71"/>
      <c r="ZM71"/>
      <c r="ZN71"/>
      <c r="ZO71"/>
      <c r="ZP71"/>
      <c r="ZQ71"/>
      <c r="ZR71"/>
      <c r="ZS71"/>
      <c r="ZT71"/>
      <c r="ZU71"/>
      <c r="ZV71"/>
      <c r="ZW71"/>
      <c r="ZX71"/>
      <c r="ZY71"/>
      <c r="ZZ71"/>
      <c r="AAA71"/>
      <c r="AAB71"/>
      <c r="AAC71"/>
      <c r="AAD71"/>
      <c r="AAE71"/>
      <c r="AAF71"/>
      <c r="AAG71"/>
      <c r="AAH71"/>
      <c r="AAI71"/>
      <c r="AAJ71"/>
      <c r="AAK71"/>
      <c r="AAL71"/>
      <c r="AAM71"/>
      <c r="AAN71"/>
      <c r="AAO71"/>
      <c r="AAP71"/>
      <c r="AAQ71"/>
      <c r="AAR71"/>
      <c r="AAS71"/>
      <c r="AAT71"/>
      <c r="AAU71"/>
      <c r="AAV71"/>
      <c r="AAW71"/>
      <c r="AAX71"/>
      <c r="AAY71"/>
      <c r="AAZ71"/>
      <c r="ABA71"/>
      <c r="ABB71"/>
      <c r="ABC71"/>
      <c r="ABD71"/>
      <c r="ABE71"/>
      <c r="ABF71"/>
      <c r="ABG71"/>
      <c r="ABH71"/>
      <c r="ABI71"/>
      <c r="ABJ71"/>
      <c r="ABK71"/>
      <c r="ABL71"/>
      <c r="ABM71"/>
      <c r="ABN71"/>
      <c r="ABO71"/>
      <c r="ABP71"/>
      <c r="ABQ71"/>
      <c r="ABR71"/>
      <c r="ABS71"/>
      <c r="ABT71"/>
      <c r="ABU71"/>
      <c r="ABV71"/>
      <c r="ABW71"/>
      <c r="ABX71"/>
      <c r="ABY71"/>
      <c r="ABZ71"/>
      <c r="ACA71"/>
      <c r="ACB71"/>
      <c r="ACC71"/>
      <c r="ACD71"/>
      <c r="ACE71"/>
      <c r="ACF71"/>
      <c r="ACG71"/>
      <c r="ACH71"/>
      <c r="ACI71"/>
      <c r="ACJ71"/>
      <c r="ACK71"/>
      <c r="ACL71"/>
      <c r="ACM71"/>
      <c r="ACN71"/>
      <c r="ACO71"/>
      <c r="ACP71"/>
      <c r="ACQ71"/>
      <c r="ACR71"/>
      <c r="ACS71"/>
      <c r="ACT71"/>
      <c r="ACU71"/>
      <c r="ACV71"/>
      <c r="ACW71"/>
      <c r="ACX71"/>
      <c r="ACY71"/>
      <c r="ACZ71"/>
      <c r="ADA71"/>
      <c r="ADB71"/>
      <c r="ADC71"/>
      <c r="ADD71"/>
      <c r="ADE71"/>
      <c r="ADF71"/>
      <c r="ADG71"/>
      <c r="ADH71"/>
      <c r="ADI71"/>
      <c r="ADJ71"/>
      <c r="ADK71"/>
      <c r="ADL71"/>
      <c r="ADM71"/>
      <c r="ADN71"/>
      <c r="ADO71"/>
      <c r="ADP71"/>
      <c r="ADQ71"/>
      <c r="ADR71"/>
      <c r="ADS71"/>
      <c r="ADT71"/>
      <c r="ADU71"/>
      <c r="ADV71"/>
      <c r="ADW71"/>
      <c r="ADX71"/>
      <c r="ADY71"/>
      <c r="ADZ71"/>
      <c r="AEA71"/>
      <c r="AEB71"/>
      <c r="AEC71"/>
      <c r="AED71"/>
      <c r="AEE71"/>
      <c r="AEF71"/>
      <c r="AEG71"/>
      <c r="AEH71"/>
      <c r="AEI71"/>
      <c r="AEJ71"/>
      <c r="AEK71"/>
      <c r="AEL71"/>
      <c r="AEM71"/>
      <c r="AEN71"/>
      <c r="AEO71"/>
      <c r="AEP71"/>
      <c r="AEQ71"/>
      <c r="AER71"/>
      <c r="AES71"/>
      <c r="AET71"/>
      <c r="AEU71"/>
      <c r="AEV71"/>
      <c r="AEW71"/>
      <c r="AEX71"/>
      <c r="AEY71"/>
      <c r="AEZ71"/>
      <c r="AFA71"/>
      <c r="AFB71"/>
      <c r="AFC71"/>
      <c r="AFD71"/>
      <c r="AFE71"/>
      <c r="AFF71"/>
      <c r="AFG71"/>
      <c r="AFH71"/>
      <c r="AFI71"/>
      <c r="AFJ71"/>
      <c r="AFK71"/>
      <c r="AFL71"/>
      <c r="AFM71"/>
      <c r="AFN71"/>
      <c r="AFO71"/>
      <c r="AFP71"/>
      <c r="AFQ71"/>
      <c r="AFR71"/>
      <c r="AFS71"/>
      <c r="AFT71"/>
      <c r="AFU71"/>
      <c r="AFV71"/>
      <c r="AFW71"/>
      <c r="AFX71"/>
      <c r="AFY71"/>
      <c r="AFZ71"/>
      <c r="AGA71"/>
      <c r="AGB71"/>
      <c r="AGC71"/>
      <c r="AGD71"/>
      <c r="AGE71"/>
      <c r="AGF71"/>
      <c r="AGG71"/>
      <c r="AGH71"/>
      <c r="AGI71"/>
      <c r="AGJ71"/>
      <c r="AGK71"/>
      <c r="AGL71"/>
      <c r="AGM71"/>
      <c r="AGN71"/>
      <c r="AGO71"/>
      <c r="AGP71"/>
      <c r="AGQ71"/>
      <c r="AGR71"/>
      <c r="AGS71"/>
      <c r="AGT71"/>
      <c r="AGU71"/>
      <c r="AGV71"/>
      <c r="AGW71"/>
      <c r="AGX71"/>
      <c r="AGY71"/>
      <c r="AGZ71"/>
      <c r="AHA71"/>
      <c r="AHB71"/>
      <c r="AHC71"/>
      <c r="AHD71"/>
      <c r="AHE71"/>
      <c r="AHF71"/>
      <c r="AHG71"/>
      <c r="AHH71"/>
      <c r="AHI71"/>
      <c r="AHJ71"/>
      <c r="AHK71"/>
      <c r="AHL71"/>
      <c r="AHM71"/>
      <c r="AHN71"/>
      <c r="AHO71"/>
      <c r="AHP71"/>
      <c r="AHQ71"/>
      <c r="AHR71"/>
      <c r="AHS71"/>
      <c r="AHT71"/>
      <c r="AHU71"/>
      <c r="AHV71"/>
      <c r="AHW71"/>
      <c r="AHX71"/>
      <c r="AHY71"/>
      <c r="AHZ71"/>
      <c r="AIA71"/>
      <c r="AIB71"/>
      <c r="AIC71"/>
      <c r="AID71"/>
      <c r="AIE71"/>
      <c r="AIF71"/>
      <c r="AIG71"/>
      <c r="AIH71"/>
      <c r="AII71"/>
      <c r="AIJ71"/>
      <c r="AIK71"/>
      <c r="AIL71"/>
      <c r="AIM71"/>
      <c r="AIN71"/>
      <c r="AIO71"/>
      <c r="AIP71"/>
      <c r="AIQ71"/>
      <c r="AIR71"/>
      <c r="AIS71"/>
      <c r="AIT71"/>
      <c r="AIU71"/>
      <c r="AIV71"/>
      <c r="AIW71"/>
      <c r="AIX71"/>
      <c r="AIY71"/>
      <c r="AIZ71"/>
      <c r="AJA71"/>
      <c r="AJB71"/>
      <c r="AJC71"/>
      <c r="AJD71"/>
      <c r="AJE71"/>
      <c r="AJF71"/>
      <c r="AJG71"/>
      <c r="AJH71"/>
      <c r="AJI71"/>
      <c r="AJJ71"/>
      <c r="AJK71"/>
      <c r="AJL71"/>
      <c r="AJM71"/>
      <c r="AJN71"/>
      <c r="AJO71"/>
      <c r="AJP71"/>
      <c r="AJQ71"/>
      <c r="AJR71"/>
      <c r="AJS71"/>
      <c r="AJT71"/>
      <c r="AJU71"/>
      <c r="AJV71"/>
      <c r="AJW71"/>
      <c r="AJX71"/>
      <c r="AJY71"/>
      <c r="AJZ71"/>
      <c r="AKA71"/>
      <c r="AKB71"/>
      <c r="AKC71"/>
      <c r="AKD71"/>
      <c r="AKE71"/>
      <c r="AKF71"/>
      <c r="AKG71"/>
      <c r="AKH71"/>
      <c r="AKI71"/>
      <c r="AKJ71"/>
      <c r="AKK71"/>
      <c r="AKL71"/>
      <c r="AKM71"/>
      <c r="AKN71"/>
      <c r="AKO71"/>
      <c r="AKP71"/>
      <c r="AKQ71"/>
      <c r="AKR71"/>
      <c r="AKS71"/>
      <c r="AKT71"/>
      <c r="AKU71"/>
      <c r="AKV71"/>
      <c r="AKW71"/>
      <c r="AKX71"/>
      <c r="AKY71"/>
      <c r="AKZ71"/>
      <c r="ALA71"/>
      <c r="ALB71"/>
      <c r="ALC71"/>
      <c r="ALD71"/>
      <c r="ALE71"/>
      <c r="ALF71"/>
      <c r="ALG71"/>
      <c r="ALH71"/>
      <c r="ALI71"/>
      <c r="ALJ71"/>
      <c r="ALK71"/>
      <c r="ALL71"/>
      <c r="ALM71"/>
      <c r="ALN71"/>
      <c r="ALO71"/>
      <c r="ALP71"/>
      <c r="ALQ71"/>
      <c r="ALR71"/>
      <c r="ALS71"/>
      <c r="ALT71"/>
      <c r="ALU71"/>
      <c r="ALV71"/>
      <c r="ALW71"/>
      <c r="ALX71"/>
      <c r="ALY71"/>
      <c r="ALZ71"/>
      <c r="AMA71"/>
      <c r="AMB71"/>
      <c r="AMC71"/>
      <c r="AMD71"/>
      <c r="AME71"/>
      <c r="AMF71"/>
      <c r="AMG71"/>
      <c r="AMH71"/>
      <c r="AMI71"/>
      <c r="AMJ71"/>
      <c r="AMK71"/>
      <c r="AML71"/>
      <c r="AMM71"/>
      <c r="AMN71"/>
      <c r="AMO71"/>
      <c r="AMP71"/>
      <c r="AMQ71"/>
      <c r="AMR71"/>
      <c r="AMS71"/>
      <c r="AMT71"/>
      <c r="AMU71"/>
      <c r="AMV71"/>
      <c r="AMW71"/>
      <c r="AMX71"/>
      <c r="AMY71"/>
      <c r="AMZ71"/>
      <c r="ANA71"/>
      <c r="ANB71"/>
      <c r="ANC71"/>
      <c r="AND71"/>
      <c r="ANE71"/>
      <c r="ANF71"/>
      <c r="ANG71"/>
      <c r="ANH71"/>
      <c r="ANI71"/>
      <c r="ANJ71"/>
      <c r="ANK71"/>
      <c r="ANL71"/>
      <c r="ANM71"/>
      <c r="ANN71"/>
      <c r="ANO71"/>
      <c r="ANP71"/>
      <c r="ANQ71"/>
      <c r="ANR71"/>
      <c r="ANS71"/>
      <c r="ANT71"/>
      <c r="ANU71"/>
      <c r="ANV71"/>
      <c r="ANW71"/>
      <c r="ANX71"/>
      <c r="ANY71"/>
      <c r="ANZ71"/>
      <c r="AOA71"/>
      <c r="AOB71"/>
      <c r="AOC71"/>
      <c r="AOD71"/>
      <c r="AOE71"/>
      <c r="AOF71"/>
      <c r="AOG71"/>
      <c r="AOH71"/>
      <c r="AOI71"/>
      <c r="AOJ71"/>
      <c r="AOK71"/>
      <c r="AOL71"/>
      <c r="AOM71"/>
      <c r="AON71"/>
      <c r="AOO71"/>
      <c r="AOP71"/>
      <c r="AOQ71"/>
      <c r="AOR71"/>
      <c r="AOS71"/>
      <c r="AOT71"/>
      <c r="AOU71"/>
      <c r="AOV71"/>
      <c r="AOW71"/>
      <c r="AOX71"/>
      <c r="AOY71"/>
      <c r="AOZ71"/>
      <c r="APA71"/>
      <c r="APB71"/>
      <c r="APC71"/>
      <c r="APD71"/>
      <c r="APE71"/>
      <c r="APF71"/>
      <c r="APG71"/>
      <c r="APH71"/>
      <c r="API71"/>
      <c r="APJ71"/>
      <c r="APK71"/>
      <c r="APL71"/>
      <c r="APM71"/>
      <c r="APN71"/>
      <c r="APO71"/>
      <c r="APP71"/>
      <c r="APQ71"/>
      <c r="APR71"/>
      <c r="APS71"/>
      <c r="APT71"/>
      <c r="APU71"/>
      <c r="APV71"/>
      <c r="APW71"/>
      <c r="APX71"/>
      <c r="APY71"/>
      <c r="APZ71"/>
      <c r="AQA71"/>
      <c r="AQB71"/>
      <c r="AQC71"/>
      <c r="AQD71"/>
      <c r="AQE71"/>
      <c r="AQF71"/>
      <c r="AQG71"/>
      <c r="AQH71"/>
      <c r="AQI71"/>
      <c r="AQJ71"/>
      <c r="AQK71"/>
      <c r="AQL71"/>
      <c r="AQM71"/>
      <c r="AQN71"/>
      <c r="AQO71"/>
      <c r="AQP71"/>
      <c r="AQQ71"/>
      <c r="AQR71"/>
      <c r="AQS71"/>
      <c r="AQT71"/>
      <c r="AQU71"/>
      <c r="AQV71"/>
      <c r="AQW71"/>
      <c r="AQX71"/>
      <c r="AQY71"/>
      <c r="AQZ71"/>
      <c r="ARA71"/>
      <c r="ARB71"/>
      <c r="ARC71"/>
      <c r="ARD71"/>
      <c r="ARE71"/>
      <c r="ARF71"/>
      <c r="ARG71"/>
      <c r="ARH71"/>
      <c r="ARI71"/>
      <c r="ARJ71"/>
      <c r="ARK71"/>
      <c r="ARL71"/>
      <c r="ARM71"/>
      <c r="ARN71"/>
      <c r="ARO71"/>
      <c r="ARP71"/>
      <c r="ARQ71"/>
      <c r="ARR71"/>
      <c r="ARS71"/>
      <c r="ART71"/>
      <c r="ARU71"/>
      <c r="ARV71"/>
      <c r="ARW71"/>
      <c r="ARX71"/>
      <c r="ARY71"/>
      <c r="ARZ71"/>
      <c r="ASA71"/>
      <c r="ASB71"/>
      <c r="ASC71"/>
      <c r="ASD71"/>
      <c r="ASE71"/>
      <c r="ASF71"/>
      <c r="ASG71"/>
      <c r="ASH71"/>
      <c r="ASI71"/>
      <c r="ASJ71"/>
      <c r="ASK71"/>
      <c r="ASL71"/>
      <c r="ASM71"/>
      <c r="ASN71"/>
      <c r="ASO71"/>
      <c r="ASP71"/>
      <c r="ASQ71"/>
      <c r="ASR71"/>
      <c r="ASS71"/>
      <c r="AST71"/>
      <c r="ASU71"/>
      <c r="ASV71"/>
      <c r="ASW71"/>
      <c r="ASX71"/>
      <c r="ASY71"/>
      <c r="ASZ71"/>
      <c r="ATA71"/>
      <c r="ATB71"/>
      <c r="ATC71"/>
      <c r="ATD71"/>
      <c r="ATE71"/>
      <c r="ATF71"/>
      <c r="ATG71"/>
      <c r="ATH71"/>
      <c r="ATI71"/>
      <c r="ATJ71"/>
      <c r="ATK71"/>
      <c r="ATL71"/>
      <c r="ATM71"/>
      <c r="ATN71"/>
      <c r="ATO71"/>
      <c r="ATP71"/>
      <c r="ATQ71"/>
      <c r="ATR71"/>
      <c r="ATS71"/>
      <c r="ATT71"/>
      <c r="ATU71"/>
      <c r="ATV71"/>
      <c r="ATW71"/>
      <c r="ATX71"/>
      <c r="ATY71"/>
      <c r="ATZ71"/>
      <c r="AUA71"/>
      <c r="AUB71"/>
      <c r="AUC71"/>
      <c r="AUD71"/>
      <c r="AUE71"/>
      <c r="AUF71"/>
      <c r="AUG71"/>
      <c r="AUH71"/>
      <c r="AUI71"/>
      <c r="AUJ71"/>
      <c r="AUK71"/>
      <c r="AUL71"/>
      <c r="AUM71"/>
      <c r="AUN71"/>
      <c r="AUO71"/>
      <c r="AUP71"/>
      <c r="AUQ71"/>
      <c r="AUR71"/>
      <c r="AUS71"/>
      <c r="AUT71"/>
      <c r="AUU71"/>
      <c r="AUV71"/>
      <c r="AUW71"/>
      <c r="AUX71"/>
      <c r="AUY71"/>
      <c r="AUZ71"/>
      <c r="AVA71"/>
      <c r="AVB71"/>
      <c r="AVC71"/>
      <c r="AVD71"/>
      <c r="AVE71"/>
      <c r="AVF71"/>
      <c r="AVG71"/>
      <c r="AVH71"/>
      <c r="AVI71"/>
      <c r="AVJ71"/>
      <c r="AVK71"/>
      <c r="AVL71"/>
      <c r="AVM71"/>
      <c r="AVN71"/>
      <c r="AVO71"/>
      <c r="AVP71"/>
      <c r="AVQ71"/>
      <c r="AVR71"/>
      <c r="AVS71"/>
      <c r="AVT71"/>
      <c r="AVU71"/>
      <c r="AVV71"/>
      <c r="AVW71"/>
      <c r="AVX71"/>
      <c r="AVY71"/>
      <c r="AVZ71"/>
      <c r="AWA71"/>
      <c r="AWB71"/>
      <c r="AWC71"/>
      <c r="AWD71"/>
      <c r="AWE71"/>
      <c r="AWF71"/>
      <c r="AWG71"/>
      <c r="AWH71"/>
      <c r="AWI71"/>
      <c r="AWJ71"/>
      <c r="AWK71"/>
      <c r="AWL71"/>
      <c r="AWM71"/>
      <c r="AWN71"/>
      <c r="AWO71"/>
      <c r="AWP71"/>
      <c r="AWQ71"/>
      <c r="AWR71"/>
      <c r="AWS71"/>
      <c r="AWT71"/>
      <c r="AWU71"/>
      <c r="AWV71"/>
      <c r="AWW71"/>
      <c r="AWX71"/>
      <c r="AWY71"/>
      <c r="AWZ71"/>
      <c r="AXA71"/>
      <c r="AXB71"/>
      <c r="AXC71"/>
      <c r="AXD71"/>
      <c r="AXE71"/>
      <c r="AXF71"/>
      <c r="AXG71"/>
      <c r="AXH71"/>
      <c r="AXI71"/>
      <c r="AXJ71"/>
      <c r="AXK71"/>
      <c r="AXL71"/>
      <c r="AXM71"/>
      <c r="AXN71"/>
      <c r="AXO71"/>
      <c r="AXP71"/>
      <c r="AXQ71"/>
      <c r="AXR71"/>
      <c r="AXS71"/>
      <c r="AXT71"/>
      <c r="AXU71"/>
      <c r="AXV71"/>
      <c r="AXW71"/>
      <c r="AXX71"/>
      <c r="AXY71"/>
      <c r="AXZ71"/>
      <c r="AYA71"/>
      <c r="AYB71"/>
      <c r="AYC71"/>
      <c r="AYD71"/>
      <c r="AYE71"/>
      <c r="AYF71"/>
      <c r="AYG71"/>
      <c r="AYH71"/>
      <c r="AYI71"/>
      <c r="AYJ71"/>
      <c r="AYK71"/>
      <c r="AYL71"/>
      <c r="AYM71"/>
      <c r="AYN71"/>
      <c r="AYO71"/>
      <c r="AYP71"/>
      <c r="AYQ71"/>
      <c r="AYR71"/>
      <c r="AYS71"/>
      <c r="AYT71"/>
      <c r="AYU71"/>
      <c r="AYV71"/>
      <c r="AYW71"/>
      <c r="AYX71"/>
      <c r="AYY71"/>
      <c r="AYZ71"/>
      <c r="AZA71"/>
      <c r="AZB71"/>
      <c r="AZC71"/>
      <c r="AZD71"/>
      <c r="AZE71"/>
      <c r="AZF71"/>
      <c r="AZG71"/>
      <c r="AZH71"/>
      <c r="AZI71"/>
      <c r="AZJ71"/>
      <c r="AZK71"/>
      <c r="AZL71"/>
      <c r="AZM71"/>
      <c r="AZN71"/>
      <c r="AZO71"/>
      <c r="AZP71"/>
      <c r="AZQ71"/>
      <c r="AZR71"/>
      <c r="AZS71"/>
      <c r="AZT71"/>
      <c r="AZU71"/>
      <c r="AZV71"/>
      <c r="AZW71"/>
      <c r="AZX71"/>
      <c r="AZY71"/>
      <c r="AZZ71"/>
      <c r="BAA71"/>
      <c r="BAB71"/>
      <c r="BAC71"/>
      <c r="BAD71"/>
      <c r="BAE71"/>
      <c r="BAF71"/>
      <c r="BAG71"/>
      <c r="BAH71"/>
      <c r="BAI71"/>
      <c r="BAJ71"/>
      <c r="BAK71"/>
      <c r="BAL71"/>
      <c r="BAM71"/>
      <c r="BAN71"/>
      <c r="BAO71"/>
      <c r="BAP71"/>
      <c r="BAQ71"/>
      <c r="BAR71"/>
      <c r="BAS71"/>
      <c r="BAT71"/>
      <c r="BAU71"/>
      <c r="BAV71"/>
      <c r="BAW71"/>
      <c r="BAX71"/>
      <c r="BAY71"/>
      <c r="BAZ71"/>
      <c r="BBA71"/>
      <c r="BBB71"/>
      <c r="BBC71"/>
      <c r="BBD71"/>
      <c r="BBE71"/>
      <c r="BBF71"/>
      <c r="BBG71"/>
      <c r="BBH71"/>
      <c r="BBI71"/>
      <c r="BBJ71"/>
      <c r="BBK71"/>
      <c r="BBL71"/>
      <c r="BBM71"/>
      <c r="BBN71"/>
      <c r="BBO71"/>
      <c r="BBP71"/>
      <c r="BBQ71"/>
      <c r="BBR71"/>
      <c r="BBS71"/>
      <c r="BBT71"/>
      <c r="BBU71"/>
      <c r="BBV71"/>
      <c r="BBW71"/>
      <c r="BBX71"/>
      <c r="BBY71"/>
      <c r="BBZ71"/>
      <c r="BCA71"/>
      <c r="BCB71"/>
      <c r="BCC71"/>
      <c r="BCD71"/>
      <c r="BCE71"/>
      <c r="BCF71"/>
      <c r="BCG71"/>
      <c r="BCH71"/>
      <c r="BCI71"/>
      <c r="BCJ71"/>
      <c r="BCK71"/>
      <c r="BCL71"/>
      <c r="BCM71"/>
      <c r="BCN71"/>
      <c r="BCO71"/>
      <c r="BCP71"/>
      <c r="BCQ71"/>
      <c r="BCR71"/>
      <c r="BCS71"/>
      <c r="BCT71"/>
      <c r="BCU71"/>
      <c r="BCV71"/>
      <c r="BCW71"/>
      <c r="BCX71"/>
      <c r="BCY71"/>
      <c r="BCZ71"/>
      <c r="BDA71"/>
      <c r="BDB71"/>
      <c r="BDC71"/>
      <c r="BDD71"/>
      <c r="BDE71"/>
      <c r="BDF71"/>
      <c r="BDG71"/>
      <c r="BDH71"/>
      <c r="BDI71"/>
      <c r="BDJ71"/>
      <c r="BDK71"/>
      <c r="BDL71"/>
      <c r="BDM71"/>
      <c r="BDN71"/>
      <c r="BDO71"/>
      <c r="BDP71"/>
      <c r="BDQ71"/>
      <c r="BDR71"/>
      <c r="BDS71"/>
      <c r="BDT71"/>
      <c r="BDU71"/>
      <c r="BDV71"/>
      <c r="BDW71"/>
      <c r="BDX71"/>
      <c r="BDY71"/>
      <c r="BDZ71"/>
      <c r="BEA71"/>
      <c r="BEB71"/>
      <c r="BEC71"/>
      <c r="BED71"/>
      <c r="BEE71"/>
      <c r="BEF71"/>
      <c r="BEG71"/>
      <c r="BEH71"/>
      <c r="BEI71"/>
      <c r="BEJ71"/>
      <c r="BEK71"/>
      <c r="BEL71"/>
      <c r="BEM71"/>
      <c r="BEN71"/>
      <c r="BEO71"/>
      <c r="BEP71"/>
      <c r="BEQ71"/>
      <c r="BER71"/>
      <c r="BES71"/>
      <c r="BET71"/>
      <c r="BEU71"/>
      <c r="BEV71"/>
      <c r="BEW71"/>
      <c r="BEX71"/>
      <c r="BEY71"/>
      <c r="BEZ71"/>
      <c r="BFA71"/>
      <c r="BFB71"/>
      <c r="BFC71"/>
      <c r="BFD71"/>
      <c r="BFE71"/>
      <c r="BFF71"/>
      <c r="BFG71"/>
      <c r="BFH71"/>
      <c r="BFI71"/>
      <c r="BFJ71"/>
      <c r="BFK71"/>
      <c r="BFL71"/>
      <c r="BFM71"/>
      <c r="BFN71"/>
      <c r="BFO71"/>
      <c r="BFP71"/>
      <c r="BFQ71"/>
      <c r="BFR71"/>
      <c r="BFS71"/>
      <c r="BFT71"/>
      <c r="BFU71"/>
      <c r="BFV71"/>
      <c r="BFW71"/>
      <c r="BFX71"/>
      <c r="BFY71"/>
      <c r="BFZ71"/>
      <c r="BGA71"/>
      <c r="BGB71"/>
      <c r="BGC71"/>
      <c r="BGD71"/>
      <c r="BGE71"/>
      <c r="BGF71"/>
      <c r="BGG71"/>
      <c r="BGH71"/>
      <c r="BGI71"/>
      <c r="BGJ71"/>
      <c r="BGK71"/>
      <c r="BGL71"/>
      <c r="BGM71"/>
      <c r="BGN71"/>
      <c r="BGO71"/>
      <c r="BGP71"/>
      <c r="BGQ71"/>
      <c r="BGR71"/>
      <c r="BGS71"/>
      <c r="BGT71"/>
      <c r="BGU71"/>
      <c r="BGV71"/>
      <c r="BGW71"/>
      <c r="BGX71"/>
      <c r="BGY71"/>
      <c r="BGZ71"/>
      <c r="BHA71"/>
      <c r="BHB71"/>
      <c r="BHC71"/>
      <c r="BHD71"/>
      <c r="BHE71"/>
      <c r="BHF71"/>
      <c r="BHG71"/>
      <c r="BHH71"/>
      <c r="BHI71"/>
      <c r="BHJ71"/>
      <c r="BHK71"/>
      <c r="BHL71"/>
      <c r="BHM71"/>
      <c r="BHN71"/>
      <c r="BHO71"/>
      <c r="BHP71"/>
      <c r="BHQ71"/>
      <c r="BHR71"/>
      <c r="BHS71"/>
      <c r="BHT71"/>
      <c r="BHU71"/>
      <c r="BHV71"/>
      <c r="BHW71"/>
      <c r="BHX71"/>
      <c r="BHY71"/>
      <c r="BHZ71"/>
      <c r="BIA71"/>
      <c r="BIB71"/>
      <c r="BIC71"/>
      <c r="BID71"/>
      <c r="BIE71"/>
      <c r="BIF71"/>
      <c r="BIG71"/>
      <c r="BIH71"/>
      <c r="BII71"/>
      <c r="BIJ71"/>
      <c r="BIK71"/>
      <c r="BIL71"/>
      <c r="BIM71"/>
      <c r="BIN71"/>
      <c r="BIO71"/>
      <c r="BIP71"/>
      <c r="BIQ71"/>
      <c r="BIR71"/>
      <c r="BIS71"/>
      <c r="BIT71"/>
      <c r="BIU71"/>
      <c r="BIV71"/>
      <c r="BIW71"/>
      <c r="BIX71"/>
      <c r="BIY71"/>
      <c r="BIZ71"/>
      <c r="BJA71"/>
      <c r="BJB71"/>
      <c r="BJC71"/>
      <c r="BJD71"/>
      <c r="BJE71"/>
      <c r="BJF71"/>
      <c r="BJG71"/>
      <c r="BJH71"/>
      <c r="BJI71"/>
      <c r="BJJ71"/>
      <c r="BJK71"/>
      <c r="BJL71"/>
      <c r="BJM71"/>
      <c r="BJN71"/>
      <c r="BJO71"/>
      <c r="BJP71"/>
      <c r="BJQ71"/>
      <c r="BJR71"/>
      <c r="BJS71"/>
      <c r="BJT71"/>
      <c r="BJU71"/>
      <c r="BJV71"/>
      <c r="BJW71"/>
      <c r="BJX71"/>
      <c r="BJY71"/>
      <c r="BJZ71"/>
      <c r="BKA71"/>
      <c r="BKB71"/>
      <c r="BKC71"/>
      <c r="BKD71"/>
      <c r="BKE71"/>
      <c r="BKF71"/>
      <c r="BKG71"/>
      <c r="BKH71"/>
      <c r="BKI71"/>
      <c r="BKJ71"/>
      <c r="BKK71"/>
      <c r="BKL71"/>
      <c r="BKM71"/>
      <c r="BKN71"/>
      <c r="BKO71"/>
      <c r="BKP71"/>
      <c r="BKQ71"/>
      <c r="BKR71"/>
      <c r="BKS71"/>
      <c r="BKT71"/>
      <c r="BKU71"/>
      <c r="BKV71"/>
      <c r="BKW71"/>
      <c r="BKX71"/>
      <c r="BKY71"/>
      <c r="BKZ71"/>
      <c r="BLA71"/>
      <c r="BLB71"/>
      <c r="BLC71"/>
      <c r="BLD71"/>
      <c r="BLE71"/>
      <c r="BLF71"/>
      <c r="BLG71"/>
      <c r="BLH71"/>
      <c r="BLI71"/>
      <c r="BLJ71"/>
      <c r="BLK71"/>
      <c r="BLL71"/>
      <c r="BLM71"/>
      <c r="BLN71"/>
      <c r="BLO71"/>
      <c r="BLP71"/>
      <c r="BLQ71"/>
      <c r="BLR71"/>
      <c r="BLS71"/>
      <c r="BLT71"/>
      <c r="BLU71"/>
      <c r="BLV71"/>
      <c r="BLW71"/>
      <c r="BLX71"/>
      <c r="BLY71"/>
      <c r="BLZ71"/>
      <c r="BMA71"/>
      <c r="BMB71"/>
      <c r="BMC71"/>
      <c r="BMD71"/>
      <c r="BME71"/>
      <c r="BMF71"/>
      <c r="BMG71"/>
      <c r="BMH71"/>
      <c r="BMI71"/>
      <c r="BMJ71"/>
      <c r="BMK71"/>
      <c r="BML71"/>
      <c r="BMM71"/>
      <c r="BMN71"/>
      <c r="BMO71"/>
      <c r="BMP71"/>
      <c r="BMQ71"/>
      <c r="BMR71"/>
      <c r="BMS71"/>
      <c r="BMT71"/>
      <c r="BMU71"/>
      <c r="BMV71"/>
      <c r="BMW71"/>
      <c r="BMX71"/>
      <c r="BMY71"/>
      <c r="BMZ71"/>
      <c r="BNA71"/>
      <c r="BNB71"/>
      <c r="BNC71"/>
      <c r="BND71"/>
      <c r="BNE71"/>
      <c r="BNF71"/>
      <c r="BNG71"/>
      <c r="BNH71"/>
      <c r="BNI71"/>
      <c r="BNJ71"/>
      <c r="BNK71"/>
      <c r="BNL71"/>
      <c r="BNM71"/>
      <c r="BNN71"/>
      <c r="BNO71"/>
      <c r="BNP71"/>
      <c r="BNQ71"/>
      <c r="BNR71"/>
      <c r="BNS71"/>
      <c r="BNT71"/>
      <c r="BNU71"/>
      <c r="BNV71"/>
      <c r="BNW71"/>
      <c r="BNX71"/>
      <c r="BNY71"/>
      <c r="BNZ71"/>
      <c r="BOA71"/>
      <c r="BOB71"/>
      <c r="BOC71"/>
      <c r="BOD71"/>
      <c r="BOE71"/>
      <c r="BOF71"/>
      <c r="BOG71"/>
      <c r="BOH71"/>
      <c r="BOI71"/>
      <c r="BOJ71"/>
      <c r="BOK71"/>
      <c r="BOL71"/>
      <c r="BOM71"/>
      <c r="BON71"/>
      <c r="BOO71"/>
      <c r="BOP71"/>
      <c r="BOQ71"/>
      <c r="BOR71"/>
      <c r="BOS71"/>
      <c r="BOT71"/>
      <c r="BOU71"/>
      <c r="BOV71"/>
      <c r="BOW71"/>
      <c r="BOX71"/>
      <c r="BOY71"/>
      <c r="BOZ71"/>
      <c r="BPA71"/>
      <c r="BPB71"/>
      <c r="BPC71"/>
      <c r="BPD71"/>
      <c r="BPE71"/>
      <c r="BPF71"/>
      <c r="BPG71"/>
      <c r="BPH71"/>
      <c r="BPI71"/>
      <c r="BPJ71"/>
      <c r="BPK71"/>
      <c r="BPL71"/>
      <c r="BPM71"/>
      <c r="BPN71"/>
      <c r="BPO71"/>
      <c r="BPP71"/>
      <c r="BPQ71"/>
      <c r="BPR71"/>
      <c r="BPS71"/>
      <c r="BPT71"/>
      <c r="BPU71"/>
      <c r="BPV71"/>
      <c r="BPW71"/>
      <c r="BPX71"/>
      <c r="BPY71"/>
      <c r="BPZ71"/>
      <c r="BQA71"/>
      <c r="BQB71"/>
      <c r="BQC71"/>
      <c r="BQD71"/>
      <c r="BQE71"/>
      <c r="BQF71"/>
      <c r="BQG71"/>
      <c r="BQH71"/>
      <c r="BQI71"/>
      <c r="BQJ71"/>
      <c r="BQK71"/>
      <c r="BQL71"/>
      <c r="BQM71"/>
      <c r="BQN71"/>
      <c r="BQO71"/>
      <c r="BQP71"/>
      <c r="BQQ71"/>
      <c r="BQR71"/>
      <c r="BQS71"/>
      <c r="BQT71"/>
      <c r="BQU71"/>
      <c r="BQV71"/>
      <c r="BQW71"/>
      <c r="BQX71"/>
      <c r="BQY71"/>
      <c r="BQZ71"/>
      <c r="BRA71"/>
      <c r="BRB71"/>
      <c r="BRC71"/>
      <c r="BRD71"/>
      <c r="BRE71"/>
      <c r="BRF71"/>
      <c r="BRG71"/>
      <c r="BRH71"/>
      <c r="BRI71"/>
      <c r="BRJ71"/>
      <c r="BRK71"/>
      <c r="BRL71"/>
      <c r="BRM71"/>
      <c r="BRN71"/>
      <c r="BRO71"/>
      <c r="BRP71"/>
      <c r="BRQ71"/>
      <c r="BRR71"/>
      <c r="BRS71"/>
      <c r="BRT71"/>
      <c r="BRU71"/>
      <c r="BRV71"/>
      <c r="BRW71"/>
      <c r="BRX71"/>
      <c r="BRY71"/>
      <c r="BRZ71"/>
      <c r="BSA71"/>
      <c r="BSB71"/>
      <c r="BSC71"/>
      <c r="BSD71"/>
      <c r="BSE71"/>
      <c r="BSF71"/>
      <c r="BSG71"/>
      <c r="BSH71"/>
      <c r="BSI71"/>
      <c r="BSJ71"/>
      <c r="BSK71"/>
      <c r="BSL71"/>
      <c r="BSM71"/>
      <c r="BSN71"/>
      <c r="BSO71"/>
      <c r="BSP71"/>
      <c r="BSQ71"/>
      <c r="BSR71"/>
      <c r="BSS71"/>
      <c r="BST71"/>
      <c r="BSU71"/>
      <c r="BSV71"/>
      <c r="BSW71"/>
      <c r="BSX71"/>
      <c r="BSY71"/>
      <c r="BSZ71"/>
      <c r="BTA71"/>
      <c r="BTB71"/>
      <c r="BTC71"/>
      <c r="BTD71"/>
      <c r="BTE71"/>
      <c r="BTF71"/>
      <c r="BTG71"/>
      <c r="BTH71"/>
      <c r="BTI71"/>
      <c r="BTJ71"/>
      <c r="BTK71"/>
      <c r="BTL71"/>
      <c r="BTM71"/>
      <c r="BTN71"/>
      <c r="BTO71"/>
      <c r="BTP71"/>
      <c r="BTQ71"/>
      <c r="BTR71"/>
      <c r="BTS71"/>
      <c r="BTT71"/>
      <c r="BTU71"/>
      <c r="BTV71"/>
      <c r="BTW71"/>
      <c r="BTX71"/>
      <c r="BTY71"/>
      <c r="BTZ71"/>
      <c r="BUA71"/>
      <c r="BUB71"/>
      <c r="BUC71"/>
      <c r="BUD71"/>
      <c r="BUE71"/>
      <c r="BUF71"/>
      <c r="BUG71"/>
      <c r="BUH71"/>
      <c r="BUI71"/>
      <c r="BUJ71"/>
      <c r="BUK71"/>
      <c r="BUL71"/>
      <c r="BUM71"/>
      <c r="BUN71"/>
      <c r="BUO71"/>
      <c r="BUP71"/>
      <c r="BUQ71"/>
      <c r="BUR71"/>
      <c r="BUS71"/>
      <c r="BUT71"/>
      <c r="BUU71"/>
      <c r="BUV71"/>
      <c r="BUW71"/>
      <c r="BUX71"/>
      <c r="BUY71"/>
      <c r="BUZ71"/>
      <c r="BVA71"/>
      <c r="BVB71"/>
      <c r="BVC71"/>
      <c r="BVD71"/>
      <c r="BVE71"/>
      <c r="BVF71"/>
      <c r="BVG71"/>
      <c r="BVH71"/>
      <c r="BVI71"/>
      <c r="BVJ71"/>
      <c r="BVK71"/>
      <c r="BVL71"/>
      <c r="BVM71"/>
      <c r="BVN71"/>
      <c r="BVO71"/>
      <c r="BVP71"/>
      <c r="BVQ71"/>
      <c r="BVR71"/>
      <c r="BVS71"/>
      <c r="BVT71"/>
      <c r="BVU71"/>
      <c r="BVV71"/>
      <c r="BVW71"/>
      <c r="BVX71"/>
      <c r="BVY71"/>
      <c r="BVZ71"/>
      <c r="BWA71"/>
      <c r="BWB71"/>
      <c r="BWC71"/>
      <c r="BWD71"/>
      <c r="BWE71"/>
      <c r="BWF71"/>
      <c r="BWG71"/>
      <c r="BWH71"/>
      <c r="BWI71"/>
      <c r="BWJ71"/>
      <c r="BWK71"/>
      <c r="BWL71"/>
      <c r="BWM71"/>
      <c r="BWN71"/>
      <c r="BWO71"/>
      <c r="BWP71"/>
      <c r="BWQ71"/>
      <c r="BWR71"/>
      <c r="BWS71"/>
      <c r="BWT71"/>
      <c r="BWU71"/>
      <c r="BWV71"/>
      <c r="BWW71"/>
      <c r="BWX71"/>
      <c r="BWY71"/>
      <c r="BWZ71"/>
      <c r="BXA71"/>
      <c r="BXB71"/>
      <c r="BXC71"/>
      <c r="BXD71"/>
      <c r="BXE71"/>
      <c r="BXF71"/>
      <c r="BXG71"/>
      <c r="BXH71"/>
      <c r="BXI71"/>
      <c r="BXJ71"/>
      <c r="BXK71"/>
      <c r="BXL71"/>
      <c r="BXM71"/>
      <c r="BXN71"/>
      <c r="BXO71"/>
      <c r="BXP71"/>
      <c r="BXQ71"/>
      <c r="BXR71"/>
      <c r="BXS71"/>
      <c r="BXT71"/>
      <c r="BXU71"/>
      <c r="BXV71"/>
      <c r="BXW71"/>
      <c r="BXX71"/>
      <c r="BXY71"/>
      <c r="BXZ71"/>
      <c r="BYA71"/>
      <c r="BYB71"/>
      <c r="BYC71"/>
      <c r="BYD71"/>
      <c r="BYE71"/>
      <c r="BYF71"/>
      <c r="BYG71"/>
      <c r="BYH71"/>
      <c r="BYI71"/>
      <c r="BYJ71"/>
      <c r="BYK71"/>
      <c r="BYL71"/>
      <c r="BYM71"/>
      <c r="BYN71"/>
      <c r="BYO71"/>
      <c r="BYP71"/>
      <c r="BYQ71"/>
      <c r="BYR71"/>
      <c r="BYS71"/>
      <c r="BYT71"/>
      <c r="BYU71"/>
      <c r="BYV71"/>
      <c r="BYW71"/>
      <c r="BYX71"/>
      <c r="BYY71"/>
      <c r="BYZ71"/>
      <c r="BZA71"/>
      <c r="BZB71"/>
      <c r="BZC71"/>
      <c r="BZD71"/>
      <c r="BZE71"/>
      <c r="BZF71"/>
      <c r="BZG71"/>
      <c r="BZH71"/>
      <c r="BZI71"/>
      <c r="BZJ71"/>
      <c r="BZK71"/>
      <c r="BZL71"/>
      <c r="BZM71"/>
      <c r="BZN71"/>
      <c r="BZO71"/>
      <c r="BZP71"/>
      <c r="BZQ71"/>
      <c r="BZR71"/>
      <c r="BZS71"/>
      <c r="BZT71"/>
      <c r="BZU71"/>
      <c r="BZV71"/>
      <c r="BZW71"/>
      <c r="BZX71"/>
      <c r="BZY71"/>
      <c r="BZZ71"/>
      <c r="CAA71"/>
      <c r="CAB71"/>
      <c r="CAC71"/>
      <c r="CAD71"/>
      <c r="CAE71"/>
      <c r="CAF71"/>
      <c r="CAG71"/>
      <c r="CAH71"/>
      <c r="CAI71"/>
      <c r="CAJ71"/>
      <c r="CAK71"/>
      <c r="CAL71"/>
      <c r="CAM71"/>
      <c r="CAN71"/>
      <c r="CAO71"/>
      <c r="CAP71"/>
      <c r="CAQ71"/>
      <c r="CAR71"/>
      <c r="CAS71"/>
      <c r="CAT71"/>
      <c r="CAU71"/>
      <c r="CAV71"/>
      <c r="CAW71"/>
      <c r="CAX71"/>
      <c r="CAY71"/>
      <c r="CAZ71"/>
      <c r="CBA71"/>
      <c r="CBB71"/>
      <c r="CBC71"/>
      <c r="CBD71"/>
      <c r="CBE71"/>
      <c r="CBF71"/>
      <c r="CBG71"/>
      <c r="CBH71"/>
      <c r="CBI71"/>
      <c r="CBJ71"/>
      <c r="CBK71"/>
      <c r="CBL71"/>
      <c r="CBM71"/>
      <c r="CBN71"/>
      <c r="CBO71"/>
      <c r="CBP71"/>
      <c r="CBQ71"/>
      <c r="CBR71"/>
      <c r="CBS71"/>
      <c r="CBT71"/>
      <c r="CBU71"/>
      <c r="CBV71"/>
      <c r="CBW71"/>
      <c r="CBX71"/>
      <c r="CBY71"/>
      <c r="CBZ71"/>
      <c r="CCA71"/>
      <c r="CCB71"/>
      <c r="CCC71"/>
      <c r="CCD71"/>
      <c r="CCE71"/>
      <c r="CCF71"/>
      <c r="CCG71"/>
      <c r="CCH71"/>
      <c r="CCI71"/>
      <c r="CCJ71"/>
      <c r="CCK71"/>
      <c r="CCL71"/>
      <c r="CCM71"/>
      <c r="CCN71"/>
      <c r="CCO71"/>
      <c r="CCP71"/>
      <c r="CCQ71"/>
      <c r="CCR71"/>
      <c r="CCS71"/>
      <c r="CCT71"/>
      <c r="CCU71"/>
      <c r="CCV71"/>
      <c r="CCW71"/>
      <c r="CCX71"/>
      <c r="CCY71"/>
      <c r="CCZ71"/>
      <c r="CDA71"/>
      <c r="CDB71"/>
      <c r="CDC71"/>
      <c r="CDD71"/>
      <c r="CDE71"/>
      <c r="CDF71"/>
      <c r="CDG71"/>
      <c r="CDH71"/>
      <c r="CDI71"/>
      <c r="CDJ71"/>
      <c r="CDK71"/>
      <c r="CDL71"/>
      <c r="CDM71"/>
      <c r="CDN71"/>
      <c r="CDO71"/>
      <c r="CDP71"/>
      <c r="CDQ71"/>
      <c r="CDR71"/>
      <c r="CDS71"/>
      <c r="CDT71"/>
      <c r="CDU71"/>
      <c r="CDV71"/>
      <c r="CDW71"/>
      <c r="CDX71"/>
      <c r="CDY71"/>
      <c r="CDZ71"/>
      <c r="CEA71"/>
      <c r="CEB71"/>
      <c r="CEC71"/>
      <c r="CED71"/>
      <c r="CEE71"/>
      <c r="CEF71"/>
      <c r="CEG71"/>
      <c r="CEH71"/>
      <c r="CEI71"/>
      <c r="CEJ71"/>
      <c r="CEK71"/>
      <c r="CEL71"/>
      <c r="CEM71"/>
      <c r="CEN71"/>
      <c r="CEO71"/>
      <c r="CEP71"/>
      <c r="CEQ71"/>
      <c r="CER71"/>
      <c r="CES71"/>
      <c r="CET71"/>
      <c r="CEU71"/>
      <c r="CEV71"/>
      <c r="CEW71"/>
      <c r="CEX71"/>
      <c r="CEY71"/>
      <c r="CEZ71"/>
      <c r="CFA71"/>
      <c r="CFB71"/>
      <c r="CFC71"/>
      <c r="CFD71"/>
      <c r="CFE71"/>
      <c r="CFF71"/>
      <c r="CFG71"/>
      <c r="CFH71"/>
      <c r="CFI71"/>
      <c r="CFJ71"/>
      <c r="CFK71"/>
      <c r="CFL71"/>
      <c r="CFM71"/>
      <c r="CFN71"/>
      <c r="CFO71"/>
      <c r="CFP71"/>
      <c r="CFQ71"/>
      <c r="CFR71"/>
      <c r="CFS71"/>
      <c r="CFT71"/>
      <c r="CFU71"/>
      <c r="CFV71"/>
      <c r="CFW71"/>
      <c r="CFX71"/>
      <c r="CFY71"/>
      <c r="CFZ71"/>
      <c r="CGA71"/>
      <c r="CGB71"/>
      <c r="CGC71"/>
      <c r="CGD71"/>
      <c r="CGE71"/>
      <c r="CGF71"/>
      <c r="CGG71"/>
      <c r="CGH71"/>
      <c r="CGI71"/>
      <c r="CGJ71"/>
      <c r="CGK71"/>
      <c r="CGL71"/>
      <c r="CGM71"/>
      <c r="CGN71"/>
      <c r="CGO71"/>
      <c r="CGP71"/>
      <c r="CGQ71"/>
      <c r="CGR71"/>
      <c r="CGS71"/>
      <c r="CGT71"/>
      <c r="CGU71"/>
      <c r="CGV71"/>
      <c r="CGW71"/>
      <c r="CGX71"/>
      <c r="CGY71"/>
      <c r="CGZ71"/>
      <c r="CHA71"/>
      <c r="CHB71"/>
      <c r="CHC71"/>
      <c r="CHD71"/>
      <c r="CHE71"/>
      <c r="CHF71"/>
      <c r="CHG71"/>
      <c r="CHH71"/>
      <c r="CHI71"/>
      <c r="CHJ71"/>
      <c r="CHK71"/>
      <c r="CHL71"/>
      <c r="CHM71"/>
      <c r="CHN71"/>
      <c r="CHO71"/>
      <c r="CHP71"/>
      <c r="CHQ71"/>
      <c r="CHR71"/>
      <c r="CHS71"/>
      <c r="CHT71"/>
      <c r="CHU71"/>
      <c r="CHV71"/>
      <c r="CHW71"/>
      <c r="CHX71"/>
      <c r="CHY71"/>
      <c r="CHZ71"/>
      <c r="CIA71"/>
      <c r="CIB71"/>
      <c r="CIC71"/>
      <c r="CID71"/>
      <c r="CIE71"/>
      <c r="CIF71"/>
      <c r="CIG71"/>
      <c r="CIH71"/>
      <c r="CII71"/>
      <c r="CIJ71"/>
      <c r="CIK71"/>
      <c r="CIL71"/>
      <c r="CIM71"/>
      <c r="CIN71"/>
      <c r="CIO71"/>
      <c r="CIP71"/>
      <c r="CIQ71"/>
      <c r="CIR71"/>
      <c r="CIS71"/>
      <c r="CIT71"/>
      <c r="CIU71"/>
      <c r="CIV71"/>
      <c r="CIW71"/>
      <c r="CIX71"/>
      <c r="CIY71"/>
      <c r="CIZ71"/>
      <c r="CJA71"/>
      <c r="CJB71"/>
      <c r="CJC71"/>
      <c r="CJD71"/>
      <c r="CJE71"/>
      <c r="CJF71"/>
      <c r="CJG71"/>
      <c r="CJH71"/>
      <c r="CJI71"/>
      <c r="CJJ71"/>
      <c r="CJK71"/>
      <c r="CJL71"/>
      <c r="CJM71"/>
      <c r="CJN71"/>
      <c r="CJO71"/>
      <c r="CJP71"/>
      <c r="CJQ71"/>
      <c r="CJR71"/>
      <c r="CJS71"/>
      <c r="CJT71"/>
      <c r="CJU71"/>
      <c r="CJV71"/>
      <c r="CJW71"/>
      <c r="CJX71"/>
      <c r="CJY71"/>
      <c r="CJZ71"/>
      <c r="CKA71"/>
      <c r="CKB71"/>
      <c r="CKC71"/>
      <c r="CKD71"/>
      <c r="CKE71"/>
      <c r="CKF71"/>
      <c r="CKG71"/>
      <c r="CKH71"/>
      <c r="CKI71"/>
      <c r="CKJ71"/>
      <c r="CKK71"/>
      <c r="CKL71"/>
      <c r="CKM71"/>
      <c r="CKN71"/>
      <c r="CKO71"/>
      <c r="CKP71"/>
      <c r="CKQ71"/>
      <c r="CKR71"/>
      <c r="CKS71"/>
      <c r="CKT71"/>
      <c r="CKU71"/>
      <c r="CKV71"/>
      <c r="CKW71"/>
      <c r="CKX71"/>
      <c r="CKY71"/>
      <c r="CKZ71"/>
      <c r="CLA71"/>
      <c r="CLB71"/>
      <c r="CLC71"/>
      <c r="CLD71"/>
      <c r="CLE71"/>
      <c r="CLF71"/>
      <c r="CLG71"/>
      <c r="CLH71"/>
      <c r="CLI71"/>
      <c r="CLJ71"/>
      <c r="CLK71"/>
      <c r="CLL71"/>
      <c r="CLM71"/>
      <c r="CLN71"/>
      <c r="CLO71"/>
      <c r="CLP71"/>
      <c r="CLQ71"/>
      <c r="CLR71"/>
      <c r="CLS71"/>
      <c r="CLT71"/>
      <c r="CLU71"/>
      <c r="CLV71"/>
      <c r="CLW71"/>
      <c r="CLX71"/>
      <c r="CLY71"/>
      <c r="CLZ71"/>
      <c r="CMA71"/>
      <c r="CMB71"/>
      <c r="CMC71"/>
      <c r="CMD71"/>
      <c r="CME71"/>
      <c r="CMF71"/>
      <c r="CMG71"/>
      <c r="CMH71"/>
      <c r="CMI71"/>
      <c r="CMJ71"/>
      <c r="CMK71"/>
      <c r="CML71"/>
      <c r="CMM71"/>
      <c r="CMN71"/>
      <c r="CMO71"/>
      <c r="CMP71"/>
      <c r="CMQ71"/>
      <c r="CMR71"/>
      <c r="CMS71"/>
      <c r="CMT71"/>
      <c r="CMU71"/>
      <c r="CMV71"/>
      <c r="CMW71"/>
      <c r="CMX71"/>
      <c r="CMY71"/>
      <c r="CMZ71"/>
      <c r="CNA71"/>
      <c r="CNB71"/>
      <c r="CNC71"/>
      <c r="CND71"/>
      <c r="CNE71"/>
      <c r="CNF71"/>
      <c r="CNG71"/>
      <c r="CNH71"/>
      <c r="CNI71"/>
      <c r="CNJ71"/>
      <c r="CNK71"/>
      <c r="CNL71"/>
      <c r="CNM71"/>
      <c r="CNN71"/>
      <c r="CNO71"/>
      <c r="CNP71"/>
      <c r="CNQ71"/>
      <c r="CNR71"/>
      <c r="CNS71"/>
      <c r="CNT71"/>
      <c r="CNU71"/>
      <c r="CNV71"/>
      <c r="CNW71"/>
      <c r="CNX71"/>
      <c r="CNY71"/>
      <c r="CNZ71"/>
      <c r="COA71"/>
      <c r="COB71"/>
      <c r="COC71"/>
      <c r="COD71"/>
      <c r="COE71"/>
      <c r="COF71"/>
      <c r="COG71"/>
      <c r="COH71"/>
      <c r="COI71"/>
      <c r="COJ71"/>
      <c r="COK71"/>
      <c r="COL71"/>
      <c r="COM71"/>
      <c r="CON71"/>
      <c r="COO71"/>
      <c r="COP71"/>
      <c r="COQ71"/>
      <c r="COR71"/>
      <c r="COS71"/>
      <c r="COT71"/>
      <c r="COU71"/>
      <c r="COV71"/>
      <c r="COW71"/>
      <c r="COX71"/>
      <c r="COY71"/>
      <c r="COZ71"/>
      <c r="CPA71"/>
      <c r="CPB71"/>
      <c r="CPC71"/>
      <c r="CPD71"/>
      <c r="CPE71"/>
      <c r="CPF71"/>
      <c r="CPG71"/>
      <c r="CPH71"/>
      <c r="CPI71"/>
      <c r="CPJ71"/>
      <c r="CPK71"/>
      <c r="CPL71"/>
      <c r="CPM71"/>
      <c r="CPN71"/>
      <c r="CPO71"/>
      <c r="CPP71"/>
      <c r="CPQ71"/>
      <c r="CPR71"/>
      <c r="CPS71"/>
      <c r="CPT71"/>
      <c r="CPU71"/>
      <c r="CPV71"/>
      <c r="CPW71"/>
      <c r="CPX71"/>
      <c r="CPY71"/>
      <c r="CPZ71"/>
      <c r="CQA71"/>
      <c r="CQB71"/>
      <c r="CQC71"/>
      <c r="CQD71"/>
      <c r="CQE71"/>
      <c r="CQF71"/>
      <c r="CQG71"/>
      <c r="CQH71"/>
      <c r="CQI71"/>
      <c r="CQJ71"/>
      <c r="CQK71"/>
      <c r="CQL71"/>
      <c r="CQM71"/>
      <c r="CQN71"/>
      <c r="CQO71"/>
      <c r="CQP71"/>
      <c r="CQQ71"/>
      <c r="CQR71"/>
      <c r="CQS71"/>
      <c r="CQT71"/>
      <c r="CQU71"/>
      <c r="CQV71"/>
      <c r="CQW71"/>
      <c r="CQX71"/>
      <c r="CQY71"/>
      <c r="CQZ71"/>
      <c r="CRA71"/>
      <c r="CRB71"/>
      <c r="CRC71"/>
      <c r="CRD71"/>
      <c r="CRE71"/>
      <c r="CRF71"/>
      <c r="CRG71"/>
      <c r="CRH71"/>
      <c r="CRI71"/>
      <c r="CRJ71"/>
      <c r="CRK71"/>
      <c r="CRL71"/>
      <c r="CRM71"/>
      <c r="CRN71"/>
      <c r="CRO71"/>
      <c r="CRP71"/>
      <c r="CRQ71"/>
      <c r="CRR71"/>
      <c r="CRS71"/>
      <c r="CRT71"/>
      <c r="CRU71"/>
      <c r="CRV71"/>
      <c r="CRW71"/>
      <c r="CRX71"/>
      <c r="CRY71"/>
      <c r="CRZ71"/>
      <c r="CSA71"/>
      <c r="CSB71"/>
      <c r="CSC71"/>
      <c r="CSD71"/>
      <c r="CSE71"/>
      <c r="CSF71"/>
      <c r="CSG71"/>
      <c r="CSH71"/>
      <c r="CSI71"/>
      <c r="CSJ71"/>
      <c r="CSK71"/>
      <c r="CSL71"/>
      <c r="CSM71"/>
      <c r="CSN71"/>
      <c r="CSO71"/>
      <c r="CSP71"/>
      <c r="CSQ71"/>
      <c r="CSR71"/>
      <c r="CSS71"/>
      <c r="CST71"/>
      <c r="CSU71"/>
      <c r="CSV71"/>
      <c r="CSW71"/>
      <c r="CSX71"/>
      <c r="CSY71"/>
      <c r="CSZ71"/>
      <c r="CTA71"/>
      <c r="CTB71"/>
      <c r="CTC71"/>
      <c r="CTD71"/>
      <c r="CTE71"/>
      <c r="CTF71"/>
      <c r="CTG71"/>
      <c r="CTH71"/>
      <c r="CTI71"/>
      <c r="CTJ71"/>
      <c r="CTK71"/>
      <c r="CTL71"/>
      <c r="CTM71"/>
      <c r="CTN71"/>
      <c r="CTO71"/>
      <c r="CTP71"/>
      <c r="CTQ71"/>
      <c r="CTR71"/>
      <c r="CTS71"/>
      <c r="CTT71"/>
      <c r="CTU71"/>
      <c r="CTV71"/>
      <c r="CTW71"/>
      <c r="CTX71"/>
      <c r="CTY71"/>
      <c r="CTZ71"/>
      <c r="CUA71"/>
      <c r="CUB71"/>
      <c r="CUC71"/>
      <c r="CUD71"/>
      <c r="CUE71"/>
      <c r="CUF71"/>
      <c r="CUG71"/>
      <c r="CUH71"/>
      <c r="CUI71"/>
      <c r="CUJ71"/>
      <c r="CUK71"/>
      <c r="CUL71"/>
      <c r="CUM71"/>
      <c r="CUN71"/>
      <c r="CUO71"/>
      <c r="CUP71"/>
      <c r="CUQ71"/>
      <c r="CUR71"/>
      <c r="CUS71"/>
      <c r="CUT71"/>
      <c r="CUU71"/>
      <c r="CUV71"/>
      <c r="CUW71"/>
      <c r="CUX71"/>
      <c r="CUY71"/>
      <c r="CUZ71"/>
      <c r="CVA71"/>
      <c r="CVB71"/>
      <c r="CVC71"/>
      <c r="CVD71"/>
      <c r="CVE71"/>
      <c r="CVF71"/>
      <c r="CVG71"/>
      <c r="CVH71"/>
      <c r="CVI71"/>
      <c r="CVJ71"/>
      <c r="CVK71"/>
      <c r="CVL71"/>
      <c r="CVM71"/>
      <c r="CVN71"/>
      <c r="CVO71"/>
      <c r="CVP71"/>
      <c r="CVQ71"/>
      <c r="CVR71"/>
      <c r="CVS71"/>
      <c r="CVT71"/>
      <c r="CVU71"/>
      <c r="CVV71"/>
      <c r="CVW71"/>
      <c r="CVX71"/>
      <c r="CVY71"/>
      <c r="CVZ71"/>
      <c r="CWA71"/>
      <c r="CWB71"/>
      <c r="CWC71"/>
      <c r="CWD71"/>
      <c r="CWE71"/>
      <c r="CWF71"/>
      <c r="CWG71"/>
      <c r="CWH71"/>
      <c r="CWI71"/>
      <c r="CWJ71"/>
      <c r="CWK71"/>
      <c r="CWL71"/>
      <c r="CWM71"/>
      <c r="CWN71"/>
      <c r="CWO71"/>
      <c r="CWP71"/>
      <c r="CWQ71"/>
      <c r="CWR71"/>
      <c r="CWS71"/>
      <c r="CWT71"/>
      <c r="CWU71"/>
      <c r="CWV71"/>
      <c r="CWW71"/>
      <c r="CWX71"/>
      <c r="CWY71"/>
      <c r="CWZ71"/>
      <c r="CXA71"/>
      <c r="CXB71"/>
      <c r="CXC71"/>
      <c r="CXD71"/>
      <c r="CXE71"/>
      <c r="CXF71"/>
      <c r="CXG71"/>
      <c r="CXH71"/>
      <c r="CXI71"/>
      <c r="CXJ71"/>
      <c r="CXK71"/>
      <c r="CXL71"/>
      <c r="CXM71"/>
      <c r="CXN71"/>
      <c r="CXO71"/>
      <c r="CXP71"/>
      <c r="CXQ71"/>
      <c r="CXR71"/>
      <c r="CXS71"/>
      <c r="CXT71"/>
      <c r="CXU71"/>
      <c r="CXV71"/>
      <c r="CXW71"/>
      <c r="CXX71"/>
      <c r="CXY71"/>
      <c r="CXZ71"/>
      <c r="CYA71"/>
      <c r="CYB71"/>
      <c r="CYC71"/>
      <c r="CYD71"/>
      <c r="CYE71"/>
      <c r="CYF71"/>
      <c r="CYG71"/>
      <c r="CYH71"/>
      <c r="CYI71"/>
      <c r="CYJ71"/>
      <c r="CYK71"/>
      <c r="CYL71"/>
      <c r="CYM71"/>
      <c r="CYN71"/>
      <c r="CYO71"/>
      <c r="CYP71"/>
      <c r="CYQ71"/>
      <c r="CYR71"/>
      <c r="CYS71"/>
      <c r="CYT71"/>
      <c r="CYU71"/>
      <c r="CYV71"/>
      <c r="CYW71"/>
      <c r="CYX71"/>
      <c r="CYY71"/>
      <c r="CYZ71"/>
      <c r="CZA71"/>
      <c r="CZB71"/>
      <c r="CZC71"/>
      <c r="CZD71"/>
      <c r="CZE71"/>
      <c r="CZF71"/>
      <c r="CZG71"/>
      <c r="CZH71"/>
      <c r="CZI71"/>
      <c r="CZJ71"/>
      <c r="CZK71"/>
      <c r="CZL71"/>
      <c r="CZM71"/>
      <c r="CZN71"/>
      <c r="CZO71"/>
      <c r="CZP71"/>
      <c r="CZQ71"/>
      <c r="CZR71"/>
      <c r="CZS71"/>
      <c r="CZT71"/>
      <c r="CZU71"/>
      <c r="CZV71"/>
      <c r="CZW71"/>
      <c r="CZX71"/>
      <c r="CZY71"/>
      <c r="CZZ71"/>
      <c r="DAA71"/>
      <c r="DAB71"/>
      <c r="DAC71"/>
      <c r="DAD71"/>
      <c r="DAE71"/>
      <c r="DAF71"/>
      <c r="DAG71"/>
      <c r="DAH71"/>
      <c r="DAI71"/>
      <c r="DAJ71"/>
      <c r="DAK71"/>
      <c r="DAL71"/>
      <c r="DAM71"/>
      <c r="DAN71"/>
      <c r="DAO71"/>
      <c r="DAP71"/>
      <c r="DAQ71"/>
      <c r="DAR71"/>
      <c r="DAS71"/>
      <c r="DAT71"/>
      <c r="DAU71"/>
      <c r="DAV71"/>
      <c r="DAW71"/>
      <c r="DAX71"/>
      <c r="DAY71"/>
      <c r="DAZ71"/>
      <c r="DBA71"/>
      <c r="DBB71"/>
      <c r="DBC71"/>
      <c r="DBD71"/>
      <c r="DBE71"/>
      <c r="DBF71"/>
      <c r="DBG71"/>
      <c r="DBH71"/>
      <c r="DBI71"/>
      <c r="DBJ71"/>
      <c r="DBK71"/>
      <c r="DBL71"/>
      <c r="DBM71"/>
      <c r="DBN71"/>
      <c r="DBO71"/>
      <c r="DBP71"/>
      <c r="DBQ71"/>
      <c r="DBR71"/>
      <c r="DBS71"/>
      <c r="DBT71"/>
      <c r="DBU71"/>
      <c r="DBV71"/>
      <c r="DBW71"/>
      <c r="DBX71"/>
      <c r="DBY71"/>
      <c r="DBZ71"/>
      <c r="DCA71"/>
      <c r="DCB71"/>
      <c r="DCC71"/>
      <c r="DCD71"/>
      <c r="DCE71"/>
      <c r="DCF71"/>
      <c r="DCG71"/>
      <c r="DCH71"/>
      <c r="DCI71"/>
      <c r="DCJ71"/>
      <c r="DCK71"/>
      <c r="DCL71"/>
      <c r="DCM71"/>
      <c r="DCN71"/>
      <c r="DCO71"/>
      <c r="DCP71"/>
      <c r="DCQ71"/>
      <c r="DCR71"/>
      <c r="DCS71"/>
      <c r="DCT71"/>
      <c r="DCU71"/>
      <c r="DCV71"/>
      <c r="DCW71"/>
      <c r="DCX71"/>
      <c r="DCY71"/>
      <c r="DCZ71"/>
      <c r="DDA71"/>
      <c r="DDB71"/>
      <c r="DDC71"/>
      <c r="DDD71"/>
      <c r="DDE71"/>
      <c r="DDF71"/>
      <c r="DDG71"/>
      <c r="DDH71"/>
      <c r="DDI71"/>
      <c r="DDJ71"/>
      <c r="DDK71"/>
      <c r="DDL71"/>
      <c r="DDM71"/>
      <c r="DDN71"/>
      <c r="DDO71"/>
      <c r="DDP71"/>
      <c r="DDQ71"/>
      <c r="DDR71"/>
      <c r="DDS71"/>
      <c r="DDT71"/>
      <c r="DDU71"/>
      <c r="DDV71"/>
      <c r="DDW71"/>
      <c r="DDX71"/>
      <c r="DDY71"/>
      <c r="DDZ71"/>
      <c r="DEA71"/>
      <c r="DEB71"/>
      <c r="DEC71"/>
      <c r="DED71"/>
      <c r="DEE71"/>
      <c r="DEF71"/>
      <c r="DEG71"/>
      <c r="DEH71"/>
      <c r="DEI71"/>
      <c r="DEJ71"/>
      <c r="DEK71"/>
      <c r="DEL71"/>
      <c r="DEM71"/>
      <c r="DEN71"/>
      <c r="DEO71"/>
      <c r="DEP71"/>
      <c r="DEQ71"/>
      <c r="DER71"/>
      <c r="DES71"/>
      <c r="DET71"/>
      <c r="DEU71"/>
      <c r="DEV71"/>
      <c r="DEW71"/>
      <c r="DEX71"/>
      <c r="DEY71"/>
      <c r="DEZ71"/>
      <c r="DFA71"/>
      <c r="DFB71"/>
      <c r="DFC71"/>
      <c r="DFD71"/>
      <c r="DFE71"/>
      <c r="DFF71"/>
      <c r="DFG71"/>
      <c r="DFH71"/>
      <c r="DFI71"/>
      <c r="DFJ71"/>
      <c r="DFK71"/>
      <c r="DFL71"/>
      <c r="DFM71"/>
      <c r="DFN71"/>
      <c r="DFO71"/>
      <c r="DFP71"/>
      <c r="DFQ71"/>
      <c r="DFR71"/>
      <c r="DFS71"/>
      <c r="DFT71"/>
      <c r="DFU71"/>
      <c r="DFV71"/>
      <c r="DFW71"/>
      <c r="DFX71"/>
      <c r="DFY71"/>
      <c r="DFZ71"/>
      <c r="DGA71"/>
      <c r="DGB71"/>
      <c r="DGC71"/>
      <c r="DGD71"/>
      <c r="DGE71"/>
      <c r="DGF71"/>
      <c r="DGG71"/>
      <c r="DGH71"/>
      <c r="DGI71"/>
      <c r="DGJ71"/>
      <c r="DGK71"/>
      <c r="DGL71"/>
      <c r="DGM71"/>
      <c r="DGN71"/>
      <c r="DGO71"/>
      <c r="DGP71"/>
      <c r="DGQ71"/>
      <c r="DGR71"/>
      <c r="DGS71"/>
      <c r="DGT71"/>
      <c r="DGU71"/>
      <c r="DGV71"/>
      <c r="DGW71"/>
      <c r="DGX71"/>
      <c r="DGY71"/>
      <c r="DGZ71"/>
      <c r="DHA71"/>
      <c r="DHB71"/>
      <c r="DHC71"/>
      <c r="DHD71"/>
      <c r="DHE71"/>
      <c r="DHF71"/>
      <c r="DHG71"/>
      <c r="DHH71"/>
      <c r="DHI71"/>
      <c r="DHJ71"/>
      <c r="DHK71"/>
      <c r="DHL71"/>
      <c r="DHM71"/>
      <c r="DHN71"/>
      <c r="DHO71"/>
      <c r="DHP71"/>
      <c r="DHQ71"/>
      <c r="DHR71"/>
      <c r="DHS71"/>
      <c r="DHT71"/>
      <c r="DHU71"/>
      <c r="DHV71"/>
      <c r="DHW71"/>
      <c r="DHX71"/>
      <c r="DHY71"/>
      <c r="DHZ71"/>
      <c r="DIA71"/>
      <c r="DIB71"/>
      <c r="DIC71"/>
      <c r="DID71"/>
      <c r="DIE71"/>
      <c r="DIF71"/>
      <c r="DIG71"/>
      <c r="DIH71"/>
      <c r="DII71"/>
      <c r="DIJ71"/>
      <c r="DIK71"/>
      <c r="DIL71"/>
      <c r="DIM71"/>
      <c r="DIN71"/>
      <c r="DIO71"/>
      <c r="DIP71"/>
      <c r="DIQ71"/>
      <c r="DIR71"/>
      <c r="DIS71"/>
      <c r="DIT71"/>
      <c r="DIU71"/>
      <c r="DIV71"/>
      <c r="DIW71"/>
      <c r="DIX71"/>
      <c r="DIY71"/>
      <c r="DIZ71"/>
      <c r="DJA71"/>
      <c r="DJB71"/>
      <c r="DJC71"/>
      <c r="DJD71"/>
      <c r="DJE71"/>
      <c r="DJF71"/>
      <c r="DJG71"/>
      <c r="DJH71"/>
      <c r="DJI71"/>
      <c r="DJJ71"/>
      <c r="DJK71"/>
      <c r="DJL71"/>
      <c r="DJM71"/>
      <c r="DJN71"/>
      <c r="DJO71"/>
      <c r="DJP71"/>
      <c r="DJQ71"/>
      <c r="DJR71"/>
      <c r="DJS71"/>
      <c r="DJT71"/>
      <c r="DJU71"/>
      <c r="DJV71"/>
      <c r="DJW71"/>
      <c r="DJX71"/>
      <c r="DJY71"/>
      <c r="DJZ71"/>
      <c r="DKA71"/>
      <c r="DKB71"/>
      <c r="DKC71"/>
      <c r="DKD71"/>
      <c r="DKE71"/>
      <c r="DKF71"/>
      <c r="DKG71"/>
      <c r="DKH71"/>
      <c r="DKI71"/>
      <c r="DKJ71"/>
      <c r="DKK71"/>
      <c r="DKL71"/>
      <c r="DKM71"/>
      <c r="DKN71"/>
      <c r="DKO71"/>
      <c r="DKP71"/>
      <c r="DKQ71"/>
      <c r="DKR71"/>
      <c r="DKS71"/>
      <c r="DKT71"/>
      <c r="DKU71"/>
      <c r="DKV71"/>
      <c r="DKW71"/>
      <c r="DKX71"/>
      <c r="DKY71"/>
      <c r="DKZ71"/>
      <c r="DLA71"/>
      <c r="DLB71"/>
      <c r="DLC71"/>
      <c r="DLD71"/>
      <c r="DLE71"/>
      <c r="DLF71"/>
      <c r="DLG71"/>
      <c r="DLH71"/>
      <c r="DLI71"/>
      <c r="DLJ71"/>
      <c r="DLK71"/>
      <c r="DLL71"/>
      <c r="DLM71"/>
      <c r="DLN71"/>
      <c r="DLO71"/>
      <c r="DLP71"/>
      <c r="DLQ71"/>
      <c r="DLR71"/>
      <c r="DLS71"/>
      <c r="DLT71"/>
      <c r="DLU71"/>
      <c r="DLV71"/>
      <c r="DLW71"/>
      <c r="DLX71"/>
      <c r="DLY71"/>
      <c r="DLZ71"/>
      <c r="DMA71"/>
      <c r="DMB71"/>
      <c r="DMC71"/>
      <c r="DMD71"/>
      <c r="DME71"/>
      <c r="DMF71"/>
      <c r="DMG71"/>
      <c r="DMH71"/>
      <c r="DMI71"/>
      <c r="DMJ71"/>
      <c r="DMK71"/>
      <c r="DML71"/>
      <c r="DMM71"/>
      <c r="DMN71"/>
      <c r="DMO71"/>
      <c r="DMP71"/>
      <c r="DMQ71"/>
      <c r="DMR71"/>
      <c r="DMS71"/>
      <c r="DMT71"/>
      <c r="DMU71"/>
      <c r="DMV71"/>
      <c r="DMW71"/>
      <c r="DMX71"/>
      <c r="DMY71"/>
      <c r="DMZ71"/>
      <c r="DNA71"/>
      <c r="DNB71"/>
      <c r="DNC71"/>
      <c r="DND71"/>
      <c r="DNE71"/>
      <c r="DNF71"/>
      <c r="DNG71"/>
      <c r="DNH71"/>
      <c r="DNI71"/>
      <c r="DNJ71"/>
      <c r="DNK71"/>
      <c r="DNL71"/>
      <c r="DNM71"/>
      <c r="DNN71"/>
      <c r="DNO71"/>
      <c r="DNP71"/>
      <c r="DNQ71"/>
      <c r="DNR71"/>
      <c r="DNS71"/>
      <c r="DNT71"/>
      <c r="DNU71"/>
      <c r="DNV71"/>
      <c r="DNW71"/>
      <c r="DNX71"/>
      <c r="DNY71"/>
      <c r="DNZ71"/>
      <c r="DOA71"/>
      <c r="DOB71"/>
      <c r="DOC71"/>
      <c r="DOD71"/>
      <c r="DOE71"/>
      <c r="DOF71"/>
      <c r="DOG71"/>
      <c r="DOH71"/>
      <c r="DOI71"/>
      <c r="DOJ71"/>
      <c r="DOK71"/>
      <c r="DOL71"/>
      <c r="DOM71"/>
      <c r="DON71"/>
      <c r="DOO71"/>
      <c r="DOP71"/>
      <c r="DOQ71"/>
      <c r="DOR71"/>
      <c r="DOS71"/>
      <c r="DOT71"/>
      <c r="DOU71"/>
      <c r="DOV71"/>
      <c r="DOW71"/>
      <c r="DOX71"/>
      <c r="DOY71"/>
      <c r="DOZ71"/>
      <c r="DPA71"/>
      <c r="DPB71"/>
      <c r="DPC71"/>
      <c r="DPD71"/>
      <c r="DPE71"/>
      <c r="DPF71"/>
      <c r="DPG71"/>
      <c r="DPH71"/>
      <c r="DPI71"/>
      <c r="DPJ71"/>
      <c r="DPK71"/>
      <c r="DPL71"/>
      <c r="DPM71"/>
      <c r="DPN71"/>
      <c r="DPO71"/>
      <c r="DPP71"/>
      <c r="DPQ71"/>
      <c r="DPR71"/>
      <c r="DPS71"/>
      <c r="DPT71"/>
      <c r="DPU71"/>
      <c r="DPV71"/>
      <c r="DPW71"/>
      <c r="DPX71"/>
      <c r="DPY71"/>
      <c r="DPZ71"/>
      <c r="DQA71"/>
      <c r="DQB71"/>
      <c r="DQC71"/>
      <c r="DQD71"/>
      <c r="DQE71"/>
      <c r="DQF71"/>
      <c r="DQG71"/>
      <c r="DQH71"/>
      <c r="DQI71"/>
      <c r="DQJ71"/>
      <c r="DQK71"/>
      <c r="DQL71"/>
      <c r="DQM71"/>
      <c r="DQN71"/>
      <c r="DQO71"/>
      <c r="DQP71"/>
      <c r="DQQ71"/>
      <c r="DQR71"/>
      <c r="DQS71"/>
      <c r="DQT71"/>
      <c r="DQU71"/>
      <c r="DQV71"/>
      <c r="DQW71"/>
      <c r="DQX71"/>
      <c r="DQY71"/>
      <c r="DQZ71"/>
      <c r="DRA71"/>
      <c r="DRB71"/>
      <c r="DRC71"/>
      <c r="DRD71"/>
      <c r="DRE71"/>
      <c r="DRF71"/>
      <c r="DRG71"/>
      <c r="DRH71"/>
      <c r="DRI71"/>
      <c r="DRJ71"/>
      <c r="DRK71"/>
      <c r="DRL71"/>
      <c r="DRM71"/>
      <c r="DRN71"/>
      <c r="DRO71"/>
      <c r="DRP71"/>
      <c r="DRQ71"/>
      <c r="DRR71"/>
      <c r="DRS71"/>
      <c r="DRT71"/>
      <c r="DRU71"/>
      <c r="DRV71"/>
      <c r="DRW71"/>
      <c r="DRX71"/>
      <c r="DRY71"/>
      <c r="DRZ71"/>
      <c r="DSA71"/>
      <c r="DSB71"/>
      <c r="DSC71"/>
      <c r="DSD71"/>
      <c r="DSE71"/>
      <c r="DSF71"/>
      <c r="DSG71"/>
      <c r="DSH71"/>
      <c r="DSI71"/>
      <c r="DSJ71"/>
      <c r="DSK71"/>
      <c r="DSL71"/>
      <c r="DSM71"/>
      <c r="DSN71"/>
      <c r="DSO71"/>
      <c r="DSP71"/>
      <c r="DSQ71"/>
      <c r="DSR71"/>
      <c r="DSS71"/>
      <c r="DST71"/>
      <c r="DSU71"/>
      <c r="DSV71"/>
      <c r="DSW71"/>
      <c r="DSX71"/>
      <c r="DSY71"/>
      <c r="DSZ71"/>
      <c r="DTA71"/>
      <c r="DTB71"/>
      <c r="DTC71"/>
      <c r="DTD71"/>
      <c r="DTE71"/>
      <c r="DTF71"/>
      <c r="DTG71"/>
      <c r="DTH71"/>
      <c r="DTI71"/>
      <c r="DTJ71"/>
      <c r="DTK71"/>
      <c r="DTL71"/>
      <c r="DTM71"/>
      <c r="DTN71"/>
      <c r="DTO71"/>
      <c r="DTP71"/>
      <c r="DTQ71"/>
      <c r="DTR71"/>
      <c r="DTS71"/>
      <c r="DTT71"/>
      <c r="DTU71"/>
      <c r="DTV71"/>
      <c r="DTW71"/>
      <c r="DTX71"/>
      <c r="DTY71"/>
      <c r="DTZ71"/>
      <c r="DUA71"/>
      <c r="DUB71"/>
      <c r="DUC71"/>
      <c r="DUD71"/>
      <c r="DUE71"/>
      <c r="DUF71"/>
      <c r="DUG71"/>
      <c r="DUH71"/>
      <c r="DUI71"/>
      <c r="DUJ71"/>
      <c r="DUK71"/>
      <c r="DUL71"/>
      <c r="DUM71"/>
      <c r="DUN71"/>
      <c r="DUO71"/>
      <c r="DUP71"/>
      <c r="DUQ71"/>
      <c r="DUR71"/>
      <c r="DUS71"/>
      <c r="DUT71"/>
      <c r="DUU71"/>
      <c r="DUV71"/>
      <c r="DUW71"/>
      <c r="DUX71"/>
      <c r="DUY71"/>
      <c r="DUZ71"/>
      <c r="DVA71"/>
      <c r="DVB71"/>
      <c r="DVC71"/>
      <c r="DVD71"/>
      <c r="DVE71"/>
      <c r="DVF71"/>
      <c r="DVG71"/>
      <c r="DVH71"/>
      <c r="DVI71"/>
      <c r="DVJ71"/>
      <c r="DVK71"/>
      <c r="DVL71"/>
      <c r="DVM71"/>
      <c r="DVN71"/>
      <c r="DVO71"/>
      <c r="DVP71"/>
      <c r="DVQ71"/>
      <c r="DVR71"/>
      <c r="DVS71"/>
      <c r="DVT71"/>
      <c r="DVU71"/>
      <c r="DVV71"/>
      <c r="DVW71"/>
      <c r="DVX71"/>
      <c r="DVY71"/>
      <c r="DVZ71"/>
      <c r="DWA71"/>
      <c r="DWB71"/>
      <c r="DWC71"/>
      <c r="DWD71"/>
      <c r="DWE71"/>
      <c r="DWF71"/>
      <c r="DWG71"/>
      <c r="DWH71"/>
      <c r="DWI71"/>
      <c r="DWJ71"/>
      <c r="DWK71"/>
      <c r="DWL71"/>
      <c r="DWM71"/>
      <c r="DWN71"/>
      <c r="DWO71"/>
      <c r="DWP71"/>
      <c r="DWQ71"/>
      <c r="DWR71"/>
      <c r="DWS71"/>
      <c r="DWT71"/>
      <c r="DWU71"/>
      <c r="DWV71"/>
      <c r="DWW71"/>
      <c r="DWX71"/>
      <c r="DWY71"/>
      <c r="DWZ71"/>
      <c r="DXA71"/>
      <c r="DXB71"/>
      <c r="DXC71"/>
      <c r="DXD71"/>
      <c r="DXE71"/>
      <c r="DXF71"/>
      <c r="DXG71"/>
      <c r="DXH71"/>
      <c r="DXI71"/>
      <c r="DXJ71"/>
      <c r="DXK71"/>
      <c r="DXL71"/>
      <c r="DXM71"/>
      <c r="DXN71"/>
      <c r="DXO71"/>
      <c r="DXP71"/>
      <c r="DXQ71"/>
      <c r="DXR71"/>
      <c r="DXS71"/>
      <c r="DXT71"/>
      <c r="DXU71"/>
      <c r="DXV71"/>
      <c r="DXW71"/>
      <c r="DXX71"/>
      <c r="DXY71"/>
      <c r="DXZ71"/>
      <c r="DYA71"/>
      <c r="DYB71"/>
      <c r="DYC71"/>
      <c r="DYD71"/>
      <c r="DYE71"/>
      <c r="DYF71"/>
      <c r="DYG71"/>
      <c r="DYH71"/>
      <c r="DYI71"/>
      <c r="DYJ71"/>
      <c r="DYK71"/>
      <c r="DYL71"/>
      <c r="DYM71"/>
      <c r="DYN71"/>
      <c r="DYO71"/>
      <c r="DYP71"/>
      <c r="DYQ71"/>
      <c r="DYR71"/>
      <c r="DYS71"/>
      <c r="DYT71"/>
      <c r="DYU71"/>
      <c r="DYV71"/>
      <c r="DYW71"/>
      <c r="DYX71"/>
      <c r="DYY71"/>
      <c r="DYZ71"/>
      <c r="DZA71"/>
      <c r="DZB71"/>
      <c r="DZC71"/>
      <c r="DZD71"/>
      <c r="DZE71"/>
      <c r="DZF71"/>
      <c r="DZG71"/>
      <c r="DZH71"/>
      <c r="DZI71"/>
      <c r="DZJ71"/>
      <c r="DZK71"/>
      <c r="DZL71"/>
      <c r="DZM71"/>
      <c r="DZN71"/>
      <c r="DZO71"/>
      <c r="DZP71"/>
      <c r="DZQ71"/>
      <c r="DZR71"/>
      <c r="DZS71"/>
      <c r="DZT71"/>
      <c r="DZU71"/>
      <c r="DZV71"/>
      <c r="DZW71"/>
      <c r="DZX71"/>
      <c r="DZY71"/>
      <c r="DZZ71"/>
      <c r="EAA71"/>
      <c r="EAB71"/>
      <c r="EAC71"/>
      <c r="EAD71"/>
      <c r="EAE71"/>
      <c r="EAF71"/>
      <c r="EAG71"/>
      <c r="EAH71"/>
      <c r="EAI71"/>
      <c r="EAJ71"/>
      <c r="EAK71"/>
      <c r="EAL71"/>
      <c r="EAM71"/>
      <c r="EAN71"/>
      <c r="EAO71"/>
      <c r="EAP71"/>
      <c r="EAQ71"/>
      <c r="EAR71"/>
      <c r="EAS71"/>
      <c r="EAT71"/>
      <c r="EAU71"/>
      <c r="EAV71"/>
      <c r="EAW71"/>
      <c r="EAX71"/>
      <c r="EAY71"/>
      <c r="EAZ71"/>
      <c r="EBA71"/>
      <c r="EBB71"/>
      <c r="EBC71"/>
      <c r="EBD71"/>
      <c r="EBE71"/>
      <c r="EBF71"/>
      <c r="EBG71"/>
      <c r="EBH71"/>
      <c r="EBI71"/>
      <c r="EBJ71"/>
      <c r="EBK71"/>
      <c r="EBL71"/>
      <c r="EBM71"/>
      <c r="EBN71"/>
      <c r="EBO71"/>
      <c r="EBP71"/>
      <c r="EBQ71"/>
      <c r="EBR71"/>
      <c r="EBS71"/>
      <c r="EBT71"/>
      <c r="EBU71"/>
      <c r="EBV71"/>
      <c r="EBW71"/>
      <c r="EBX71"/>
      <c r="EBY71"/>
      <c r="EBZ71"/>
      <c r="ECA71"/>
      <c r="ECB71"/>
      <c r="ECC71"/>
      <c r="ECD71"/>
      <c r="ECE71"/>
      <c r="ECF71"/>
      <c r="ECG71"/>
      <c r="ECH71"/>
      <c r="ECI71"/>
      <c r="ECJ71"/>
      <c r="ECK71"/>
      <c r="ECL71"/>
      <c r="ECM71"/>
      <c r="ECN71"/>
      <c r="ECO71"/>
      <c r="ECP71"/>
      <c r="ECQ71"/>
      <c r="ECR71"/>
      <c r="ECS71"/>
      <c r="ECT71"/>
      <c r="ECU71"/>
      <c r="ECV71"/>
      <c r="ECW71"/>
      <c r="ECX71"/>
      <c r="ECY71"/>
      <c r="ECZ71"/>
      <c r="EDA71"/>
      <c r="EDB71"/>
      <c r="EDC71"/>
      <c r="EDD71"/>
      <c r="EDE71"/>
      <c r="EDF71"/>
      <c r="EDG71"/>
      <c r="EDH71"/>
      <c r="EDI71"/>
      <c r="EDJ71"/>
      <c r="EDK71"/>
      <c r="EDL71"/>
      <c r="EDM71"/>
      <c r="EDN71"/>
      <c r="EDO71"/>
      <c r="EDP71"/>
      <c r="EDQ71"/>
      <c r="EDR71"/>
      <c r="EDS71"/>
      <c r="EDT71"/>
      <c r="EDU71"/>
      <c r="EDV71"/>
      <c r="EDW71"/>
      <c r="EDX71"/>
      <c r="EDY71"/>
      <c r="EDZ71"/>
      <c r="EEA71"/>
      <c r="EEB71"/>
      <c r="EEC71"/>
      <c r="EED71"/>
      <c r="EEE71"/>
      <c r="EEF71"/>
      <c r="EEG71"/>
      <c r="EEH71"/>
      <c r="EEI71"/>
      <c r="EEJ71"/>
      <c r="EEK71"/>
      <c r="EEL71"/>
      <c r="EEM71"/>
      <c r="EEN71"/>
      <c r="EEO71"/>
      <c r="EEP71"/>
      <c r="EEQ71"/>
      <c r="EER71"/>
      <c r="EES71"/>
      <c r="EET71"/>
      <c r="EEU71"/>
      <c r="EEV71"/>
      <c r="EEW71"/>
      <c r="EEX71"/>
      <c r="EEY71"/>
      <c r="EEZ71"/>
      <c r="EFA71"/>
      <c r="EFB71"/>
      <c r="EFC71"/>
      <c r="EFD71"/>
      <c r="EFE71"/>
      <c r="EFF71"/>
      <c r="EFG71"/>
      <c r="EFH71"/>
      <c r="EFI71"/>
      <c r="EFJ71"/>
      <c r="EFK71"/>
      <c r="EFL71"/>
      <c r="EFM71"/>
      <c r="EFN71"/>
      <c r="EFO71"/>
      <c r="EFP71"/>
      <c r="EFQ71"/>
      <c r="EFR71"/>
      <c r="EFS71"/>
      <c r="EFT71"/>
      <c r="EFU71"/>
      <c r="EFV71"/>
      <c r="EFW71"/>
      <c r="EFX71"/>
      <c r="EFY71"/>
      <c r="EFZ71"/>
      <c r="EGA71"/>
      <c r="EGB71"/>
      <c r="EGC71"/>
      <c r="EGD71"/>
      <c r="EGE71"/>
      <c r="EGF71"/>
      <c r="EGG71"/>
      <c r="EGH71"/>
      <c r="EGI71"/>
      <c r="EGJ71"/>
      <c r="EGK71"/>
      <c r="EGL71"/>
      <c r="EGM71"/>
      <c r="EGN71"/>
      <c r="EGO71"/>
      <c r="EGP71"/>
      <c r="EGQ71"/>
      <c r="EGR71"/>
      <c r="EGS71"/>
      <c r="EGT71"/>
      <c r="EGU71"/>
      <c r="EGV71"/>
      <c r="EGW71"/>
      <c r="EGX71"/>
      <c r="EGY71"/>
      <c r="EGZ71"/>
      <c r="EHA71"/>
      <c r="EHB71"/>
      <c r="EHC71"/>
      <c r="EHD71"/>
      <c r="EHE71"/>
      <c r="EHF71"/>
      <c r="EHG71"/>
      <c r="EHH71"/>
      <c r="EHI71"/>
      <c r="EHJ71"/>
      <c r="EHK71"/>
      <c r="EHL71"/>
      <c r="EHM71"/>
      <c r="EHN71"/>
      <c r="EHO71"/>
      <c r="EHP71"/>
      <c r="EHQ71"/>
      <c r="EHR71"/>
      <c r="EHS71"/>
      <c r="EHT71"/>
      <c r="EHU71"/>
      <c r="EHV71"/>
      <c r="EHW71"/>
      <c r="EHX71"/>
      <c r="EHY71"/>
      <c r="EHZ71"/>
      <c r="EIA71"/>
      <c r="EIB71"/>
      <c r="EIC71"/>
      <c r="EID71"/>
      <c r="EIE71"/>
      <c r="EIF71"/>
      <c r="EIG71"/>
      <c r="EIH71"/>
      <c r="EII71"/>
      <c r="EIJ71"/>
      <c r="EIK71"/>
      <c r="EIL71"/>
      <c r="EIM71"/>
      <c r="EIN71"/>
      <c r="EIO71"/>
      <c r="EIP71"/>
      <c r="EIQ71"/>
      <c r="EIR71"/>
      <c r="EIS71"/>
      <c r="EIT71"/>
      <c r="EIU71"/>
      <c r="EIV71"/>
      <c r="EIW71"/>
      <c r="EIX71"/>
      <c r="EIY71"/>
      <c r="EIZ71"/>
      <c r="EJA71"/>
      <c r="EJB71"/>
      <c r="EJC71"/>
      <c r="EJD71"/>
      <c r="EJE71"/>
      <c r="EJF71"/>
      <c r="EJG71"/>
      <c r="EJH71"/>
      <c r="EJI71"/>
      <c r="EJJ71"/>
      <c r="EJK71"/>
      <c r="EJL71"/>
      <c r="EJM71"/>
      <c r="EJN71"/>
      <c r="EJO71"/>
      <c r="EJP71"/>
      <c r="EJQ71"/>
      <c r="EJR71"/>
      <c r="EJS71"/>
      <c r="EJT71"/>
      <c r="EJU71"/>
      <c r="EJV71"/>
      <c r="EJW71"/>
      <c r="EJX71"/>
      <c r="EJY71"/>
      <c r="EJZ71"/>
      <c r="EKA71"/>
      <c r="EKB71"/>
      <c r="EKC71"/>
      <c r="EKD71"/>
      <c r="EKE71"/>
      <c r="EKF71"/>
      <c r="EKG71"/>
      <c r="EKH71"/>
      <c r="EKI71"/>
      <c r="EKJ71"/>
      <c r="EKK71"/>
      <c r="EKL71"/>
      <c r="EKM71"/>
      <c r="EKN71"/>
      <c r="EKO71"/>
      <c r="EKP71"/>
      <c r="EKQ71"/>
      <c r="EKR71"/>
      <c r="EKS71"/>
      <c r="EKT71"/>
      <c r="EKU71"/>
      <c r="EKV71"/>
      <c r="EKW71"/>
      <c r="EKX71"/>
      <c r="EKY71"/>
      <c r="EKZ71"/>
      <c r="ELA71"/>
      <c r="ELB71"/>
      <c r="ELC71"/>
      <c r="ELD71"/>
      <c r="ELE71"/>
      <c r="ELF71"/>
      <c r="ELG71"/>
      <c r="ELH71"/>
      <c r="ELI71"/>
      <c r="ELJ71"/>
      <c r="ELK71"/>
      <c r="ELL71"/>
      <c r="ELM71"/>
      <c r="ELN71"/>
      <c r="ELO71"/>
      <c r="ELP71"/>
      <c r="ELQ71"/>
      <c r="ELR71"/>
      <c r="ELS71"/>
      <c r="ELT71"/>
      <c r="ELU71"/>
      <c r="ELV71"/>
      <c r="ELW71"/>
      <c r="ELX71"/>
      <c r="ELY71"/>
      <c r="ELZ71"/>
      <c r="EMA71"/>
      <c r="EMB71"/>
      <c r="EMC71"/>
      <c r="EMD71"/>
      <c r="EME71"/>
      <c r="EMF71"/>
      <c r="EMG71"/>
      <c r="EMH71"/>
      <c r="EMI71"/>
      <c r="EMJ71"/>
      <c r="EMK71"/>
      <c r="EML71"/>
      <c r="EMM71"/>
      <c r="EMN71"/>
      <c r="EMO71"/>
      <c r="EMP71"/>
      <c r="EMQ71"/>
      <c r="EMR71"/>
      <c r="EMS71"/>
      <c r="EMT71"/>
      <c r="EMU71"/>
      <c r="EMV71"/>
      <c r="EMW71"/>
      <c r="EMX71"/>
      <c r="EMY71"/>
      <c r="EMZ71"/>
      <c r="ENA71"/>
      <c r="ENB71"/>
      <c r="ENC71"/>
      <c r="END71"/>
      <c r="ENE71"/>
      <c r="ENF71"/>
      <c r="ENG71"/>
      <c r="ENH71"/>
      <c r="ENI71"/>
      <c r="ENJ71"/>
      <c r="ENK71"/>
      <c r="ENL71"/>
      <c r="ENM71"/>
      <c r="ENN71"/>
      <c r="ENO71"/>
      <c r="ENP71"/>
      <c r="ENQ71"/>
      <c r="ENR71"/>
      <c r="ENS71"/>
      <c r="ENT71"/>
      <c r="ENU71"/>
      <c r="ENV71"/>
      <c r="ENW71"/>
      <c r="ENX71"/>
      <c r="ENY71"/>
      <c r="ENZ71"/>
      <c r="EOA71"/>
      <c r="EOB71"/>
      <c r="EOC71"/>
      <c r="EOD71"/>
      <c r="EOE71"/>
      <c r="EOF71"/>
      <c r="EOG71"/>
      <c r="EOH71"/>
      <c r="EOI71"/>
      <c r="EOJ71"/>
      <c r="EOK71"/>
      <c r="EOL71"/>
      <c r="EOM71"/>
      <c r="EON71"/>
      <c r="EOO71"/>
      <c r="EOP71"/>
      <c r="EOQ71"/>
      <c r="EOR71"/>
      <c r="EOS71"/>
      <c r="EOT71"/>
      <c r="EOU71"/>
      <c r="EOV71"/>
      <c r="EOW71"/>
      <c r="EOX71"/>
      <c r="EOY71"/>
      <c r="EOZ71"/>
      <c r="EPA71"/>
      <c r="EPB71"/>
      <c r="EPC71"/>
      <c r="EPD71"/>
      <c r="EPE71"/>
      <c r="EPF71"/>
      <c r="EPG71"/>
      <c r="EPH71"/>
      <c r="EPI71"/>
      <c r="EPJ71"/>
      <c r="EPK71"/>
      <c r="EPL71"/>
      <c r="EPM71"/>
      <c r="EPN71"/>
      <c r="EPO71"/>
      <c r="EPP71"/>
      <c r="EPQ71"/>
      <c r="EPR71"/>
      <c r="EPS71"/>
      <c r="EPT71"/>
      <c r="EPU71"/>
      <c r="EPV71"/>
      <c r="EPW71"/>
      <c r="EPX71"/>
      <c r="EPY71"/>
      <c r="EPZ71"/>
      <c r="EQA71"/>
      <c r="EQB71"/>
      <c r="EQC71"/>
      <c r="EQD71"/>
      <c r="EQE71"/>
      <c r="EQF71"/>
      <c r="EQG71"/>
      <c r="EQH71"/>
      <c r="EQI71"/>
      <c r="EQJ71"/>
      <c r="EQK71"/>
      <c r="EQL71"/>
      <c r="EQM71"/>
      <c r="EQN71"/>
      <c r="EQO71"/>
      <c r="EQP71"/>
      <c r="EQQ71"/>
      <c r="EQR71"/>
      <c r="EQS71"/>
      <c r="EQT71"/>
      <c r="EQU71"/>
      <c r="EQV71"/>
      <c r="EQW71"/>
      <c r="EQX71"/>
      <c r="EQY71"/>
      <c r="EQZ71"/>
      <c r="ERA71"/>
      <c r="ERB71"/>
      <c r="ERC71"/>
      <c r="ERD71"/>
      <c r="ERE71"/>
      <c r="ERF71"/>
      <c r="ERG71"/>
      <c r="ERH71"/>
      <c r="ERI71"/>
      <c r="ERJ71"/>
      <c r="ERK71"/>
      <c r="ERL71"/>
      <c r="ERM71"/>
      <c r="ERN71"/>
      <c r="ERO71"/>
      <c r="ERP71"/>
      <c r="ERQ71"/>
      <c r="ERR71"/>
      <c r="ERS71"/>
      <c r="ERT71"/>
      <c r="ERU71"/>
      <c r="ERV71"/>
      <c r="ERW71"/>
      <c r="ERX71"/>
      <c r="ERY71"/>
      <c r="ERZ71"/>
      <c r="ESA71"/>
      <c r="ESB71"/>
      <c r="ESC71"/>
      <c r="ESD71"/>
      <c r="ESE71"/>
      <c r="ESF71"/>
      <c r="ESG71"/>
      <c r="ESH71"/>
      <c r="ESI71"/>
      <c r="ESJ71"/>
      <c r="ESK71"/>
      <c r="ESL71"/>
      <c r="ESM71"/>
      <c r="ESN71"/>
      <c r="ESO71"/>
      <c r="ESP71"/>
      <c r="ESQ71"/>
      <c r="ESR71"/>
      <c r="ESS71"/>
      <c r="EST71"/>
      <c r="ESU71"/>
      <c r="ESV71"/>
      <c r="ESW71"/>
      <c r="ESX71"/>
      <c r="ESY71"/>
      <c r="ESZ71"/>
      <c r="ETA71"/>
      <c r="ETB71"/>
      <c r="ETC71"/>
      <c r="ETD71"/>
      <c r="ETE71"/>
      <c r="ETF71"/>
      <c r="ETG71"/>
      <c r="ETH71"/>
      <c r="ETI71"/>
      <c r="ETJ71"/>
      <c r="ETK71"/>
      <c r="ETL71"/>
      <c r="ETM71"/>
      <c r="ETN71"/>
      <c r="ETO71"/>
      <c r="ETP71"/>
      <c r="ETQ71"/>
      <c r="ETR71"/>
      <c r="ETS71"/>
      <c r="ETT71"/>
      <c r="ETU71"/>
      <c r="ETV71"/>
      <c r="ETW71"/>
      <c r="ETX71"/>
      <c r="ETY71"/>
      <c r="ETZ71"/>
      <c r="EUA71"/>
      <c r="EUB71"/>
      <c r="EUC71"/>
      <c r="EUD71"/>
      <c r="EUE71"/>
      <c r="EUF71"/>
      <c r="EUG71"/>
      <c r="EUH71"/>
      <c r="EUI71"/>
      <c r="EUJ71"/>
      <c r="EUK71"/>
      <c r="EUL71"/>
      <c r="EUM71"/>
      <c r="EUN71"/>
      <c r="EUO71"/>
      <c r="EUP71"/>
      <c r="EUQ71"/>
      <c r="EUR71"/>
      <c r="EUS71"/>
      <c r="EUT71"/>
      <c r="EUU71"/>
      <c r="EUV71"/>
      <c r="EUW71"/>
      <c r="EUX71"/>
      <c r="EUY71"/>
      <c r="EUZ71"/>
      <c r="EVA71"/>
      <c r="EVB71"/>
      <c r="EVC71"/>
      <c r="EVD71"/>
      <c r="EVE71"/>
      <c r="EVF71"/>
      <c r="EVG71"/>
      <c r="EVH71"/>
      <c r="EVI71"/>
      <c r="EVJ71"/>
      <c r="EVK71"/>
      <c r="EVL71"/>
      <c r="EVM71"/>
      <c r="EVN71"/>
      <c r="EVO71"/>
      <c r="EVP71"/>
      <c r="EVQ71"/>
      <c r="EVR71"/>
      <c r="EVS71"/>
      <c r="EVT71"/>
      <c r="EVU71"/>
      <c r="EVV71"/>
      <c r="EVW71"/>
      <c r="EVX71"/>
      <c r="EVY71"/>
      <c r="EVZ71"/>
      <c r="EWA71"/>
      <c r="EWB71"/>
      <c r="EWC71"/>
      <c r="EWD71"/>
      <c r="EWE71"/>
      <c r="EWF71"/>
      <c r="EWG71"/>
      <c r="EWH71"/>
      <c r="EWI71"/>
      <c r="EWJ71"/>
      <c r="EWK71"/>
      <c r="EWL71"/>
      <c r="EWM71"/>
      <c r="EWN71"/>
      <c r="EWO71"/>
      <c r="EWP71"/>
      <c r="EWQ71"/>
      <c r="EWR71"/>
      <c r="EWS71"/>
      <c r="EWT71"/>
      <c r="EWU71"/>
      <c r="EWV71"/>
      <c r="EWW71"/>
      <c r="EWX71"/>
      <c r="EWY71"/>
      <c r="EWZ71"/>
      <c r="EXA71"/>
      <c r="EXB71"/>
      <c r="EXC71"/>
      <c r="EXD71"/>
      <c r="EXE71"/>
      <c r="EXF71"/>
      <c r="EXG71"/>
      <c r="EXH71"/>
      <c r="EXI71"/>
      <c r="EXJ71"/>
      <c r="EXK71"/>
      <c r="EXL71"/>
      <c r="EXM71"/>
      <c r="EXN71"/>
      <c r="EXO71"/>
      <c r="EXP71"/>
      <c r="EXQ71"/>
      <c r="EXR71"/>
      <c r="EXS71"/>
      <c r="EXT71"/>
      <c r="EXU71"/>
      <c r="EXV71"/>
      <c r="EXW71"/>
      <c r="EXX71"/>
      <c r="EXY71"/>
      <c r="EXZ71"/>
      <c r="EYA71"/>
      <c r="EYB71"/>
      <c r="EYC71"/>
      <c r="EYD71"/>
      <c r="EYE71"/>
      <c r="EYF71"/>
      <c r="EYG71"/>
      <c r="EYH71"/>
      <c r="EYI71"/>
      <c r="EYJ71"/>
      <c r="EYK71"/>
      <c r="EYL71"/>
      <c r="EYM71"/>
      <c r="EYN71"/>
      <c r="EYO71"/>
      <c r="EYP71"/>
      <c r="EYQ71"/>
      <c r="EYR71"/>
      <c r="EYS71"/>
      <c r="EYT71"/>
      <c r="EYU71"/>
      <c r="EYV71"/>
      <c r="EYW71"/>
      <c r="EYX71"/>
      <c r="EYY71"/>
      <c r="EYZ71"/>
      <c r="EZA71"/>
      <c r="EZB71"/>
      <c r="EZC71"/>
      <c r="EZD71"/>
      <c r="EZE71"/>
      <c r="EZF71"/>
      <c r="EZG71"/>
      <c r="EZH71"/>
      <c r="EZI71"/>
      <c r="EZJ71"/>
      <c r="EZK71"/>
      <c r="EZL71"/>
      <c r="EZM71"/>
      <c r="EZN71"/>
      <c r="EZO71"/>
      <c r="EZP71"/>
      <c r="EZQ71"/>
      <c r="EZR71"/>
      <c r="EZS71"/>
      <c r="EZT71"/>
      <c r="EZU71"/>
      <c r="EZV71"/>
      <c r="EZW71"/>
      <c r="EZX71"/>
      <c r="EZY71"/>
      <c r="EZZ71"/>
      <c r="FAA71"/>
      <c r="FAB71"/>
      <c r="FAC71"/>
      <c r="FAD71"/>
      <c r="FAE71"/>
      <c r="FAF71"/>
      <c r="FAG71"/>
      <c r="FAH71"/>
      <c r="FAI71"/>
      <c r="FAJ71"/>
      <c r="FAK71"/>
      <c r="FAL71"/>
      <c r="FAM71"/>
      <c r="FAN71"/>
      <c r="FAO71"/>
      <c r="FAP71"/>
      <c r="FAQ71"/>
      <c r="FAR71"/>
      <c r="FAS71"/>
      <c r="FAT71"/>
      <c r="FAU71"/>
      <c r="FAV71"/>
      <c r="FAW71"/>
      <c r="FAX71"/>
      <c r="FAY71"/>
      <c r="FAZ71"/>
      <c r="FBA71"/>
      <c r="FBB71"/>
      <c r="FBC71"/>
      <c r="FBD71"/>
      <c r="FBE71"/>
      <c r="FBF71"/>
      <c r="FBG71"/>
      <c r="FBH71"/>
      <c r="FBI71"/>
      <c r="FBJ71"/>
      <c r="FBK71"/>
      <c r="FBL71"/>
      <c r="FBM71"/>
      <c r="FBN71"/>
      <c r="FBO71"/>
      <c r="FBP71"/>
      <c r="FBQ71"/>
      <c r="FBR71"/>
      <c r="FBS71"/>
      <c r="FBT71"/>
      <c r="FBU71"/>
      <c r="FBV71"/>
      <c r="FBW71"/>
      <c r="FBX71"/>
      <c r="FBY71"/>
      <c r="FBZ71"/>
      <c r="FCA71"/>
      <c r="FCB71"/>
      <c r="FCC71"/>
      <c r="FCD71"/>
      <c r="FCE71"/>
      <c r="FCF71"/>
      <c r="FCG71"/>
      <c r="FCH71"/>
      <c r="FCI71"/>
      <c r="FCJ71"/>
      <c r="FCK71"/>
      <c r="FCL71"/>
      <c r="FCM71"/>
      <c r="FCN71"/>
      <c r="FCO71"/>
      <c r="FCP71"/>
      <c r="FCQ71"/>
      <c r="FCR71"/>
      <c r="FCS71"/>
      <c r="FCT71"/>
      <c r="FCU71"/>
      <c r="FCV71"/>
      <c r="FCW71"/>
      <c r="FCX71"/>
      <c r="FCY71"/>
      <c r="FCZ71"/>
      <c r="FDA71"/>
      <c r="FDB71"/>
      <c r="FDC71"/>
      <c r="FDD71"/>
      <c r="FDE71"/>
      <c r="FDF71"/>
      <c r="FDG71"/>
      <c r="FDH71"/>
      <c r="FDI71"/>
      <c r="FDJ71"/>
      <c r="FDK71"/>
      <c r="FDL71"/>
      <c r="FDM71"/>
      <c r="FDN71"/>
      <c r="FDO71"/>
      <c r="FDP71"/>
      <c r="FDQ71"/>
      <c r="FDR71"/>
      <c r="FDS71"/>
      <c r="FDT71"/>
      <c r="FDU71"/>
      <c r="FDV71"/>
      <c r="FDW71"/>
      <c r="FDX71"/>
      <c r="FDY71"/>
      <c r="FDZ71"/>
      <c r="FEA71"/>
      <c r="FEB71"/>
      <c r="FEC71"/>
      <c r="FED71"/>
      <c r="FEE71"/>
      <c r="FEF71"/>
      <c r="FEG71"/>
      <c r="FEH71"/>
      <c r="FEI71"/>
      <c r="FEJ71"/>
      <c r="FEK71"/>
      <c r="FEL71"/>
      <c r="FEM71"/>
      <c r="FEN71"/>
      <c r="FEO71"/>
      <c r="FEP71"/>
      <c r="FEQ71"/>
      <c r="FER71"/>
      <c r="FES71"/>
      <c r="FET71"/>
      <c r="FEU71"/>
      <c r="FEV71"/>
      <c r="FEW71"/>
      <c r="FEX71"/>
      <c r="FEY71"/>
      <c r="FEZ71"/>
      <c r="FFA71"/>
      <c r="FFB71"/>
      <c r="FFC71"/>
      <c r="FFD71"/>
      <c r="FFE71"/>
      <c r="FFF71"/>
      <c r="FFG71"/>
      <c r="FFH71"/>
      <c r="FFI71"/>
      <c r="FFJ71"/>
      <c r="FFK71"/>
      <c r="FFL71"/>
      <c r="FFM71"/>
      <c r="FFN71"/>
      <c r="FFO71"/>
      <c r="FFP71"/>
      <c r="FFQ71"/>
      <c r="FFR71"/>
      <c r="FFS71"/>
      <c r="FFT71"/>
      <c r="FFU71"/>
      <c r="FFV71"/>
      <c r="FFW71"/>
      <c r="FFX71"/>
      <c r="FFY71"/>
      <c r="FFZ71"/>
      <c r="FGA71"/>
      <c r="FGB71"/>
      <c r="FGC71"/>
      <c r="FGD71"/>
      <c r="FGE71"/>
      <c r="FGF71"/>
      <c r="FGG71"/>
      <c r="FGH71"/>
      <c r="FGI71"/>
      <c r="FGJ71"/>
      <c r="FGK71"/>
      <c r="FGL71"/>
      <c r="FGM71"/>
      <c r="FGN71"/>
      <c r="FGO71"/>
      <c r="FGP71"/>
      <c r="FGQ71"/>
      <c r="FGR71"/>
      <c r="FGS71"/>
      <c r="FGT71"/>
      <c r="FGU71"/>
      <c r="FGV71"/>
      <c r="FGW71"/>
      <c r="FGX71"/>
      <c r="FGY71"/>
      <c r="FGZ71"/>
      <c r="FHA71"/>
      <c r="FHB71"/>
      <c r="FHC71"/>
      <c r="FHD71"/>
      <c r="FHE71"/>
      <c r="FHF71"/>
      <c r="FHG71"/>
      <c r="FHH71"/>
      <c r="FHI71"/>
      <c r="FHJ71"/>
      <c r="FHK71"/>
      <c r="FHL71"/>
      <c r="FHM71"/>
      <c r="FHN71"/>
      <c r="FHO71"/>
      <c r="FHP71"/>
      <c r="FHQ71"/>
      <c r="FHR71"/>
      <c r="FHS71"/>
      <c r="FHT71"/>
      <c r="FHU71"/>
      <c r="FHV71"/>
      <c r="FHW71"/>
      <c r="FHX71"/>
      <c r="FHY71"/>
      <c r="FHZ71"/>
      <c r="FIA71"/>
      <c r="FIB71"/>
      <c r="FIC71"/>
      <c r="FID71"/>
      <c r="FIE71"/>
      <c r="FIF71"/>
      <c r="FIG71"/>
      <c r="FIH71"/>
      <c r="FII71"/>
      <c r="FIJ71"/>
      <c r="FIK71"/>
      <c r="FIL71"/>
      <c r="FIM71"/>
      <c r="FIN71"/>
      <c r="FIO71"/>
      <c r="FIP71"/>
      <c r="FIQ71"/>
      <c r="FIR71"/>
      <c r="FIS71"/>
      <c r="FIT71"/>
      <c r="FIU71"/>
      <c r="FIV71"/>
      <c r="FIW71"/>
      <c r="FIX71"/>
      <c r="FIY71"/>
      <c r="FIZ71"/>
      <c r="FJA71"/>
      <c r="FJB71"/>
      <c r="FJC71"/>
      <c r="FJD71"/>
      <c r="FJE71"/>
      <c r="FJF71"/>
      <c r="FJG71"/>
      <c r="FJH71"/>
      <c r="FJI71"/>
      <c r="FJJ71"/>
      <c r="FJK71"/>
      <c r="FJL71"/>
      <c r="FJM71"/>
      <c r="FJN71"/>
      <c r="FJO71"/>
      <c r="FJP71"/>
      <c r="FJQ71"/>
      <c r="FJR71"/>
      <c r="FJS71"/>
      <c r="FJT71"/>
      <c r="FJU71"/>
      <c r="FJV71"/>
      <c r="FJW71"/>
      <c r="FJX71"/>
      <c r="FJY71"/>
      <c r="FJZ71"/>
      <c r="FKA71"/>
      <c r="FKB71"/>
      <c r="FKC71"/>
      <c r="FKD71"/>
      <c r="FKE71"/>
      <c r="FKF71"/>
      <c r="FKG71"/>
      <c r="FKH71"/>
      <c r="FKI71"/>
      <c r="FKJ71"/>
      <c r="FKK71"/>
      <c r="FKL71"/>
      <c r="FKM71"/>
      <c r="FKN71"/>
      <c r="FKO71"/>
      <c r="FKP71"/>
      <c r="FKQ71"/>
      <c r="FKR71"/>
      <c r="FKS71"/>
      <c r="FKT71"/>
      <c r="FKU71"/>
      <c r="FKV71"/>
      <c r="FKW71"/>
      <c r="FKX71"/>
      <c r="FKY71"/>
      <c r="FKZ71"/>
      <c r="FLA71"/>
      <c r="FLB71"/>
      <c r="FLC71"/>
      <c r="FLD71"/>
      <c r="FLE71"/>
      <c r="FLF71"/>
      <c r="FLG71"/>
      <c r="FLH71"/>
      <c r="FLI71"/>
      <c r="FLJ71"/>
      <c r="FLK71"/>
      <c r="FLL71"/>
      <c r="FLM71"/>
      <c r="FLN71"/>
      <c r="FLO71"/>
      <c r="FLP71"/>
      <c r="FLQ71"/>
      <c r="FLR71"/>
      <c r="FLS71"/>
      <c r="FLT71"/>
      <c r="FLU71"/>
      <c r="FLV71"/>
      <c r="FLW71"/>
      <c r="FLX71"/>
      <c r="FLY71"/>
      <c r="FLZ71"/>
      <c r="FMA71"/>
      <c r="FMB71"/>
      <c r="FMC71"/>
      <c r="FMD71"/>
      <c r="FME71"/>
      <c r="FMF71"/>
      <c r="FMG71"/>
      <c r="FMH71"/>
      <c r="FMI71"/>
      <c r="FMJ71"/>
      <c r="FMK71"/>
      <c r="FML71"/>
      <c r="FMM71"/>
      <c r="FMN71"/>
      <c r="FMO71"/>
      <c r="FMP71"/>
      <c r="FMQ71"/>
      <c r="FMR71"/>
      <c r="FMS71"/>
      <c r="FMT71"/>
      <c r="FMU71"/>
      <c r="FMV71"/>
      <c r="FMW71"/>
      <c r="FMX71"/>
      <c r="FMY71"/>
      <c r="FMZ71"/>
      <c r="FNA71"/>
      <c r="FNB71"/>
      <c r="FNC71"/>
      <c r="FND71"/>
      <c r="FNE71"/>
      <c r="FNF71"/>
      <c r="FNG71"/>
      <c r="FNH71"/>
      <c r="FNI71"/>
      <c r="FNJ71"/>
      <c r="FNK71"/>
      <c r="FNL71"/>
      <c r="FNM71"/>
      <c r="FNN71"/>
      <c r="FNO71"/>
      <c r="FNP71"/>
      <c r="FNQ71"/>
      <c r="FNR71"/>
      <c r="FNS71"/>
      <c r="FNT71"/>
      <c r="FNU71"/>
      <c r="FNV71"/>
      <c r="FNW71"/>
      <c r="FNX71"/>
      <c r="FNY71"/>
      <c r="FNZ71"/>
      <c r="FOA71"/>
      <c r="FOB71"/>
      <c r="FOC71"/>
      <c r="FOD71"/>
      <c r="FOE71"/>
      <c r="FOF71"/>
      <c r="FOG71"/>
      <c r="FOH71"/>
      <c r="FOI71"/>
      <c r="FOJ71"/>
      <c r="FOK71"/>
      <c r="FOL71"/>
      <c r="FOM71"/>
      <c r="FON71"/>
      <c r="FOO71"/>
      <c r="FOP71"/>
      <c r="FOQ71"/>
      <c r="FOR71"/>
      <c r="FOS71"/>
      <c r="FOT71"/>
      <c r="FOU71"/>
      <c r="FOV71"/>
      <c r="FOW71"/>
      <c r="FOX71"/>
      <c r="FOY71"/>
      <c r="FOZ71"/>
      <c r="FPA71"/>
      <c r="FPB71"/>
      <c r="FPC71"/>
      <c r="FPD71"/>
      <c r="FPE71"/>
      <c r="FPF71"/>
      <c r="FPG71"/>
      <c r="FPH71"/>
      <c r="FPI71"/>
      <c r="FPJ71"/>
      <c r="FPK71"/>
      <c r="FPL71"/>
      <c r="FPM71"/>
      <c r="FPN71"/>
      <c r="FPO71"/>
      <c r="FPP71"/>
      <c r="FPQ71"/>
      <c r="FPR71"/>
      <c r="FPS71"/>
      <c r="FPT71"/>
      <c r="FPU71"/>
      <c r="FPV71"/>
      <c r="FPW71"/>
      <c r="FPX71"/>
      <c r="FPY71"/>
      <c r="FPZ71"/>
      <c r="FQA71"/>
      <c r="FQB71"/>
      <c r="FQC71"/>
      <c r="FQD71"/>
      <c r="FQE71"/>
      <c r="FQF71"/>
      <c r="FQG71"/>
      <c r="FQH71"/>
      <c r="FQI71"/>
      <c r="FQJ71"/>
      <c r="FQK71"/>
      <c r="FQL71"/>
      <c r="FQM71"/>
      <c r="FQN71"/>
      <c r="FQO71"/>
      <c r="FQP71"/>
      <c r="FQQ71"/>
      <c r="FQR71"/>
      <c r="FQS71"/>
      <c r="FQT71"/>
      <c r="FQU71"/>
      <c r="FQV71"/>
      <c r="FQW71"/>
      <c r="FQX71"/>
      <c r="FQY71"/>
      <c r="FQZ71"/>
      <c r="FRA71"/>
      <c r="FRB71"/>
      <c r="FRC71"/>
      <c r="FRD71"/>
      <c r="FRE71"/>
      <c r="FRF71"/>
      <c r="FRG71"/>
      <c r="FRH71"/>
      <c r="FRI71"/>
      <c r="FRJ71"/>
      <c r="FRK71"/>
      <c r="FRL71"/>
      <c r="FRM71"/>
      <c r="FRN71"/>
      <c r="FRO71"/>
      <c r="FRP71"/>
      <c r="FRQ71"/>
      <c r="FRR71"/>
      <c r="FRS71"/>
      <c r="FRT71"/>
      <c r="FRU71"/>
      <c r="FRV71"/>
      <c r="FRW71"/>
      <c r="FRX71"/>
      <c r="FRY71"/>
      <c r="FRZ71"/>
      <c r="FSA71"/>
      <c r="FSB71"/>
      <c r="FSC71"/>
      <c r="FSD71"/>
      <c r="FSE71"/>
      <c r="FSF71"/>
      <c r="FSG71"/>
      <c r="FSH71"/>
      <c r="FSI71"/>
      <c r="FSJ71"/>
      <c r="FSK71"/>
      <c r="FSL71"/>
      <c r="FSM71"/>
      <c r="FSN71"/>
      <c r="FSO71"/>
      <c r="FSP71"/>
      <c r="FSQ71"/>
      <c r="FSR71"/>
      <c r="FSS71"/>
      <c r="FST71"/>
      <c r="FSU71"/>
      <c r="FSV71"/>
      <c r="FSW71"/>
      <c r="FSX71"/>
      <c r="FSY71"/>
      <c r="FSZ71"/>
      <c r="FTA71"/>
      <c r="FTB71"/>
      <c r="FTC71"/>
      <c r="FTD71"/>
      <c r="FTE71"/>
      <c r="FTF71"/>
      <c r="FTG71"/>
      <c r="FTH71"/>
      <c r="FTI71"/>
      <c r="FTJ71"/>
      <c r="FTK71"/>
      <c r="FTL71"/>
      <c r="FTM71"/>
      <c r="FTN71"/>
      <c r="FTO71"/>
      <c r="FTP71"/>
      <c r="FTQ71"/>
      <c r="FTR71"/>
      <c r="FTS71"/>
      <c r="FTT71"/>
      <c r="FTU71"/>
      <c r="FTV71"/>
      <c r="FTW71"/>
      <c r="FTX71"/>
      <c r="FTY71"/>
      <c r="FTZ71"/>
      <c r="FUA71"/>
      <c r="FUB71"/>
      <c r="FUC71"/>
      <c r="FUD71"/>
      <c r="FUE71"/>
      <c r="FUF71"/>
      <c r="FUG71"/>
      <c r="FUH71"/>
      <c r="FUI71"/>
      <c r="FUJ71"/>
      <c r="FUK71"/>
      <c r="FUL71"/>
      <c r="FUM71"/>
      <c r="FUN71"/>
      <c r="FUO71"/>
      <c r="FUP71"/>
      <c r="FUQ71"/>
      <c r="FUR71"/>
      <c r="FUS71"/>
      <c r="FUT71"/>
      <c r="FUU71"/>
      <c r="FUV71"/>
      <c r="FUW71"/>
      <c r="FUX71"/>
      <c r="FUY71"/>
      <c r="FUZ71"/>
      <c r="FVA71"/>
      <c r="FVB71"/>
      <c r="FVC71"/>
      <c r="FVD71"/>
      <c r="FVE71"/>
      <c r="FVF71"/>
      <c r="FVG71"/>
      <c r="FVH71"/>
      <c r="FVI71"/>
      <c r="FVJ71"/>
      <c r="FVK71"/>
      <c r="FVL71"/>
      <c r="FVM71"/>
      <c r="FVN71"/>
      <c r="FVO71"/>
      <c r="FVP71"/>
      <c r="FVQ71"/>
      <c r="FVR71"/>
      <c r="FVS71"/>
      <c r="FVT71"/>
      <c r="FVU71"/>
      <c r="FVV71"/>
      <c r="FVW71"/>
      <c r="FVX71"/>
      <c r="FVY71"/>
      <c r="FVZ71"/>
      <c r="FWA71"/>
      <c r="FWB71"/>
      <c r="FWC71"/>
      <c r="FWD71"/>
      <c r="FWE71"/>
      <c r="FWF71"/>
      <c r="FWG71"/>
      <c r="FWH71"/>
      <c r="FWI71"/>
      <c r="FWJ71"/>
      <c r="FWK71"/>
      <c r="FWL71"/>
      <c r="FWM71"/>
      <c r="FWN71"/>
      <c r="FWO71"/>
      <c r="FWP71"/>
      <c r="FWQ71"/>
      <c r="FWR71"/>
      <c r="FWS71"/>
      <c r="FWT71"/>
      <c r="FWU71"/>
      <c r="FWV71"/>
      <c r="FWW71"/>
      <c r="FWX71"/>
      <c r="FWY71"/>
      <c r="FWZ71"/>
      <c r="FXA71"/>
      <c r="FXB71"/>
      <c r="FXC71"/>
      <c r="FXD71"/>
      <c r="FXE71"/>
      <c r="FXF71"/>
      <c r="FXG71"/>
      <c r="FXH71"/>
      <c r="FXI71"/>
      <c r="FXJ71"/>
      <c r="FXK71"/>
      <c r="FXL71"/>
      <c r="FXM71"/>
      <c r="FXN71"/>
      <c r="FXO71"/>
      <c r="FXP71"/>
      <c r="FXQ71"/>
      <c r="FXR71"/>
      <c r="FXS71"/>
      <c r="FXT71"/>
      <c r="FXU71"/>
      <c r="FXV71"/>
      <c r="FXW71"/>
      <c r="FXX71"/>
      <c r="FXY71"/>
      <c r="FXZ71"/>
      <c r="FYA71"/>
      <c r="FYB71"/>
      <c r="FYC71"/>
      <c r="FYD71"/>
      <c r="FYE71"/>
      <c r="FYF71"/>
      <c r="FYG71"/>
      <c r="FYH71"/>
      <c r="FYI71"/>
      <c r="FYJ71"/>
      <c r="FYK71"/>
      <c r="FYL71"/>
      <c r="FYM71"/>
      <c r="FYN71"/>
      <c r="FYO71"/>
      <c r="FYP71"/>
      <c r="FYQ71"/>
      <c r="FYR71"/>
      <c r="FYS71"/>
      <c r="FYT71"/>
      <c r="FYU71"/>
      <c r="FYV71"/>
      <c r="FYW71"/>
      <c r="FYX71"/>
      <c r="FYY71"/>
      <c r="FYZ71"/>
      <c r="FZA71"/>
      <c r="FZB71"/>
      <c r="FZC71"/>
      <c r="FZD71"/>
      <c r="FZE71"/>
      <c r="FZF71"/>
      <c r="FZG71"/>
      <c r="FZH71"/>
      <c r="FZI71"/>
      <c r="FZJ71"/>
      <c r="FZK71"/>
      <c r="FZL71"/>
      <c r="FZM71"/>
      <c r="FZN71"/>
      <c r="FZO71"/>
      <c r="FZP71"/>
      <c r="FZQ71"/>
      <c r="FZR71"/>
      <c r="FZS71"/>
      <c r="FZT71"/>
      <c r="FZU71"/>
      <c r="FZV71"/>
      <c r="FZW71"/>
      <c r="FZX71"/>
      <c r="FZY71"/>
      <c r="FZZ71"/>
      <c r="GAA71"/>
      <c r="GAB71"/>
      <c r="GAC71"/>
      <c r="GAD71"/>
      <c r="GAE71"/>
      <c r="GAF71"/>
      <c r="GAG71"/>
      <c r="GAH71"/>
      <c r="GAI71"/>
      <c r="GAJ71"/>
      <c r="GAK71"/>
      <c r="GAL71"/>
      <c r="GAM71"/>
      <c r="GAN71"/>
      <c r="GAO71"/>
      <c r="GAP71"/>
      <c r="GAQ71"/>
      <c r="GAR71"/>
      <c r="GAS71"/>
      <c r="GAT71"/>
      <c r="GAU71"/>
      <c r="GAV71"/>
      <c r="GAW71"/>
      <c r="GAX71"/>
      <c r="GAY71"/>
      <c r="GAZ71"/>
      <c r="GBA71"/>
      <c r="GBB71"/>
      <c r="GBC71"/>
      <c r="GBD71"/>
      <c r="GBE71"/>
      <c r="GBF71"/>
      <c r="GBG71"/>
      <c r="GBH71"/>
      <c r="GBI71"/>
      <c r="GBJ71"/>
      <c r="GBK71"/>
      <c r="GBL71"/>
      <c r="GBM71"/>
      <c r="GBN71"/>
      <c r="GBO71"/>
      <c r="GBP71"/>
      <c r="GBQ71"/>
      <c r="GBR71"/>
      <c r="GBS71"/>
      <c r="GBT71"/>
      <c r="GBU71"/>
      <c r="GBV71"/>
      <c r="GBW71"/>
      <c r="GBX71"/>
      <c r="GBY71"/>
      <c r="GBZ71"/>
      <c r="GCA71"/>
      <c r="GCB71"/>
      <c r="GCC71"/>
      <c r="GCD71"/>
      <c r="GCE71"/>
      <c r="GCF71"/>
      <c r="GCG71"/>
      <c r="GCH71"/>
      <c r="GCI71"/>
      <c r="GCJ71"/>
      <c r="GCK71"/>
      <c r="GCL71"/>
      <c r="GCM71"/>
      <c r="GCN71"/>
      <c r="GCO71"/>
      <c r="GCP71"/>
      <c r="GCQ71"/>
      <c r="GCR71"/>
      <c r="GCS71"/>
      <c r="GCT71"/>
      <c r="GCU71"/>
      <c r="GCV71"/>
      <c r="GCW71"/>
      <c r="GCX71"/>
      <c r="GCY71"/>
      <c r="GCZ71"/>
      <c r="GDA71"/>
      <c r="GDB71"/>
      <c r="GDC71"/>
      <c r="GDD71"/>
      <c r="GDE71"/>
      <c r="GDF71"/>
      <c r="GDG71"/>
      <c r="GDH71"/>
      <c r="GDI71"/>
      <c r="GDJ71"/>
      <c r="GDK71"/>
      <c r="GDL71"/>
      <c r="GDM71"/>
      <c r="GDN71"/>
      <c r="GDO71"/>
      <c r="GDP71"/>
      <c r="GDQ71"/>
      <c r="GDR71"/>
      <c r="GDS71"/>
      <c r="GDT71"/>
      <c r="GDU71"/>
      <c r="GDV71"/>
      <c r="GDW71"/>
      <c r="GDX71"/>
      <c r="GDY71"/>
      <c r="GDZ71"/>
      <c r="GEA71"/>
      <c r="GEB71"/>
      <c r="GEC71"/>
      <c r="GED71"/>
      <c r="GEE71"/>
      <c r="GEF71"/>
      <c r="GEG71"/>
      <c r="GEH71"/>
      <c r="GEI71"/>
      <c r="GEJ71"/>
      <c r="GEK71"/>
      <c r="GEL71"/>
      <c r="GEM71"/>
      <c r="GEN71"/>
      <c r="GEO71"/>
      <c r="GEP71"/>
      <c r="GEQ71"/>
      <c r="GER71"/>
      <c r="GES71"/>
      <c r="GET71"/>
      <c r="GEU71"/>
      <c r="GEV71"/>
      <c r="GEW71"/>
      <c r="GEX71"/>
      <c r="GEY71"/>
      <c r="GEZ71"/>
      <c r="GFA71"/>
      <c r="GFB71"/>
      <c r="GFC71"/>
      <c r="GFD71"/>
      <c r="GFE71"/>
      <c r="GFF71"/>
      <c r="GFG71"/>
      <c r="GFH71"/>
      <c r="GFI71"/>
      <c r="GFJ71"/>
      <c r="GFK71"/>
      <c r="GFL71"/>
      <c r="GFM71"/>
      <c r="GFN71"/>
      <c r="GFO71"/>
      <c r="GFP71"/>
      <c r="GFQ71"/>
      <c r="GFR71"/>
      <c r="GFS71"/>
      <c r="GFT71"/>
      <c r="GFU71"/>
      <c r="GFV71"/>
      <c r="GFW71"/>
      <c r="GFX71"/>
      <c r="GFY71"/>
      <c r="GFZ71"/>
      <c r="GGA71"/>
      <c r="GGB71"/>
      <c r="GGC71"/>
      <c r="GGD71"/>
      <c r="GGE71"/>
      <c r="GGF71"/>
      <c r="GGG71"/>
      <c r="GGH71"/>
      <c r="GGI71"/>
      <c r="GGJ71"/>
      <c r="GGK71"/>
      <c r="GGL71"/>
      <c r="GGM71"/>
      <c r="GGN71"/>
      <c r="GGO71"/>
      <c r="GGP71"/>
      <c r="GGQ71"/>
      <c r="GGR71"/>
      <c r="GGS71"/>
      <c r="GGT71"/>
      <c r="GGU71"/>
      <c r="GGV71"/>
      <c r="GGW71"/>
      <c r="GGX71"/>
      <c r="GGY71"/>
      <c r="GGZ71"/>
      <c r="GHA71"/>
      <c r="GHB71"/>
      <c r="GHC71"/>
      <c r="GHD71"/>
      <c r="GHE71"/>
      <c r="GHF71"/>
      <c r="GHG71"/>
      <c r="GHH71"/>
      <c r="GHI71"/>
      <c r="GHJ71"/>
      <c r="GHK71"/>
      <c r="GHL71"/>
      <c r="GHM71"/>
      <c r="GHN71"/>
      <c r="GHO71"/>
      <c r="GHP71"/>
      <c r="GHQ71"/>
      <c r="GHR71"/>
      <c r="GHS71"/>
      <c r="GHT71"/>
      <c r="GHU71"/>
      <c r="GHV71"/>
      <c r="GHW71"/>
      <c r="GHX71"/>
      <c r="GHY71"/>
      <c r="GHZ71"/>
      <c r="GIA71"/>
      <c r="GIB71"/>
      <c r="GIC71"/>
      <c r="GID71"/>
      <c r="GIE71"/>
      <c r="GIF71"/>
      <c r="GIG71"/>
      <c r="GIH71"/>
      <c r="GII71"/>
      <c r="GIJ71"/>
      <c r="GIK71"/>
      <c r="GIL71"/>
      <c r="GIM71"/>
      <c r="GIN71"/>
      <c r="GIO71"/>
      <c r="GIP71"/>
      <c r="GIQ71"/>
      <c r="GIR71"/>
      <c r="GIS71"/>
      <c r="GIT71"/>
      <c r="GIU71"/>
      <c r="GIV71"/>
      <c r="GIW71"/>
      <c r="GIX71"/>
      <c r="GIY71"/>
      <c r="GIZ71"/>
      <c r="GJA71"/>
      <c r="GJB71"/>
      <c r="GJC71"/>
      <c r="GJD71"/>
      <c r="GJE71"/>
      <c r="GJF71"/>
      <c r="GJG71"/>
      <c r="GJH71"/>
      <c r="GJI71"/>
      <c r="GJJ71"/>
      <c r="GJK71"/>
      <c r="GJL71"/>
      <c r="GJM71"/>
      <c r="GJN71"/>
      <c r="GJO71"/>
      <c r="GJP71"/>
      <c r="GJQ71"/>
      <c r="GJR71"/>
      <c r="GJS71"/>
      <c r="GJT71"/>
      <c r="GJU71"/>
      <c r="GJV71"/>
      <c r="GJW71"/>
      <c r="GJX71"/>
      <c r="GJY71"/>
      <c r="GJZ71"/>
      <c r="GKA71"/>
      <c r="GKB71"/>
      <c r="GKC71"/>
      <c r="GKD71"/>
      <c r="GKE71"/>
      <c r="GKF71"/>
      <c r="GKG71"/>
      <c r="GKH71"/>
      <c r="GKI71"/>
      <c r="GKJ71"/>
      <c r="GKK71"/>
      <c r="GKL71"/>
      <c r="GKM71"/>
      <c r="GKN71"/>
      <c r="GKO71"/>
      <c r="GKP71"/>
      <c r="GKQ71"/>
      <c r="GKR71"/>
      <c r="GKS71"/>
      <c r="GKT71"/>
      <c r="GKU71"/>
      <c r="GKV71"/>
      <c r="GKW71"/>
      <c r="GKX71"/>
      <c r="GKY71"/>
      <c r="GKZ71"/>
      <c r="GLA71"/>
      <c r="GLB71"/>
      <c r="GLC71"/>
      <c r="GLD71"/>
      <c r="GLE71"/>
      <c r="GLF71"/>
      <c r="GLG71"/>
      <c r="GLH71"/>
      <c r="GLI71"/>
      <c r="GLJ71"/>
      <c r="GLK71"/>
      <c r="GLL71"/>
      <c r="GLM71"/>
      <c r="GLN71"/>
      <c r="GLO71"/>
      <c r="GLP71"/>
      <c r="GLQ71"/>
      <c r="GLR71"/>
      <c r="GLS71"/>
      <c r="GLT71"/>
      <c r="GLU71"/>
      <c r="GLV71"/>
      <c r="GLW71"/>
      <c r="GLX71"/>
      <c r="GLY71"/>
      <c r="GLZ71"/>
      <c r="GMA71"/>
      <c r="GMB71"/>
      <c r="GMC71"/>
      <c r="GMD71"/>
      <c r="GME71"/>
      <c r="GMF71"/>
      <c r="GMG71"/>
      <c r="GMH71"/>
      <c r="GMI71"/>
      <c r="GMJ71"/>
      <c r="GMK71"/>
      <c r="GML71"/>
      <c r="GMM71"/>
      <c r="GMN71"/>
      <c r="GMO71"/>
      <c r="GMP71"/>
      <c r="GMQ71"/>
      <c r="GMR71"/>
      <c r="GMS71"/>
      <c r="GMT71"/>
      <c r="GMU71"/>
      <c r="GMV71"/>
      <c r="GMW71"/>
      <c r="GMX71"/>
      <c r="GMY71"/>
      <c r="GMZ71"/>
      <c r="GNA71"/>
      <c r="GNB71"/>
      <c r="GNC71"/>
      <c r="GND71"/>
      <c r="GNE71"/>
      <c r="GNF71"/>
      <c r="GNG71"/>
      <c r="GNH71"/>
      <c r="GNI71"/>
      <c r="GNJ71"/>
      <c r="GNK71"/>
      <c r="GNL71"/>
      <c r="GNM71"/>
      <c r="GNN71"/>
      <c r="GNO71"/>
      <c r="GNP71"/>
      <c r="GNQ71"/>
      <c r="GNR71"/>
      <c r="GNS71"/>
      <c r="GNT71"/>
      <c r="GNU71"/>
      <c r="GNV71"/>
      <c r="GNW71"/>
      <c r="GNX71"/>
      <c r="GNY71"/>
      <c r="GNZ71"/>
      <c r="GOA71"/>
      <c r="GOB71"/>
      <c r="GOC71"/>
      <c r="GOD71"/>
      <c r="GOE71"/>
      <c r="GOF71"/>
      <c r="GOG71"/>
      <c r="GOH71"/>
      <c r="GOI71"/>
      <c r="GOJ71"/>
      <c r="GOK71"/>
      <c r="GOL71"/>
      <c r="GOM71"/>
      <c r="GON71"/>
      <c r="GOO71"/>
      <c r="GOP71"/>
      <c r="GOQ71"/>
      <c r="GOR71"/>
      <c r="GOS71"/>
      <c r="GOT71"/>
      <c r="GOU71"/>
      <c r="GOV71"/>
      <c r="GOW71"/>
      <c r="GOX71"/>
      <c r="GOY71"/>
      <c r="GOZ71"/>
      <c r="GPA71"/>
      <c r="GPB71"/>
      <c r="GPC71"/>
      <c r="GPD71"/>
      <c r="GPE71"/>
      <c r="GPF71"/>
      <c r="GPG71"/>
      <c r="GPH71"/>
      <c r="GPI71"/>
      <c r="GPJ71"/>
      <c r="GPK71"/>
      <c r="GPL71"/>
      <c r="GPM71"/>
      <c r="GPN71"/>
      <c r="GPO71"/>
      <c r="GPP71"/>
      <c r="GPQ71"/>
      <c r="GPR71"/>
      <c r="GPS71"/>
      <c r="GPT71"/>
      <c r="GPU71"/>
      <c r="GPV71"/>
      <c r="GPW71"/>
      <c r="GPX71"/>
      <c r="GPY71"/>
      <c r="GPZ71"/>
      <c r="GQA71"/>
      <c r="GQB71"/>
      <c r="GQC71"/>
      <c r="GQD71"/>
      <c r="GQE71"/>
      <c r="GQF71"/>
      <c r="GQG71"/>
      <c r="GQH71"/>
      <c r="GQI71"/>
      <c r="GQJ71"/>
      <c r="GQK71"/>
      <c r="GQL71"/>
      <c r="GQM71"/>
      <c r="GQN71"/>
      <c r="GQO71"/>
      <c r="GQP71"/>
      <c r="GQQ71"/>
      <c r="GQR71"/>
      <c r="GQS71"/>
      <c r="GQT71"/>
      <c r="GQU71"/>
      <c r="GQV71"/>
      <c r="GQW71"/>
      <c r="GQX71"/>
      <c r="GQY71"/>
      <c r="GQZ71"/>
      <c r="GRA71"/>
      <c r="GRB71"/>
      <c r="GRC71"/>
      <c r="GRD71"/>
      <c r="GRE71"/>
      <c r="GRF71"/>
      <c r="GRG71"/>
      <c r="GRH71"/>
      <c r="GRI71"/>
      <c r="GRJ71"/>
      <c r="GRK71"/>
      <c r="GRL71"/>
      <c r="GRM71"/>
      <c r="GRN71"/>
      <c r="GRO71"/>
      <c r="GRP71"/>
      <c r="GRQ71"/>
      <c r="GRR71"/>
      <c r="GRS71"/>
      <c r="GRT71"/>
      <c r="GRU71"/>
      <c r="GRV71"/>
      <c r="GRW71"/>
      <c r="GRX71"/>
      <c r="GRY71"/>
      <c r="GRZ71"/>
      <c r="GSA71"/>
      <c r="GSB71"/>
      <c r="GSC71"/>
      <c r="GSD71"/>
      <c r="GSE71"/>
      <c r="GSF71"/>
      <c r="GSG71"/>
      <c r="GSH71"/>
      <c r="GSI71"/>
      <c r="GSJ71"/>
      <c r="GSK71"/>
      <c r="GSL71"/>
      <c r="GSM71"/>
      <c r="GSN71"/>
      <c r="GSO71"/>
      <c r="GSP71"/>
      <c r="GSQ71"/>
      <c r="GSR71"/>
      <c r="GSS71"/>
      <c r="GST71"/>
      <c r="GSU71"/>
      <c r="GSV71"/>
      <c r="GSW71"/>
      <c r="GSX71"/>
      <c r="GSY71"/>
      <c r="GSZ71"/>
      <c r="GTA71"/>
      <c r="GTB71"/>
      <c r="GTC71"/>
      <c r="GTD71"/>
      <c r="GTE71"/>
      <c r="GTF71"/>
      <c r="GTG71"/>
      <c r="GTH71"/>
      <c r="GTI71"/>
      <c r="GTJ71"/>
      <c r="GTK71"/>
      <c r="GTL71"/>
      <c r="GTM71"/>
      <c r="GTN71"/>
      <c r="GTO71"/>
      <c r="GTP71"/>
      <c r="GTQ71"/>
      <c r="GTR71"/>
      <c r="GTS71"/>
      <c r="GTT71"/>
      <c r="GTU71"/>
      <c r="GTV71"/>
      <c r="GTW71"/>
      <c r="GTX71"/>
      <c r="GTY71"/>
      <c r="GTZ71"/>
      <c r="GUA71"/>
      <c r="GUB71"/>
      <c r="GUC71"/>
      <c r="GUD71"/>
      <c r="GUE71"/>
      <c r="GUF71"/>
      <c r="GUG71"/>
      <c r="GUH71"/>
      <c r="GUI71"/>
      <c r="GUJ71"/>
      <c r="GUK71"/>
      <c r="GUL71"/>
      <c r="GUM71"/>
      <c r="GUN71"/>
      <c r="GUO71"/>
      <c r="GUP71"/>
      <c r="GUQ71"/>
      <c r="GUR71"/>
      <c r="GUS71"/>
      <c r="GUT71"/>
      <c r="GUU71"/>
      <c r="GUV71"/>
      <c r="GUW71"/>
      <c r="GUX71"/>
      <c r="GUY71"/>
      <c r="GUZ71"/>
      <c r="GVA71"/>
      <c r="GVB71"/>
      <c r="GVC71"/>
      <c r="GVD71"/>
      <c r="GVE71"/>
      <c r="GVF71"/>
      <c r="GVG71"/>
      <c r="GVH71"/>
      <c r="GVI71"/>
      <c r="GVJ71"/>
      <c r="GVK71"/>
      <c r="GVL71"/>
      <c r="GVM71"/>
      <c r="GVN71"/>
      <c r="GVO71"/>
      <c r="GVP71"/>
      <c r="GVQ71"/>
      <c r="GVR71"/>
      <c r="GVS71"/>
      <c r="GVT71"/>
      <c r="GVU71"/>
      <c r="GVV71"/>
      <c r="GVW71"/>
      <c r="GVX71"/>
      <c r="GVY71"/>
      <c r="GVZ71"/>
      <c r="GWA71"/>
      <c r="GWB71"/>
      <c r="GWC71"/>
      <c r="GWD71"/>
      <c r="GWE71"/>
      <c r="GWF71"/>
      <c r="GWG71"/>
      <c r="GWH71"/>
      <c r="GWI71"/>
      <c r="GWJ71"/>
      <c r="GWK71"/>
      <c r="GWL71"/>
      <c r="GWM71"/>
      <c r="GWN71"/>
      <c r="GWO71"/>
      <c r="GWP71"/>
      <c r="GWQ71"/>
      <c r="GWR71"/>
      <c r="GWS71"/>
      <c r="GWT71"/>
      <c r="GWU71"/>
      <c r="GWV71"/>
      <c r="GWW71"/>
      <c r="GWX71"/>
      <c r="GWY71"/>
      <c r="GWZ71"/>
      <c r="GXA71"/>
      <c r="GXB71"/>
      <c r="GXC71"/>
      <c r="GXD71"/>
      <c r="GXE71"/>
      <c r="GXF71"/>
      <c r="GXG71"/>
      <c r="GXH71"/>
      <c r="GXI71"/>
      <c r="GXJ71"/>
      <c r="GXK71"/>
      <c r="GXL71"/>
      <c r="GXM71"/>
      <c r="GXN71"/>
      <c r="GXO71"/>
      <c r="GXP71"/>
      <c r="GXQ71"/>
      <c r="GXR71"/>
      <c r="GXS71"/>
      <c r="GXT71"/>
      <c r="GXU71"/>
      <c r="GXV71"/>
      <c r="GXW71"/>
      <c r="GXX71"/>
      <c r="GXY71"/>
      <c r="GXZ71"/>
      <c r="GYA71"/>
      <c r="GYB71"/>
      <c r="GYC71"/>
      <c r="GYD71"/>
      <c r="GYE71"/>
      <c r="GYF71"/>
      <c r="GYG71"/>
      <c r="GYH71"/>
      <c r="GYI71"/>
      <c r="GYJ71"/>
      <c r="GYK71"/>
      <c r="GYL71"/>
      <c r="GYM71"/>
      <c r="GYN71"/>
      <c r="GYO71"/>
      <c r="GYP71"/>
      <c r="GYQ71"/>
      <c r="GYR71"/>
      <c r="GYS71"/>
      <c r="GYT71"/>
      <c r="GYU71"/>
      <c r="GYV71"/>
      <c r="GYW71"/>
      <c r="GYX71"/>
      <c r="GYY71"/>
      <c r="GYZ71"/>
      <c r="GZA71"/>
      <c r="GZB71"/>
      <c r="GZC71"/>
      <c r="GZD71"/>
      <c r="GZE71"/>
      <c r="GZF71"/>
      <c r="GZG71"/>
      <c r="GZH71"/>
      <c r="GZI71"/>
      <c r="GZJ71"/>
      <c r="GZK71"/>
      <c r="GZL71"/>
      <c r="GZM71"/>
      <c r="GZN71"/>
      <c r="GZO71"/>
      <c r="GZP71"/>
      <c r="GZQ71"/>
      <c r="GZR71"/>
      <c r="GZS71"/>
      <c r="GZT71"/>
      <c r="GZU71"/>
      <c r="GZV71"/>
      <c r="GZW71"/>
      <c r="GZX71"/>
      <c r="GZY71"/>
      <c r="GZZ71"/>
      <c r="HAA71"/>
      <c r="HAB71"/>
      <c r="HAC71"/>
      <c r="HAD71"/>
      <c r="HAE71"/>
      <c r="HAF71"/>
      <c r="HAG71"/>
      <c r="HAH71"/>
      <c r="HAI71"/>
      <c r="HAJ71"/>
      <c r="HAK71"/>
      <c r="HAL71"/>
      <c r="HAM71"/>
      <c r="HAN71"/>
      <c r="HAO71"/>
      <c r="HAP71"/>
      <c r="HAQ71"/>
      <c r="HAR71"/>
      <c r="HAS71"/>
      <c r="HAT71"/>
      <c r="HAU71"/>
      <c r="HAV71"/>
      <c r="HAW71"/>
      <c r="HAX71"/>
      <c r="HAY71"/>
      <c r="HAZ71"/>
      <c r="HBA71"/>
      <c r="HBB71"/>
      <c r="HBC71"/>
      <c r="HBD71"/>
      <c r="HBE71"/>
      <c r="HBF71"/>
      <c r="HBG71"/>
      <c r="HBH71"/>
      <c r="HBI71"/>
      <c r="HBJ71"/>
      <c r="HBK71"/>
      <c r="HBL71"/>
      <c r="HBM71"/>
      <c r="HBN71"/>
      <c r="HBO71"/>
      <c r="HBP71"/>
      <c r="HBQ71"/>
      <c r="HBR71"/>
      <c r="HBS71"/>
      <c r="HBT71"/>
      <c r="HBU71"/>
      <c r="HBV71"/>
      <c r="HBW71"/>
      <c r="HBX71"/>
      <c r="HBY71"/>
      <c r="HBZ71"/>
      <c r="HCA71"/>
      <c r="HCB71"/>
      <c r="HCC71"/>
      <c r="HCD71"/>
      <c r="HCE71"/>
      <c r="HCF71"/>
      <c r="HCG71"/>
      <c r="HCH71"/>
      <c r="HCI71"/>
      <c r="HCJ71"/>
      <c r="HCK71"/>
      <c r="HCL71"/>
      <c r="HCM71"/>
      <c r="HCN71"/>
      <c r="HCO71"/>
      <c r="HCP71"/>
      <c r="HCQ71"/>
      <c r="HCR71"/>
      <c r="HCS71"/>
      <c r="HCT71"/>
      <c r="HCU71"/>
      <c r="HCV71"/>
      <c r="HCW71"/>
      <c r="HCX71"/>
      <c r="HCY71"/>
      <c r="HCZ71"/>
      <c r="HDA71"/>
      <c r="HDB71"/>
      <c r="HDC71"/>
      <c r="HDD71"/>
      <c r="HDE71"/>
      <c r="HDF71"/>
      <c r="HDG71"/>
      <c r="HDH71"/>
      <c r="HDI71"/>
      <c r="HDJ71"/>
      <c r="HDK71"/>
      <c r="HDL71"/>
      <c r="HDM71"/>
      <c r="HDN71"/>
      <c r="HDO71"/>
      <c r="HDP71"/>
      <c r="HDQ71"/>
      <c r="HDR71"/>
      <c r="HDS71"/>
      <c r="HDT71"/>
      <c r="HDU71"/>
      <c r="HDV71"/>
      <c r="HDW71"/>
      <c r="HDX71"/>
      <c r="HDY71"/>
      <c r="HDZ71"/>
      <c r="HEA71"/>
      <c r="HEB71"/>
      <c r="HEC71"/>
      <c r="HED71"/>
      <c r="HEE71"/>
      <c r="HEF71"/>
      <c r="HEG71"/>
      <c r="HEH71"/>
      <c r="HEI71"/>
      <c r="HEJ71"/>
      <c r="HEK71"/>
      <c r="HEL71"/>
      <c r="HEM71"/>
      <c r="HEN71"/>
      <c r="HEO71"/>
      <c r="HEP71"/>
      <c r="HEQ71"/>
      <c r="HER71"/>
      <c r="HES71"/>
      <c r="HET71"/>
      <c r="HEU71"/>
      <c r="HEV71"/>
      <c r="HEW71"/>
      <c r="HEX71"/>
      <c r="HEY71"/>
      <c r="HEZ71"/>
      <c r="HFA71"/>
      <c r="HFB71"/>
      <c r="HFC71"/>
      <c r="HFD71"/>
      <c r="HFE71"/>
      <c r="HFF71"/>
      <c r="HFG71"/>
      <c r="HFH71"/>
      <c r="HFI71"/>
      <c r="HFJ71"/>
      <c r="HFK71"/>
      <c r="HFL71"/>
      <c r="HFM71"/>
      <c r="HFN71"/>
      <c r="HFO71"/>
      <c r="HFP71"/>
      <c r="HFQ71"/>
      <c r="HFR71"/>
      <c r="HFS71"/>
      <c r="HFT71"/>
      <c r="HFU71"/>
      <c r="HFV71"/>
      <c r="HFW71"/>
      <c r="HFX71"/>
      <c r="HFY71"/>
      <c r="HFZ71"/>
      <c r="HGA71"/>
      <c r="HGB71"/>
      <c r="HGC71"/>
      <c r="HGD71"/>
      <c r="HGE71"/>
      <c r="HGF71"/>
      <c r="HGG71"/>
      <c r="HGH71"/>
      <c r="HGI71"/>
      <c r="HGJ71"/>
      <c r="HGK71"/>
      <c r="HGL71"/>
      <c r="HGM71"/>
      <c r="HGN71"/>
      <c r="HGO71"/>
      <c r="HGP71"/>
      <c r="HGQ71"/>
      <c r="HGR71"/>
      <c r="HGS71"/>
      <c r="HGT71"/>
      <c r="HGU71"/>
      <c r="HGV71"/>
      <c r="HGW71"/>
      <c r="HGX71"/>
      <c r="HGY71"/>
      <c r="HGZ71"/>
      <c r="HHA71"/>
      <c r="HHB71"/>
      <c r="HHC71"/>
      <c r="HHD71"/>
      <c r="HHE71"/>
      <c r="HHF71"/>
      <c r="HHG71"/>
      <c r="HHH71"/>
      <c r="HHI71"/>
      <c r="HHJ71"/>
      <c r="HHK71"/>
      <c r="HHL71"/>
      <c r="HHM71"/>
      <c r="HHN71"/>
      <c r="HHO71"/>
      <c r="HHP71"/>
      <c r="HHQ71"/>
      <c r="HHR71"/>
      <c r="HHS71"/>
      <c r="HHT71"/>
      <c r="HHU71"/>
      <c r="HHV71"/>
      <c r="HHW71"/>
      <c r="HHX71"/>
      <c r="HHY71"/>
      <c r="HHZ71"/>
      <c r="HIA71"/>
      <c r="HIB71"/>
      <c r="HIC71"/>
      <c r="HID71"/>
      <c r="HIE71"/>
      <c r="HIF71"/>
      <c r="HIG71"/>
      <c r="HIH71"/>
      <c r="HII71"/>
      <c r="HIJ71"/>
      <c r="HIK71"/>
      <c r="HIL71"/>
      <c r="HIM71"/>
      <c r="HIN71"/>
      <c r="HIO71"/>
      <c r="HIP71"/>
      <c r="HIQ71"/>
      <c r="HIR71"/>
      <c r="HIS71"/>
      <c r="HIT71"/>
      <c r="HIU71"/>
      <c r="HIV71"/>
      <c r="HIW71"/>
      <c r="HIX71"/>
      <c r="HIY71"/>
      <c r="HIZ71"/>
      <c r="HJA71"/>
      <c r="HJB71"/>
      <c r="HJC71"/>
      <c r="HJD71"/>
      <c r="HJE71"/>
      <c r="HJF71"/>
      <c r="HJG71"/>
      <c r="HJH71"/>
      <c r="HJI71"/>
      <c r="HJJ71"/>
      <c r="HJK71"/>
      <c r="HJL71"/>
      <c r="HJM71"/>
      <c r="HJN71"/>
      <c r="HJO71"/>
      <c r="HJP71"/>
      <c r="HJQ71"/>
      <c r="HJR71"/>
      <c r="HJS71"/>
      <c r="HJT71"/>
      <c r="HJU71"/>
      <c r="HJV71"/>
      <c r="HJW71"/>
      <c r="HJX71"/>
      <c r="HJY71"/>
      <c r="HJZ71"/>
      <c r="HKA71"/>
      <c r="HKB71"/>
      <c r="HKC71"/>
      <c r="HKD71"/>
      <c r="HKE71"/>
      <c r="HKF71"/>
      <c r="HKG71"/>
      <c r="HKH71"/>
      <c r="HKI71"/>
      <c r="HKJ71"/>
      <c r="HKK71"/>
      <c r="HKL71"/>
      <c r="HKM71"/>
      <c r="HKN71"/>
      <c r="HKO71"/>
      <c r="HKP71"/>
      <c r="HKQ71"/>
      <c r="HKR71"/>
      <c r="HKS71"/>
      <c r="HKT71"/>
      <c r="HKU71"/>
      <c r="HKV71"/>
      <c r="HKW71"/>
      <c r="HKX71"/>
      <c r="HKY71"/>
      <c r="HKZ71"/>
      <c r="HLA71"/>
      <c r="HLB71"/>
      <c r="HLC71"/>
      <c r="HLD71"/>
      <c r="HLE71"/>
      <c r="HLF71"/>
      <c r="HLG71"/>
      <c r="HLH71"/>
      <c r="HLI71"/>
      <c r="HLJ71"/>
      <c r="HLK71"/>
      <c r="HLL71"/>
      <c r="HLM71"/>
      <c r="HLN71"/>
      <c r="HLO71"/>
      <c r="HLP71"/>
      <c r="HLQ71"/>
      <c r="HLR71"/>
      <c r="HLS71"/>
      <c r="HLT71"/>
      <c r="HLU71"/>
      <c r="HLV71"/>
      <c r="HLW71"/>
      <c r="HLX71"/>
      <c r="HLY71"/>
      <c r="HLZ71"/>
      <c r="HMA71"/>
      <c r="HMB71"/>
      <c r="HMC71"/>
      <c r="HMD71"/>
      <c r="HME71"/>
      <c r="HMF71"/>
      <c r="HMG71"/>
      <c r="HMH71"/>
      <c r="HMI71"/>
      <c r="HMJ71"/>
      <c r="HMK71"/>
      <c r="HML71"/>
      <c r="HMM71"/>
      <c r="HMN71"/>
      <c r="HMO71"/>
      <c r="HMP71"/>
      <c r="HMQ71"/>
      <c r="HMR71"/>
      <c r="HMS71"/>
      <c r="HMT71"/>
      <c r="HMU71"/>
      <c r="HMV71"/>
      <c r="HMW71"/>
      <c r="HMX71"/>
      <c r="HMY71"/>
      <c r="HMZ71"/>
      <c r="HNA71"/>
      <c r="HNB71"/>
      <c r="HNC71"/>
      <c r="HND71"/>
      <c r="HNE71"/>
      <c r="HNF71"/>
      <c r="HNG71"/>
      <c r="HNH71"/>
      <c r="HNI71"/>
      <c r="HNJ71"/>
      <c r="HNK71"/>
      <c r="HNL71"/>
      <c r="HNM71"/>
      <c r="HNN71"/>
      <c r="HNO71"/>
      <c r="HNP71"/>
      <c r="HNQ71"/>
      <c r="HNR71"/>
      <c r="HNS71"/>
      <c r="HNT71"/>
      <c r="HNU71"/>
      <c r="HNV71"/>
      <c r="HNW71"/>
      <c r="HNX71"/>
      <c r="HNY71"/>
      <c r="HNZ71"/>
      <c r="HOA71"/>
      <c r="HOB71"/>
      <c r="HOC71"/>
      <c r="HOD71"/>
      <c r="HOE71"/>
      <c r="HOF71"/>
      <c r="HOG71"/>
      <c r="HOH71"/>
      <c r="HOI71"/>
      <c r="HOJ71"/>
      <c r="HOK71"/>
      <c r="HOL71"/>
      <c r="HOM71"/>
      <c r="HON71"/>
      <c r="HOO71"/>
      <c r="HOP71"/>
      <c r="HOQ71"/>
      <c r="HOR71"/>
      <c r="HOS71"/>
      <c r="HOT71"/>
      <c r="HOU71"/>
      <c r="HOV71"/>
      <c r="HOW71"/>
      <c r="HOX71"/>
      <c r="HOY71"/>
      <c r="HOZ71"/>
      <c r="HPA71"/>
      <c r="HPB71"/>
      <c r="HPC71"/>
      <c r="HPD71"/>
      <c r="HPE71"/>
      <c r="HPF71"/>
      <c r="HPG71"/>
      <c r="HPH71"/>
      <c r="HPI71"/>
      <c r="HPJ71"/>
      <c r="HPK71"/>
      <c r="HPL71"/>
      <c r="HPM71"/>
      <c r="HPN71"/>
      <c r="HPO71"/>
      <c r="HPP71"/>
      <c r="HPQ71"/>
      <c r="HPR71"/>
      <c r="HPS71"/>
      <c r="HPT71"/>
      <c r="HPU71"/>
      <c r="HPV71"/>
      <c r="HPW71"/>
      <c r="HPX71"/>
      <c r="HPY71"/>
      <c r="HPZ71"/>
      <c r="HQA71"/>
      <c r="HQB71"/>
      <c r="HQC71"/>
      <c r="HQD71"/>
      <c r="HQE71"/>
      <c r="HQF71"/>
      <c r="HQG71"/>
      <c r="HQH71"/>
      <c r="HQI71"/>
      <c r="HQJ71"/>
      <c r="HQK71"/>
      <c r="HQL71"/>
      <c r="HQM71"/>
      <c r="HQN71"/>
      <c r="HQO71"/>
      <c r="HQP71"/>
      <c r="HQQ71"/>
      <c r="HQR71"/>
      <c r="HQS71"/>
      <c r="HQT71"/>
      <c r="HQU71"/>
      <c r="HQV71"/>
      <c r="HQW71"/>
      <c r="HQX71"/>
      <c r="HQY71"/>
      <c r="HQZ71"/>
      <c r="HRA71"/>
      <c r="HRB71"/>
      <c r="HRC71"/>
      <c r="HRD71"/>
      <c r="HRE71"/>
      <c r="HRF71"/>
      <c r="HRG71"/>
      <c r="HRH71"/>
      <c r="HRI71"/>
      <c r="HRJ71"/>
      <c r="HRK71"/>
      <c r="HRL71"/>
      <c r="HRM71"/>
      <c r="HRN71"/>
      <c r="HRO71"/>
      <c r="HRP71"/>
      <c r="HRQ71"/>
      <c r="HRR71"/>
      <c r="HRS71"/>
      <c r="HRT71"/>
      <c r="HRU71"/>
      <c r="HRV71"/>
      <c r="HRW71"/>
      <c r="HRX71"/>
      <c r="HRY71"/>
      <c r="HRZ71"/>
      <c r="HSA71"/>
      <c r="HSB71"/>
      <c r="HSC71"/>
      <c r="HSD71"/>
      <c r="HSE71"/>
      <c r="HSF71"/>
      <c r="HSG71"/>
      <c r="HSH71"/>
      <c r="HSI71"/>
      <c r="HSJ71"/>
      <c r="HSK71"/>
      <c r="HSL71"/>
      <c r="HSM71"/>
      <c r="HSN71"/>
      <c r="HSO71"/>
      <c r="HSP71"/>
      <c r="HSQ71"/>
      <c r="HSR71"/>
      <c r="HSS71"/>
      <c r="HST71"/>
      <c r="HSU71"/>
      <c r="HSV71"/>
      <c r="HSW71"/>
      <c r="HSX71"/>
      <c r="HSY71"/>
      <c r="HSZ71"/>
      <c r="HTA71"/>
      <c r="HTB71"/>
      <c r="HTC71"/>
      <c r="HTD71"/>
      <c r="HTE71"/>
      <c r="HTF71"/>
      <c r="HTG71"/>
      <c r="HTH71"/>
      <c r="HTI71"/>
      <c r="HTJ71"/>
      <c r="HTK71"/>
      <c r="HTL71"/>
      <c r="HTM71"/>
      <c r="HTN71"/>
      <c r="HTO71"/>
      <c r="HTP71"/>
      <c r="HTQ71"/>
      <c r="HTR71"/>
      <c r="HTS71"/>
      <c r="HTT71"/>
      <c r="HTU71"/>
      <c r="HTV71"/>
      <c r="HTW71"/>
      <c r="HTX71"/>
      <c r="HTY71"/>
      <c r="HTZ71"/>
      <c r="HUA71"/>
      <c r="HUB71"/>
      <c r="HUC71"/>
      <c r="HUD71"/>
      <c r="HUE71"/>
      <c r="HUF71"/>
      <c r="HUG71"/>
      <c r="HUH71"/>
      <c r="HUI71"/>
      <c r="HUJ71"/>
      <c r="HUK71"/>
      <c r="HUL71"/>
      <c r="HUM71"/>
      <c r="HUN71"/>
      <c r="HUO71"/>
      <c r="HUP71"/>
      <c r="HUQ71"/>
      <c r="HUR71"/>
      <c r="HUS71"/>
      <c r="HUT71"/>
      <c r="HUU71"/>
      <c r="HUV71"/>
      <c r="HUW71"/>
      <c r="HUX71"/>
      <c r="HUY71"/>
      <c r="HUZ71"/>
      <c r="HVA71"/>
      <c r="HVB71"/>
      <c r="HVC71"/>
      <c r="HVD71"/>
      <c r="HVE71"/>
      <c r="HVF71"/>
      <c r="HVG71"/>
      <c r="HVH71"/>
      <c r="HVI71"/>
      <c r="HVJ71"/>
      <c r="HVK71"/>
      <c r="HVL71"/>
      <c r="HVM71"/>
      <c r="HVN71"/>
      <c r="HVO71"/>
      <c r="HVP71"/>
      <c r="HVQ71"/>
      <c r="HVR71"/>
      <c r="HVS71"/>
      <c r="HVT71"/>
      <c r="HVU71"/>
      <c r="HVV71"/>
      <c r="HVW71"/>
      <c r="HVX71"/>
      <c r="HVY71"/>
      <c r="HVZ71"/>
      <c r="HWA71"/>
      <c r="HWB71"/>
      <c r="HWC71"/>
      <c r="HWD71"/>
      <c r="HWE71"/>
      <c r="HWF71"/>
      <c r="HWG71"/>
      <c r="HWH71"/>
      <c r="HWI71"/>
      <c r="HWJ71"/>
      <c r="HWK71"/>
      <c r="HWL71"/>
      <c r="HWM71"/>
      <c r="HWN71"/>
      <c r="HWO71"/>
      <c r="HWP71"/>
      <c r="HWQ71"/>
      <c r="HWR71"/>
      <c r="HWS71"/>
      <c r="HWT71"/>
      <c r="HWU71"/>
      <c r="HWV71"/>
      <c r="HWW71"/>
      <c r="HWX71"/>
      <c r="HWY71"/>
      <c r="HWZ71"/>
      <c r="HXA71"/>
      <c r="HXB71"/>
      <c r="HXC71"/>
      <c r="HXD71"/>
      <c r="HXE71"/>
      <c r="HXF71"/>
      <c r="HXG71"/>
      <c r="HXH71"/>
      <c r="HXI71"/>
      <c r="HXJ71"/>
      <c r="HXK71"/>
      <c r="HXL71"/>
      <c r="HXM71"/>
      <c r="HXN71"/>
      <c r="HXO71"/>
      <c r="HXP71"/>
      <c r="HXQ71"/>
      <c r="HXR71"/>
      <c r="HXS71"/>
      <c r="HXT71"/>
      <c r="HXU71"/>
      <c r="HXV71"/>
      <c r="HXW71"/>
      <c r="HXX71"/>
      <c r="HXY71"/>
      <c r="HXZ71"/>
      <c r="HYA71"/>
      <c r="HYB71"/>
      <c r="HYC71"/>
      <c r="HYD71"/>
      <c r="HYE71"/>
      <c r="HYF71"/>
      <c r="HYG71"/>
      <c r="HYH71"/>
      <c r="HYI71"/>
      <c r="HYJ71"/>
      <c r="HYK71"/>
      <c r="HYL71"/>
      <c r="HYM71"/>
      <c r="HYN71"/>
      <c r="HYO71"/>
      <c r="HYP71"/>
      <c r="HYQ71"/>
      <c r="HYR71"/>
      <c r="HYS71"/>
      <c r="HYT71"/>
      <c r="HYU71"/>
      <c r="HYV71"/>
      <c r="HYW71"/>
      <c r="HYX71"/>
      <c r="HYY71"/>
      <c r="HYZ71"/>
      <c r="HZA71"/>
      <c r="HZB71"/>
      <c r="HZC71"/>
      <c r="HZD71"/>
      <c r="HZE71"/>
      <c r="HZF71"/>
      <c r="HZG71"/>
      <c r="HZH71"/>
      <c r="HZI71"/>
      <c r="HZJ71"/>
      <c r="HZK71"/>
      <c r="HZL71"/>
      <c r="HZM71"/>
      <c r="HZN71"/>
      <c r="HZO71"/>
      <c r="HZP71"/>
      <c r="HZQ71"/>
      <c r="HZR71"/>
      <c r="HZS71"/>
      <c r="HZT71"/>
      <c r="HZU71"/>
      <c r="HZV71"/>
      <c r="HZW71"/>
      <c r="HZX71"/>
      <c r="HZY71"/>
      <c r="HZZ71"/>
      <c r="IAA71"/>
      <c r="IAB71"/>
      <c r="IAC71"/>
      <c r="IAD71"/>
      <c r="IAE71"/>
      <c r="IAF71"/>
      <c r="IAG71"/>
      <c r="IAH71"/>
      <c r="IAI71"/>
      <c r="IAJ71"/>
      <c r="IAK71"/>
      <c r="IAL71"/>
      <c r="IAM71"/>
      <c r="IAN71"/>
      <c r="IAO71"/>
      <c r="IAP71"/>
      <c r="IAQ71"/>
      <c r="IAR71"/>
      <c r="IAS71"/>
      <c r="IAT71"/>
      <c r="IAU71"/>
      <c r="IAV71"/>
      <c r="IAW71"/>
      <c r="IAX71"/>
      <c r="IAY71"/>
      <c r="IAZ71"/>
      <c r="IBA71"/>
      <c r="IBB71"/>
      <c r="IBC71"/>
      <c r="IBD71"/>
      <c r="IBE71"/>
      <c r="IBF71"/>
      <c r="IBG71"/>
      <c r="IBH71"/>
      <c r="IBI71"/>
      <c r="IBJ71"/>
      <c r="IBK71"/>
      <c r="IBL71"/>
      <c r="IBM71"/>
      <c r="IBN71"/>
      <c r="IBO71"/>
      <c r="IBP71"/>
      <c r="IBQ71"/>
      <c r="IBR71"/>
      <c r="IBS71"/>
      <c r="IBT71"/>
      <c r="IBU71"/>
      <c r="IBV71"/>
      <c r="IBW71"/>
      <c r="IBX71"/>
      <c r="IBY71"/>
      <c r="IBZ71"/>
      <c r="ICA71"/>
      <c r="ICB71"/>
      <c r="ICC71"/>
      <c r="ICD71"/>
      <c r="ICE71"/>
      <c r="ICF71"/>
      <c r="ICG71"/>
      <c r="ICH71"/>
      <c r="ICI71"/>
      <c r="ICJ71"/>
      <c r="ICK71"/>
      <c r="ICL71"/>
      <c r="ICM71"/>
      <c r="ICN71"/>
      <c r="ICO71"/>
      <c r="ICP71"/>
      <c r="ICQ71"/>
      <c r="ICR71"/>
      <c r="ICS71"/>
      <c r="ICT71"/>
      <c r="ICU71"/>
      <c r="ICV71"/>
      <c r="ICW71"/>
      <c r="ICX71"/>
      <c r="ICY71"/>
      <c r="ICZ71"/>
      <c r="IDA71"/>
      <c r="IDB71"/>
      <c r="IDC71"/>
      <c r="IDD71"/>
      <c r="IDE71"/>
      <c r="IDF71"/>
      <c r="IDG71"/>
      <c r="IDH71"/>
      <c r="IDI71"/>
      <c r="IDJ71"/>
      <c r="IDK71"/>
      <c r="IDL71"/>
      <c r="IDM71"/>
      <c r="IDN71"/>
      <c r="IDO71"/>
      <c r="IDP71"/>
      <c r="IDQ71"/>
      <c r="IDR71"/>
      <c r="IDS71"/>
      <c r="IDT71"/>
      <c r="IDU71"/>
      <c r="IDV71"/>
      <c r="IDW71"/>
      <c r="IDX71"/>
      <c r="IDY71"/>
      <c r="IDZ71"/>
      <c r="IEA71"/>
      <c r="IEB71"/>
      <c r="IEC71"/>
      <c r="IED71"/>
      <c r="IEE71"/>
      <c r="IEF71"/>
      <c r="IEG71"/>
      <c r="IEH71"/>
      <c r="IEI71"/>
      <c r="IEJ71"/>
      <c r="IEK71"/>
      <c r="IEL71"/>
      <c r="IEM71"/>
      <c r="IEN71"/>
      <c r="IEO71"/>
      <c r="IEP71"/>
      <c r="IEQ71"/>
      <c r="IER71"/>
      <c r="IES71"/>
      <c r="IET71"/>
      <c r="IEU71"/>
      <c r="IEV71"/>
      <c r="IEW71"/>
      <c r="IEX71"/>
      <c r="IEY71"/>
      <c r="IEZ71"/>
      <c r="IFA71"/>
      <c r="IFB71"/>
      <c r="IFC71"/>
      <c r="IFD71"/>
      <c r="IFE71"/>
      <c r="IFF71"/>
      <c r="IFG71"/>
      <c r="IFH71"/>
      <c r="IFI71"/>
      <c r="IFJ71"/>
      <c r="IFK71"/>
      <c r="IFL71"/>
      <c r="IFM71"/>
      <c r="IFN71"/>
      <c r="IFO71"/>
      <c r="IFP71"/>
      <c r="IFQ71"/>
      <c r="IFR71"/>
      <c r="IFS71"/>
      <c r="IFT71"/>
      <c r="IFU71"/>
      <c r="IFV71"/>
      <c r="IFW71"/>
      <c r="IFX71"/>
      <c r="IFY71"/>
      <c r="IFZ71"/>
      <c r="IGA71"/>
      <c r="IGB71"/>
      <c r="IGC71"/>
      <c r="IGD71"/>
      <c r="IGE71"/>
      <c r="IGF71"/>
      <c r="IGG71"/>
      <c r="IGH71"/>
      <c r="IGI71"/>
      <c r="IGJ71"/>
      <c r="IGK71"/>
      <c r="IGL71"/>
      <c r="IGM71"/>
      <c r="IGN71"/>
      <c r="IGO71"/>
      <c r="IGP71"/>
      <c r="IGQ71"/>
      <c r="IGR71"/>
      <c r="IGS71"/>
      <c r="IGT71"/>
      <c r="IGU71"/>
      <c r="IGV71"/>
      <c r="IGW71"/>
      <c r="IGX71"/>
      <c r="IGY71"/>
      <c r="IGZ71"/>
      <c r="IHA71"/>
      <c r="IHB71"/>
      <c r="IHC71"/>
      <c r="IHD71"/>
      <c r="IHE71"/>
      <c r="IHF71"/>
      <c r="IHG71"/>
      <c r="IHH71"/>
      <c r="IHI71"/>
      <c r="IHJ71"/>
      <c r="IHK71"/>
      <c r="IHL71"/>
      <c r="IHM71"/>
      <c r="IHN71"/>
      <c r="IHO71"/>
      <c r="IHP71"/>
      <c r="IHQ71"/>
      <c r="IHR71"/>
      <c r="IHS71"/>
      <c r="IHT71"/>
      <c r="IHU71"/>
      <c r="IHV71"/>
      <c r="IHW71"/>
      <c r="IHX71"/>
      <c r="IHY71"/>
      <c r="IHZ71"/>
      <c r="IIA71"/>
      <c r="IIB71"/>
      <c r="IIC71"/>
      <c r="IID71"/>
      <c r="IIE71"/>
      <c r="IIF71"/>
      <c r="IIG71"/>
      <c r="IIH71"/>
      <c r="III71"/>
      <c r="IIJ71"/>
      <c r="IIK71"/>
      <c r="IIL71"/>
      <c r="IIM71"/>
      <c r="IIN71"/>
      <c r="IIO71"/>
      <c r="IIP71"/>
      <c r="IIQ71"/>
      <c r="IIR71"/>
      <c r="IIS71"/>
      <c r="IIT71"/>
      <c r="IIU71"/>
      <c r="IIV71"/>
      <c r="IIW71"/>
      <c r="IIX71"/>
      <c r="IIY71"/>
      <c r="IIZ71"/>
      <c r="IJA71"/>
      <c r="IJB71"/>
      <c r="IJC71"/>
      <c r="IJD71"/>
      <c r="IJE71"/>
      <c r="IJF71"/>
      <c r="IJG71"/>
      <c r="IJH71"/>
      <c r="IJI71"/>
      <c r="IJJ71"/>
      <c r="IJK71"/>
      <c r="IJL71"/>
      <c r="IJM71"/>
      <c r="IJN71"/>
      <c r="IJO71"/>
      <c r="IJP71"/>
      <c r="IJQ71"/>
      <c r="IJR71"/>
      <c r="IJS71"/>
      <c r="IJT71"/>
      <c r="IJU71"/>
      <c r="IJV71"/>
      <c r="IJW71"/>
      <c r="IJX71"/>
      <c r="IJY71"/>
      <c r="IJZ71"/>
      <c r="IKA71"/>
      <c r="IKB71"/>
      <c r="IKC71"/>
      <c r="IKD71"/>
      <c r="IKE71"/>
      <c r="IKF71"/>
      <c r="IKG71"/>
      <c r="IKH71"/>
      <c r="IKI71"/>
      <c r="IKJ71"/>
      <c r="IKK71"/>
      <c r="IKL71"/>
      <c r="IKM71"/>
      <c r="IKN71"/>
      <c r="IKO71"/>
      <c r="IKP71"/>
      <c r="IKQ71"/>
      <c r="IKR71"/>
      <c r="IKS71"/>
      <c r="IKT71"/>
      <c r="IKU71"/>
      <c r="IKV71"/>
      <c r="IKW71"/>
      <c r="IKX71"/>
      <c r="IKY71"/>
      <c r="IKZ71"/>
      <c r="ILA71"/>
      <c r="ILB71"/>
      <c r="ILC71"/>
      <c r="ILD71"/>
      <c r="ILE71"/>
      <c r="ILF71"/>
      <c r="ILG71"/>
      <c r="ILH71"/>
      <c r="ILI71"/>
      <c r="ILJ71"/>
      <c r="ILK71"/>
      <c r="ILL71"/>
      <c r="ILM71"/>
      <c r="ILN71"/>
      <c r="ILO71"/>
      <c r="ILP71"/>
      <c r="ILQ71"/>
      <c r="ILR71"/>
      <c r="ILS71"/>
      <c r="ILT71"/>
      <c r="ILU71"/>
      <c r="ILV71"/>
      <c r="ILW71"/>
      <c r="ILX71"/>
      <c r="ILY71"/>
      <c r="ILZ71"/>
      <c r="IMA71"/>
      <c r="IMB71"/>
      <c r="IMC71"/>
      <c r="IMD71"/>
      <c r="IME71"/>
      <c r="IMF71"/>
      <c r="IMG71"/>
      <c r="IMH71"/>
      <c r="IMI71"/>
      <c r="IMJ71"/>
      <c r="IMK71"/>
      <c r="IML71"/>
      <c r="IMM71"/>
      <c r="IMN71"/>
      <c r="IMO71"/>
      <c r="IMP71"/>
      <c r="IMQ71"/>
      <c r="IMR71"/>
      <c r="IMS71"/>
      <c r="IMT71"/>
      <c r="IMU71"/>
      <c r="IMV71"/>
      <c r="IMW71"/>
      <c r="IMX71"/>
      <c r="IMY71"/>
      <c r="IMZ71"/>
      <c r="INA71"/>
      <c r="INB71"/>
      <c r="INC71"/>
      <c r="IND71"/>
      <c r="INE71"/>
      <c r="INF71"/>
      <c r="ING71"/>
      <c r="INH71"/>
      <c r="INI71"/>
      <c r="INJ71"/>
      <c r="INK71"/>
      <c r="INL71"/>
      <c r="INM71"/>
      <c r="INN71"/>
      <c r="INO71"/>
      <c r="INP71"/>
      <c r="INQ71"/>
      <c r="INR71"/>
      <c r="INS71"/>
      <c r="INT71"/>
      <c r="INU71"/>
      <c r="INV71"/>
      <c r="INW71"/>
      <c r="INX71"/>
      <c r="INY71"/>
      <c r="INZ71"/>
      <c r="IOA71"/>
      <c r="IOB71"/>
      <c r="IOC71"/>
      <c r="IOD71"/>
      <c r="IOE71"/>
      <c r="IOF71"/>
      <c r="IOG71"/>
      <c r="IOH71"/>
      <c r="IOI71"/>
      <c r="IOJ71"/>
      <c r="IOK71"/>
      <c r="IOL71"/>
      <c r="IOM71"/>
      <c r="ION71"/>
      <c r="IOO71"/>
      <c r="IOP71"/>
      <c r="IOQ71"/>
      <c r="IOR71"/>
      <c r="IOS71"/>
      <c r="IOT71"/>
      <c r="IOU71"/>
      <c r="IOV71"/>
      <c r="IOW71"/>
      <c r="IOX71"/>
      <c r="IOY71"/>
      <c r="IOZ71"/>
      <c r="IPA71"/>
      <c r="IPB71"/>
      <c r="IPC71"/>
      <c r="IPD71"/>
      <c r="IPE71"/>
      <c r="IPF71"/>
      <c r="IPG71"/>
      <c r="IPH71"/>
      <c r="IPI71"/>
      <c r="IPJ71"/>
      <c r="IPK71"/>
      <c r="IPL71"/>
      <c r="IPM71"/>
      <c r="IPN71"/>
      <c r="IPO71"/>
      <c r="IPP71"/>
      <c r="IPQ71"/>
      <c r="IPR71"/>
      <c r="IPS71"/>
      <c r="IPT71"/>
      <c r="IPU71"/>
      <c r="IPV71"/>
      <c r="IPW71"/>
      <c r="IPX71"/>
      <c r="IPY71"/>
      <c r="IPZ71"/>
      <c r="IQA71"/>
      <c r="IQB71"/>
      <c r="IQC71"/>
      <c r="IQD71"/>
      <c r="IQE71"/>
      <c r="IQF71"/>
      <c r="IQG71"/>
      <c r="IQH71"/>
      <c r="IQI71"/>
      <c r="IQJ71"/>
      <c r="IQK71"/>
      <c r="IQL71"/>
      <c r="IQM71"/>
      <c r="IQN71"/>
      <c r="IQO71"/>
      <c r="IQP71"/>
      <c r="IQQ71"/>
      <c r="IQR71"/>
      <c r="IQS71"/>
      <c r="IQT71"/>
      <c r="IQU71"/>
      <c r="IQV71"/>
      <c r="IQW71"/>
      <c r="IQX71"/>
      <c r="IQY71"/>
      <c r="IQZ71"/>
      <c r="IRA71"/>
      <c r="IRB71"/>
      <c r="IRC71"/>
      <c r="IRD71"/>
      <c r="IRE71"/>
      <c r="IRF71"/>
      <c r="IRG71"/>
      <c r="IRH71"/>
      <c r="IRI71"/>
      <c r="IRJ71"/>
      <c r="IRK71"/>
      <c r="IRL71"/>
      <c r="IRM71"/>
      <c r="IRN71"/>
      <c r="IRO71"/>
      <c r="IRP71"/>
      <c r="IRQ71"/>
      <c r="IRR71"/>
      <c r="IRS71"/>
      <c r="IRT71"/>
      <c r="IRU71"/>
      <c r="IRV71"/>
      <c r="IRW71"/>
      <c r="IRX71"/>
      <c r="IRY71"/>
      <c r="IRZ71"/>
      <c r="ISA71"/>
      <c r="ISB71"/>
      <c r="ISC71"/>
      <c r="ISD71"/>
      <c r="ISE71"/>
      <c r="ISF71"/>
      <c r="ISG71"/>
      <c r="ISH71"/>
      <c r="ISI71"/>
      <c r="ISJ71"/>
      <c r="ISK71"/>
      <c r="ISL71"/>
      <c r="ISM71"/>
      <c r="ISN71"/>
      <c r="ISO71"/>
      <c r="ISP71"/>
      <c r="ISQ71"/>
      <c r="ISR71"/>
      <c r="ISS71"/>
      <c r="IST71"/>
      <c r="ISU71"/>
      <c r="ISV71"/>
      <c r="ISW71"/>
      <c r="ISX71"/>
      <c r="ISY71"/>
      <c r="ISZ71"/>
      <c r="ITA71"/>
      <c r="ITB71"/>
      <c r="ITC71"/>
      <c r="ITD71"/>
      <c r="ITE71"/>
      <c r="ITF71"/>
      <c r="ITG71"/>
      <c r="ITH71"/>
      <c r="ITI71"/>
      <c r="ITJ71"/>
      <c r="ITK71"/>
      <c r="ITL71"/>
      <c r="ITM71"/>
      <c r="ITN71"/>
      <c r="ITO71"/>
      <c r="ITP71"/>
      <c r="ITQ71"/>
      <c r="ITR71"/>
      <c r="ITS71"/>
      <c r="ITT71"/>
      <c r="ITU71"/>
      <c r="ITV71"/>
      <c r="ITW71"/>
      <c r="ITX71"/>
      <c r="ITY71"/>
      <c r="ITZ71"/>
      <c r="IUA71"/>
      <c r="IUB71"/>
      <c r="IUC71"/>
      <c r="IUD71"/>
      <c r="IUE71"/>
      <c r="IUF71"/>
      <c r="IUG71"/>
      <c r="IUH71"/>
      <c r="IUI71"/>
      <c r="IUJ71"/>
      <c r="IUK71"/>
      <c r="IUL71"/>
      <c r="IUM71"/>
      <c r="IUN71"/>
      <c r="IUO71"/>
      <c r="IUP71"/>
      <c r="IUQ71"/>
      <c r="IUR71"/>
      <c r="IUS71"/>
      <c r="IUT71"/>
      <c r="IUU71"/>
      <c r="IUV71"/>
      <c r="IUW71"/>
      <c r="IUX71"/>
      <c r="IUY71"/>
      <c r="IUZ71"/>
      <c r="IVA71"/>
      <c r="IVB71"/>
      <c r="IVC71"/>
      <c r="IVD71"/>
      <c r="IVE71"/>
      <c r="IVF71"/>
      <c r="IVG71"/>
      <c r="IVH71"/>
      <c r="IVI71"/>
      <c r="IVJ71"/>
      <c r="IVK71"/>
      <c r="IVL71"/>
      <c r="IVM71"/>
      <c r="IVN71"/>
      <c r="IVO71"/>
      <c r="IVP71"/>
      <c r="IVQ71"/>
      <c r="IVR71"/>
      <c r="IVS71"/>
      <c r="IVT71"/>
      <c r="IVU71"/>
      <c r="IVV71"/>
      <c r="IVW71"/>
      <c r="IVX71"/>
      <c r="IVY71"/>
      <c r="IVZ71"/>
      <c r="IWA71"/>
      <c r="IWB71"/>
      <c r="IWC71"/>
      <c r="IWD71"/>
      <c r="IWE71"/>
      <c r="IWF71"/>
      <c r="IWG71"/>
      <c r="IWH71"/>
      <c r="IWI71"/>
      <c r="IWJ71"/>
      <c r="IWK71"/>
      <c r="IWL71"/>
      <c r="IWM71"/>
      <c r="IWN71"/>
      <c r="IWO71"/>
      <c r="IWP71"/>
      <c r="IWQ71"/>
      <c r="IWR71"/>
      <c r="IWS71"/>
      <c r="IWT71"/>
      <c r="IWU71"/>
      <c r="IWV71"/>
      <c r="IWW71"/>
      <c r="IWX71"/>
      <c r="IWY71"/>
      <c r="IWZ71"/>
      <c r="IXA71"/>
      <c r="IXB71"/>
      <c r="IXC71"/>
      <c r="IXD71"/>
      <c r="IXE71"/>
      <c r="IXF71"/>
      <c r="IXG71"/>
      <c r="IXH71"/>
      <c r="IXI71"/>
      <c r="IXJ71"/>
      <c r="IXK71"/>
      <c r="IXL71"/>
      <c r="IXM71"/>
      <c r="IXN71"/>
      <c r="IXO71"/>
      <c r="IXP71"/>
      <c r="IXQ71"/>
      <c r="IXR71"/>
      <c r="IXS71"/>
      <c r="IXT71"/>
      <c r="IXU71"/>
      <c r="IXV71"/>
      <c r="IXW71"/>
      <c r="IXX71"/>
      <c r="IXY71"/>
      <c r="IXZ71"/>
      <c r="IYA71"/>
      <c r="IYB71"/>
      <c r="IYC71"/>
      <c r="IYD71"/>
      <c r="IYE71"/>
      <c r="IYF71"/>
      <c r="IYG71"/>
      <c r="IYH71"/>
      <c r="IYI71"/>
      <c r="IYJ71"/>
      <c r="IYK71"/>
      <c r="IYL71"/>
      <c r="IYM71"/>
      <c r="IYN71"/>
      <c r="IYO71"/>
      <c r="IYP71"/>
      <c r="IYQ71"/>
      <c r="IYR71"/>
      <c r="IYS71"/>
      <c r="IYT71"/>
      <c r="IYU71"/>
      <c r="IYV71"/>
      <c r="IYW71"/>
      <c r="IYX71"/>
      <c r="IYY71"/>
      <c r="IYZ71"/>
      <c r="IZA71"/>
      <c r="IZB71"/>
      <c r="IZC71"/>
      <c r="IZD71"/>
      <c r="IZE71"/>
      <c r="IZF71"/>
      <c r="IZG71"/>
      <c r="IZH71"/>
      <c r="IZI71"/>
      <c r="IZJ71"/>
      <c r="IZK71"/>
      <c r="IZL71"/>
      <c r="IZM71"/>
      <c r="IZN71"/>
      <c r="IZO71"/>
      <c r="IZP71"/>
      <c r="IZQ71"/>
      <c r="IZR71"/>
      <c r="IZS71"/>
      <c r="IZT71"/>
      <c r="IZU71"/>
      <c r="IZV71"/>
      <c r="IZW71"/>
      <c r="IZX71"/>
      <c r="IZY71"/>
      <c r="IZZ71"/>
      <c r="JAA71"/>
      <c r="JAB71"/>
      <c r="JAC71"/>
      <c r="JAD71"/>
      <c r="JAE71"/>
      <c r="JAF71"/>
      <c r="JAG71"/>
      <c r="JAH71"/>
      <c r="JAI71"/>
      <c r="JAJ71"/>
      <c r="JAK71"/>
      <c r="JAL71"/>
      <c r="JAM71"/>
      <c r="JAN71"/>
      <c r="JAO71"/>
      <c r="JAP71"/>
      <c r="JAQ71"/>
      <c r="JAR71"/>
      <c r="JAS71"/>
      <c r="JAT71"/>
      <c r="JAU71"/>
      <c r="JAV71"/>
      <c r="JAW71"/>
      <c r="JAX71"/>
      <c r="JAY71"/>
      <c r="JAZ71"/>
      <c r="JBA71"/>
      <c r="JBB71"/>
      <c r="JBC71"/>
      <c r="JBD71"/>
      <c r="JBE71"/>
      <c r="JBF71"/>
      <c r="JBG71"/>
      <c r="JBH71"/>
      <c r="JBI71"/>
      <c r="JBJ71"/>
      <c r="JBK71"/>
      <c r="JBL71"/>
      <c r="JBM71"/>
      <c r="JBN71"/>
      <c r="JBO71"/>
      <c r="JBP71"/>
      <c r="JBQ71"/>
      <c r="JBR71"/>
      <c r="JBS71"/>
      <c r="JBT71"/>
      <c r="JBU71"/>
      <c r="JBV71"/>
      <c r="JBW71"/>
      <c r="JBX71"/>
      <c r="JBY71"/>
      <c r="JBZ71"/>
      <c r="JCA71"/>
      <c r="JCB71"/>
      <c r="JCC71"/>
      <c r="JCD71"/>
      <c r="JCE71"/>
      <c r="JCF71"/>
      <c r="JCG71"/>
      <c r="JCH71"/>
      <c r="JCI71"/>
      <c r="JCJ71"/>
      <c r="JCK71"/>
      <c r="JCL71"/>
      <c r="JCM71"/>
      <c r="JCN71"/>
      <c r="JCO71"/>
      <c r="JCP71"/>
      <c r="JCQ71"/>
      <c r="JCR71"/>
      <c r="JCS71"/>
      <c r="JCT71"/>
      <c r="JCU71"/>
      <c r="JCV71"/>
      <c r="JCW71"/>
      <c r="JCX71"/>
      <c r="JCY71"/>
      <c r="JCZ71"/>
      <c r="JDA71"/>
      <c r="JDB71"/>
      <c r="JDC71"/>
      <c r="JDD71"/>
      <c r="JDE71"/>
      <c r="JDF71"/>
      <c r="JDG71"/>
      <c r="JDH71"/>
      <c r="JDI71"/>
      <c r="JDJ71"/>
      <c r="JDK71"/>
      <c r="JDL71"/>
      <c r="JDM71"/>
      <c r="JDN71"/>
      <c r="JDO71"/>
      <c r="JDP71"/>
      <c r="JDQ71"/>
      <c r="JDR71"/>
      <c r="JDS71"/>
      <c r="JDT71"/>
      <c r="JDU71"/>
      <c r="JDV71"/>
      <c r="JDW71"/>
      <c r="JDX71"/>
      <c r="JDY71"/>
      <c r="JDZ71"/>
      <c r="JEA71"/>
      <c r="JEB71"/>
      <c r="JEC71"/>
      <c r="JED71"/>
      <c r="JEE71"/>
      <c r="JEF71"/>
      <c r="JEG71"/>
      <c r="JEH71"/>
      <c r="JEI71"/>
      <c r="JEJ71"/>
      <c r="JEK71"/>
      <c r="JEL71"/>
      <c r="JEM71"/>
      <c r="JEN71"/>
      <c r="JEO71"/>
      <c r="JEP71"/>
      <c r="JEQ71"/>
      <c r="JER71"/>
      <c r="JES71"/>
      <c r="JET71"/>
      <c r="JEU71"/>
      <c r="JEV71"/>
      <c r="JEW71"/>
      <c r="JEX71"/>
      <c r="JEY71"/>
      <c r="JEZ71"/>
      <c r="JFA71"/>
      <c r="JFB71"/>
      <c r="JFC71"/>
      <c r="JFD71"/>
      <c r="JFE71"/>
      <c r="JFF71"/>
      <c r="JFG71"/>
      <c r="JFH71"/>
      <c r="JFI71"/>
      <c r="JFJ71"/>
      <c r="JFK71"/>
      <c r="JFL71"/>
      <c r="JFM71"/>
      <c r="JFN71"/>
      <c r="JFO71"/>
      <c r="JFP71"/>
      <c r="JFQ71"/>
      <c r="JFR71"/>
      <c r="JFS71"/>
      <c r="JFT71"/>
      <c r="JFU71"/>
      <c r="JFV71"/>
      <c r="JFW71"/>
      <c r="JFX71"/>
      <c r="JFY71"/>
      <c r="JFZ71"/>
      <c r="JGA71"/>
      <c r="JGB71"/>
      <c r="JGC71"/>
      <c r="JGD71"/>
      <c r="JGE71"/>
      <c r="JGF71"/>
      <c r="JGG71"/>
      <c r="JGH71"/>
      <c r="JGI71"/>
      <c r="JGJ71"/>
      <c r="JGK71"/>
      <c r="JGL71"/>
      <c r="JGM71"/>
      <c r="JGN71"/>
      <c r="JGO71"/>
      <c r="JGP71"/>
      <c r="JGQ71"/>
      <c r="JGR71"/>
      <c r="JGS71"/>
      <c r="JGT71"/>
      <c r="JGU71"/>
      <c r="JGV71"/>
      <c r="JGW71"/>
      <c r="JGX71"/>
      <c r="JGY71"/>
      <c r="JGZ71"/>
      <c r="JHA71"/>
      <c r="JHB71"/>
      <c r="JHC71"/>
      <c r="JHD71"/>
      <c r="JHE71"/>
      <c r="JHF71"/>
      <c r="JHG71"/>
      <c r="JHH71"/>
      <c r="JHI71"/>
      <c r="JHJ71"/>
      <c r="JHK71"/>
      <c r="JHL71"/>
      <c r="JHM71"/>
      <c r="JHN71"/>
      <c r="JHO71"/>
      <c r="JHP71"/>
      <c r="JHQ71"/>
      <c r="JHR71"/>
      <c r="JHS71"/>
      <c r="JHT71"/>
      <c r="JHU71"/>
      <c r="JHV71"/>
      <c r="JHW71"/>
      <c r="JHX71"/>
      <c r="JHY71"/>
      <c r="JHZ71"/>
      <c r="JIA71"/>
      <c r="JIB71"/>
      <c r="JIC71"/>
      <c r="JID71"/>
      <c r="JIE71"/>
      <c r="JIF71"/>
      <c r="JIG71"/>
      <c r="JIH71"/>
      <c r="JII71"/>
      <c r="JIJ71"/>
      <c r="JIK71"/>
      <c r="JIL71"/>
      <c r="JIM71"/>
      <c r="JIN71"/>
      <c r="JIO71"/>
      <c r="JIP71"/>
      <c r="JIQ71"/>
      <c r="JIR71"/>
      <c r="JIS71"/>
      <c r="JIT71"/>
      <c r="JIU71"/>
      <c r="JIV71"/>
      <c r="JIW71"/>
      <c r="JIX71"/>
      <c r="JIY71"/>
      <c r="JIZ71"/>
      <c r="JJA71"/>
      <c r="JJB71"/>
      <c r="JJC71"/>
      <c r="JJD71"/>
      <c r="JJE71"/>
      <c r="JJF71"/>
      <c r="JJG71"/>
      <c r="JJH71"/>
      <c r="JJI71"/>
      <c r="JJJ71"/>
      <c r="JJK71"/>
      <c r="JJL71"/>
      <c r="JJM71"/>
      <c r="JJN71"/>
      <c r="JJO71"/>
      <c r="JJP71"/>
      <c r="JJQ71"/>
      <c r="JJR71"/>
      <c r="JJS71"/>
      <c r="JJT71"/>
      <c r="JJU71"/>
      <c r="JJV71"/>
      <c r="JJW71"/>
      <c r="JJX71"/>
      <c r="JJY71"/>
      <c r="JJZ71"/>
      <c r="JKA71"/>
      <c r="JKB71"/>
      <c r="JKC71"/>
      <c r="JKD71"/>
      <c r="JKE71"/>
      <c r="JKF71"/>
      <c r="JKG71"/>
      <c r="JKH71"/>
      <c r="JKI71"/>
      <c r="JKJ71"/>
      <c r="JKK71"/>
      <c r="JKL71"/>
      <c r="JKM71"/>
      <c r="JKN71"/>
      <c r="JKO71"/>
      <c r="JKP71"/>
      <c r="JKQ71"/>
      <c r="JKR71"/>
      <c r="JKS71"/>
      <c r="JKT71"/>
      <c r="JKU71"/>
      <c r="JKV71"/>
      <c r="JKW71"/>
      <c r="JKX71"/>
      <c r="JKY71"/>
      <c r="JKZ71"/>
      <c r="JLA71"/>
      <c r="JLB71"/>
      <c r="JLC71"/>
      <c r="JLD71"/>
      <c r="JLE71"/>
      <c r="JLF71"/>
      <c r="JLG71"/>
      <c r="JLH71"/>
      <c r="JLI71"/>
      <c r="JLJ71"/>
      <c r="JLK71"/>
      <c r="JLL71"/>
      <c r="JLM71"/>
      <c r="JLN71"/>
      <c r="JLO71"/>
      <c r="JLP71"/>
      <c r="JLQ71"/>
      <c r="JLR71"/>
      <c r="JLS71"/>
      <c r="JLT71"/>
      <c r="JLU71"/>
      <c r="JLV71"/>
      <c r="JLW71"/>
      <c r="JLX71"/>
      <c r="JLY71"/>
      <c r="JLZ71"/>
      <c r="JMA71"/>
      <c r="JMB71"/>
      <c r="JMC71"/>
      <c r="JMD71"/>
      <c r="JME71"/>
      <c r="JMF71"/>
      <c r="JMG71"/>
      <c r="JMH71"/>
      <c r="JMI71"/>
      <c r="JMJ71"/>
      <c r="JMK71"/>
      <c r="JML71"/>
      <c r="JMM71"/>
      <c r="JMN71"/>
      <c r="JMO71"/>
      <c r="JMP71"/>
      <c r="JMQ71"/>
      <c r="JMR71"/>
      <c r="JMS71"/>
      <c r="JMT71"/>
      <c r="JMU71"/>
      <c r="JMV71"/>
      <c r="JMW71"/>
      <c r="JMX71"/>
      <c r="JMY71"/>
      <c r="JMZ71"/>
      <c r="JNA71"/>
      <c r="JNB71"/>
      <c r="JNC71"/>
      <c r="JND71"/>
      <c r="JNE71"/>
      <c r="JNF71"/>
      <c r="JNG71"/>
      <c r="JNH71"/>
      <c r="JNI71"/>
      <c r="JNJ71"/>
      <c r="JNK71"/>
      <c r="JNL71"/>
      <c r="JNM71"/>
      <c r="JNN71"/>
      <c r="JNO71"/>
      <c r="JNP71"/>
      <c r="JNQ71"/>
      <c r="JNR71"/>
      <c r="JNS71"/>
      <c r="JNT71"/>
      <c r="JNU71"/>
      <c r="JNV71"/>
      <c r="JNW71"/>
      <c r="JNX71"/>
      <c r="JNY71"/>
      <c r="JNZ71"/>
      <c r="JOA71"/>
      <c r="JOB71"/>
      <c r="JOC71"/>
      <c r="JOD71"/>
      <c r="JOE71"/>
      <c r="JOF71"/>
      <c r="JOG71"/>
      <c r="JOH71"/>
      <c r="JOI71"/>
      <c r="JOJ71"/>
      <c r="JOK71"/>
      <c r="JOL71"/>
      <c r="JOM71"/>
      <c r="JON71"/>
      <c r="JOO71"/>
      <c r="JOP71"/>
      <c r="JOQ71"/>
      <c r="JOR71"/>
      <c r="JOS71"/>
      <c r="JOT71"/>
      <c r="JOU71"/>
      <c r="JOV71"/>
      <c r="JOW71"/>
      <c r="JOX71"/>
      <c r="JOY71"/>
      <c r="JOZ71"/>
      <c r="JPA71"/>
      <c r="JPB71"/>
      <c r="JPC71"/>
      <c r="JPD71"/>
      <c r="JPE71"/>
      <c r="JPF71"/>
      <c r="JPG71"/>
      <c r="JPH71"/>
      <c r="JPI71"/>
      <c r="JPJ71"/>
      <c r="JPK71"/>
      <c r="JPL71"/>
      <c r="JPM71"/>
      <c r="JPN71"/>
      <c r="JPO71"/>
      <c r="JPP71"/>
      <c r="JPQ71"/>
      <c r="JPR71"/>
      <c r="JPS71"/>
      <c r="JPT71"/>
      <c r="JPU71"/>
      <c r="JPV71"/>
      <c r="JPW71"/>
      <c r="JPX71"/>
      <c r="JPY71"/>
      <c r="JPZ71"/>
      <c r="JQA71"/>
      <c r="JQB71"/>
      <c r="JQC71"/>
      <c r="JQD71"/>
      <c r="JQE71"/>
      <c r="JQF71"/>
      <c r="JQG71"/>
      <c r="JQH71"/>
      <c r="JQI71"/>
      <c r="JQJ71"/>
      <c r="JQK71"/>
      <c r="JQL71"/>
      <c r="JQM71"/>
      <c r="JQN71"/>
      <c r="JQO71"/>
      <c r="JQP71"/>
      <c r="JQQ71"/>
      <c r="JQR71"/>
      <c r="JQS71"/>
      <c r="JQT71"/>
      <c r="JQU71"/>
      <c r="JQV71"/>
      <c r="JQW71"/>
      <c r="JQX71"/>
      <c r="JQY71"/>
      <c r="JQZ71"/>
      <c r="JRA71"/>
      <c r="JRB71"/>
      <c r="JRC71"/>
      <c r="JRD71"/>
      <c r="JRE71"/>
      <c r="JRF71"/>
      <c r="JRG71"/>
      <c r="JRH71"/>
      <c r="JRI71"/>
      <c r="JRJ71"/>
      <c r="JRK71"/>
      <c r="JRL71"/>
      <c r="JRM71"/>
      <c r="JRN71"/>
      <c r="JRO71"/>
      <c r="JRP71"/>
      <c r="JRQ71"/>
      <c r="JRR71"/>
      <c r="JRS71"/>
      <c r="JRT71"/>
      <c r="JRU71"/>
      <c r="JRV71"/>
      <c r="JRW71"/>
      <c r="JRX71"/>
      <c r="JRY71"/>
      <c r="JRZ71"/>
      <c r="JSA71"/>
      <c r="JSB71"/>
      <c r="JSC71"/>
      <c r="JSD71"/>
      <c r="JSE71"/>
      <c r="JSF71"/>
      <c r="JSG71"/>
      <c r="JSH71"/>
      <c r="JSI71"/>
      <c r="JSJ71"/>
      <c r="JSK71"/>
      <c r="JSL71"/>
      <c r="JSM71"/>
      <c r="JSN71"/>
      <c r="JSO71"/>
      <c r="JSP71"/>
      <c r="JSQ71"/>
      <c r="JSR71"/>
      <c r="JSS71"/>
      <c r="JST71"/>
      <c r="JSU71"/>
      <c r="JSV71"/>
      <c r="JSW71"/>
      <c r="JSX71"/>
      <c r="JSY71"/>
      <c r="JSZ71"/>
      <c r="JTA71"/>
      <c r="JTB71"/>
      <c r="JTC71"/>
      <c r="JTD71"/>
      <c r="JTE71"/>
      <c r="JTF71"/>
      <c r="JTG71"/>
      <c r="JTH71"/>
      <c r="JTI71"/>
      <c r="JTJ71"/>
      <c r="JTK71"/>
      <c r="JTL71"/>
      <c r="JTM71"/>
      <c r="JTN71"/>
      <c r="JTO71"/>
      <c r="JTP71"/>
      <c r="JTQ71"/>
      <c r="JTR71"/>
      <c r="JTS71"/>
      <c r="JTT71"/>
      <c r="JTU71"/>
      <c r="JTV71"/>
      <c r="JTW71"/>
      <c r="JTX71"/>
      <c r="JTY71"/>
      <c r="JTZ71"/>
      <c r="JUA71"/>
      <c r="JUB71"/>
      <c r="JUC71"/>
      <c r="JUD71"/>
      <c r="JUE71"/>
      <c r="JUF71"/>
      <c r="JUG71"/>
      <c r="JUH71"/>
      <c r="JUI71"/>
      <c r="JUJ71"/>
      <c r="JUK71"/>
      <c r="JUL71"/>
      <c r="JUM71"/>
      <c r="JUN71"/>
      <c r="JUO71"/>
      <c r="JUP71"/>
      <c r="JUQ71"/>
      <c r="JUR71"/>
      <c r="JUS71"/>
      <c r="JUT71"/>
      <c r="JUU71"/>
      <c r="JUV71"/>
      <c r="JUW71"/>
      <c r="JUX71"/>
      <c r="JUY71"/>
      <c r="JUZ71"/>
      <c r="JVA71"/>
      <c r="JVB71"/>
      <c r="JVC71"/>
      <c r="JVD71"/>
      <c r="JVE71"/>
      <c r="JVF71"/>
      <c r="JVG71"/>
      <c r="JVH71"/>
      <c r="JVI71"/>
      <c r="JVJ71"/>
      <c r="JVK71"/>
      <c r="JVL71"/>
      <c r="JVM71"/>
      <c r="JVN71"/>
      <c r="JVO71"/>
      <c r="JVP71"/>
      <c r="JVQ71"/>
      <c r="JVR71"/>
      <c r="JVS71"/>
      <c r="JVT71"/>
      <c r="JVU71"/>
      <c r="JVV71"/>
      <c r="JVW71"/>
      <c r="JVX71"/>
      <c r="JVY71"/>
      <c r="JVZ71"/>
      <c r="JWA71"/>
      <c r="JWB71"/>
      <c r="JWC71"/>
      <c r="JWD71"/>
      <c r="JWE71"/>
      <c r="JWF71"/>
      <c r="JWG71"/>
      <c r="JWH71"/>
      <c r="JWI71"/>
      <c r="JWJ71"/>
      <c r="JWK71"/>
      <c r="JWL71"/>
      <c r="JWM71"/>
      <c r="JWN71"/>
      <c r="JWO71"/>
      <c r="JWP71"/>
      <c r="JWQ71"/>
      <c r="JWR71"/>
      <c r="JWS71"/>
      <c r="JWT71"/>
      <c r="JWU71"/>
      <c r="JWV71"/>
      <c r="JWW71"/>
      <c r="JWX71"/>
      <c r="JWY71"/>
      <c r="JWZ71"/>
      <c r="JXA71"/>
      <c r="JXB71"/>
      <c r="JXC71"/>
      <c r="JXD71"/>
      <c r="JXE71"/>
      <c r="JXF71"/>
      <c r="JXG71"/>
      <c r="JXH71"/>
      <c r="JXI71"/>
      <c r="JXJ71"/>
      <c r="JXK71"/>
      <c r="JXL71"/>
      <c r="JXM71"/>
      <c r="JXN71"/>
      <c r="JXO71"/>
      <c r="JXP71"/>
      <c r="JXQ71"/>
      <c r="JXR71"/>
      <c r="JXS71"/>
      <c r="JXT71"/>
      <c r="JXU71"/>
      <c r="JXV71"/>
      <c r="JXW71"/>
      <c r="JXX71"/>
      <c r="JXY71"/>
      <c r="JXZ71"/>
      <c r="JYA71"/>
      <c r="JYB71"/>
      <c r="JYC71"/>
      <c r="JYD71"/>
      <c r="JYE71"/>
      <c r="JYF71"/>
      <c r="JYG71"/>
      <c r="JYH71"/>
      <c r="JYI71"/>
      <c r="JYJ71"/>
      <c r="JYK71"/>
      <c r="JYL71"/>
      <c r="JYM71"/>
      <c r="JYN71"/>
      <c r="JYO71"/>
      <c r="JYP71"/>
      <c r="JYQ71"/>
      <c r="JYR71"/>
      <c r="JYS71"/>
      <c r="JYT71"/>
      <c r="JYU71"/>
      <c r="JYV71"/>
      <c r="JYW71"/>
      <c r="JYX71"/>
      <c r="JYY71"/>
      <c r="JYZ71"/>
      <c r="JZA71"/>
      <c r="JZB71"/>
      <c r="JZC71"/>
      <c r="JZD71"/>
      <c r="JZE71"/>
      <c r="JZF71"/>
      <c r="JZG71"/>
      <c r="JZH71"/>
      <c r="JZI71"/>
      <c r="JZJ71"/>
      <c r="JZK71"/>
      <c r="JZL71"/>
      <c r="JZM71"/>
      <c r="JZN71"/>
      <c r="JZO71"/>
      <c r="JZP71"/>
      <c r="JZQ71"/>
      <c r="JZR71"/>
      <c r="JZS71"/>
      <c r="JZT71"/>
      <c r="JZU71"/>
      <c r="JZV71"/>
      <c r="JZW71"/>
      <c r="JZX71"/>
      <c r="JZY71"/>
      <c r="JZZ71"/>
      <c r="KAA71"/>
      <c r="KAB71"/>
      <c r="KAC71"/>
      <c r="KAD71"/>
      <c r="KAE71"/>
      <c r="KAF71"/>
      <c r="KAG71"/>
      <c r="KAH71"/>
      <c r="KAI71"/>
      <c r="KAJ71"/>
      <c r="KAK71"/>
      <c r="KAL71"/>
      <c r="KAM71"/>
      <c r="KAN71"/>
      <c r="KAO71"/>
      <c r="KAP71"/>
      <c r="KAQ71"/>
      <c r="KAR71"/>
      <c r="KAS71"/>
      <c r="KAT71"/>
      <c r="KAU71"/>
      <c r="KAV71"/>
      <c r="KAW71"/>
      <c r="KAX71"/>
      <c r="KAY71"/>
      <c r="KAZ71"/>
      <c r="KBA71"/>
      <c r="KBB71"/>
      <c r="KBC71"/>
      <c r="KBD71"/>
      <c r="KBE71"/>
      <c r="KBF71"/>
      <c r="KBG71"/>
      <c r="KBH71"/>
      <c r="KBI71"/>
      <c r="KBJ71"/>
      <c r="KBK71"/>
      <c r="KBL71"/>
      <c r="KBM71"/>
      <c r="KBN71"/>
      <c r="KBO71"/>
      <c r="KBP71"/>
      <c r="KBQ71"/>
      <c r="KBR71"/>
      <c r="KBS71"/>
      <c r="KBT71"/>
      <c r="KBU71"/>
      <c r="KBV71"/>
      <c r="KBW71"/>
      <c r="KBX71"/>
      <c r="KBY71"/>
      <c r="KBZ71"/>
      <c r="KCA71"/>
      <c r="KCB71"/>
      <c r="KCC71"/>
      <c r="KCD71"/>
      <c r="KCE71"/>
      <c r="KCF71"/>
      <c r="KCG71"/>
      <c r="KCH71"/>
      <c r="KCI71"/>
      <c r="KCJ71"/>
      <c r="KCK71"/>
      <c r="KCL71"/>
      <c r="KCM71"/>
      <c r="KCN71"/>
      <c r="KCO71"/>
      <c r="KCP71"/>
      <c r="KCQ71"/>
      <c r="KCR71"/>
      <c r="KCS71"/>
      <c r="KCT71"/>
      <c r="KCU71"/>
      <c r="KCV71"/>
      <c r="KCW71"/>
      <c r="KCX71"/>
      <c r="KCY71"/>
      <c r="KCZ71"/>
      <c r="KDA71"/>
      <c r="KDB71"/>
      <c r="KDC71"/>
      <c r="KDD71"/>
      <c r="KDE71"/>
      <c r="KDF71"/>
      <c r="KDG71"/>
      <c r="KDH71"/>
      <c r="KDI71"/>
      <c r="KDJ71"/>
      <c r="KDK71"/>
      <c r="KDL71"/>
      <c r="KDM71"/>
      <c r="KDN71"/>
      <c r="KDO71"/>
      <c r="KDP71"/>
      <c r="KDQ71"/>
      <c r="KDR71"/>
      <c r="KDS71"/>
      <c r="KDT71"/>
      <c r="KDU71"/>
      <c r="KDV71"/>
      <c r="KDW71"/>
      <c r="KDX71"/>
      <c r="KDY71"/>
      <c r="KDZ71"/>
      <c r="KEA71"/>
      <c r="KEB71"/>
      <c r="KEC71"/>
      <c r="KED71"/>
      <c r="KEE71"/>
      <c r="KEF71"/>
      <c r="KEG71"/>
      <c r="KEH71"/>
      <c r="KEI71"/>
      <c r="KEJ71"/>
      <c r="KEK71"/>
      <c r="KEL71"/>
      <c r="KEM71"/>
      <c r="KEN71"/>
      <c r="KEO71"/>
      <c r="KEP71"/>
      <c r="KEQ71"/>
      <c r="KER71"/>
      <c r="KES71"/>
      <c r="KET71"/>
      <c r="KEU71"/>
      <c r="KEV71"/>
      <c r="KEW71"/>
      <c r="KEX71"/>
      <c r="KEY71"/>
      <c r="KEZ71"/>
      <c r="KFA71"/>
      <c r="KFB71"/>
      <c r="KFC71"/>
      <c r="KFD71"/>
      <c r="KFE71"/>
      <c r="KFF71"/>
      <c r="KFG71"/>
      <c r="KFH71"/>
      <c r="KFI71"/>
      <c r="KFJ71"/>
      <c r="KFK71"/>
      <c r="KFL71"/>
      <c r="KFM71"/>
      <c r="KFN71"/>
      <c r="KFO71"/>
      <c r="KFP71"/>
      <c r="KFQ71"/>
      <c r="KFR71"/>
      <c r="KFS71"/>
      <c r="KFT71"/>
      <c r="KFU71"/>
      <c r="KFV71"/>
      <c r="KFW71"/>
      <c r="KFX71"/>
      <c r="KFY71"/>
      <c r="KFZ71"/>
      <c r="KGA71"/>
      <c r="KGB71"/>
      <c r="KGC71"/>
      <c r="KGD71"/>
      <c r="KGE71"/>
      <c r="KGF71"/>
      <c r="KGG71"/>
      <c r="KGH71"/>
      <c r="KGI71"/>
      <c r="KGJ71"/>
      <c r="KGK71"/>
      <c r="KGL71"/>
      <c r="KGM71"/>
      <c r="KGN71"/>
      <c r="KGO71"/>
      <c r="KGP71"/>
      <c r="KGQ71"/>
      <c r="KGR71"/>
      <c r="KGS71"/>
      <c r="KGT71"/>
      <c r="KGU71"/>
      <c r="KGV71"/>
      <c r="KGW71"/>
      <c r="KGX71"/>
      <c r="KGY71"/>
      <c r="KGZ71"/>
      <c r="KHA71"/>
      <c r="KHB71"/>
      <c r="KHC71"/>
      <c r="KHD71"/>
      <c r="KHE71"/>
      <c r="KHF71"/>
      <c r="KHG71"/>
      <c r="KHH71"/>
      <c r="KHI71"/>
      <c r="KHJ71"/>
      <c r="KHK71"/>
      <c r="KHL71"/>
      <c r="KHM71"/>
      <c r="KHN71"/>
      <c r="KHO71"/>
      <c r="KHP71"/>
      <c r="KHQ71"/>
      <c r="KHR71"/>
      <c r="KHS71"/>
      <c r="KHT71"/>
      <c r="KHU71"/>
      <c r="KHV71"/>
      <c r="KHW71"/>
      <c r="KHX71"/>
      <c r="KHY71"/>
      <c r="KHZ71"/>
      <c r="KIA71"/>
      <c r="KIB71"/>
      <c r="KIC71"/>
      <c r="KID71"/>
      <c r="KIE71"/>
      <c r="KIF71"/>
      <c r="KIG71"/>
      <c r="KIH71"/>
      <c r="KII71"/>
      <c r="KIJ71"/>
      <c r="KIK71"/>
      <c r="KIL71"/>
      <c r="KIM71"/>
      <c r="KIN71"/>
      <c r="KIO71"/>
      <c r="KIP71"/>
      <c r="KIQ71"/>
      <c r="KIR71"/>
      <c r="KIS71"/>
      <c r="KIT71"/>
      <c r="KIU71"/>
      <c r="KIV71"/>
      <c r="KIW71"/>
      <c r="KIX71"/>
      <c r="KIY71"/>
      <c r="KIZ71"/>
      <c r="KJA71"/>
      <c r="KJB71"/>
      <c r="KJC71"/>
      <c r="KJD71"/>
      <c r="KJE71"/>
      <c r="KJF71"/>
      <c r="KJG71"/>
      <c r="KJH71"/>
      <c r="KJI71"/>
      <c r="KJJ71"/>
      <c r="KJK71"/>
      <c r="KJL71"/>
      <c r="KJM71"/>
      <c r="KJN71"/>
      <c r="KJO71"/>
      <c r="KJP71"/>
      <c r="KJQ71"/>
      <c r="KJR71"/>
      <c r="KJS71"/>
      <c r="KJT71"/>
      <c r="KJU71"/>
      <c r="KJV71"/>
      <c r="KJW71"/>
      <c r="KJX71"/>
      <c r="KJY71"/>
      <c r="KJZ71"/>
      <c r="KKA71"/>
      <c r="KKB71"/>
      <c r="KKC71"/>
      <c r="KKD71"/>
      <c r="KKE71"/>
      <c r="KKF71"/>
      <c r="KKG71"/>
      <c r="KKH71"/>
      <c r="KKI71"/>
      <c r="KKJ71"/>
      <c r="KKK71"/>
      <c r="KKL71"/>
      <c r="KKM71"/>
      <c r="KKN71"/>
      <c r="KKO71"/>
      <c r="KKP71"/>
      <c r="KKQ71"/>
      <c r="KKR71"/>
      <c r="KKS71"/>
      <c r="KKT71"/>
      <c r="KKU71"/>
      <c r="KKV71"/>
      <c r="KKW71"/>
      <c r="KKX71"/>
      <c r="KKY71"/>
      <c r="KKZ71"/>
      <c r="KLA71"/>
      <c r="KLB71"/>
      <c r="KLC71"/>
      <c r="KLD71"/>
      <c r="KLE71"/>
      <c r="KLF71"/>
      <c r="KLG71"/>
      <c r="KLH71"/>
      <c r="KLI71"/>
      <c r="KLJ71"/>
      <c r="KLK71"/>
      <c r="KLL71"/>
      <c r="KLM71"/>
      <c r="KLN71"/>
      <c r="KLO71"/>
      <c r="KLP71"/>
      <c r="KLQ71"/>
      <c r="KLR71"/>
      <c r="KLS71"/>
      <c r="KLT71"/>
      <c r="KLU71"/>
      <c r="KLV71"/>
      <c r="KLW71"/>
      <c r="KLX71"/>
      <c r="KLY71"/>
      <c r="KLZ71"/>
      <c r="KMA71"/>
      <c r="KMB71"/>
      <c r="KMC71"/>
      <c r="KMD71"/>
      <c r="KME71"/>
      <c r="KMF71"/>
      <c r="KMG71"/>
      <c r="KMH71"/>
      <c r="KMI71"/>
      <c r="KMJ71"/>
      <c r="KMK71"/>
      <c r="KML71"/>
      <c r="KMM71"/>
      <c r="KMN71"/>
      <c r="KMO71"/>
      <c r="KMP71"/>
      <c r="KMQ71"/>
      <c r="KMR71"/>
      <c r="KMS71"/>
      <c r="KMT71"/>
      <c r="KMU71"/>
      <c r="KMV71"/>
      <c r="KMW71"/>
      <c r="KMX71"/>
      <c r="KMY71"/>
      <c r="KMZ71"/>
      <c r="KNA71"/>
      <c r="KNB71"/>
      <c r="KNC71"/>
      <c r="KND71"/>
      <c r="KNE71"/>
      <c r="KNF71"/>
      <c r="KNG71"/>
      <c r="KNH71"/>
      <c r="KNI71"/>
      <c r="KNJ71"/>
      <c r="KNK71"/>
      <c r="KNL71"/>
      <c r="KNM71"/>
      <c r="KNN71"/>
      <c r="KNO71"/>
      <c r="KNP71"/>
      <c r="KNQ71"/>
      <c r="KNR71"/>
      <c r="KNS71"/>
      <c r="KNT71"/>
      <c r="KNU71"/>
      <c r="KNV71"/>
      <c r="KNW71"/>
      <c r="KNX71"/>
      <c r="KNY71"/>
      <c r="KNZ71"/>
      <c r="KOA71"/>
      <c r="KOB71"/>
      <c r="KOC71"/>
      <c r="KOD71"/>
      <c r="KOE71"/>
      <c r="KOF71"/>
      <c r="KOG71"/>
      <c r="KOH71"/>
      <c r="KOI71"/>
      <c r="KOJ71"/>
      <c r="KOK71"/>
      <c r="KOL71"/>
      <c r="KOM71"/>
      <c r="KON71"/>
      <c r="KOO71"/>
      <c r="KOP71"/>
      <c r="KOQ71"/>
      <c r="KOR71"/>
      <c r="KOS71"/>
      <c r="KOT71"/>
      <c r="KOU71"/>
      <c r="KOV71"/>
      <c r="KOW71"/>
      <c r="KOX71"/>
      <c r="KOY71"/>
      <c r="KOZ71"/>
      <c r="KPA71"/>
      <c r="KPB71"/>
      <c r="KPC71"/>
      <c r="KPD71"/>
      <c r="KPE71"/>
      <c r="KPF71"/>
      <c r="KPG71"/>
      <c r="KPH71"/>
      <c r="KPI71"/>
      <c r="KPJ71"/>
      <c r="KPK71"/>
      <c r="KPL71"/>
      <c r="KPM71"/>
      <c r="KPN71"/>
      <c r="KPO71"/>
      <c r="KPP71"/>
      <c r="KPQ71"/>
      <c r="KPR71"/>
      <c r="KPS71"/>
      <c r="KPT71"/>
      <c r="KPU71"/>
      <c r="KPV71"/>
      <c r="KPW71"/>
      <c r="KPX71"/>
      <c r="KPY71"/>
      <c r="KPZ71"/>
      <c r="KQA71"/>
      <c r="KQB71"/>
      <c r="KQC71"/>
      <c r="KQD71"/>
      <c r="KQE71"/>
      <c r="KQF71"/>
      <c r="KQG71"/>
      <c r="KQH71"/>
      <c r="KQI71"/>
      <c r="KQJ71"/>
      <c r="KQK71"/>
      <c r="KQL71"/>
      <c r="KQM71"/>
      <c r="KQN71"/>
      <c r="KQO71"/>
      <c r="KQP71"/>
      <c r="KQQ71"/>
      <c r="KQR71"/>
      <c r="KQS71"/>
      <c r="KQT71"/>
      <c r="KQU71"/>
      <c r="KQV71"/>
      <c r="KQW71"/>
      <c r="KQX71"/>
      <c r="KQY71"/>
      <c r="KQZ71"/>
      <c r="KRA71"/>
      <c r="KRB71"/>
      <c r="KRC71"/>
      <c r="KRD71"/>
      <c r="KRE71"/>
      <c r="KRF71"/>
      <c r="KRG71"/>
      <c r="KRH71"/>
      <c r="KRI71"/>
      <c r="KRJ71"/>
      <c r="KRK71"/>
      <c r="KRL71"/>
      <c r="KRM71"/>
      <c r="KRN71"/>
      <c r="KRO71"/>
      <c r="KRP71"/>
      <c r="KRQ71"/>
      <c r="KRR71"/>
      <c r="KRS71"/>
      <c r="KRT71"/>
      <c r="KRU71"/>
      <c r="KRV71"/>
      <c r="KRW71"/>
      <c r="KRX71"/>
      <c r="KRY71"/>
      <c r="KRZ71"/>
      <c r="KSA71"/>
      <c r="KSB71"/>
      <c r="KSC71"/>
      <c r="KSD71"/>
      <c r="KSE71"/>
      <c r="KSF71"/>
      <c r="KSG71"/>
      <c r="KSH71"/>
      <c r="KSI71"/>
      <c r="KSJ71"/>
      <c r="KSK71"/>
      <c r="KSL71"/>
      <c r="KSM71"/>
      <c r="KSN71"/>
      <c r="KSO71"/>
      <c r="KSP71"/>
      <c r="KSQ71"/>
      <c r="KSR71"/>
      <c r="KSS71"/>
      <c r="KST71"/>
      <c r="KSU71"/>
      <c r="KSV71"/>
      <c r="KSW71"/>
      <c r="KSX71"/>
      <c r="KSY71"/>
      <c r="KSZ71"/>
      <c r="KTA71"/>
      <c r="KTB71"/>
      <c r="KTC71"/>
      <c r="KTD71"/>
      <c r="KTE71"/>
      <c r="KTF71"/>
      <c r="KTG71"/>
      <c r="KTH71"/>
      <c r="KTI71"/>
      <c r="KTJ71"/>
      <c r="KTK71"/>
      <c r="KTL71"/>
      <c r="KTM71"/>
      <c r="KTN71"/>
      <c r="KTO71"/>
      <c r="KTP71"/>
      <c r="KTQ71"/>
      <c r="KTR71"/>
      <c r="KTS71"/>
      <c r="KTT71"/>
      <c r="KTU71"/>
      <c r="KTV71"/>
      <c r="KTW71"/>
      <c r="KTX71"/>
      <c r="KTY71"/>
      <c r="KTZ71"/>
      <c r="KUA71"/>
      <c r="KUB71"/>
      <c r="KUC71"/>
      <c r="KUD71"/>
      <c r="KUE71"/>
      <c r="KUF71"/>
      <c r="KUG71"/>
      <c r="KUH71"/>
      <c r="KUI71"/>
      <c r="KUJ71"/>
      <c r="KUK71"/>
      <c r="KUL71"/>
      <c r="KUM71"/>
      <c r="KUN71"/>
      <c r="KUO71"/>
      <c r="KUP71"/>
      <c r="KUQ71"/>
      <c r="KUR71"/>
      <c r="KUS71"/>
      <c r="KUT71"/>
      <c r="KUU71"/>
      <c r="KUV71"/>
      <c r="KUW71"/>
      <c r="KUX71"/>
      <c r="KUY71"/>
      <c r="KUZ71"/>
      <c r="KVA71"/>
      <c r="KVB71"/>
      <c r="KVC71"/>
      <c r="KVD71"/>
      <c r="KVE71"/>
      <c r="KVF71"/>
      <c r="KVG71"/>
      <c r="KVH71"/>
      <c r="KVI71"/>
      <c r="KVJ71"/>
      <c r="KVK71"/>
      <c r="KVL71"/>
      <c r="KVM71"/>
      <c r="KVN71"/>
      <c r="KVO71"/>
      <c r="KVP71"/>
      <c r="KVQ71"/>
      <c r="KVR71"/>
      <c r="KVS71"/>
      <c r="KVT71"/>
      <c r="KVU71"/>
      <c r="KVV71"/>
      <c r="KVW71"/>
      <c r="KVX71"/>
      <c r="KVY71"/>
      <c r="KVZ71"/>
      <c r="KWA71"/>
      <c r="KWB71"/>
      <c r="KWC71"/>
      <c r="KWD71"/>
      <c r="KWE71"/>
      <c r="KWF71"/>
      <c r="KWG71"/>
      <c r="KWH71"/>
      <c r="KWI71"/>
      <c r="KWJ71"/>
      <c r="KWK71"/>
      <c r="KWL71"/>
      <c r="KWM71"/>
      <c r="KWN71"/>
      <c r="KWO71"/>
      <c r="KWP71"/>
      <c r="KWQ71"/>
      <c r="KWR71"/>
      <c r="KWS71"/>
      <c r="KWT71"/>
      <c r="KWU71"/>
      <c r="KWV71"/>
      <c r="KWW71"/>
      <c r="KWX71"/>
      <c r="KWY71"/>
      <c r="KWZ71"/>
      <c r="KXA71"/>
      <c r="KXB71"/>
      <c r="KXC71"/>
      <c r="KXD71"/>
      <c r="KXE71"/>
      <c r="KXF71"/>
      <c r="KXG71"/>
      <c r="KXH71"/>
      <c r="KXI71"/>
      <c r="KXJ71"/>
      <c r="KXK71"/>
      <c r="KXL71"/>
      <c r="KXM71"/>
      <c r="KXN71"/>
      <c r="KXO71"/>
      <c r="KXP71"/>
      <c r="KXQ71"/>
      <c r="KXR71"/>
      <c r="KXS71"/>
      <c r="KXT71"/>
      <c r="KXU71"/>
      <c r="KXV71"/>
      <c r="KXW71"/>
      <c r="KXX71"/>
      <c r="KXY71"/>
      <c r="KXZ71"/>
      <c r="KYA71"/>
      <c r="KYB71"/>
      <c r="KYC71"/>
      <c r="KYD71"/>
      <c r="KYE71"/>
      <c r="KYF71"/>
      <c r="KYG71"/>
      <c r="KYH71"/>
      <c r="KYI71"/>
      <c r="KYJ71"/>
      <c r="KYK71"/>
      <c r="KYL71"/>
      <c r="KYM71"/>
      <c r="KYN71"/>
      <c r="KYO71"/>
      <c r="KYP71"/>
      <c r="KYQ71"/>
      <c r="KYR71"/>
      <c r="KYS71"/>
      <c r="KYT71"/>
      <c r="KYU71"/>
      <c r="KYV71"/>
      <c r="KYW71"/>
      <c r="KYX71"/>
      <c r="KYY71"/>
      <c r="KYZ71"/>
      <c r="KZA71"/>
      <c r="KZB71"/>
      <c r="KZC71"/>
      <c r="KZD71"/>
      <c r="KZE71"/>
      <c r="KZF71"/>
      <c r="KZG71"/>
      <c r="KZH71"/>
      <c r="KZI71"/>
      <c r="KZJ71"/>
      <c r="KZK71"/>
      <c r="KZL71"/>
      <c r="KZM71"/>
      <c r="KZN71"/>
      <c r="KZO71"/>
      <c r="KZP71"/>
      <c r="KZQ71"/>
      <c r="KZR71"/>
      <c r="KZS71"/>
      <c r="KZT71"/>
      <c r="KZU71"/>
      <c r="KZV71"/>
      <c r="KZW71"/>
      <c r="KZX71"/>
      <c r="KZY71"/>
      <c r="KZZ71"/>
      <c r="LAA71"/>
      <c r="LAB71"/>
      <c r="LAC71"/>
      <c r="LAD71"/>
      <c r="LAE71"/>
      <c r="LAF71"/>
      <c r="LAG71"/>
      <c r="LAH71"/>
      <c r="LAI71"/>
      <c r="LAJ71"/>
      <c r="LAK71"/>
      <c r="LAL71"/>
      <c r="LAM71"/>
      <c r="LAN71"/>
      <c r="LAO71"/>
      <c r="LAP71"/>
      <c r="LAQ71"/>
      <c r="LAR71"/>
      <c r="LAS71"/>
      <c r="LAT71"/>
      <c r="LAU71"/>
      <c r="LAV71"/>
      <c r="LAW71"/>
      <c r="LAX71"/>
      <c r="LAY71"/>
      <c r="LAZ71"/>
      <c r="LBA71"/>
      <c r="LBB71"/>
      <c r="LBC71"/>
      <c r="LBD71"/>
      <c r="LBE71"/>
      <c r="LBF71"/>
      <c r="LBG71"/>
      <c r="LBH71"/>
      <c r="LBI71"/>
      <c r="LBJ71"/>
      <c r="LBK71"/>
      <c r="LBL71"/>
      <c r="LBM71"/>
      <c r="LBN71"/>
      <c r="LBO71"/>
      <c r="LBP71"/>
      <c r="LBQ71"/>
      <c r="LBR71"/>
      <c r="LBS71"/>
      <c r="LBT71"/>
      <c r="LBU71"/>
      <c r="LBV71"/>
      <c r="LBW71"/>
      <c r="LBX71"/>
      <c r="LBY71"/>
      <c r="LBZ71"/>
      <c r="LCA71"/>
      <c r="LCB71"/>
      <c r="LCC71"/>
      <c r="LCD71"/>
      <c r="LCE71"/>
      <c r="LCF71"/>
      <c r="LCG71"/>
      <c r="LCH71"/>
      <c r="LCI71"/>
      <c r="LCJ71"/>
      <c r="LCK71"/>
      <c r="LCL71"/>
      <c r="LCM71"/>
      <c r="LCN71"/>
      <c r="LCO71"/>
      <c r="LCP71"/>
      <c r="LCQ71"/>
      <c r="LCR71"/>
      <c r="LCS71"/>
      <c r="LCT71"/>
      <c r="LCU71"/>
      <c r="LCV71"/>
      <c r="LCW71"/>
      <c r="LCX71"/>
      <c r="LCY71"/>
      <c r="LCZ71"/>
      <c r="LDA71"/>
      <c r="LDB71"/>
      <c r="LDC71"/>
      <c r="LDD71"/>
      <c r="LDE71"/>
      <c r="LDF71"/>
      <c r="LDG71"/>
      <c r="LDH71"/>
      <c r="LDI71"/>
      <c r="LDJ71"/>
      <c r="LDK71"/>
      <c r="LDL71"/>
      <c r="LDM71"/>
      <c r="LDN71"/>
      <c r="LDO71"/>
      <c r="LDP71"/>
      <c r="LDQ71"/>
      <c r="LDR71"/>
      <c r="LDS71"/>
      <c r="LDT71"/>
      <c r="LDU71"/>
      <c r="LDV71"/>
      <c r="LDW71"/>
      <c r="LDX71"/>
      <c r="LDY71"/>
      <c r="LDZ71"/>
      <c r="LEA71"/>
      <c r="LEB71"/>
      <c r="LEC71"/>
      <c r="LED71"/>
      <c r="LEE71"/>
      <c r="LEF71"/>
      <c r="LEG71"/>
      <c r="LEH71"/>
      <c r="LEI71"/>
      <c r="LEJ71"/>
      <c r="LEK71"/>
      <c r="LEL71"/>
      <c r="LEM71"/>
      <c r="LEN71"/>
      <c r="LEO71"/>
      <c r="LEP71"/>
      <c r="LEQ71"/>
      <c r="LER71"/>
      <c r="LES71"/>
      <c r="LET71"/>
      <c r="LEU71"/>
      <c r="LEV71"/>
      <c r="LEW71"/>
      <c r="LEX71"/>
      <c r="LEY71"/>
      <c r="LEZ71"/>
      <c r="LFA71"/>
      <c r="LFB71"/>
      <c r="LFC71"/>
      <c r="LFD71"/>
      <c r="LFE71"/>
      <c r="LFF71"/>
      <c r="LFG71"/>
      <c r="LFH71"/>
      <c r="LFI71"/>
      <c r="LFJ71"/>
      <c r="LFK71"/>
      <c r="LFL71"/>
      <c r="LFM71"/>
      <c r="LFN71"/>
      <c r="LFO71"/>
      <c r="LFP71"/>
      <c r="LFQ71"/>
      <c r="LFR71"/>
      <c r="LFS71"/>
      <c r="LFT71"/>
      <c r="LFU71"/>
      <c r="LFV71"/>
      <c r="LFW71"/>
      <c r="LFX71"/>
      <c r="LFY71"/>
      <c r="LFZ71"/>
      <c r="LGA71"/>
      <c r="LGB71"/>
      <c r="LGC71"/>
      <c r="LGD71"/>
      <c r="LGE71"/>
      <c r="LGF71"/>
      <c r="LGG71"/>
      <c r="LGH71"/>
      <c r="LGI71"/>
      <c r="LGJ71"/>
      <c r="LGK71"/>
      <c r="LGL71"/>
      <c r="LGM71"/>
      <c r="LGN71"/>
      <c r="LGO71"/>
      <c r="LGP71"/>
      <c r="LGQ71"/>
      <c r="LGR71"/>
      <c r="LGS71"/>
      <c r="LGT71"/>
      <c r="LGU71"/>
      <c r="LGV71"/>
      <c r="LGW71"/>
      <c r="LGX71"/>
      <c r="LGY71"/>
      <c r="LGZ71"/>
      <c r="LHA71"/>
      <c r="LHB71"/>
      <c r="LHC71"/>
      <c r="LHD71"/>
      <c r="LHE71"/>
      <c r="LHF71"/>
      <c r="LHG71"/>
      <c r="LHH71"/>
      <c r="LHI71"/>
      <c r="LHJ71"/>
      <c r="LHK71"/>
      <c r="LHL71"/>
      <c r="LHM71"/>
      <c r="LHN71"/>
      <c r="LHO71"/>
      <c r="LHP71"/>
      <c r="LHQ71"/>
      <c r="LHR71"/>
      <c r="LHS71"/>
      <c r="LHT71"/>
      <c r="LHU71"/>
      <c r="LHV71"/>
      <c r="LHW71"/>
      <c r="LHX71"/>
      <c r="LHY71"/>
      <c r="LHZ71"/>
      <c r="LIA71"/>
      <c r="LIB71"/>
      <c r="LIC71"/>
      <c r="LID71"/>
      <c r="LIE71"/>
      <c r="LIF71"/>
      <c r="LIG71"/>
      <c r="LIH71"/>
      <c r="LII71"/>
      <c r="LIJ71"/>
      <c r="LIK71"/>
      <c r="LIL71"/>
      <c r="LIM71"/>
      <c r="LIN71"/>
      <c r="LIO71"/>
      <c r="LIP71"/>
      <c r="LIQ71"/>
      <c r="LIR71"/>
      <c r="LIS71"/>
      <c r="LIT71"/>
      <c r="LIU71"/>
      <c r="LIV71"/>
      <c r="LIW71"/>
      <c r="LIX71"/>
      <c r="LIY71"/>
      <c r="LIZ71"/>
      <c r="LJA71"/>
      <c r="LJB71"/>
      <c r="LJC71"/>
      <c r="LJD71"/>
      <c r="LJE71"/>
      <c r="LJF71"/>
      <c r="LJG71"/>
      <c r="LJH71"/>
      <c r="LJI71"/>
      <c r="LJJ71"/>
      <c r="LJK71"/>
      <c r="LJL71"/>
      <c r="LJM71"/>
      <c r="LJN71"/>
      <c r="LJO71"/>
      <c r="LJP71"/>
      <c r="LJQ71"/>
      <c r="LJR71"/>
      <c r="LJS71"/>
      <c r="LJT71"/>
      <c r="LJU71"/>
      <c r="LJV71"/>
      <c r="LJW71"/>
      <c r="LJX71"/>
      <c r="LJY71"/>
      <c r="LJZ71"/>
      <c r="LKA71"/>
      <c r="LKB71"/>
      <c r="LKC71"/>
      <c r="LKD71"/>
      <c r="LKE71"/>
      <c r="LKF71"/>
      <c r="LKG71"/>
      <c r="LKH71"/>
      <c r="LKI71"/>
      <c r="LKJ71"/>
      <c r="LKK71"/>
      <c r="LKL71"/>
      <c r="LKM71"/>
      <c r="LKN71"/>
      <c r="LKO71"/>
      <c r="LKP71"/>
      <c r="LKQ71"/>
      <c r="LKR71"/>
      <c r="LKS71"/>
      <c r="LKT71"/>
      <c r="LKU71"/>
      <c r="LKV71"/>
      <c r="LKW71"/>
      <c r="LKX71"/>
      <c r="LKY71"/>
      <c r="LKZ71"/>
      <c r="LLA71"/>
      <c r="LLB71"/>
      <c r="LLC71"/>
      <c r="LLD71"/>
      <c r="LLE71"/>
      <c r="LLF71"/>
      <c r="LLG71"/>
      <c r="LLH71"/>
      <c r="LLI71"/>
      <c r="LLJ71"/>
      <c r="LLK71"/>
      <c r="LLL71"/>
      <c r="LLM71"/>
      <c r="LLN71"/>
      <c r="LLO71"/>
      <c r="LLP71"/>
      <c r="LLQ71"/>
      <c r="LLR71"/>
      <c r="LLS71"/>
      <c r="LLT71"/>
      <c r="LLU71"/>
      <c r="LLV71"/>
      <c r="LLW71"/>
      <c r="LLX71"/>
      <c r="LLY71"/>
      <c r="LLZ71"/>
      <c r="LMA71"/>
      <c r="LMB71"/>
      <c r="LMC71"/>
      <c r="LMD71"/>
      <c r="LME71"/>
      <c r="LMF71"/>
      <c r="LMG71"/>
      <c r="LMH71"/>
      <c r="LMI71"/>
      <c r="LMJ71"/>
      <c r="LMK71"/>
      <c r="LML71"/>
      <c r="LMM71"/>
      <c r="LMN71"/>
      <c r="LMO71"/>
      <c r="LMP71"/>
      <c r="LMQ71"/>
      <c r="LMR71"/>
      <c r="LMS71"/>
      <c r="LMT71"/>
      <c r="LMU71"/>
      <c r="LMV71"/>
      <c r="LMW71"/>
      <c r="LMX71"/>
      <c r="LMY71"/>
      <c r="LMZ71"/>
      <c r="LNA71"/>
      <c r="LNB71"/>
      <c r="LNC71"/>
      <c r="LND71"/>
      <c r="LNE71"/>
      <c r="LNF71"/>
      <c r="LNG71"/>
      <c r="LNH71"/>
      <c r="LNI71"/>
      <c r="LNJ71"/>
      <c r="LNK71"/>
      <c r="LNL71"/>
      <c r="LNM71"/>
      <c r="LNN71"/>
      <c r="LNO71"/>
      <c r="LNP71"/>
      <c r="LNQ71"/>
      <c r="LNR71"/>
      <c r="LNS71"/>
      <c r="LNT71"/>
      <c r="LNU71"/>
      <c r="LNV71"/>
      <c r="LNW71"/>
      <c r="LNX71"/>
      <c r="LNY71"/>
      <c r="LNZ71"/>
      <c r="LOA71"/>
      <c r="LOB71"/>
      <c r="LOC71"/>
      <c r="LOD71"/>
      <c r="LOE71"/>
      <c r="LOF71"/>
      <c r="LOG71"/>
      <c r="LOH71"/>
      <c r="LOI71"/>
      <c r="LOJ71"/>
      <c r="LOK71"/>
      <c r="LOL71"/>
      <c r="LOM71"/>
      <c r="LON71"/>
      <c r="LOO71"/>
      <c r="LOP71"/>
      <c r="LOQ71"/>
      <c r="LOR71"/>
      <c r="LOS71"/>
      <c r="LOT71"/>
      <c r="LOU71"/>
      <c r="LOV71"/>
      <c r="LOW71"/>
      <c r="LOX71"/>
      <c r="LOY71"/>
      <c r="LOZ71"/>
      <c r="LPA71"/>
      <c r="LPB71"/>
      <c r="LPC71"/>
      <c r="LPD71"/>
      <c r="LPE71"/>
      <c r="LPF71"/>
      <c r="LPG71"/>
      <c r="LPH71"/>
      <c r="LPI71"/>
      <c r="LPJ71"/>
      <c r="LPK71"/>
      <c r="LPL71"/>
      <c r="LPM71"/>
      <c r="LPN71"/>
      <c r="LPO71"/>
      <c r="LPP71"/>
      <c r="LPQ71"/>
      <c r="LPR71"/>
      <c r="LPS71"/>
      <c r="LPT71"/>
      <c r="LPU71"/>
      <c r="LPV71"/>
      <c r="LPW71"/>
      <c r="LPX71"/>
      <c r="LPY71"/>
      <c r="LPZ71"/>
      <c r="LQA71"/>
      <c r="LQB71"/>
      <c r="LQC71"/>
      <c r="LQD71"/>
      <c r="LQE71"/>
      <c r="LQF71"/>
      <c r="LQG71"/>
      <c r="LQH71"/>
      <c r="LQI71"/>
      <c r="LQJ71"/>
      <c r="LQK71"/>
      <c r="LQL71"/>
      <c r="LQM71"/>
      <c r="LQN71"/>
      <c r="LQO71"/>
      <c r="LQP71"/>
      <c r="LQQ71"/>
      <c r="LQR71"/>
      <c r="LQS71"/>
      <c r="LQT71"/>
      <c r="LQU71"/>
      <c r="LQV71"/>
      <c r="LQW71"/>
      <c r="LQX71"/>
      <c r="LQY71"/>
      <c r="LQZ71"/>
      <c r="LRA71"/>
      <c r="LRB71"/>
      <c r="LRC71"/>
      <c r="LRD71"/>
      <c r="LRE71"/>
      <c r="LRF71"/>
      <c r="LRG71"/>
      <c r="LRH71"/>
      <c r="LRI71"/>
      <c r="LRJ71"/>
      <c r="LRK71"/>
      <c r="LRL71"/>
      <c r="LRM71"/>
      <c r="LRN71"/>
      <c r="LRO71"/>
      <c r="LRP71"/>
      <c r="LRQ71"/>
      <c r="LRR71"/>
      <c r="LRS71"/>
      <c r="LRT71"/>
      <c r="LRU71"/>
      <c r="LRV71"/>
      <c r="LRW71"/>
      <c r="LRX71"/>
      <c r="LRY71"/>
      <c r="LRZ71"/>
      <c r="LSA71"/>
      <c r="LSB71"/>
      <c r="LSC71"/>
      <c r="LSD71"/>
      <c r="LSE71"/>
      <c r="LSF71"/>
      <c r="LSG71"/>
      <c r="LSH71"/>
      <c r="LSI71"/>
      <c r="LSJ71"/>
      <c r="LSK71"/>
      <c r="LSL71"/>
      <c r="LSM71"/>
      <c r="LSN71"/>
      <c r="LSO71"/>
      <c r="LSP71"/>
      <c r="LSQ71"/>
      <c r="LSR71"/>
      <c r="LSS71"/>
      <c r="LST71"/>
      <c r="LSU71"/>
      <c r="LSV71"/>
      <c r="LSW71"/>
      <c r="LSX71"/>
      <c r="LSY71"/>
      <c r="LSZ71"/>
      <c r="LTA71"/>
      <c r="LTB71"/>
      <c r="LTC71"/>
      <c r="LTD71"/>
      <c r="LTE71"/>
      <c r="LTF71"/>
      <c r="LTG71"/>
      <c r="LTH71"/>
      <c r="LTI71"/>
      <c r="LTJ71"/>
      <c r="LTK71"/>
      <c r="LTL71"/>
      <c r="LTM71"/>
      <c r="LTN71"/>
      <c r="LTO71"/>
      <c r="LTP71"/>
      <c r="LTQ71"/>
      <c r="LTR71"/>
      <c r="LTS71"/>
      <c r="LTT71"/>
      <c r="LTU71"/>
      <c r="LTV71"/>
      <c r="LTW71"/>
      <c r="LTX71"/>
      <c r="LTY71"/>
      <c r="LTZ71"/>
      <c r="LUA71"/>
      <c r="LUB71"/>
      <c r="LUC71"/>
      <c r="LUD71"/>
      <c r="LUE71"/>
      <c r="LUF71"/>
      <c r="LUG71"/>
      <c r="LUH71"/>
      <c r="LUI71"/>
      <c r="LUJ71"/>
      <c r="LUK71"/>
      <c r="LUL71"/>
      <c r="LUM71"/>
      <c r="LUN71"/>
      <c r="LUO71"/>
      <c r="LUP71"/>
      <c r="LUQ71"/>
      <c r="LUR71"/>
      <c r="LUS71"/>
      <c r="LUT71"/>
      <c r="LUU71"/>
      <c r="LUV71"/>
      <c r="LUW71"/>
      <c r="LUX71"/>
      <c r="LUY71"/>
      <c r="LUZ71"/>
      <c r="LVA71"/>
      <c r="LVB71"/>
      <c r="LVC71"/>
      <c r="LVD71"/>
      <c r="LVE71"/>
      <c r="LVF71"/>
      <c r="LVG71"/>
      <c r="LVH71"/>
      <c r="LVI71"/>
      <c r="LVJ71"/>
      <c r="LVK71"/>
      <c r="LVL71"/>
      <c r="LVM71"/>
      <c r="LVN71"/>
      <c r="LVO71"/>
      <c r="LVP71"/>
      <c r="LVQ71"/>
      <c r="LVR71"/>
      <c r="LVS71"/>
      <c r="LVT71"/>
      <c r="LVU71"/>
      <c r="LVV71"/>
      <c r="LVW71"/>
      <c r="LVX71"/>
      <c r="LVY71"/>
      <c r="LVZ71"/>
      <c r="LWA71"/>
      <c r="LWB71"/>
      <c r="LWC71"/>
      <c r="LWD71"/>
      <c r="LWE71"/>
      <c r="LWF71"/>
      <c r="LWG71"/>
      <c r="LWH71"/>
      <c r="LWI71"/>
      <c r="LWJ71"/>
      <c r="LWK71"/>
      <c r="LWL71"/>
      <c r="LWM71"/>
      <c r="LWN71"/>
      <c r="LWO71"/>
      <c r="LWP71"/>
      <c r="LWQ71"/>
      <c r="LWR71"/>
      <c r="LWS71"/>
      <c r="LWT71"/>
      <c r="LWU71"/>
      <c r="LWV71"/>
      <c r="LWW71"/>
      <c r="LWX71"/>
      <c r="LWY71"/>
      <c r="LWZ71"/>
      <c r="LXA71"/>
      <c r="LXB71"/>
      <c r="LXC71"/>
      <c r="LXD71"/>
      <c r="LXE71"/>
      <c r="LXF71"/>
      <c r="LXG71"/>
      <c r="LXH71"/>
      <c r="LXI71"/>
      <c r="LXJ71"/>
      <c r="LXK71"/>
      <c r="LXL71"/>
      <c r="LXM71"/>
      <c r="LXN71"/>
      <c r="LXO71"/>
      <c r="LXP71"/>
      <c r="LXQ71"/>
      <c r="LXR71"/>
      <c r="LXS71"/>
      <c r="LXT71"/>
      <c r="LXU71"/>
      <c r="LXV71"/>
      <c r="LXW71"/>
      <c r="LXX71"/>
      <c r="LXY71"/>
      <c r="LXZ71"/>
      <c r="LYA71"/>
      <c r="LYB71"/>
      <c r="LYC71"/>
      <c r="LYD71"/>
      <c r="LYE71"/>
      <c r="LYF71"/>
      <c r="LYG71"/>
      <c r="LYH71"/>
      <c r="LYI71"/>
      <c r="LYJ71"/>
      <c r="LYK71"/>
      <c r="LYL71"/>
      <c r="LYM71"/>
      <c r="LYN71"/>
      <c r="LYO71"/>
      <c r="LYP71"/>
      <c r="LYQ71"/>
      <c r="LYR71"/>
      <c r="LYS71"/>
      <c r="LYT71"/>
      <c r="LYU71"/>
      <c r="LYV71"/>
      <c r="LYW71"/>
      <c r="LYX71"/>
      <c r="LYY71"/>
      <c r="LYZ71"/>
      <c r="LZA71"/>
      <c r="LZB71"/>
      <c r="LZC71"/>
      <c r="LZD71"/>
      <c r="LZE71"/>
      <c r="LZF71"/>
      <c r="LZG71"/>
      <c r="LZH71"/>
      <c r="LZI71"/>
      <c r="LZJ71"/>
      <c r="LZK71"/>
      <c r="LZL71"/>
      <c r="LZM71"/>
      <c r="LZN71"/>
      <c r="LZO71"/>
      <c r="LZP71"/>
      <c r="LZQ71"/>
      <c r="LZR71"/>
      <c r="LZS71"/>
      <c r="LZT71"/>
      <c r="LZU71"/>
      <c r="LZV71"/>
      <c r="LZW71"/>
      <c r="LZX71"/>
      <c r="LZY71"/>
      <c r="LZZ71"/>
      <c r="MAA71"/>
      <c r="MAB71"/>
      <c r="MAC71"/>
      <c r="MAD71"/>
      <c r="MAE71"/>
      <c r="MAF71"/>
      <c r="MAG71"/>
      <c r="MAH71"/>
      <c r="MAI71"/>
      <c r="MAJ71"/>
      <c r="MAK71"/>
      <c r="MAL71"/>
      <c r="MAM71"/>
      <c r="MAN71"/>
      <c r="MAO71"/>
      <c r="MAP71"/>
      <c r="MAQ71"/>
      <c r="MAR71"/>
      <c r="MAS71"/>
      <c r="MAT71"/>
      <c r="MAU71"/>
      <c r="MAV71"/>
      <c r="MAW71"/>
      <c r="MAX71"/>
      <c r="MAY71"/>
      <c r="MAZ71"/>
      <c r="MBA71"/>
      <c r="MBB71"/>
      <c r="MBC71"/>
      <c r="MBD71"/>
      <c r="MBE71"/>
      <c r="MBF71"/>
      <c r="MBG71"/>
      <c r="MBH71"/>
      <c r="MBI71"/>
      <c r="MBJ71"/>
      <c r="MBK71"/>
      <c r="MBL71"/>
      <c r="MBM71"/>
      <c r="MBN71"/>
      <c r="MBO71"/>
      <c r="MBP71"/>
      <c r="MBQ71"/>
      <c r="MBR71"/>
      <c r="MBS71"/>
      <c r="MBT71"/>
      <c r="MBU71"/>
      <c r="MBV71"/>
      <c r="MBW71"/>
      <c r="MBX71"/>
      <c r="MBY71"/>
      <c r="MBZ71"/>
      <c r="MCA71"/>
      <c r="MCB71"/>
      <c r="MCC71"/>
      <c r="MCD71"/>
      <c r="MCE71"/>
      <c r="MCF71"/>
      <c r="MCG71"/>
      <c r="MCH71"/>
      <c r="MCI71"/>
      <c r="MCJ71"/>
      <c r="MCK71"/>
      <c r="MCL71"/>
      <c r="MCM71"/>
      <c r="MCN71"/>
      <c r="MCO71"/>
      <c r="MCP71"/>
      <c r="MCQ71"/>
      <c r="MCR71"/>
      <c r="MCS71"/>
      <c r="MCT71"/>
      <c r="MCU71"/>
      <c r="MCV71"/>
      <c r="MCW71"/>
      <c r="MCX71"/>
      <c r="MCY71"/>
      <c r="MCZ71"/>
      <c r="MDA71"/>
      <c r="MDB71"/>
      <c r="MDC71"/>
      <c r="MDD71"/>
      <c r="MDE71"/>
      <c r="MDF71"/>
      <c r="MDG71"/>
      <c r="MDH71"/>
      <c r="MDI71"/>
      <c r="MDJ71"/>
      <c r="MDK71"/>
      <c r="MDL71"/>
      <c r="MDM71"/>
      <c r="MDN71"/>
      <c r="MDO71"/>
      <c r="MDP71"/>
      <c r="MDQ71"/>
      <c r="MDR71"/>
      <c r="MDS71"/>
      <c r="MDT71"/>
      <c r="MDU71"/>
      <c r="MDV71"/>
      <c r="MDW71"/>
      <c r="MDX71"/>
      <c r="MDY71"/>
      <c r="MDZ71"/>
      <c r="MEA71"/>
      <c r="MEB71"/>
      <c r="MEC71"/>
      <c r="MED71"/>
      <c r="MEE71"/>
      <c r="MEF71"/>
      <c r="MEG71"/>
      <c r="MEH71"/>
      <c r="MEI71"/>
      <c r="MEJ71"/>
      <c r="MEK71"/>
      <c r="MEL71"/>
      <c r="MEM71"/>
      <c r="MEN71"/>
      <c r="MEO71"/>
      <c r="MEP71"/>
      <c r="MEQ71"/>
      <c r="MER71"/>
      <c r="MES71"/>
      <c r="MET71"/>
      <c r="MEU71"/>
      <c r="MEV71"/>
      <c r="MEW71"/>
      <c r="MEX71"/>
      <c r="MEY71"/>
      <c r="MEZ71"/>
      <c r="MFA71"/>
      <c r="MFB71"/>
      <c r="MFC71"/>
      <c r="MFD71"/>
      <c r="MFE71"/>
      <c r="MFF71"/>
      <c r="MFG71"/>
      <c r="MFH71"/>
      <c r="MFI71"/>
      <c r="MFJ71"/>
      <c r="MFK71"/>
      <c r="MFL71"/>
      <c r="MFM71"/>
      <c r="MFN71"/>
      <c r="MFO71"/>
      <c r="MFP71"/>
      <c r="MFQ71"/>
      <c r="MFR71"/>
      <c r="MFS71"/>
      <c r="MFT71"/>
      <c r="MFU71"/>
      <c r="MFV71"/>
      <c r="MFW71"/>
      <c r="MFX71"/>
      <c r="MFY71"/>
      <c r="MFZ71"/>
      <c r="MGA71"/>
      <c r="MGB71"/>
      <c r="MGC71"/>
      <c r="MGD71"/>
      <c r="MGE71"/>
      <c r="MGF71"/>
      <c r="MGG71"/>
      <c r="MGH71"/>
      <c r="MGI71"/>
      <c r="MGJ71"/>
      <c r="MGK71"/>
      <c r="MGL71"/>
      <c r="MGM71"/>
      <c r="MGN71"/>
      <c r="MGO71"/>
      <c r="MGP71"/>
      <c r="MGQ71"/>
      <c r="MGR71"/>
      <c r="MGS71"/>
      <c r="MGT71"/>
      <c r="MGU71"/>
      <c r="MGV71"/>
      <c r="MGW71"/>
      <c r="MGX71"/>
      <c r="MGY71"/>
      <c r="MGZ71"/>
      <c r="MHA71"/>
      <c r="MHB71"/>
      <c r="MHC71"/>
      <c r="MHD71"/>
      <c r="MHE71"/>
      <c r="MHF71"/>
      <c r="MHG71"/>
      <c r="MHH71"/>
      <c r="MHI71"/>
      <c r="MHJ71"/>
      <c r="MHK71"/>
      <c r="MHL71"/>
      <c r="MHM71"/>
      <c r="MHN71"/>
      <c r="MHO71"/>
      <c r="MHP71"/>
      <c r="MHQ71"/>
      <c r="MHR71"/>
      <c r="MHS71"/>
      <c r="MHT71"/>
      <c r="MHU71"/>
      <c r="MHV71"/>
      <c r="MHW71"/>
      <c r="MHX71"/>
      <c r="MHY71"/>
      <c r="MHZ71"/>
      <c r="MIA71"/>
      <c r="MIB71"/>
      <c r="MIC71"/>
      <c r="MID71"/>
      <c r="MIE71"/>
      <c r="MIF71"/>
      <c r="MIG71"/>
      <c r="MIH71"/>
      <c r="MII71"/>
      <c r="MIJ71"/>
      <c r="MIK71"/>
      <c r="MIL71"/>
      <c r="MIM71"/>
      <c r="MIN71"/>
      <c r="MIO71"/>
      <c r="MIP71"/>
      <c r="MIQ71"/>
      <c r="MIR71"/>
      <c r="MIS71"/>
      <c r="MIT71"/>
      <c r="MIU71"/>
      <c r="MIV71"/>
      <c r="MIW71"/>
      <c r="MIX71"/>
      <c r="MIY71"/>
      <c r="MIZ71"/>
      <c r="MJA71"/>
      <c r="MJB71"/>
      <c r="MJC71"/>
      <c r="MJD71"/>
      <c r="MJE71"/>
      <c r="MJF71"/>
      <c r="MJG71"/>
      <c r="MJH71"/>
      <c r="MJI71"/>
      <c r="MJJ71"/>
      <c r="MJK71"/>
      <c r="MJL71"/>
      <c r="MJM71"/>
      <c r="MJN71"/>
      <c r="MJO71"/>
      <c r="MJP71"/>
      <c r="MJQ71"/>
      <c r="MJR71"/>
      <c r="MJS71"/>
      <c r="MJT71"/>
      <c r="MJU71"/>
      <c r="MJV71"/>
      <c r="MJW71"/>
      <c r="MJX71"/>
      <c r="MJY71"/>
      <c r="MJZ71"/>
      <c r="MKA71"/>
      <c r="MKB71"/>
      <c r="MKC71"/>
      <c r="MKD71"/>
      <c r="MKE71"/>
      <c r="MKF71"/>
      <c r="MKG71"/>
      <c r="MKH71"/>
      <c r="MKI71"/>
      <c r="MKJ71"/>
      <c r="MKK71"/>
      <c r="MKL71"/>
      <c r="MKM71"/>
      <c r="MKN71"/>
      <c r="MKO71"/>
      <c r="MKP71"/>
      <c r="MKQ71"/>
      <c r="MKR71"/>
      <c r="MKS71"/>
      <c r="MKT71"/>
      <c r="MKU71"/>
      <c r="MKV71"/>
      <c r="MKW71"/>
      <c r="MKX71"/>
      <c r="MKY71"/>
      <c r="MKZ71"/>
      <c r="MLA71"/>
      <c r="MLB71"/>
      <c r="MLC71"/>
      <c r="MLD71"/>
      <c r="MLE71"/>
      <c r="MLF71"/>
      <c r="MLG71"/>
      <c r="MLH71"/>
      <c r="MLI71"/>
      <c r="MLJ71"/>
      <c r="MLK71"/>
      <c r="MLL71"/>
      <c r="MLM71"/>
      <c r="MLN71"/>
      <c r="MLO71"/>
      <c r="MLP71"/>
      <c r="MLQ71"/>
      <c r="MLR71"/>
      <c r="MLS71"/>
      <c r="MLT71"/>
      <c r="MLU71"/>
      <c r="MLV71"/>
      <c r="MLW71"/>
      <c r="MLX71"/>
      <c r="MLY71"/>
      <c r="MLZ71"/>
      <c r="MMA71"/>
      <c r="MMB71"/>
      <c r="MMC71"/>
      <c r="MMD71"/>
      <c r="MME71"/>
      <c r="MMF71"/>
      <c r="MMG71"/>
      <c r="MMH71"/>
      <c r="MMI71"/>
      <c r="MMJ71"/>
      <c r="MMK71"/>
      <c r="MML71"/>
      <c r="MMM71"/>
      <c r="MMN71"/>
      <c r="MMO71"/>
      <c r="MMP71"/>
      <c r="MMQ71"/>
      <c r="MMR71"/>
      <c r="MMS71"/>
      <c r="MMT71"/>
      <c r="MMU71"/>
      <c r="MMV71"/>
      <c r="MMW71"/>
      <c r="MMX71"/>
      <c r="MMY71"/>
      <c r="MMZ71"/>
      <c r="MNA71"/>
      <c r="MNB71"/>
      <c r="MNC71"/>
      <c r="MND71"/>
      <c r="MNE71"/>
      <c r="MNF71"/>
      <c r="MNG71"/>
      <c r="MNH71"/>
      <c r="MNI71"/>
      <c r="MNJ71"/>
      <c r="MNK71"/>
      <c r="MNL71"/>
      <c r="MNM71"/>
      <c r="MNN71"/>
      <c r="MNO71"/>
      <c r="MNP71"/>
      <c r="MNQ71"/>
      <c r="MNR71"/>
      <c r="MNS71"/>
      <c r="MNT71"/>
      <c r="MNU71"/>
      <c r="MNV71"/>
      <c r="MNW71"/>
      <c r="MNX71"/>
      <c r="MNY71"/>
      <c r="MNZ71"/>
      <c r="MOA71"/>
      <c r="MOB71"/>
      <c r="MOC71"/>
      <c r="MOD71"/>
      <c r="MOE71"/>
      <c r="MOF71"/>
      <c r="MOG71"/>
      <c r="MOH71"/>
      <c r="MOI71"/>
      <c r="MOJ71"/>
      <c r="MOK71"/>
      <c r="MOL71"/>
      <c r="MOM71"/>
      <c r="MON71"/>
      <c r="MOO71"/>
      <c r="MOP71"/>
      <c r="MOQ71"/>
      <c r="MOR71"/>
      <c r="MOS71"/>
      <c r="MOT71"/>
      <c r="MOU71"/>
      <c r="MOV71"/>
      <c r="MOW71"/>
      <c r="MOX71"/>
      <c r="MOY71"/>
      <c r="MOZ71"/>
      <c r="MPA71"/>
      <c r="MPB71"/>
      <c r="MPC71"/>
      <c r="MPD71"/>
      <c r="MPE71"/>
      <c r="MPF71"/>
      <c r="MPG71"/>
      <c r="MPH71"/>
      <c r="MPI71"/>
      <c r="MPJ71"/>
      <c r="MPK71"/>
      <c r="MPL71"/>
      <c r="MPM71"/>
      <c r="MPN71"/>
      <c r="MPO71"/>
      <c r="MPP71"/>
      <c r="MPQ71"/>
      <c r="MPR71"/>
      <c r="MPS71"/>
      <c r="MPT71"/>
      <c r="MPU71"/>
      <c r="MPV71"/>
      <c r="MPW71"/>
      <c r="MPX71"/>
      <c r="MPY71"/>
      <c r="MPZ71"/>
      <c r="MQA71"/>
      <c r="MQB71"/>
      <c r="MQC71"/>
      <c r="MQD71"/>
      <c r="MQE71"/>
      <c r="MQF71"/>
      <c r="MQG71"/>
      <c r="MQH71"/>
      <c r="MQI71"/>
      <c r="MQJ71"/>
      <c r="MQK71"/>
      <c r="MQL71"/>
      <c r="MQM71"/>
      <c r="MQN71"/>
      <c r="MQO71"/>
      <c r="MQP71"/>
      <c r="MQQ71"/>
      <c r="MQR71"/>
      <c r="MQS71"/>
      <c r="MQT71"/>
      <c r="MQU71"/>
      <c r="MQV71"/>
      <c r="MQW71"/>
      <c r="MQX71"/>
      <c r="MQY71"/>
      <c r="MQZ71"/>
      <c r="MRA71"/>
      <c r="MRB71"/>
      <c r="MRC71"/>
      <c r="MRD71"/>
      <c r="MRE71"/>
      <c r="MRF71"/>
      <c r="MRG71"/>
      <c r="MRH71"/>
      <c r="MRI71"/>
      <c r="MRJ71"/>
      <c r="MRK71"/>
      <c r="MRL71"/>
      <c r="MRM71"/>
      <c r="MRN71"/>
      <c r="MRO71"/>
      <c r="MRP71"/>
      <c r="MRQ71"/>
      <c r="MRR71"/>
      <c r="MRS71"/>
      <c r="MRT71"/>
      <c r="MRU71"/>
      <c r="MRV71"/>
      <c r="MRW71"/>
      <c r="MRX71"/>
      <c r="MRY71"/>
      <c r="MRZ71"/>
      <c r="MSA71"/>
      <c r="MSB71"/>
      <c r="MSC71"/>
      <c r="MSD71"/>
      <c r="MSE71"/>
      <c r="MSF71"/>
      <c r="MSG71"/>
      <c r="MSH71"/>
      <c r="MSI71"/>
      <c r="MSJ71"/>
      <c r="MSK71"/>
      <c r="MSL71"/>
      <c r="MSM71"/>
      <c r="MSN71"/>
      <c r="MSO71"/>
      <c r="MSP71"/>
      <c r="MSQ71"/>
      <c r="MSR71"/>
      <c r="MSS71"/>
      <c r="MST71"/>
      <c r="MSU71"/>
      <c r="MSV71"/>
      <c r="MSW71"/>
      <c r="MSX71"/>
      <c r="MSY71"/>
      <c r="MSZ71"/>
      <c r="MTA71"/>
      <c r="MTB71"/>
      <c r="MTC71"/>
      <c r="MTD71"/>
      <c r="MTE71"/>
      <c r="MTF71"/>
      <c r="MTG71"/>
      <c r="MTH71"/>
      <c r="MTI71"/>
      <c r="MTJ71"/>
      <c r="MTK71"/>
      <c r="MTL71"/>
      <c r="MTM71"/>
      <c r="MTN71"/>
      <c r="MTO71"/>
      <c r="MTP71"/>
      <c r="MTQ71"/>
      <c r="MTR71"/>
      <c r="MTS71"/>
      <c r="MTT71"/>
      <c r="MTU71"/>
      <c r="MTV71"/>
      <c r="MTW71"/>
      <c r="MTX71"/>
      <c r="MTY71"/>
      <c r="MTZ71"/>
      <c r="MUA71"/>
      <c r="MUB71"/>
      <c r="MUC71"/>
      <c r="MUD71"/>
      <c r="MUE71"/>
      <c r="MUF71"/>
      <c r="MUG71"/>
      <c r="MUH71"/>
      <c r="MUI71"/>
      <c r="MUJ71"/>
      <c r="MUK71"/>
      <c r="MUL71"/>
      <c r="MUM71"/>
      <c r="MUN71"/>
      <c r="MUO71"/>
      <c r="MUP71"/>
      <c r="MUQ71"/>
      <c r="MUR71"/>
      <c r="MUS71"/>
      <c r="MUT71"/>
      <c r="MUU71"/>
      <c r="MUV71"/>
      <c r="MUW71"/>
      <c r="MUX71"/>
      <c r="MUY71"/>
      <c r="MUZ71"/>
      <c r="MVA71"/>
      <c r="MVB71"/>
      <c r="MVC71"/>
      <c r="MVD71"/>
      <c r="MVE71"/>
      <c r="MVF71"/>
      <c r="MVG71"/>
      <c r="MVH71"/>
      <c r="MVI71"/>
      <c r="MVJ71"/>
      <c r="MVK71"/>
      <c r="MVL71"/>
      <c r="MVM71"/>
      <c r="MVN71"/>
      <c r="MVO71"/>
      <c r="MVP71"/>
      <c r="MVQ71"/>
      <c r="MVR71"/>
      <c r="MVS71"/>
      <c r="MVT71"/>
      <c r="MVU71"/>
      <c r="MVV71"/>
      <c r="MVW71"/>
      <c r="MVX71"/>
      <c r="MVY71"/>
      <c r="MVZ71"/>
      <c r="MWA71"/>
      <c r="MWB71"/>
      <c r="MWC71"/>
      <c r="MWD71"/>
      <c r="MWE71"/>
      <c r="MWF71"/>
      <c r="MWG71"/>
      <c r="MWH71"/>
      <c r="MWI71"/>
      <c r="MWJ71"/>
      <c r="MWK71"/>
      <c r="MWL71"/>
      <c r="MWM71"/>
      <c r="MWN71"/>
      <c r="MWO71"/>
      <c r="MWP71"/>
      <c r="MWQ71"/>
      <c r="MWR71"/>
      <c r="MWS71"/>
      <c r="MWT71"/>
      <c r="MWU71"/>
      <c r="MWV71"/>
      <c r="MWW71"/>
      <c r="MWX71"/>
      <c r="MWY71"/>
      <c r="MWZ71"/>
      <c r="MXA71"/>
      <c r="MXB71"/>
      <c r="MXC71"/>
      <c r="MXD71"/>
      <c r="MXE71"/>
      <c r="MXF71"/>
      <c r="MXG71"/>
      <c r="MXH71"/>
      <c r="MXI71"/>
      <c r="MXJ71"/>
      <c r="MXK71"/>
      <c r="MXL71"/>
      <c r="MXM71"/>
      <c r="MXN71"/>
      <c r="MXO71"/>
      <c r="MXP71"/>
      <c r="MXQ71"/>
      <c r="MXR71"/>
      <c r="MXS71"/>
      <c r="MXT71"/>
      <c r="MXU71"/>
      <c r="MXV71"/>
      <c r="MXW71"/>
      <c r="MXX71"/>
      <c r="MXY71"/>
      <c r="MXZ71"/>
      <c r="MYA71"/>
      <c r="MYB71"/>
      <c r="MYC71"/>
      <c r="MYD71"/>
      <c r="MYE71"/>
      <c r="MYF71"/>
      <c r="MYG71"/>
      <c r="MYH71"/>
      <c r="MYI71"/>
      <c r="MYJ71"/>
      <c r="MYK71"/>
      <c r="MYL71"/>
      <c r="MYM71"/>
      <c r="MYN71"/>
      <c r="MYO71"/>
      <c r="MYP71"/>
      <c r="MYQ71"/>
      <c r="MYR71"/>
      <c r="MYS71"/>
      <c r="MYT71"/>
      <c r="MYU71"/>
      <c r="MYV71"/>
      <c r="MYW71"/>
      <c r="MYX71"/>
      <c r="MYY71"/>
      <c r="MYZ71"/>
      <c r="MZA71"/>
      <c r="MZB71"/>
      <c r="MZC71"/>
      <c r="MZD71"/>
      <c r="MZE71"/>
      <c r="MZF71"/>
      <c r="MZG71"/>
      <c r="MZH71"/>
      <c r="MZI71"/>
      <c r="MZJ71"/>
      <c r="MZK71"/>
      <c r="MZL71"/>
      <c r="MZM71"/>
      <c r="MZN71"/>
      <c r="MZO71"/>
      <c r="MZP71"/>
      <c r="MZQ71"/>
      <c r="MZR71"/>
      <c r="MZS71"/>
      <c r="MZT71"/>
      <c r="MZU71"/>
      <c r="MZV71"/>
      <c r="MZW71"/>
      <c r="MZX71"/>
      <c r="MZY71"/>
      <c r="MZZ71"/>
      <c r="NAA71"/>
      <c r="NAB71"/>
      <c r="NAC71"/>
      <c r="NAD71"/>
      <c r="NAE71"/>
      <c r="NAF71"/>
      <c r="NAG71"/>
      <c r="NAH71"/>
      <c r="NAI71"/>
      <c r="NAJ71"/>
      <c r="NAK71"/>
      <c r="NAL71"/>
      <c r="NAM71"/>
      <c r="NAN71"/>
      <c r="NAO71"/>
      <c r="NAP71"/>
      <c r="NAQ71"/>
      <c r="NAR71"/>
      <c r="NAS71"/>
      <c r="NAT71"/>
      <c r="NAU71"/>
      <c r="NAV71"/>
      <c r="NAW71"/>
      <c r="NAX71"/>
      <c r="NAY71"/>
      <c r="NAZ71"/>
      <c r="NBA71"/>
      <c r="NBB71"/>
      <c r="NBC71"/>
      <c r="NBD71"/>
      <c r="NBE71"/>
      <c r="NBF71"/>
      <c r="NBG71"/>
      <c r="NBH71"/>
      <c r="NBI71"/>
      <c r="NBJ71"/>
      <c r="NBK71"/>
      <c r="NBL71"/>
      <c r="NBM71"/>
      <c r="NBN71"/>
      <c r="NBO71"/>
      <c r="NBP71"/>
      <c r="NBQ71"/>
      <c r="NBR71"/>
      <c r="NBS71"/>
      <c r="NBT71"/>
      <c r="NBU71"/>
      <c r="NBV71"/>
      <c r="NBW71"/>
      <c r="NBX71"/>
      <c r="NBY71"/>
      <c r="NBZ71"/>
      <c r="NCA71"/>
      <c r="NCB71"/>
      <c r="NCC71"/>
      <c r="NCD71"/>
      <c r="NCE71"/>
      <c r="NCF71"/>
      <c r="NCG71"/>
      <c r="NCH71"/>
      <c r="NCI71"/>
      <c r="NCJ71"/>
      <c r="NCK71"/>
      <c r="NCL71"/>
      <c r="NCM71"/>
      <c r="NCN71"/>
      <c r="NCO71"/>
      <c r="NCP71"/>
      <c r="NCQ71"/>
      <c r="NCR71"/>
      <c r="NCS71"/>
      <c r="NCT71"/>
      <c r="NCU71"/>
      <c r="NCV71"/>
      <c r="NCW71"/>
      <c r="NCX71"/>
      <c r="NCY71"/>
      <c r="NCZ71"/>
      <c r="NDA71"/>
      <c r="NDB71"/>
      <c r="NDC71"/>
      <c r="NDD71"/>
      <c r="NDE71"/>
      <c r="NDF71"/>
      <c r="NDG71"/>
      <c r="NDH71"/>
      <c r="NDI71"/>
      <c r="NDJ71"/>
      <c r="NDK71"/>
      <c r="NDL71"/>
      <c r="NDM71"/>
      <c r="NDN71"/>
      <c r="NDO71"/>
      <c r="NDP71"/>
      <c r="NDQ71"/>
      <c r="NDR71"/>
      <c r="NDS71"/>
      <c r="NDT71"/>
      <c r="NDU71"/>
      <c r="NDV71"/>
      <c r="NDW71"/>
      <c r="NDX71"/>
      <c r="NDY71"/>
      <c r="NDZ71"/>
      <c r="NEA71"/>
      <c r="NEB71"/>
      <c r="NEC71"/>
      <c r="NED71"/>
      <c r="NEE71"/>
      <c r="NEF71"/>
      <c r="NEG71"/>
      <c r="NEH71"/>
      <c r="NEI71"/>
      <c r="NEJ71"/>
      <c r="NEK71"/>
      <c r="NEL71"/>
      <c r="NEM71"/>
      <c r="NEN71"/>
      <c r="NEO71"/>
      <c r="NEP71"/>
      <c r="NEQ71"/>
      <c r="NER71"/>
      <c r="NES71"/>
      <c r="NET71"/>
      <c r="NEU71"/>
      <c r="NEV71"/>
      <c r="NEW71"/>
      <c r="NEX71"/>
      <c r="NEY71"/>
      <c r="NEZ71"/>
      <c r="NFA71"/>
      <c r="NFB71"/>
      <c r="NFC71"/>
      <c r="NFD71"/>
      <c r="NFE71"/>
      <c r="NFF71"/>
      <c r="NFG71"/>
      <c r="NFH71"/>
      <c r="NFI71"/>
      <c r="NFJ71"/>
      <c r="NFK71"/>
      <c r="NFL71"/>
      <c r="NFM71"/>
      <c r="NFN71"/>
      <c r="NFO71"/>
      <c r="NFP71"/>
      <c r="NFQ71"/>
      <c r="NFR71"/>
      <c r="NFS71"/>
      <c r="NFT71"/>
      <c r="NFU71"/>
      <c r="NFV71"/>
      <c r="NFW71"/>
      <c r="NFX71"/>
      <c r="NFY71"/>
      <c r="NFZ71"/>
      <c r="NGA71"/>
      <c r="NGB71"/>
      <c r="NGC71"/>
      <c r="NGD71"/>
      <c r="NGE71"/>
      <c r="NGF71"/>
      <c r="NGG71"/>
      <c r="NGH71"/>
      <c r="NGI71"/>
      <c r="NGJ71"/>
      <c r="NGK71"/>
      <c r="NGL71"/>
      <c r="NGM71"/>
      <c r="NGN71"/>
      <c r="NGO71"/>
      <c r="NGP71"/>
      <c r="NGQ71"/>
      <c r="NGR71"/>
      <c r="NGS71"/>
      <c r="NGT71"/>
      <c r="NGU71"/>
      <c r="NGV71"/>
      <c r="NGW71"/>
      <c r="NGX71"/>
      <c r="NGY71"/>
      <c r="NGZ71"/>
      <c r="NHA71"/>
      <c r="NHB71"/>
      <c r="NHC71"/>
      <c r="NHD71"/>
      <c r="NHE71"/>
      <c r="NHF71"/>
      <c r="NHG71"/>
      <c r="NHH71"/>
      <c r="NHI71"/>
      <c r="NHJ71"/>
      <c r="NHK71"/>
      <c r="NHL71"/>
      <c r="NHM71"/>
      <c r="NHN71"/>
      <c r="NHO71"/>
      <c r="NHP71"/>
      <c r="NHQ71"/>
      <c r="NHR71"/>
      <c r="NHS71"/>
      <c r="NHT71"/>
      <c r="NHU71"/>
      <c r="NHV71"/>
      <c r="NHW71"/>
      <c r="NHX71"/>
      <c r="NHY71"/>
      <c r="NHZ71"/>
      <c r="NIA71"/>
      <c r="NIB71"/>
      <c r="NIC71"/>
      <c r="NID71"/>
      <c r="NIE71"/>
      <c r="NIF71"/>
      <c r="NIG71"/>
      <c r="NIH71"/>
      <c r="NII71"/>
      <c r="NIJ71"/>
      <c r="NIK71"/>
      <c r="NIL71"/>
      <c r="NIM71"/>
      <c r="NIN71"/>
      <c r="NIO71"/>
      <c r="NIP71"/>
      <c r="NIQ71"/>
      <c r="NIR71"/>
      <c r="NIS71"/>
      <c r="NIT71"/>
      <c r="NIU71"/>
      <c r="NIV71"/>
      <c r="NIW71"/>
      <c r="NIX71"/>
      <c r="NIY71"/>
      <c r="NIZ71"/>
      <c r="NJA71"/>
      <c r="NJB71"/>
      <c r="NJC71"/>
      <c r="NJD71"/>
      <c r="NJE71"/>
      <c r="NJF71"/>
      <c r="NJG71"/>
      <c r="NJH71"/>
      <c r="NJI71"/>
      <c r="NJJ71"/>
      <c r="NJK71"/>
      <c r="NJL71"/>
      <c r="NJM71"/>
      <c r="NJN71"/>
      <c r="NJO71"/>
      <c r="NJP71"/>
      <c r="NJQ71"/>
      <c r="NJR71"/>
      <c r="NJS71"/>
      <c r="NJT71"/>
      <c r="NJU71"/>
      <c r="NJV71"/>
      <c r="NJW71"/>
      <c r="NJX71"/>
      <c r="NJY71"/>
      <c r="NJZ71"/>
      <c r="NKA71"/>
      <c r="NKB71"/>
      <c r="NKC71"/>
      <c r="NKD71"/>
      <c r="NKE71"/>
      <c r="NKF71"/>
      <c r="NKG71"/>
      <c r="NKH71"/>
      <c r="NKI71"/>
      <c r="NKJ71"/>
      <c r="NKK71"/>
      <c r="NKL71"/>
      <c r="NKM71"/>
      <c r="NKN71"/>
      <c r="NKO71"/>
      <c r="NKP71"/>
      <c r="NKQ71"/>
      <c r="NKR71"/>
      <c r="NKS71"/>
      <c r="NKT71"/>
      <c r="NKU71"/>
      <c r="NKV71"/>
      <c r="NKW71"/>
      <c r="NKX71"/>
      <c r="NKY71"/>
      <c r="NKZ71"/>
      <c r="NLA71"/>
      <c r="NLB71"/>
      <c r="NLC71"/>
      <c r="NLD71"/>
      <c r="NLE71"/>
      <c r="NLF71"/>
      <c r="NLG71"/>
      <c r="NLH71"/>
      <c r="NLI71"/>
      <c r="NLJ71"/>
      <c r="NLK71"/>
      <c r="NLL71"/>
      <c r="NLM71"/>
      <c r="NLN71"/>
      <c r="NLO71"/>
      <c r="NLP71"/>
      <c r="NLQ71"/>
      <c r="NLR71"/>
      <c r="NLS71"/>
      <c r="NLT71"/>
      <c r="NLU71"/>
      <c r="NLV71"/>
      <c r="NLW71"/>
      <c r="NLX71"/>
      <c r="NLY71"/>
      <c r="NLZ71"/>
      <c r="NMA71"/>
      <c r="NMB71"/>
      <c r="NMC71"/>
      <c r="NMD71"/>
      <c r="NME71"/>
      <c r="NMF71"/>
      <c r="NMG71"/>
      <c r="NMH71"/>
      <c r="NMI71"/>
      <c r="NMJ71"/>
      <c r="NMK71"/>
      <c r="NML71"/>
      <c r="NMM71"/>
      <c r="NMN71"/>
      <c r="NMO71"/>
      <c r="NMP71"/>
      <c r="NMQ71"/>
      <c r="NMR71"/>
      <c r="NMS71"/>
      <c r="NMT71"/>
      <c r="NMU71"/>
      <c r="NMV71"/>
      <c r="NMW71"/>
      <c r="NMX71"/>
      <c r="NMY71"/>
      <c r="NMZ71"/>
      <c r="NNA71"/>
      <c r="NNB71"/>
      <c r="NNC71"/>
      <c r="NND71"/>
      <c r="NNE71"/>
      <c r="NNF71"/>
      <c r="NNG71"/>
      <c r="NNH71"/>
      <c r="NNI71"/>
      <c r="NNJ71"/>
      <c r="NNK71"/>
      <c r="NNL71"/>
      <c r="NNM71"/>
      <c r="NNN71"/>
      <c r="NNO71"/>
      <c r="NNP71"/>
      <c r="NNQ71"/>
      <c r="NNR71"/>
      <c r="NNS71"/>
      <c r="NNT71"/>
      <c r="NNU71"/>
      <c r="NNV71"/>
      <c r="NNW71"/>
      <c r="NNX71"/>
      <c r="NNY71"/>
      <c r="NNZ71"/>
      <c r="NOA71"/>
      <c r="NOB71"/>
      <c r="NOC71"/>
      <c r="NOD71"/>
      <c r="NOE71"/>
      <c r="NOF71"/>
      <c r="NOG71"/>
      <c r="NOH71"/>
      <c r="NOI71"/>
      <c r="NOJ71"/>
      <c r="NOK71"/>
      <c r="NOL71"/>
      <c r="NOM71"/>
      <c r="NON71"/>
      <c r="NOO71"/>
      <c r="NOP71"/>
      <c r="NOQ71"/>
      <c r="NOR71"/>
      <c r="NOS71"/>
      <c r="NOT71"/>
      <c r="NOU71"/>
      <c r="NOV71"/>
      <c r="NOW71"/>
      <c r="NOX71"/>
      <c r="NOY71"/>
      <c r="NOZ71"/>
      <c r="NPA71"/>
      <c r="NPB71"/>
      <c r="NPC71"/>
      <c r="NPD71"/>
      <c r="NPE71"/>
      <c r="NPF71"/>
      <c r="NPG71"/>
      <c r="NPH71"/>
      <c r="NPI71"/>
      <c r="NPJ71"/>
      <c r="NPK71"/>
      <c r="NPL71"/>
      <c r="NPM71"/>
      <c r="NPN71"/>
      <c r="NPO71"/>
      <c r="NPP71"/>
      <c r="NPQ71"/>
      <c r="NPR71"/>
      <c r="NPS71"/>
      <c r="NPT71"/>
      <c r="NPU71"/>
      <c r="NPV71"/>
      <c r="NPW71"/>
      <c r="NPX71"/>
      <c r="NPY71"/>
      <c r="NPZ71"/>
      <c r="NQA71"/>
      <c r="NQB71"/>
      <c r="NQC71"/>
      <c r="NQD71"/>
      <c r="NQE71"/>
      <c r="NQF71"/>
      <c r="NQG71"/>
      <c r="NQH71"/>
      <c r="NQI71"/>
      <c r="NQJ71"/>
      <c r="NQK71"/>
      <c r="NQL71"/>
      <c r="NQM71"/>
      <c r="NQN71"/>
      <c r="NQO71"/>
      <c r="NQP71"/>
      <c r="NQQ71"/>
      <c r="NQR71"/>
      <c r="NQS71"/>
      <c r="NQT71"/>
      <c r="NQU71"/>
      <c r="NQV71"/>
      <c r="NQW71"/>
      <c r="NQX71"/>
      <c r="NQY71"/>
      <c r="NQZ71"/>
      <c r="NRA71"/>
      <c r="NRB71"/>
      <c r="NRC71"/>
      <c r="NRD71"/>
      <c r="NRE71"/>
      <c r="NRF71"/>
      <c r="NRG71"/>
      <c r="NRH71"/>
      <c r="NRI71"/>
      <c r="NRJ71"/>
      <c r="NRK71"/>
      <c r="NRL71"/>
      <c r="NRM71"/>
      <c r="NRN71"/>
      <c r="NRO71"/>
      <c r="NRP71"/>
      <c r="NRQ71"/>
      <c r="NRR71"/>
      <c r="NRS71"/>
      <c r="NRT71"/>
      <c r="NRU71"/>
      <c r="NRV71"/>
      <c r="NRW71"/>
      <c r="NRX71"/>
      <c r="NRY71"/>
      <c r="NRZ71"/>
      <c r="NSA71"/>
      <c r="NSB71"/>
      <c r="NSC71"/>
      <c r="NSD71"/>
      <c r="NSE71"/>
      <c r="NSF71"/>
      <c r="NSG71"/>
      <c r="NSH71"/>
      <c r="NSI71"/>
      <c r="NSJ71"/>
      <c r="NSK71"/>
      <c r="NSL71"/>
      <c r="NSM71"/>
      <c r="NSN71"/>
      <c r="NSO71"/>
      <c r="NSP71"/>
      <c r="NSQ71"/>
      <c r="NSR71"/>
      <c r="NSS71"/>
      <c r="NST71"/>
      <c r="NSU71"/>
      <c r="NSV71"/>
      <c r="NSW71"/>
      <c r="NSX71"/>
      <c r="NSY71"/>
      <c r="NSZ71"/>
      <c r="NTA71"/>
      <c r="NTB71"/>
      <c r="NTC71"/>
      <c r="NTD71"/>
      <c r="NTE71"/>
      <c r="NTF71"/>
      <c r="NTG71"/>
      <c r="NTH71"/>
      <c r="NTI71"/>
      <c r="NTJ71"/>
      <c r="NTK71"/>
      <c r="NTL71"/>
      <c r="NTM71"/>
      <c r="NTN71"/>
      <c r="NTO71"/>
      <c r="NTP71"/>
      <c r="NTQ71"/>
      <c r="NTR71"/>
      <c r="NTS71"/>
      <c r="NTT71"/>
      <c r="NTU71"/>
      <c r="NTV71"/>
      <c r="NTW71"/>
      <c r="NTX71"/>
      <c r="NTY71"/>
      <c r="NTZ71"/>
      <c r="NUA71"/>
      <c r="NUB71"/>
      <c r="NUC71"/>
      <c r="NUD71"/>
      <c r="NUE71"/>
      <c r="NUF71"/>
      <c r="NUG71"/>
      <c r="NUH71"/>
      <c r="NUI71"/>
      <c r="NUJ71"/>
      <c r="NUK71"/>
      <c r="NUL71"/>
      <c r="NUM71"/>
      <c r="NUN71"/>
      <c r="NUO71"/>
      <c r="NUP71"/>
      <c r="NUQ71"/>
      <c r="NUR71"/>
      <c r="NUS71"/>
      <c r="NUT71"/>
      <c r="NUU71"/>
      <c r="NUV71"/>
      <c r="NUW71"/>
      <c r="NUX71"/>
      <c r="NUY71"/>
      <c r="NUZ71"/>
      <c r="NVA71"/>
      <c r="NVB71"/>
      <c r="NVC71"/>
      <c r="NVD71"/>
      <c r="NVE71"/>
      <c r="NVF71"/>
      <c r="NVG71"/>
      <c r="NVH71"/>
      <c r="NVI71"/>
      <c r="NVJ71"/>
      <c r="NVK71"/>
      <c r="NVL71"/>
      <c r="NVM71"/>
      <c r="NVN71"/>
      <c r="NVO71"/>
      <c r="NVP71"/>
      <c r="NVQ71"/>
      <c r="NVR71"/>
      <c r="NVS71"/>
      <c r="NVT71"/>
      <c r="NVU71"/>
      <c r="NVV71"/>
      <c r="NVW71"/>
      <c r="NVX71"/>
      <c r="NVY71"/>
      <c r="NVZ71"/>
      <c r="NWA71"/>
      <c r="NWB71"/>
      <c r="NWC71"/>
      <c r="NWD71"/>
      <c r="NWE71"/>
      <c r="NWF71"/>
      <c r="NWG71"/>
      <c r="NWH71"/>
      <c r="NWI71"/>
      <c r="NWJ71"/>
      <c r="NWK71"/>
      <c r="NWL71"/>
      <c r="NWM71"/>
      <c r="NWN71"/>
      <c r="NWO71"/>
      <c r="NWP71"/>
      <c r="NWQ71"/>
      <c r="NWR71"/>
      <c r="NWS71"/>
      <c r="NWT71"/>
      <c r="NWU71"/>
      <c r="NWV71"/>
      <c r="NWW71"/>
      <c r="NWX71"/>
      <c r="NWY71"/>
      <c r="NWZ71"/>
      <c r="NXA71"/>
      <c r="NXB71"/>
      <c r="NXC71"/>
      <c r="NXD71"/>
      <c r="NXE71"/>
      <c r="NXF71"/>
      <c r="NXG71"/>
      <c r="NXH71"/>
      <c r="NXI71"/>
      <c r="NXJ71"/>
      <c r="NXK71"/>
      <c r="NXL71"/>
      <c r="NXM71"/>
      <c r="NXN71"/>
      <c r="NXO71"/>
      <c r="NXP71"/>
      <c r="NXQ71"/>
      <c r="NXR71"/>
      <c r="NXS71"/>
      <c r="NXT71"/>
      <c r="NXU71"/>
      <c r="NXV71"/>
      <c r="NXW71"/>
      <c r="NXX71"/>
      <c r="NXY71"/>
      <c r="NXZ71"/>
      <c r="NYA71"/>
      <c r="NYB71"/>
      <c r="NYC71"/>
      <c r="NYD71"/>
      <c r="NYE71"/>
      <c r="NYF71"/>
      <c r="NYG71"/>
      <c r="NYH71"/>
      <c r="NYI71"/>
      <c r="NYJ71"/>
      <c r="NYK71"/>
      <c r="NYL71"/>
      <c r="NYM71"/>
      <c r="NYN71"/>
      <c r="NYO71"/>
      <c r="NYP71"/>
      <c r="NYQ71"/>
      <c r="NYR71"/>
      <c r="NYS71"/>
      <c r="NYT71"/>
      <c r="NYU71"/>
      <c r="NYV71"/>
      <c r="NYW71"/>
      <c r="NYX71"/>
      <c r="NYY71"/>
      <c r="NYZ71"/>
      <c r="NZA71"/>
      <c r="NZB71"/>
      <c r="NZC71"/>
      <c r="NZD71"/>
      <c r="NZE71"/>
      <c r="NZF71"/>
      <c r="NZG71"/>
      <c r="NZH71"/>
      <c r="NZI71"/>
      <c r="NZJ71"/>
      <c r="NZK71"/>
      <c r="NZL71"/>
      <c r="NZM71"/>
      <c r="NZN71"/>
      <c r="NZO71"/>
      <c r="NZP71"/>
      <c r="NZQ71"/>
      <c r="NZR71"/>
      <c r="NZS71"/>
      <c r="NZT71"/>
      <c r="NZU71"/>
      <c r="NZV71"/>
      <c r="NZW71"/>
      <c r="NZX71"/>
      <c r="NZY71"/>
      <c r="NZZ71"/>
      <c r="OAA71"/>
      <c r="OAB71"/>
      <c r="OAC71"/>
      <c r="OAD71"/>
      <c r="OAE71"/>
      <c r="OAF71"/>
      <c r="OAG71"/>
      <c r="OAH71"/>
      <c r="OAI71"/>
      <c r="OAJ71"/>
      <c r="OAK71"/>
      <c r="OAL71"/>
      <c r="OAM71"/>
      <c r="OAN71"/>
      <c r="OAO71"/>
      <c r="OAP71"/>
      <c r="OAQ71"/>
      <c r="OAR71"/>
      <c r="OAS71"/>
      <c r="OAT71"/>
      <c r="OAU71"/>
      <c r="OAV71"/>
      <c r="OAW71"/>
      <c r="OAX71"/>
      <c r="OAY71"/>
      <c r="OAZ71"/>
      <c r="OBA71"/>
      <c r="OBB71"/>
      <c r="OBC71"/>
      <c r="OBD71"/>
      <c r="OBE71"/>
      <c r="OBF71"/>
      <c r="OBG71"/>
      <c r="OBH71"/>
      <c r="OBI71"/>
      <c r="OBJ71"/>
      <c r="OBK71"/>
      <c r="OBL71"/>
      <c r="OBM71"/>
      <c r="OBN71"/>
      <c r="OBO71"/>
      <c r="OBP71"/>
      <c r="OBQ71"/>
      <c r="OBR71"/>
      <c r="OBS71"/>
      <c r="OBT71"/>
      <c r="OBU71"/>
      <c r="OBV71"/>
      <c r="OBW71"/>
      <c r="OBX71"/>
      <c r="OBY71"/>
      <c r="OBZ71"/>
      <c r="OCA71"/>
      <c r="OCB71"/>
      <c r="OCC71"/>
      <c r="OCD71"/>
      <c r="OCE71"/>
      <c r="OCF71"/>
      <c r="OCG71"/>
      <c r="OCH71"/>
      <c r="OCI71"/>
      <c r="OCJ71"/>
      <c r="OCK71"/>
      <c r="OCL71"/>
      <c r="OCM71"/>
      <c r="OCN71"/>
      <c r="OCO71"/>
      <c r="OCP71"/>
      <c r="OCQ71"/>
      <c r="OCR71"/>
      <c r="OCS71"/>
      <c r="OCT71"/>
      <c r="OCU71"/>
      <c r="OCV71"/>
      <c r="OCW71"/>
      <c r="OCX71"/>
      <c r="OCY71"/>
      <c r="OCZ71"/>
      <c r="ODA71"/>
      <c r="ODB71"/>
      <c r="ODC71"/>
      <c r="ODD71"/>
      <c r="ODE71"/>
      <c r="ODF71"/>
      <c r="ODG71"/>
      <c r="ODH71"/>
      <c r="ODI71"/>
      <c r="ODJ71"/>
      <c r="ODK71"/>
      <c r="ODL71"/>
      <c r="ODM71"/>
      <c r="ODN71"/>
      <c r="ODO71"/>
      <c r="ODP71"/>
      <c r="ODQ71"/>
      <c r="ODR71"/>
      <c r="ODS71"/>
      <c r="ODT71"/>
      <c r="ODU71"/>
      <c r="ODV71"/>
      <c r="ODW71"/>
      <c r="ODX71"/>
      <c r="ODY71"/>
      <c r="ODZ71"/>
      <c r="OEA71"/>
      <c r="OEB71"/>
      <c r="OEC71"/>
      <c r="OED71"/>
      <c r="OEE71"/>
      <c r="OEF71"/>
      <c r="OEG71"/>
      <c r="OEH71"/>
      <c r="OEI71"/>
      <c r="OEJ71"/>
      <c r="OEK71"/>
      <c r="OEL71"/>
      <c r="OEM71"/>
      <c r="OEN71"/>
      <c r="OEO71"/>
      <c r="OEP71"/>
      <c r="OEQ71"/>
      <c r="OER71"/>
      <c r="OES71"/>
      <c r="OET71"/>
      <c r="OEU71"/>
      <c r="OEV71"/>
      <c r="OEW71"/>
      <c r="OEX71"/>
      <c r="OEY71"/>
      <c r="OEZ71"/>
      <c r="OFA71"/>
      <c r="OFB71"/>
      <c r="OFC71"/>
      <c r="OFD71"/>
      <c r="OFE71"/>
      <c r="OFF71"/>
      <c r="OFG71"/>
      <c r="OFH71"/>
      <c r="OFI71"/>
      <c r="OFJ71"/>
      <c r="OFK71"/>
      <c r="OFL71"/>
      <c r="OFM71"/>
      <c r="OFN71"/>
      <c r="OFO71"/>
      <c r="OFP71"/>
      <c r="OFQ71"/>
      <c r="OFR71"/>
      <c r="OFS71"/>
      <c r="OFT71"/>
      <c r="OFU71"/>
      <c r="OFV71"/>
      <c r="OFW71"/>
      <c r="OFX71"/>
      <c r="OFY71"/>
      <c r="OFZ71"/>
      <c r="OGA71"/>
      <c r="OGB71"/>
      <c r="OGC71"/>
      <c r="OGD71"/>
      <c r="OGE71"/>
      <c r="OGF71"/>
      <c r="OGG71"/>
      <c r="OGH71"/>
      <c r="OGI71"/>
      <c r="OGJ71"/>
      <c r="OGK71"/>
      <c r="OGL71"/>
      <c r="OGM71"/>
      <c r="OGN71"/>
      <c r="OGO71"/>
      <c r="OGP71"/>
      <c r="OGQ71"/>
      <c r="OGR71"/>
      <c r="OGS71"/>
      <c r="OGT71"/>
      <c r="OGU71"/>
      <c r="OGV71"/>
      <c r="OGW71"/>
      <c r="OGX71"/>
      <c r="OGY71"/>
      <c r="OGZ71"/>
      <c r="OHA71"/>
      <c r="OHB71"/>
      <c r="OHC71"/>
      <c r="OHD71"/>
      <c r="OHE71"/>
      <c r="OHF71"/>
      <c r="OHG71"/>
      <c r="OHH71"/>
      <c r="OHI71"/>
      <c r="OHJ71"/>
      <c r="OHK71"/>
      <c r="OHL71"/>
      <c r="OHM71"/>
      <c r="OHN71"/>
      <c r="OHO71"/>
      <c r="OHP71"/>
      <c r="OHQ71"/>
      <c r="OHR71"/>
      <c r="OHS71"/>
      <c r="OHT71"/>
      <c r="OHU71"/>
      <c r="OHV71"/>
      <c r="OHW71"/>
      <c r="OHX71"/>
      <c r="OHY71"/>
      <c r="OHZ71"/>
      <c r="OIA71"/>
      <c r="OIB71"/>
      <c r="OIC71"/>
      <c r="OID71"/>
      <c r="OIE71"/>
      <c r="OIF71"/>
      <c r="OIG71"/>
      <c r="OIH71"/>
      <c r="OII71"/>
      <c r="OIJ71"/>
      <c r="OIK71"/>
      <c r="OIL71"/>
      <c r="OIM71"/>
      <c r="OIN71"/>
      <c r="OIO71"/>
      <c r="OIP71"/>
      <c r="OIQ71"/>
      <c r="OIR71"/>
      <c r="OIS71"/>
      <c r="OIT71"/>
      <c r="OIU71"/>
      <c r="OIV71"/>
      <c r="OIW71"/>
      <c r="OIX71"/>
      <c r="OIY71"/>
      <c r="OIZ71"/>
      <c r="OJA71"/>
      <c r="OJB71"/>
      <c r="OJC71"/>
      <c r="OJD71"/>
      <c r="OJE71"/>
      <c r="OJF71"/>
      <c r="OJG71"/>
      <c r="OJH71"/>
      <c r="OJI71"/>
      <c r="OJJ71"/>
      <c r="OJK71"/>
      <c r="OJL71"/>
      <c r="OJM71"/>
      <c r="OJN71"/>
      <c r="OJO71"/>
      <c r="OJP71"/>
      <c r="OJQ71"/>
      <c r="OJR71"/>
      <c r="OJS71"/>
      <c r="OJT71"/>
      <c r="OJU71"/>
      <c r="OJV71"/>
      <c r="OJW71"/>
      <c r="OJX71"/>
      <c r="OJY71"/>
      <c r="OJZ71"/>
      <c r="OKA71"/>
      <c r="OKB71"/>
      <c r="OKC71"/>
      <c r="OKD71"/>
      <c r="OKE71"/>
      <c r="OKF71"/>
      <c r="OKG71"/>
      <c r="OKH71"/>
      <c r="OKI71"/>
      <c r="OKJ71"/>
      <c r="OKK71"/>
      <c r="OKL71"/>
      <c r="OKM71"/>
      <c r="OKN71"/>
      <c r="OKO71"/>
      <c r="OKP71"/>
      <c r="OKQ71"/>
      <c r="OKR71"/>
      <c r="OKS71"/>
      <c r="OKT71"/>
      <c r="OKU71"/>
      <c r="OKV71"/>
      <c r="OKW71"/>
      <c r="OKX71"/>
      <c r="OKY71"/>
      <c r="OKZ71"/>
      <c r="OLA71"/>
      <c r="OLB71"/>
      <c r="OLC71"/>
      <c r="OLD71"/>
      <c r="OLE71"/>
      <c r="OLF71"/>
      <c r="OLG71"/>
      <c r="OLH71"/>
      <c r="OLI71"/>
      <c r="OLJ71"/>
      <c r="OLK71"/>
      <c r="OLL71"/>
      <c r="OLM71"/>
      <c r="OLN71"/>
      <c r="OLO71"/>
      <c r="OLP71"/>
      <c r="OLQ71"/>
      <c r="OLR71"/>
      <c r="OLS71"/>
      <c r="OLT71"/>
      <c r="OLU71"/>
      <c r="OLV71"/>
      <c r="OLW71"/>
      <c r="OLX71"/>
      <c r="OLY71"/>
      <c r="OLZ71"/>
      <c r="OMA71"/>
      <c r="OMB71"/>
      <c r="OMC71"/>
      <c r="OMD71"/>
      <c r="OME71"/>
      <c r="OMF71"/>
      <c r="OMG71"/>
      <c r="OMH71"/>
      <c r="OMI71"/>
      <c r="OMJ71"/>
      <c r="OMK71"/>
      <c r="OML71"/>
      <c r="OMM71"/>
      <c r="OMN71"/>
      <c r="OMO71"/>
      <c r="OMP71"/>
      <c r="OMQ71"/>
      <c r="OMR71"/>
      <c r="OMS71"/>
      <c r="OMT71"/>
      <c r="OMU71"/>
      <c r="OMV71"/>
      <c r="OMW71"/>
      <c r="OMX71"/>
      <c r="OMY71"/>
      <c r="OMZ71"/>
      <c r="ONA71"/>
      <c r="ONB71"/>
      <c r="ONC71"/>
      <c r="OND71"/>
      <c r="ONE71"/>
      <c r="ONF71"/>
      <c r="ONG71"/>
      <c r="ONH71"/>
      <c r="ONI71"/>
      <c r="ONJ71"/>
      <c r="ONK71"/>
      <c r="ONL71"/>
      <c r="ONM71"/>
      <c r="ONN71"/>
      <c r="ONO71"/>
      <c r="ONP71"/>
      <c r="ONQ71"/>
      <c r="ONR71"/>
      <c r="ONS71"/>
      <c r="ONT71"/>
      <c r="ONU71"/>
      <c r="ONV71"/>
      <c r="ONW71"/>
      <c r="ONX71"/>
      <c r="ONY71"/>
      <c r="ONZ71"/>
      <c r="OOA71"/>
      <c r="OOB71"/>
      <c r="OOC71"/>
      <c r="OOD71"/>
      <c r="OOE71"/>
      <c r="OOF71"/>
      <c r="OOG71"/>
      <c r="OOH71"/>
      <c r="OOI71"/>
      <c r="OOJ71"/>
      <c r="OOK71"/>
      <c r="OOL71"/>
      <c r="OOM71"/>
      <c r="OON71"/>
      <c r="OOO71"/>
      <c r="OOP71"/>
      <c r="OOQ71"/>
      <c r="OOR71"/>
      <c r="OOS71"/>
      <c r="OOT71"/>
      <c r="OOU71"/>
      <c r="OOV71"/>
      <c r="OOW71"/>
      <c r="OOX71"/>
      <c r="OOY71"/>
      <c r="OOZ71"/>
      <c r="OPA71"/>
      <c r="OPB71"/>
      <c r="OPC71"/>
      <c r="OPD71"/>
      <c r="OPE71"/>
      <c r="OPF71"/>
      <c r="OPG71"/>
      <c r="OPH71"/>
      <c r="OPI71"/>
      <c r="OPJ71"/>
      <c r="OPK71"/>
      <c r="OPL71"/>
      <c r="OPM71"/>
      <c r="OPN71"/>
      <c r="OPO71"/>
      <c r="OPP71"/>
      <c r="OPQ71"/>
      <c r="OPR71"/>
      <c r="OPS71"/>
      <c r="OPT71"/>
      <c r="OPU71"/>
      <c r="OPV71"/>
      <c r="OPW71"/>
      <c r="OPX71"/>
      <c r="OPY71"/>
      <c r="OPZ71"/>
      <c r="OQA71"/>
      <c r="OQB71"/>
      <c r="OQC71"/>
      <c r="OQD71"/>
      <c r="OQE71"/>
      <c r="OQF71"/>
      <c r="OQG71"/>
      <c r="OQH71"/>
      <c r="OQI71"/>
      <c r="OQJ71"/>
      <c r="OQK71"/>
      <c r="OQL71"/>
      <c r="OQM71"/>
      <c r="OQN71"/>
      <c r="OQO71"/>
      <c r="OQP71"/>
      <c r="OQQ71"/>
      <c r="OQR71"/>
      <c r="OQS71"/>
      <c r="OQT71"/>
      <c r="OQU71"/>
      <c r="OQV71"/>
      <c r="OQW71"/>
      <c r="OQX71"/>
      <c r="OQY71"/>
      <c r="OQZ71"/>
      <c r="ORA71"/>
      <c r="ORB71"/>
      <c r="ORC71"/>
      <c r="ORD71"/>
      <c r="ORE71"/>
      <c r="ORF71"/>
      <c r="ORG71"/>
      <c r="ORH71"/>
      <c r="ORI71"/>
      <c r="ORJ71"/>
      <c r="ORK71"/>
      <c r="ORL71"/>
      <c r="ORM71"/>
      <c r="ORN71"/>
      <c r="ORO71"/>
      <c r="ORP71"/>
      <c r="ORQ71"/>
      <c r="ORR71"/>
      <c r="ORS71"/>
      <c r="ORT71"/>
      <c r="ORU71"/>
      <c r="ORV71"/>
      <c r="ORW71"/>
      <c r="ORX71"/>
      <c r="ORY71"/>
      <c r="ORZ71"/>
      <c r="OSA71"/>
      <c r="OSB71"/>
      <c r="OSC71"/>
      <c r="OSD71"/>
      <c r="OSE71"/>
      <c r="OSF71"/>
      <c r="OSG71"/>
      <c r="OSH71"/>
      <c r="OSI71"/>
      <c r="OSJ71"/>
      <c r="OSK71"/>
      <c r="OSL71"/>
      <c r="OSM71"/>
      <c r="OSN71"/>
      <c r="OSO71"/>
      <c r="OSP71"/>
      <c r="OSQ71"/>
      <c r="OSR71"/>
      <c r="OSS71"/>
      <c r="OST71"/>
      <c r="OSU71"/>
      <c r="OSV71"/>
      <c r="OSW71"/>
      <c r="OSX71"/>
      <c r="OSY71"/>
      <c r="OSZ71"/>
      <c r="OTA71"/>
      <c r="OTB71"/>
      <c r="OTC71"/>
      <c r="OTD71"/>
      <c r="OTE71"/>
      <c r="OTF71"/>
      <c r="OTG71"/>
      <c r="OTH71"/>
      <c r="OTI71"/>
      <c r="OTJ71"/>
      <c r="OTK71"/>
      <c r="OTL71"/>
      <c r="OTM71"/>
      <c r="OTN71"/>
      <c r="OTO71"/>
      <c r="OTP71"/>
      <c r="OTQ71"/>
      <c r="OTR71"/>
      <c r="OTS71"/>
      <c r="OTT71"/>
      <c r="OTU71"/>
      <c r="OTV71"/>
      <c r="OTW71"/>
      <c r="OTX71"/>
      <c r="OTY71"/>
      <c r="OTZ71"/>
      <c r="OUA71"/>
      <c r="OUB71"/>
      <c r="OUC71"/>
      <c r="OUD71"/>
      <c r="OUE71"/>
      <c r="OUF71"/>
      <c r="OUG71"/>
      <c r="OUH71"/>
      <c r="OUI71"/>
      <c r="OUJ71"/>
      <c r="OUK71"/>
      <c r="OUL71"/>
      <c r="OUM71"/>
      <c r="OUN71"/>
      <c r="OUO71"/>
      <c r="OUP71"/>
      <c r="OUQ71"/>
      <c r="OUR71"/>
      <c r="OUS71"/>
      <c r="OUT71"/>
      <c r="OUU71"/>
      <c r="OUV71"/>
      <c r="OUW71"/>
      <c r="OUX71"/>
      <c r="OUY71"/>
      <c r="OUZ71"/>
      <c r="OVA71"/>
      <c r="OVB71"/>
      <c r="OVC71"/>
      <c r="OVD71"/>
      <c r="OVE71"/>
      <c r="OVF71"/>
      <c r="OVG71"/>
      <c r="OVH71"/>
      <c r="OVI71"/>
      <c r="OVJ71"/>
      <c r="OVK71"/>
      <c r="OVL71"/>
      <c r="OVM71"/>
      <c r="OVN71"/>
      <c r="OVO71"/>
      <c r="OVP71"/>
      <c r="OVQ71"/>
      <c r="OVR71"/>
      <c r="OVS71"/>
      <c r="OVT71"/>
      <c r="OVU71"/>
      <c r="OVV71"/>
      <c r="OVW71"/>
      <c r="OVX71"/>
      <c r="OVY71"/>
      <c r="OVZ71"/>
      <c r="OWA71"/>
      <c r="OWB71"/>
      <c r="OWC71"/>
      <c r="OWD71"/>
      <c r="OWE71"/>
      <c r="OWF71"/>
      <c r="OWG71"/>
      <c r="OWH71"/>
      <c r="OWI71"/>
      <c r="OWJ71"/>
      <c r="OWK71"/>
      <c r="OWL71"/>
      <c r="OWM71"/>
      <c r="OWN71"/>
      <c r="OWO71"/>
      <c r="OWP71"/>
      <c r="OWQ71"/>
      <c r="OWR71"/>
      <c r="OWS71"/>
      <c r="OWT71"/>
      <c r="OWU71"/>
      <c r="OWV71"/>
      <c r="OWW71"/>
      <c r="OWX71"/>
      <c r="OWY71"/>
      <c r="OWZ71"/>
      <c r="OXA71"/>
      <c r="OXB71"/>
      <c r="OXC71"/>
      <c r="OXD71"/>
      <c r="OXE71"/>
      <c r="OXF71"/>
      <c r="OXG71"/>
      <c r="OXH71"/>
      <c r="OXI71"/>
      <c r="OXJ71"/>
      <c r="OXK71"/>
      <c r="OXL71"/>
      <c r="OXM71"/>
      <c r="OXN71"/>
      <c r="OXO71"/>
      <c r="OXP71"/>
      <c r="OXQ71"/>
      <c r="OXR71"/>
      <c r="OXS71"/>
      <c r="OXT71"/>
      <c r="OXU71"/>
      <c r="OXV71"/>
      <c r="OXW71"/>
      <c r="OXX71"/>
      <c r="OXY71"/>
      <c r="OXZ71"/>
      <c r="OYA71"/>
      <c r="OYB71"/>
      <c r="OYC71"/>
      <c r="OYD71"/>
      <c r="OYE71"/>
      <c r="OYF71"/>
      <c r="OYG71"/>
      <c r="OYH71"/>
      <c r="OYI71"/>
      <c r="OYJ71"/>
      <c r="OYK71"/>
      <c r="OYL71"/>
      <c r="OYM71"/>
      <c r="OYN71"/>
      <c r="OYO71"/>
      <c r="OYP71"/>
      <c r="OYQ71"/>
      <c r="OYR71"/>
      <c r="OYS71"/>
      <c r="OYT71"/>
      <c r="OYU71"/>
      <c r="OYV71"/>
      <c r="OYW71"/>
      <c r="OYX71"/>
      <c r="OYY71"/>
      <c r="OYZ71"/>
      <c r="OZA71"/>
      <c r="OZB71"/>
      <c r="OZC71"/>
      <c r="OZD71"/>
      <c r="OZE71"/>
      <c r="OZF71"/>
      <c r="OZG71"/>
      <c r="OZH71"/>
      <c r="OZI71"/>
      <c r="OZJ71"/>
      <c r="OZK71"/>
      <c r="OZL71"/>
      <c r="OZM71"/>
      <c r="OZN71"/>
      <c r="OZO71"/>
      <c r="OZP71"/>
      <c r="OZQ71"/>
      <c r="OZR71"/>
      <c r="OZS71"/>
      <c r="OZT71"/>
      <c r="OZU71"/>
      <c r="OZV71"/>
      <c r="OZW71"/>
      <c r="OZX71"/>
      <c r="OZY71"/>
      <c r="OZZ71"/>
      <c r="PAA71"/>
      <c r="PAB71"/>
      <c r="PAC71"/>
      <c r="PAD71"/>
      <c r="PAE71"/>
      <c r="PAF71"/>
      <c r="PAG71"/>
      <c r="PAH71"/>
      <c r="PAI71"/>
      <c r="PAJ71"/>
      <c r="PAK71"/>
      <c r="PAL71"/>
      <c r="PAM71"/>
      <c r="PAN71"/>
      <c r="PAO71"/>
      <c r="PAP71"/>
      <c r="PAQ71"/>
      <c r="PAR71"/>
      <c r="PAS71"/>
      <c r="PAT71"/>
      <c r="PAU71"/>
      <c r="PAV71"/>
      <c r="PAW71"/>
      <c r="PAX71"/>
      <c r="PAY71"/>
      <c r="PAZ71"/>
      <c r="PBA71"/>
      <c r="PBB71"/>
      <c r="PBC71"/>
      <c r="PBD71"/>
      <c r="PBE71"/>
      <c r="PBF71"/>
      <c r="PBG71"/>
      <c r="PBH71"/>
      <c r="PBI71"/>
      <c r="PBJ71"/>
      <c r="PBK71"/>
      <c r="PBL71"/>
      <c r="PBM71"/>
      <c r="PBN71"/>
      <c r="PBO71"/>
      <c r="PBP71"/>
      <c r="PBQ71"/>
      <c r="PBR71"/>
      <c r="PBS71"/>
      <c r="PBT71"/>
      <c r="PBU71"/>
      <c r="PBV71"/>
      <c r="PBW71"/>
      <c r="PBX71"/>
      <c r="PBY71"/>
      <c r="PBZ71"/>
      <c r="PCA71"/>
      <c r="PCB71"/>
      <c r="PCC71"/>
      <c r="PCD71"/>
      <c r="PCE71"/>
      <c r="PCF71"/>
      <c r="PCG71"/>
      <c r="PCH71"/>
      <c r="PCI71"/>
      <c r="PCJ71"/>
      <c r="PCK71"/>
      <c r="PCL71"/>
      <c r="PCM71"/>
      <c r="PCN71"/>
      <c r="PCO71"/>
      <c r="PCP71"/>
      <c r="PCQ71"/>
      <c r="PCR71"/>
      <c r="PCS71"/>
      <c r="PCT71"/>
      <c r="PCU71"/>
      <c r="PCV71"/>
      <c r="PCW71"/>
      <c r="PCX71"/>
      <c r="PCY71"/>
      <c r="PCZ71"/>
      <c r="PDA71"/>
      <c r="PDB71"/>
      <c r="PDC71"/>
      <c r="PDD71"/>
      <c r="PDE71"/>
      <c r="PDF71"/>
      <c r="PDG71"/>
      <c r="PDH71"/>
      <c r="PDI71"/>
      <c r="PDJ71"/>
      <c r="PDK71"/>
      <c r="PDL71"/>
      <c r="PDM71"/>
      <c r="PDN71"/>
      <c r="PDO71"/>
      <c r="PDP71"/>
      <c r="PDQ71"/>
      <c r="PDR71"/>
      <c r="PDS71"/>
      <c r="PDT71"/>
      <c r="PDU71"/>
      <c r="PDV71"/>
      <c r="PDW71"/>
      <c r="PDX71"/>
      <c r="PDY71"/>
      <c r="PDZ71"/>
      <c r="PEA71"/>
      <c r="PEB71"/>
      <c r="PEC71"/>
      <c r="PED71"/>
      <c r="PEE71"/>
      <c r="PEF71"/>
      <c r="PEG71"/>
      <c r="PEH71"/>
      <c r="PEI71"/>
      <c r="PEJ71"/>
      <c r="PEK71"/>
      <c r="PEL71"/>
      <c r="PEM71"/>
      <c r="PEN71"/>
      <c r="PEO71"/>
      <c r="PEP71"/>
      <c r="PEQ71"/>
      <c r="PER71"/>
      <c r="PES71"/>
      <c r="PET71"/>
      <c r="PEU71"/>
      <c r="PEV71"/>
      <c r="PEW71"/>
      <c r="PEX71"/>
      <c r="PEY71"/>
      <c r="PEZ71"/>
      <c r="PFA71"/>
      <c r="PFB71"/>
      <c r="PFC71"/>
      <c r="PFD71"/>
      <c r="PFE71"/>
      <c r="PFF71"/>
      <c r="PFG71"/>
      <c r="PFH71"/>
      <c r="PFI71"/>
      <c r="PFJ71"/>
      <c r="PFK71"/>
      <c r="PFL71"/>
      <c r="PFM71"/>
      <c r="PFN71"/>
      <c r="PFO71"/>
      <c r="PFP71"/>
      <c r="PFQ71"/>
      <c r="PFR71"/>
      <c r="PFS71"/>
      <c r="PFT71"/>
      <c r="PFU71"/>
      <c r="PFV71"/>
      <c r="PFW71"/>
      <c r="PFX71"/>
      <c r="PFY71"/>
      <c r="PFZ71"/>
      <c r="PGA71"/>
      <c r="PGB71"/>
      <c r="PGC71"/>
      <c r="PGD71"/>
      <c r="PGE71"/>
      <c r="PGF71"/>
      <c r="PGG71"/>
      <c r="PGH71"/>
      <c r="PGI71"/>
      <c r="PGJ71"/>
      <c r="PGK71"/>
      <c r="PGL71"/>
      <c r="PGM71"/>
      <c r="PGN71"/>
      <c r="PGO71"/>
      <c r="PGP71"/>
      <c r="PGQ71"/>
      <c r="PGR71"/>
      <c r="PGS71"/>
      <c r="PGT71"/>
      <c r="PGU71"/>
      <c r="PGV71"/>
      <c r="PGW71"/>
      <c r="PGX71"/>
      <c r="PGY71"/>
      <c r="PGZ71"/>
      <c r="PHA71"/>
      <c r="PHB71"/>
      <c r="PHC71"/>
      <c r="PHD71"/>
      <c r="PHE71"/>
      <c r="PHF71"/>
      <c r="PHG71"/>
      <c r="PHH71"/>
      <c r="PHI71"/>
      <c r="PHJ71"/>
      <c r="PHK71"/>
      <c r="PHL71"/>
      <c r="PHM71"/>
      <c r="PHN71"/>
      <c r="PHO71"/>
      <c r="PHP71"/>
      <c r="PHQ71"/>
      <c r="PHR71"/>
      <c r="PHS71"/>
      <c r="PHT71"/>
      <c r="PHU71"/>
      <c r="PHV71"/>
      <c r="PHW71"/>
      <c r="PHX71"/>
      <c r="PHY71"/>
      <c r="PHZ71"/>
      <c r="PIA71"/>
      <c r="PIB71"/>
      <c r="PIC71"/>
      <c r="PID71"/>
      <c r="PIE71"/>
      <c r="PIF71"/>
      <c r="PIG71"/>
      <c r="PIH71"/>
      <c r="PII71"/>
      <c r="PIJ71"/>
      <c r="PIK71"/>
      <c r="PIL71"/>
      <c r="PIM71"/>
      <c r="PIN71"/>
      <c r="PIO71"/>
      <c r="PIP71"/>
      <c r="PIQ71"/>
      <c r="PIR71"/>
      <c r="PIS71"/>
      <c r="PIT71"/>
      <c r="PIU71"/>
      <c r="PIV71"/>
      <c r="PIW71"/>
      <c r="PIX71"/>
      <c r="PIY71"/>
      <c r="PIZ71"/>
      <c r="PJA71"/>
      <c r="PJB71"/>
      <c r="PJC71"/>
      <c r="PJD71"/>
      <c r="PJE71"/>
      <c r="PJF71"/>
      <c r="PJG71"/>
      <c r="PJH71"/>
      <c r="PJI71"/>
      <c r="PJJ71"/>
      <c r="PJK71"/>
      <c r="PJL71"/>
      <c r="PJM71"/>
      <c r="PJN71"/>
      <c r="PJO71"/>
      <c r="PJP71"/>
      <c r="PJQ71"/>
      <c r="PJR71"/>
      <c r="PJS71"/>
      <c r="PJT71"/>
      <c r="PJU71"/>
      <c r="PJV71"/>
      <c r="PJW71"/>
      <c r="PJX71"/>
      <c r="PJY71"/>
      <c r="PJZ71"/>
      <c r="PKA71"/>
      <c r="PKB71"/>
      <c r="PKC71"/>
      <c r="PKD71"/>
      <c r="PKE71"/>
      <c r="PKF71"/>
      <c r="PKG71"/>
      <c r="PKH71"/>
      <c r="PKI71"/>
      <c r="PKJ71"/>
      <c r="PKK71"/>
      <c r="PKL71"/>
      <c r="PKM71"/>
      <c r="PKN71"/>
      <c r="PKO71"/>
      <c r="PKP71"/>
      <c r="PKQ71"/>
      <c r="PKR71"/>
      <c r="PKS71"/>
      <c r="PKT71"/>
      <c r="PKU71"/>
      <c r="PKV71"/>
      <c r="PKW71"/>
      <c r="PKX71"/>
      <c r="PKY71"/>
      <c r="PKZ71"/>
      <c r="PLA71"/>
      <c r="PLB71"/>
      <c r="PLC71"/>
      <c r="PLD71"/>
      <c r="PLE71"/>
      <c r="PLF71"/>
      <c r="PLG71"/>
      <c r="PLH71"/>
      <c r="PLI71"/>
      <c r="PLJ71"/>
      <c r="PLK71"/>
      <c r="PLL71"/>
      <c r="PLM71"/>
      <c r="PLN71"/>
      <c r="PLO71"/>
      <c r="PLP71"/>
      <c r="PLQ71"/>
      <c r="PLR71"/>
      <c r="PLS71"/>
      <c r="PLT71"/>
      <c r="PLU71"/>
      <c r="PLV71"/>
      <c r="PLW71"/>
      <c r="PLX71"/>
      <c r="PLY71"/>
      <c r="PLZ71"/>
      <c r="PMA71"/>
      <c r="PMB71"/>
      <c r="PMC71"/>
      <c r="PMD71"/>
      <c r="PME71"/>
      <c r="PMF71"/>
      <c r="PMG71"/>
      <c r="PMH71"/>
      <c r="PMI71"/>
      <c r="PMJ71"/>
      <c r="PMK71"/>
      <c r="PML71"/>
      <c r="PMM71"/>
      <c r="PMN71"/>
      <c r="PMO71"/>
      <c r="PMP71"/>
      <c r="PMQ71"/>
      <c r="PMR71"/>
      <c r="PMS71"/>
      <c r="PMT71"/>
      <c r="PMU71"/>
      <c r="PMV71"/>
      <c r="PMW71"/>
      <c r="PMX71"/>
      <c r="PMY71"/>
      <c r="PMZ71"/>
      <c r="PNA71"/>
      <c r="PNB71"/>
      <c r="PNC71"/>
      <c r="PND71"/>
      <c r="PNE71"/>
      <c r="PNF71"/>
      <c r="PNG71"/>
      <c r="PNH71"/>
      <c r="PNI71"/>
      <c r="PNJ71"/>
      <c r="PNK71"/>
      <c r="PNL71"/>
      <c r="PNM71"/>
      <c r="PNN71"/>
      <c r="PNO71"/>
      <c r="PNP71"/>
      <c r="PNQ71"/>
      <c r="PNR71"/>
      <c r="PNS71"/>
      <c r="PNT71"/>
      <c r="PNU71"/>
      <c r="PNV71"/>
      <c r="PNW71"/>
      <c r="PNX71"/>
      <c r="PNY71"/>
      <c r="PNZ71"/>
      <c r="POA71"/>
      <c r="POB71"/>
      <c r="POC71"/>
      <c r="POD71"/>
      <c r="POE71"/>
      <c r="POF71"/>
      <c r="POG71"/>
      <c r="POH71"/>
      <c r="POI71"/>
      <c r="POJ71"/>
      <c r="POK71"/>
      <c r="POL71"/>
      <c r="POM71"/>
      <c r="PON71"/>
      <c r="POO71"/>
      <c r="POP71"/>
      <c r="POQ71"/>
      <c r="POR71"/>
      <c r="POS71"/>
      <c r="POT71"/>
      <c r="POU71"/>
      <c r="POV71"/>
      <c r="POW71"/>
      <c r="POX71"/>
      <c r="POY71"/>
      <c r="POZ71"/>
      <c r="PPA71"/>
      <c r="PPB71"/>
      <c r="PPC71"/>
      <c r="PPD71"/>
      <c r="PPE71"/>
      <c r="PPF71"/>
      <c r="PPG71"/>
      <c r="PPH71"/>
      <c r="PPI71"/>
      <c r="PPJ71"/>
      <c r="PPK71"/>
      <c r="PPL71"/>
      <c r="PPM71"/>
      <c r="PPN71"/>
      <c r="PPO71"/>
      <c r="PPP71"/>
      <c r="PPQ71"/>
      <c r="PPR71"/>
      <c r="PPS71"/>
      <c r="PPT71"/>
      <c r="PPU71"/>
      <c r="PPV71"/>
      <c r="PPW71"/>
      <c r="PPX71"/>
      <c r="PPY71"/>
      <c r="PPZ71"/>
      <c r="PQA71"/>
      <c r="PQB71"/>
      <c r="PQC71"/>
      <c r="PQD71"/>
      <c r="PQE71"/>
      <c r="PQF71"/>
      <c r="PQG71"/>
      <c r="PQH71"/>
      <c r="PQI71"/>
      <c r="PQJ71"/>
      <c r="PQK71"/>
      <c r="PQL71"/>
      <c r="PQM71"/>
      <c r="PQN71"/>
      <c r="PQO71"/>
      <c r="PQP71"/>
      <c r="PQQ71"/>
      <c r="PQR71"/>
      <c r="PQS71"/>
      <c r="PQT71"/>
      <c r="PQU71"/>
      <c r="PQV71"/>
      <c r="PQW71"/>
      <c r="PQX71"/>
      <c r="PQY71"/>
      <c r="PQZ71"/>
      <c r="PRA71"/>
      <c r="PRB71"/>
      <c r="PRC71"/>
      <c r="PRD71"/>
      <c r="PRE71"/>
      <c r="PRF71"/>
      <c r="PRG71"/>
      <c r="PRH71"/>
      <c r="PRI71"/>
      <c r="PRJ71"/>
      <c r="PRK71"/>
      <c r="PRL71"/>
      <c r="PRM71"/>
      <c r="PRN71"/>
      <c r="PRO71"/>
      <c r="PRP71"/>
      <c r="PRQ71"/>
      <c r="PRR71"/>
      <c r="PRS71"/>
      <c r="PRT71"/>
      <c r="PRU71"/>
      <c r="PRV71"/>
      <c r="PRW71"/>
      <c r="PRX71"/>
      <c r="PRY71"/>
      <c r="PRZ71"/>
      <c r="PSA71"/>
      <c r="PSB71"/>
      <c r="PSC71"/>
      <c r="PSD71"/>
      <c r="PSE71"/>
      <c r="PSF71"/>
      <c r="PSG71"/>
      <c r="PSH71"/>
      <c r="PSI71"/>
      <c r="PSJ71"/>
      <c r="PSK71"/>
      <c r="PSL71"/>
      <c r="PSM71"/>
      <c r="PSN71"/>
      <c r="PSO71"/>
      <c r="PSP71"/>
      <c r="PSQ71"/>
      <c r="PSR71"/>
      <c r="PSS71"/>
      <c r="PST71"/>
      <c r="PSU71"/>
      <c r="PSV71"/>
      <c r="PSW71"/>
      <c r="PSX71"/>
      <c r="PSY71"/>
      <c r="PSZ71"/>
      <c r="PTA71"/>
      <c r="PTB71"/>
      <c r="PTC71"/>
      <c r="PTD71"/>
      <c r="PTE71"/>
      <c r="PTF71"/>
      <c r="PTG71"/>
      <c r="PTH71"/>
      <c r="PTI71"/>
      <c r="PTJ71"/>
      <c r="PTK71"/>
      <c r="PTL71"/>
      <c r="PTM71"/>
      <c r="PTN71"/>
      <c r="PTO71"/>
      <c r="PTP71"/>
      <c r="PTQ71"/>
      <c r="PTR71"/>
      <c r="PTS71"/>
      <c r="PTT71"/>
      <c r="PTU71"/>
      <c r="PTV71"/>
      <c r="PTW71"/>
      <c r="PTX71"/>
      <c r="PTY71"/>
      <c r="PTZ71"/>
      <c r="PUA71"/>
      <c r="PUB71"/>
      <c r="PUC71"/>
      <c r="PUD71"/>
      <c r="PUE71"/>
      <c r="PUF71"/>
      <c r="PUG71"/>
      <c r="PUH71"/>
      <c r="PUI71"/>
      <c r="PUJ71"/>
      <c r="PUK71"/>
      <c r="PUL71"/>
      <c r="PUM71"/>
      <c r="PUN71"/>
      <c r="PUO71"/>
      <c r="PUP71"/>
      <c r="PUQ71"/>
      <c r="PUR71"/>
      <c r="PUS71"/>
      <c r="PUT71"/>
      <c r="PUU71"/>
      <c r="PUV71"/>
      <c r="PUW71"/>
      <c r="PUX71"/>
      <c r="PUY71"/>
      <c r="PUZ71"/>
      <c r="PVA71"/>
      <c r="PVB71"/>
      <c r="PVC71"/>
      <c r="PVD71"/>
      <c r="PVE71"/>
      <c r="PVF71"/>
      <c r="PVG71"/>
      <c r="PVH71"/>
      <c r="PVI71"/>
      <c r="PVJ71"/>
      <c r="PVK71"/>
      <c r="PVL71"/>
      <c r="PVM71"/>
      <c r="PVN71"/>
      <c r="PVO71"/>
      <c r="PVP71"/>
      <c r="PVQ71"/>
      <c r="PVR71"/>
      <c r="PVS71"/>
      <c r="PVT71"/>
      <c r="PVU71"/>
      <c r="PVV71"/>
      <c r="PVW71"/>
      <c r="PVX71"/>
      <c r="PVY71"/>
      <c r="PVZ71"/>
      <c r="PWA71"/>
      <c r="PWB71"/>
      <c r="PWC71"/>
      <c r="PWD71"/>
      <c r="PWE71"/>
      <c r="PWF71"/>
      <c r="PWG71"/>
      <c r="PWH71"/>
      <c r="PWI71"/>
      <c r="PWJ71"/>
      <c r="PWK71"/>
      <c r="PWL71"/>
      <c r="PWM71"/>
      <c r="PWN71"/>
      <c r="PWO71"/>
      <c r="PWP71"/>
      <c r="PWQ71"/>
      <c r="PWR71"/>
      <c r="PWS71"/>
      <c r="PWT71"/>
      <c r="PWU71"/>
      <c r="PWV71"/>
      <c r="PWW71"/>
      <c r="PWX71"/>
      <c r="PWY71"/>
      <c r="PWZ71"/>
      <c r="PXA71"/>
      <c r="PXB71"/>
      <c r="PXC71"/>
      <c r="PXD71"/>
      <c r="PXE71"/>
      <c r="PXF71"/>
      <c r="PXG71"/>
      <c r="PXH71"/>
      <c r="PXI71"/>
      <c r="PXJ71"/>
      <c r="PXK71"/>
      <c r="PXL71"/>
      <c r="PXM71"/>
      <c r="PXN71"/>
      <c r="PXO71"/>
      <c r="PXP71"/>
      <c r="PXQ71"/>
      <c r="PXR71"/>
      <c r="PXS71"/>
      <c r="PXT71"/>
      <c r="PXU71"/>
      <c r="PXV71"/>
      <c r="PXW71"/>
      <c r="PXX71"/>
      <c r="PXY71"/>
      <c r="PXZ71"/>
      <c r="PYA71"/>
      <c r="PYB71"/>
      <c r="PYC71"/>
      <c r="PYD71"/>
      <c r="PYE71"/>
      <c r="PYF71"/>
      <c r="PYG71"/>
      <c r="PYH71"/>
      <c r="PYI71"/>
      <c r="PYJ71"/>
      <c r="PYK71"/>
      <c r="PYL71"/>
      <c r="PYM71"/>
      <c r="PYN71"/>
      <c r="PYO71"/>
      <c r="PYP71"/>
      <c r="PYQ71"/>
      <c r="PYR71"/>
      <c r="PYS71"/>
      <c r="PYT71"/>
      <c r="PYU71"/>
      <c r="PYV71"/>
      <c r="PYW71"/>
      <c r="PYX71"/>
      <c r="PYY71"/>
      <c r="PYZ71"/>
      <c r="PZA71"/>
      <c r="PZB71"/>
      <c r="PZC71"/>
      <c r="PZD71"/>
      <c r="PZE71"/>
      <c r="PZF71"/>
      <c r="PZG71"/>
      <c r="PZH71"/>
      <c r="PZI71"/>
      <c r="PZJ71"/>
      <c r="PZK71"/>
      <c r="PZL71"/>
      <c r="PZM71"/>
      <c r="PZN71"/>
      <c r="PZO71"/>
      <c r="PZP71"/>
      <c r="PZQ71"/>
      <c r="PZR71"/>
      <c r="PZS71"/>
      <c r="PZT71"/>
      <c r="PZU71"/>
      <c r="PZV71"/>
      <c r="PZW71"/>
      <c r="PZX71"/>
      <c r="PZY71"/>
      <c r="PZZ71"/>
      <c r="QAA71"/>
      <c r="QAB71"/>
      <c r="QAC71"/>
      <c r="QAD71"/>
      <c r="QAE71"/>
      <c r="QAF71"/>
      <c r="QAG71"/>
      <c r="QAH71"/>
      <c r="QAI71"/>
      <c r="QAJ71"/>
      <c r="QAK71"/>
      <c r="QAL71"/>
      <c r="QAM71"/>
      <c r="QAN71"/>
      <c r="QAO71"/>
      <c r="QAP71"/>
      <c r="QAQ71"/>
      <c r="QAR71"/>
      <c r="QAS71"/>
      <c r="QAT71"/>
      <c r="QAU71"/>
      <c r="QAV71"/>
      <c r="QAW71"/>
      <c r="QAX71"/>
      <c r="QAY71"/>
      <c r="QAZ71"/>
      <c r="QBA71"/>
      <c r="QBB71"/>
      <c r="QBC71"/>
      <c r="QBD71"/>
      <c r="QBE71"/>
      <c r="QBF71"/>
      <c r="QBG71"/>
      <c r="QBH71"/>
      <c r="QBI71"/>
      <c r="QBJ71"/>
      <c r="QBK71"/>
      <c r="QBL71"/>
      <c r="QBM71"/>
      <c r="QBN71"/>
      <c r="QBO71"/>
      <c r="QBP71"/>
      <c r="QBQ71"/>
      <c r="QBR71"/>
      <c r="QBS71"/>
      <c r="QBT71"/>
      <c r="QBU71"/>
      <c r="QBV71"/>
      <c r="QBW71"/>
      <c r="QBX71"/>
      <c r="QBY71"/>
      <c r="QBZ71"/>
      <c r="QCA71"/>
      <c r="QCB71"/>
      <c r="QCC71"/>
      <c r="QCD71"/>
      <c r="QCE71"/>
      <c r="QCF71"/>
      <c r="QCG71"/>
      <c r="QCH71"/>
      <c r="QCI71"/>
      <c r="QCJ71"/>
      <c r="QCK71"/>
      <c r="QCL71"/>
      <c r="QCM71"/>
      <c r="QCN71"/>
      <c r="QCO71"/>
      <c r="QCP71"/>
      <c r="QCQ71"/>
      <c r="QCR71"/>
      <c r="QCS71"/>
      <c r="QCT71"/>
      <c r="QCU71"/>
      <c r="QCV71"/>
      <c r="QCW71"/>
      <c r="QCX71"/>
      <c r="QCY71"/>
      <c r="QCZ71"/>
      <c r="QDA71"/>
      <c r="QDB71"/>
      <c r="QDC71"/>
      <c r="QDD71"/>
      <c r="QDE71"/>
      <c r="QDF71"/>
      <c r="QDG71"/>
      <c r="QDH71"/>
      <c r="QDI71"/>
      <c r="QDJ71"/>
      <c r="QDK71"/>
      <c r="QDL71"/>
      <c r="QDM71"/>
      <c r="QDN71"/>
      <c r="QDO71"/>
      <c r="QDP71"/>
      <c r="QDQ71"/>
      <c r="QDR71"/>
      <c r="QDS71"/>
      <c r="QDT71"/>
      <c r="QDU71"/>
      <c r="QDV71"/>
      <c r="QDW71"/>
      <c r="QDX71"/>
      <c r="QDY71"/>
      <c r="QDZ71"/>
      <c r="QEA71"/>
      <c r="QEB71"/>
      <c r="QEC71"/>
      <c r="QED71"/>
      <c r="QEE71"/>
      <c r="QEF71"/>
      <c r="QEG71"/>
      <c r="QEH71"/>
      <c r="QEI71"/>
      <c r="QEJ71"/>
      <c r="QEK71"/>
      <c r="QEL71"/>
      <c r="QEM71"/>
      <c r="QEN71"/>
      <c r="QEO71"/>
      <c r="QEP71"/>
      <c r="QEQ71"/>
      <c r="QER71"/>
      <c r="QES71"/>
      <c r="QET71"/>
      <c r="QEU71"/>
      <c r="QEV71"/>
      <c r="QEW71"/>
      <c r="QEX71"/>
      <c r="QEY71"/>
      <c r="QEZ71"/>
      <c r="QFA71"/>
      <c r="QFB71"/>
      <c r="QFC71"/>
      <c r="QFD71"/>
      <c r="QFE71"/>
      <c r="QFF71"/>
      <c r="QFG71"/>
      <c r="QFH71"/>
      <c r="QFI71"/>
      <c r="QFJ71"/>
      <c r="QFK71"/>
      <c r="QFL71"/>
      <c r="QFM71"/>
      <c r="QFN71"/>
      <c r="QFO71"/>
      <c r="QFP71"/>
      <c r="QFQ71"/>
      <c r="QFR71"/>
      <c r="QFS71"/>
      <c r="QFT71"/>
      <c r="QFU71"/>
      <c r="QFV71"/>
      <c r="QFW71"/>
      <c r="QFX71"/>
      <c r="QFY71"/>
      <c r="QFZ71"/>
      <c r="QGA71"/>
      <c r="QGB71"/>
      <c r="QGC71"/>
      <c r="QGD71"/>
      <c r="QGE71"/>
      <c r="QGF71"/>
      <c r="QGG71"/>
      <c r="QGH71"/>
      <c r="QGI71"/>
      <c r="QGJ71"/>
      <c r="QGK71"/>
      <c r="QGL71"/>
      <c r="QGM71"/>
      <c r="QGN71"/>
      <c r="QGO71"/>
      <c r="QGP71"/>
      <c r="QGQ71"/>
      <c r="QGR71"/>
      <c r="QGS71"/>
      <c r="QGT71"/>
      <c r="QGU71"/>
      <c r="QGV71"/>
      <c r="QGW71"/>
      <c r="QGX71"/>
      <c r="QGY71"/>
      <c r="QGZ71"/>
      <c r="QHA71"/>
      <c r="QHB71"/>
      <c r="QHC71"/>
      <c r="QHD71"/>
      <c r="QHE71"/>
      <c r="QHF71"/>
      <c r="QHG71"/>
      <c r="QHH71"/>
      <c r="QHI71"/>
      <c r="QHJ71"/>
      <c r="QHK71"/>
      <c r="QHL71"/>
      <c r="QHM71"/>
      <c r="QHN71"/>
      <c r="QHO71"/>
      <c r="QHP71"/>
      <c r="QHQ71"/>
      <c r="QHR71"/>
      <c r="QHS71"/>
      <c r="QHT71"/>
      <c r="QHU71"/>
      <c r="QHV71"/>
      <c r="QHW71"/>
      <c r="QHX71"/>
      <c r="QHY71"/>
      <c r="QHZ71"/>
      <c r="QIA71"/>
      <c r="QIB71"/>
      <c r="QIC71"/>
      <c r="QID71"/>
      <c r="QIE71"/>
      <c r="QIF71"/>
      <c r="QIG71"/>
      <c r="QIH71"/>
      <c r="QII71"/>
      <c r="QIJ71"/>
      <c r="QIK71"/>
      <c r="QIL71"/>
      <c r="QIM71"/>
      <c r="QIN71"/>
      <c r="QIO71"/>
      <c r="QIP71"/>
      <c r="QIQ71"/>
      <c r="QIR71"/>
      <c r="QIS71"/>
      <c r="QIT71"/>
      <c r="QIU71"/>
      <c r="QIV71"/>
      <c r="QIW71"/>
      <c r="QIX71"/>
      <c r="QIY71"/>
      <c r="QIZ71"/>
      <c r="QJA71"/>
      <c r="QJB71"/>
      <c r="QJC71"/>
      <c r="QJD71"/>
      <c r="QJE71"/>
      <c r="QJF71"/>
      <c r="QJG71"/>
      <c r="QJH71"/>
      <c r="QJI71"/>
      <c r="QJJ71"/>
      <c r="QJK71"/>
      <c r="QJL71"/>
      <c r="QJM71"/>
      <c r="QJN71"/>
      <c r="QJO71"/>
      <c r="QJP71"/>
      <c r="QJQ71"/>
      <c r="QJR71"/>
      <c r="QJS71"/>
      <c r="QJT71"/>
      <c r="QJU71"/>
      <c r="QJV71"/>
      <c r="QJW71"/>
      <c r="QJX71"/>
      <c r="QJY71"/>
      <c r="QJZ71"/>
      <c r="QKA71"/>
      <c r="QKB71"/>
      <c r="QKC71"/>
      <c r="QKD71"/>
      <c r="QKE71"/>
      <c r="QKF71"/>
      <c r="QKG71"/>
      <c r="QKH71"/>
      <c r="QKI71"/>
      <c r="QKJ71"/>
      <c r="QKK71"/>
      <c r="QKL71"/>
      <c r="QKM71"/>
      <c r="QKN71"/>
      <c r="QKO71"/>
      <c r="QKP71"/>
      <c r="QKQ71"/>
      <c r="QKR71"/>
      <c r="QKS71"/>
      <c r="QKT71"/>
      <c r="QKU71"/>
      <c r="QKV71"/>
      <c r="QKW71"/>
      <c r="QKX71"/>
      <c r="QKY71"/>
      <c r="QKZ71"/>
      <c r="QLA71"/>
      <c r="QLB71"/>
      <c r="QLC71"/>
      <c r="QLD71"/>
      <c r="QLE71"/>
      <c r="QLF71"/>
      <c r="QLG71"/>
      <c r="QLH71"/>
      <c r="QLI71"/>
      <c r="QLJ71"/>
      <c r="QLK71"/>
      <c r="QLL71"/>
      <c r="QLM71"/>
      <c r="QLN71"/>
      <c r="QLO71"/>
      <c r="QLP71"/>
      <c r="QLQ71"/>
      <c r="QLR71"/>
      <c r="QLS71"/>
      <c r="QLT71"/>
      <c r="QLU71"/>
      <c r="QLV71"/>
      <c r="QLW71"/>
      <c r="QLX71"/>
      <c r="QLY71"/>
      <c r="QLZ71"/>
      <c r="QMA71"/>
      <c r="QMB71"/>
      <c r="QMC71"/>
      <c r="QMD71"/>
      <c r="QME71"/>
      <c r="QMF71"/>
      <c r="QMG71"/>
      <c r="QMH71"/>
      <c r="QMI71"/>
      <c r="QMJ71"/>
      <c r="QMK71"/>
      <c r="QML71"/>
      <c r="QMM71"/>
      <c r="QMN71"/>
      <c r="QMO71"/>
      <c r="QMP71"/>
      <c r="QMQ71"/>
      <c r="QMR71"/>
      <c r="QMS71"/>
      <c r="QMT71"/>
      <c r="QMU71"/>
      <c r="QMV71"/>
      <c r="QMW71"/>
      <c r="QMX71"/>
      <c r="QMY71"/>
      <c r="QMZ71"/>
      <c r="QNA71"/>
      <c r="QNB71"/>
      <c r="QNC71"/>
      <c r="QND71"/>
      <c r="QNE71"/>
      <c r="QNF71"/>
      <c r="QNG71"/>
      <c r="QNH71"/>
      <c r="QNI71"/>
      <c r="QNJ71"/>
      <c r="QNK71"/>
      <c r="QNL71"/>
      <c r="QNM71"/>
      <c r="QNN71"/>
      <c r="QNO71"/>
      <c r="QNP71"/>
      <c r="QNQ71"/>
      <c r="QNR71"/>
      <c r="QNS71"/>
      <c r="QNT71"/>
      <c r="QNU71"/>
      <c r="QNV71"/>
      <c r="QNW71"/>
      <c r="QNX71"/>
      <c r="QNY71"/>
      <c r="QNZ71"/>
      <c r="QOA71"/>
      <c r="QOB71"/>
      <c r="QOC71"/>
      <c r="QOD71"/>
      <c r="QOE71"/>
      <c r="QOF71"/>
      <c r="QOG71"/>
      <c r="QOH71"/>
      <c r="QOI71"/>
      <c r="QOJ71"/>
      <c r="QOK71"/>
      <c r="QOL71"/>
      <c r="QOM71"/>
      <c r="QON71"/>
      <c r="QOO71"/>
      <c r="QOP71"/>
      <c r="QOQ71"/>
      <c r="QOR71"/>
      <c r="QOS71"/>
      <c r="QOT71"/>
      <c r="QOU71"/>
      <c r="QOV71"/>
      <c r="QOW71"/>
      <c r="QOX71"/>
      <c r="QOY71"/>
      <c r="QOZ71"/>
      <c r="QPA71"/>
      <c r="QPB71"/>
      <c r="QPC71"/>
      <c r="QPD71"/>
      <c r="QPE71"/>
      <c r="QPF71"/>
      <c r="QPG71"/>
      <c r="QPH71"/>
      <c r="QPI71"/>
      <c r="QPJ71"/>
      <c r="QPK71"/>
      <c r="QPL71"/>
      <c r="QPM71"/>
      <c r="QPN71"/>
      <c r="QPO71"/>
      <c r="QPP71"/>
      <c r="QPQ71"/>
      <c r="QPR71"/>
      <c r="QPS71"/>
      <c r="QPT71"/>
      <c r="QPU71"/>
      <c r="QPV71"/>
      <c r="QPW71"/>
      <c r="QPX71"/>
      <c r="QPY71"/>
      <c r="QPZ71"/>
      <c r="QQA71"/>
      <c r="QQB71"/>
      <c r="QQC71"/>
      <c r="QQD71"/>
      <c r="QQE71"/>
      <c r="QQF71"/>
      <c r="QQG71"/>
      <c r="QQH71"/>
      <c r="QQI71"/>
      <c r="QQJ71"/>
      <c r="QQK71"/>
      <c r="QQL71"/>
      <c r="QQM71"/>
      <c r="QQN71"/>
      <c r="QQO71"/>
      <c r="QQP71"/>
      <c r="QQQ71"/>
      <c r="QQR71"/>
      <c r="QQS71"/>
      <c r="QQT71"/>
      <c r="QQU71"/>
      <c r="QQV71"/>
      <c r="QQW71"/>
      <c r="QQX71"/>
      <c r="QQY71"/>
      <c r="QQZ71"/>
      <c r="QRA71"/>
      <c r="QRB71"/>
      <c r="QRC71"/>
      <c r="QRD71"/>
      <c r="QRE71"/>
      <c r="QRF71"/>
      <c r="QRG71"/>
      <c r="QRH71"/>
      <c r="QRI71"/>
      <c r="QRJ71"/>
      <c r="QRK71"/>
      <c r="QRL71"/>
      <c r="QRM71"/>
      <c r="QRN71"/>
      <c r="QRO71"/>
      <c r="QRP71"/>
      <c r="QRQ71"/>
      <c r="QRR71"/>
      <c r="QRS71"/>
      <c r="QRT71"/>
      <c r="QRU71"/>
      <c r="QRV71"/>
      <c r="QRW71"/>
      <c r="QRX71"/>
      <c r="QRY71"/>
      <c r="QRZ71"/>
      <c r="QSA71"/>
      <c r="QSB71"/>
      <c r="QSC71"/>
      <c r="QSD71"/>
      <c r="QSE71"/>
      <c r="QSF71"/>
      <c r="QSG71"/>
      <c r="QSH71"/>
      <c r="QSI71"/>
      <c r="QSJ71"/>
      <c r="QSK71"/>
      <c r="QSL71"/>
      <c r="QSM71"/>
      <c r="QSN71"/>
      <c r="QSO71"/>
      <c r="QSP71"/>
      <c r="QSQ71"/>
      <c r="QSR71"/>
      <c r="QSS71"/>
      <c r="QST71"/>
      <c r="QSU71"/>
      <c r="QSV71"/>
      <c r="QSW71"/>
      <c r="QSX71"/>
      <c r="QSY71"/>
      <c r="QSZ71"/>
      <c r="QTA71"/>
      <c r="QTB71"/>
      <c r="QTC71"/>
      <c r="QTD71"/>
      <c r="QTE71"/>
      <c r="QTF71"/>
      <c r="QTG71"/>
      <c r="QTH71"/>
      <c r="QTI71"/>
      <c r="QTJ71"/>
      <c r="QTK71"/>
      <c r="QTL71"/>
      <c r="QTM71"/>
      <c r="QTN71"/>
      <c r="QTO71"/>
      <c r="QTP71"/>
      <c r="QTQ71"/>
      <c r="QTR71"/>
      <c r="QTS71"/>
      <c r="QTT71"/>
      <c r="QTU71"/>
      <c r="QTV71"/>
      <c r="QTW71"/>
      <c r="QTX71"/>
      <c r="QTY71"/>
      <c r="QTZ71"/>
      <c r="QUA71"/>
      <c r="QUB71"/>
      <c r="QUC71"/>
      <c r="QUD71"/>
      <c r="QUE71"/>
      <c r="QUF71"/>
      <c r="QUG71"/>
      <c r="QUH71"/>
      <c r="QUI71"/>
      <c r="QUJ71"/>
      <c r="QUK71"/>
      <c r="QUL71"/>
      <c r="QUM71"/>
      <c r="QUN71"/>
      <c r="QUO71"/>
      <c r="QUP71"/>
      <c r="QUQ71"/>
      <c r="QUR71"/>
      <c r="QUS71"/>
      <c r="QUT71"/>
      <c r="QUU71"/>
      <c r="QUV71"/>
      <c r="QUW71"/>
      <c r="QUX71"/>
      <c r="QUY71"/>
      <c r="QUZ71"/>
      <c r="QVA71"/>
      <c r="QVB71"/>
      <c r="QVC71"/>
      <c r="QVD71"/>
      <c r="QVE71"/>
      <c r="QVF71"/>
      <c r="QVG71"/>
      <c r="QVH71"/>
      <c r="QVI71"/>
      <c r="QVJ71"/>
      <c r="QVK71"/>
      <c r="QVL71"/>
      <c r="QVM71"/>
      <c r="QVN71"/>
      <c r="QVO71"/>
      <c r="QVP71"/>
      <c r="QVQ71"/>
      <c r="QVR71"/>
      <c r="QVS71"/>
      <c r="QVT71"/>
      <c r="QVU71"/>
      <c r="QVV71"/>
      <c r="QVW71"/>
      <c r="QVX71"/>
      <c r="QVY71"/>
      <c r="QVZ71"/>
      <c r="QWA71"/>
      <c r="QWB71"/>
      <c r="QWC71"/>
      <c r="QWD71"/>
      <c r="QWE71"/>
      <c r="QWF71"/>
      <c r="QWG71"/>
      <c r="QWH71"/>
      <c r="QWI71"/>
      <c r="QWJ71"/>
      <c r="QWK71"/>
      <c r="QWL71"/>
      <c r="QWM71"/>
      <c r="QWN71"/>
      <c r="QWO71"/>
      <c r="QWP71"/>
      <c r="QWQ71"/>
      <c r="QWR71"/>
      <c r="QWS71"/>
      <c r="QWT71"/>
      <c r="QWU71"/>
      <c r="QWV71"/>
      <c r="QWW71"/>
      <c r="QWX71"/>
      <c r="QWY71"/>
      <c r="QWZ71"/>
      <c r="QXA71"/>
      <c r="QXB71"/>
      <c r="QXC71"/>
      <c r="QXD71"/>
      <c r="QXE71"/>
      <c r="QXF71"/>
      <c r="QXG71"/>
      <c r="QXH71"/>
      <c r="QXI71"/>
      <c r="QXJ71"/>
      <c r="QXK71"/>
      <c r="QXL71"/>
      <c r="QXM71"/>
      <c r="QXN71"/>
      <c r="QXO71"/>
      <c r="QXP71"/>
      <c r="QXQ71"/>
      <c r="QXR71"/>
      <c r="QXS71"/>
      <c r="QXT71"/>
      <c r="QXU71"/>
      <c r="QXV71"/>
      <c r="QXW71"/>
      <c r="QXX71"/>
      <c r="QXY71"/>
      <c r="QXZ71"/>
      <c r="QYA71"/>
      <c r="QYB71"/>
      <c r="QYC71"/>
      <c r="QYD71"/>
      <c r="QYE71"/>
      <c r="QYF71"/>
      <c r="QYG71"/>
      <c r="QYH71"/>
      <c r="QYI71"/>
      <c r="QYJ71"/>
      <c r="QYK71"/>
      <c r="QYL71"/>
      <c r="QYM71"/>
      <c r="QYN71"/>
      <c r="QYO71"/>
      <c r="QYP71"/>
      <c r="QYQ71"/>
      <c r="QYR71"/>
      <c r="QYS71"/>
      <c r="QYT71"/>
      <c r="QYU71"/>
      <c r="QYV71"/>
      <c r="QYW71"/>
      <c r="QYX71"/>
      <c r="QYY71"/>
      <c r="QYZ71"/>
      <c r="QZA71"/>
      <c r="QZB71"/>
      <c r="QZC71"/>
      <c r="QZD71"/>
      <c r="QZE71"/>
      <c r="QZF71"/>
      <c r="QZG71"/>
      <c r="QZH71"/>
      <c r="QZI71"/>
      <c r="QZJ71"/>
      <c r="QZK71"/>
      <c r="QZL71"/>
      <c r="QZM71"/>
      <c r="QZN71"/>
      <c r="QZO71"/>
      <c r="QZP71"/>
      <c r="QZQ71"/>
      <c r="QZR71"/>
      <c r="QZS71"/>
      <c r="QZT71"/>
      <c r="QZU71"/>
      <c r="QZV71"/>
      <c r="QZW71"/>
      <c r="QZX71"/>
      <c r="QZY71"/>
      <c r="QZZ71"/>
      <c r="RAA71"/>
      <c r="RAB71"/>
      <c r="RAC71"/>
      <c r="RAD71"/>
      <c r="RAE71"/>
      <c r="RAF71"/>
      <c r="RAG71"/>
      <c r="RAH71"/>
      <c r="RAI71"/>
      <c r="RAJ71"/>
      <c r="RAK71"/>
      <c r="RAL71"/>
      <c r="RAM71"/>
      <c r="RAN71"/>
      <c r="RAO71"/>
      <c r="RAP71"/>
      <c r="RAQ71"/>
      <c r="RAR71"/>
      <c r="RAS71"/>
      <c r="RAT71"/>
      <c r="RAU71"/>
      <c r="RAV71"/>
      <c r="RAW71"/>
      <c r="RAX71"/>
      <c r="RAY71"/>
      <c r="RAZ71"/>
      <c r="RBA71"/>
      <c r="RBB71"/>
      <c r="RBC71"/>
      <c r="RBD71"/>
      <c r="RBE71"/>
      <c r="RBF71"/>
      <c r="RBG71"/>
      <c r="RBH71"/>
      <c r="RBI71"/>
      <c r="RBJ71"/>
      <c r="RBK71"/>
      <c r="RBL71"/>
      <c r="RBM71"/>
      <c r="RBN71"/>
      <c r="RBO71"/>
      <c r="RBP71"/>
      <c r="RBQ71"/>
      <c r="RBR71"/>
      <c r="RBS71"/>
      <c r="RBT71"/>
      <c r="RBU71"/>
      <c r="RBV71"/>
      <c r="RBW71"/>
      <c r="RBX71"/>
      <c r="RBY71"/>
      <c r="RBZ71"/>
      <c r="RCA71"/>
      <c r="RCB71"/>
      <c r="RCC71"/>
      <c r="RCD71"/>
      <c r="RCE71"/>
      <c r="RCF71"/>
      <c r="RCG71"/>
      <c r="RCH71"/>
      <c r="RCI71"/>
      <c r="RCJ71"/>
      <c r="RCK71"/>
      <c r="RCL71"/>
      <c r="RCM71"/>
      <c r="RCN71"/>
      <c r="RCO71"/>
      <c r="RCP71"/>
      <c r="RCQ71"/>
      <c r="RCR71"/>
      <c r="RCS71"/>
      <c r="RCT71"/>
      <c r="RCU71"/>
      <c r="RCV71"/>
      <c r="RCW71"/>
      <c r="RCX71"/>
      <c r="RCY71"/>
      <c r="RCZ71"/>
      <c r="RDA71"/>
      <c r="RDB71"/>
      <c r="RDC71"/>
      <c r="RDD71"/>
      <c r="RDE71"/>
      <c r="RDF71"/>
      <c r="RDG71"/>
      <c r="RDH71"/>
      <c r="RDI71"/>
      <c r="RDJ71"/>
      <c r="RDK71"/>
      <c r="RDL71"/>
      <c r="RDM71"/>
      <c r="RDN71"/>
      <c r="RDO71"/>
      <c r="RDP71"/>
      <c r="RDQ71"/>
      <c r="RDR71"/>
      <c r="RDS71"/>
      <c r="RDT71"/>
      <c r="RDU71"/>
      <c r="RDV71"/>
      <c r="RDW71"/>
      <c r="RDX71"/>
      <c r="RDY71"/>
      <c r="RDZ71"/>
      <c r="REA71"/>
      <c r="REB71"/>
      <c r="REC71"/>
      <c r="RED71"/>
      <c r="REE71"/>
      <c r="REF71"/>
      <c r="REG71"/>
      <c r="REH71"/>
      <c r="REI71"/>
      <c r="REJ71"/>
      <c r="REK71"/>
      <c r="REL71"/>
      <c r="REM71"/>
      <c r="REN71"/>
      <c r="REO71"/>
      <c r="REP71"/>
      <c r="REQ71"/>
      <c r="RER71"/>
      <c r="RES71"/>
      <c r="RET71"/>
      <c r="REU71"/>
      <c r="REV71"/>
      <c r="REW71"/>
      <c r="REX71"/>
      <c r="REY71"/>
      <c r="REZ71"/>
      <c r="RFA71"/>
      <c r="RFB71"/>
      <c r="RFC71"/>
      <c r="RFD71"/>
      <c r="RFE71"/>
      <c r="RFF71"/>
      <c r="RFG71"/>
      <c r="RFH71"/>
      <c r="RFI71"/>
      <c r="RFJ71"/>
      <c r="RFK71"/>
      <c r="RFL71"/>
      <c r="RFM71"/>
      <c r="RFN71"/>
      <c r="RFO71"/>
      <c r="RFP71"/>
      <c r="RFQ71"/>
      <c r="RFR71"/>
      <c r="RFS71"/>
      <c r="RFT71"/>
      <c r="RFU71"/>
      <c r="RFV71"/>
      <c r="RFW71"/>
      <c r="RFX71"/>
      <c r="RFY71"/>
      <c r="RFZ71"/>
      <c r="RGA71"/>
      <c r="RGB71"/>
      <c r="RGC71"/>
      <c r="RGD71"/>
      <c r="RGE71"/>
      <c r="RGF71"/>
      <c r="RGG71"/>
      <c r="RGH71"/>
      <c r="RGI71"/>
      <c r="RGJ71"/>
      <c r="RGK71"/>
      <c r="RGL71"/>
      <c r="RGM71"/>
      <c r="RGN71"/>
      <c r="RGO71"/>
      <c r="RGP71"/>
      <c r="RGQ71"/>
      <c r="RGR71"/>
      <c r="RGS71"/>
      <c r="RGT71"/>
      <c r="RGU71"/>
      <c r="RGV71"/>
      <c r="RGW71"/>
      <c r="RGX71"/>
      <c r="RGY71"/>
      <c r="RGZ71"/>
      <c r="RHA71"/>
      <c r="RHB71"/>
      <c r="RHC71"/>
      <c r="RHD71"/>
      <c r="RHE71"/>
      <c r="RHF71"/>
      <c r="RHG71"/>
      <c r="RHH71"/>
      <c r="RHI71"/>
      <c r="RHJ71"/>
      <c r="RHK71"/>
      <c r="RHL71"/>
      <c r="RHM71"/>
      <c r="RHN71"/>
      <c r="RHO71"/>
      <c r="RHP71"/>
      <c r="RHQ71"/>
      <c r="RHR71"/>
      <c r="RHS71"/>
      <c r="RHT71"/>
      <c r="RHU71"/>
      <c r="RHV71"/>
      <c r="RHW71"/>
      <c r="RHX71"/>
      <c r="RHY71"/>
      <c r="RHZ71"/>
      <c r="RIA71"/>
      <c r="RIB71"/>
      <c r="RIC71"/>
      <c r="RID71"/>
      <c r="RIE71"/>
      <c r="RIF71"/>
      <c r="RIG71"/>
      <c r="RIH71"/>
      <c r="RII71"/>
      <c r="RIJ71"/>
      <c r="RIK71"/>
      <c r="RIL71"/>
      <c r="RIM71"/>
      <c r="RIN71"/>
      <c r="RIO71"/>
      <c r="RIP71"/>
      <c r="RIQ71"/>
      <c r="RIR71"/>
      <c r="RIS71"/>
      <c r="RIT71"/>
      <c r="RIU71"/>
      <c r="RIV71"/>
      <c r="RIW71"/>
      <c r="RIX71"/>
      <c r="RIY71"/>
      <c r="RIZ71"/>
      <c r="RJA71"/>
      <c r="RJB71"/>
      <c r="RJC71"/>
      <c r="RJD71"/>
      <c r="RJE71"/>
      <c r="RJF71"/>
      <c r="RJG71"/>
      <c r="RJH71"/>
      <c r="RJI71"/>
      <c r="RJJ71"/>
      <c r="RJK71"/>
      <c r="RJL71"/>
      <c r="RJM71"/>
      <c r="RJN71"/>
      <c r="RJO71"/>
      <c r="RJP71"/>
      <c r="RJQ71"/>
      <c r="RJR71"/>
      <c r="RJS71"/>
      <c r="RJT71"/>
      <c r="RJU71"/>
      <c r="RJV71"/>
      <c r="RJW71"/>
      <c r="RJX71"/>
      <c r="RJY71"/>
      <c r="RJZ71"/>
      <c r="RKA71"/>
      <c r="RKB71"/>
      <c r="RKC71"/>
      <c r="RKD71"/>
      <c r="RKE71"/>
      <c r="RKF71"/>
      <c r="RKG71"/>
      <c r="RKH71"/>
      <c r="RKI71"/>
      <c r="RKJ71"/>
      <c r="RKK71"/>
      <c r="RKL71"/>
      <c r="RKM71"/>
      <c r="RKN71"/>
      <c r="RKO71"/>
      <c r="RKP71"/>
      <c r="RKQ71"/>
      <c r="RKR71"/>
      <c r="RKS71"/>
      <c r="RKT71"/>
      <c r="RKU71"/>
      <c r="RKV71"/>
      <c r="RKW71"/>
      <c r="RKX71"/>
      <c r="RKY71"/>
      <c r="RKZ71"/>
      <c r="RLA71"/>
      <c r="RLB71"/>
      <c r="RLC71"/>
      <c r="RLD71"/>
      <c r="RLE71"/>
      <c r="RLF71"/>
      <c r="RLG71"/>
      <c r="RLH71"/>
      <c r="RLI71"/>
      <c r="RLJ71"/>
      <c r="RLK71"/>
      <c r="RLL71"/>
      <c r="RLM71"/>
      <c r="RLN71"/>
      <c r="RLO71"/>
      <c r="RLP71"/>
      <c r="RLQ71"/>
      <c r="RLR71"/>
      <c r="RLS71"/>
      <c r="RLT71"/>
      <c r="RLU71"/>
      <c r="RLV71"/>
      <c r="RLW71"/>
      <c r="RLX71"/>
      <c r="RLY71"/>
      <c r="RLZ71"/>
      <c r="RMA71"/>
      <c r="RMB71"/>
      <c r="RMC71"/>
      <c r="RMD71"/>
      <c r="RME71"/>
      <c r="RMF71"/>
      <c r="RMG71"/>
      <c r="RMH71"/>
      <c r="RMI71"/>
      <c r="RMJ71"/>
      <c r="RMK71"/>
      <c r="RML71"/>
      <c r="RMM71"/>
      <c r="RMN71"/>
      <c r="RMO71"/>
      <c r="RMP71"/>
      <c r="RMQ71"/>
      <c r="RMR71"/>
      <c r="RMS71"/>
      <c r="RMT71"/>
      <c r="RMU71"/>
      <c r="RMV71"/>
      <c r="RMW71"/>
      <c r="RMX71"/>
      <c r="RMY71"/>
      <c r="RMZ71"/>
      <c r="RNA71"/>
      <c r="RNB71"/>
      <c r="RNC71"/>
      <c r="RND71"/>
      <c r="RNE71"/>
      <c r="RNF71"/>
      <c r="RNG71"/>
      <c r="RNH71"/>
      <c r="RNI71"/>
      <c r="RNJ71"/>
      <c r="RNK71"/>
      <c r="RNL71"/>
      <c r="RNM71"/>
      <c r="RNN71"/>
      <c r="RNO71"/>
      <c r="RNP71"/>
      <c r="RNQ71"/>
      <c r="RNR71"/>
      <c r="RNS71"/>
      <c r="RNT71"/>
      <c r="RNU71"/>
      <c r="RNV71"/>
      <c r="RNW71"/>
      <c r="RNX71"/>
      <c r="RNY71"/>
      <c r="RNZ71"/>
      <c r="ROA71"/>
      <c r="ROB71"/>
      <c r="ROC71"/>
      <c r="ROD71"/>
      <c r="ROE71"/>
      <c r="ROF71"/>
      <c r="ROG71"/>
      <c r="ROH71"/>
      <c r="ROI71"/>
      <c r="ROJ71"/>
      <c r="ROK71"/>
      <c r="ROL71"/>
      <c r="ROM71"/>
      <c r="RON71"/>
      <c r="ROO71"/>
      <c r="ROP71"/>
      <c r="ROQ71"/>
      <c r="ROR71"/>
      <c r="ROS71"/>
      <c r="ROT71"/>
      <c r="ROU71"/>
      <c r="ROV71"/>
      <c r="ROW71"/>
      <c r="ROX71"/>
      <c r="ROY71"/>
      <c r="ROZ71"/>
      <c r="RPA71"/>
      <c r="RPB71"/>
      <c r="RPC71"/>
      <c r="RPD71"/>
      <c r="RPE71"/>
      <c r="RPF71"/>
      <c r="RPG71"/>
      <c r="RPH71"/>
      <c r="RPI71"/>
      <c r="RPJ71"/>
      <c r="RPK71"/>
      <c r="RPL71"/>
      <c r="RPM71"/>
      <c r="RPN71"/>
      <c r="RPO71"/>
      <c r="RPP71"/>
      <c r="RPQ71"/>
      <c r="RPR71"/>
      <c r="RPS71"/>
      <c r="RPT71"/>
      <c r="RPU71"/>
      <c r="RPV71"/>
      <c r="RPW71"/>
      <c r="RPX71"/>
      <c r="RPY71"/>
      <c r="RPZ71"/>
      <c r="RQA71"/>
      <c r="RQB71"/>
      <c r="RQC71"/>
      <c r="RQD71"/>
      <c r="RQE71"/>
      <c r="RQF71"/>
      <c r="RQG71"/>
      <c r="RQH71"/>
      <c r="RQI71"/>
      <c r="RQJ71"/>
      <c r="RQK71"/>
      <c r="RQL71"/>
      <c r="RQM71"/>
      <c r="RQN71"/>
      <c r="RQO71"/>
      <c r="RQP71"/>
      <c r="RQQ71"/>
      <c r="RQR71"/>
      <c r="RQS71"/>
      <c r="RQT71"/>
      <c r="RQU71"/>
      <c r="RQV71"/>
      <c r="RQW71"/>
      <c r="RQX71"/>
      <c r="RQY71"/>
      <c r="RQZ71"/>
      <c r="RRA71"/>
      <c r="RRB71"/>
      <c r="RRC71"/>
      <c r="RRD71"/>
      <c r="RRE71"/>
      <c r="RRF71"/>
      <c r="RRG71"/>
      <c r="RRH71"/>
      <c r="RRI71"/>
      <c r="RRJ71"/>
      <c r="RRK71"/>
      <c r="RRL71"/>
      <c r="RRM71"/>
      <c r="RRN71"/>
      <c r="RRO71"/>
      <c r="RRP71"/>
      <c r="RRQ71"/>
      <c r="RRR71"/>
      <c r="RRS71"/>
      <c r="RRT71"/>
      <c r="RRU71"/>
      <c r="RRV71"/>
      <c r="RRW71"/>
      <c r="RRX71"/>
      <c r="RRY71"/>
      <c r="RRZ71"/>
      <c r="RSA71"/>
      <c r="RSB71"/>
      <c r="RSC71"/>
      <c r="RSD71"/>
      <c r="RSE71"/>
      <c r="RSF71"/>
      <c r="RSG71"/>
      <c r="RSH71"/>
      <c r="RSI71"/>
      <c r="RSJ71"/>
      <c r="RSK71"/>
      <c r="RSL71"/>
      <c r="RSM71"/>
      <c r="RSN71"/>
      <c r="RSO71"/>
      <c r="RSP71"/>
      <c r="RSQ71"/>
      <c r="RSR71"/>
      <c r="RSS71"/>
      <c r="RST71"/>
      <c r="RSU71"/>
      <c r="RSV71"/>
      <c r="RSW71"/>
      <c r="RSX71"/>
      <c r="RSY71"/>
      <c r="RSZ71"/>
      <c r="RTA71"/>
      <c r="RTB71"/>
      <c r="RTC71"/>
      <c r="RTD71"/>
      <c r="RTE71"/>
      <c r="RTF71"/>
      <c r="RTG71"/>
      <c r="RTH71"/>
      <c r="RTI71"/>
      <c r="RTJ71"/>
      <c r="RTK71"/>
      <c r="RTL71"/>
      <c r="RTM71"/>
      <c r="RTN71"/>
      <c r="RTO71"/>
      <c r="RTP71"/>
      <c r="RTQ71"/>
      <c r="RTR71"/>
      <c r="RTS71"/>
      <c r="RTT71"/>
      <c r="RTU71"/>
      <c r="RTV71"/>
      <c r="RTW71"/>
      <c r="RTX71"/>
      <c r="RTY71"/>
      <c r="RTZ71"/>
      <c r="RUA71"/>
      <c r="RUB71"/>
      <c r="RUC71"/>
      <c r="RUD71"/>
      <c r="RUE71"/>
      <c r="RUF71"/>
      <c r="RUG71"/>
      <c r="RUH71"/>
      <c r="RUI71"/>
      <c r="RUJ71"/>
      <c r="RUK71"/>
      <c r="RUL71"/>
      <c r="RUM71"/>
      <c r="RUN71"/>
      <c r="RUO71"/>
      <c r="RUP71"/>
      <c r="RUQ71"/>
      <c r="RUR71"/>
      <c r="RUS71"/>
      <c r="RUT71"/>
      <c r="RUU71"/>
      <c r="RUV71"/>
      <c r="RUW71"/>
      <c r="RUX71"/>
      <c r="RUY71"/>
      <c r="RUZ71"/>
      <c r="RVA71"/>
      <c r="RVB71"/>
      <c r="RVC71"/>
      <c r="RVD71"/>
      <c r="RVE71"/>
      <c r="RVF71"/>
      <c r="RVG71"/>
      <c r="RVH71"/>
      <c r="RVI71"/>
      <c r="RVJ71"/>
      <c r="RVK71"/>
      <c r="RVL71"/>
      <c r="RVM71"/>
      <c r="RVN71"/>
      <c r="RVO71"/>
      <c r="RVP71"/>
      <c r="RVQ71"/>
      <c r="RVR71"/>
      <c r="RVS71"/>
      <c r="RVT71"/>
      <c r="RVU71"/>
      <c r="RVV71"/>
      <c r="RVW71"/>
      <c r="RVX71"/>
      <c r="RVY71"/>
      <c r="RVZ71"/>
      <c r="RWA71"/>
      <c r="RWB71"/>
      <c r="RWC71"/>
      <c r="RWD71"/>
      <c r="RWE71"/>
      <c r="RWF71"/>
      <c r="RWG71"/>
      <c r="RWH71"/>
      <c r="RWI71"/>
      <c r="RWJ71"/>
      <c r="RWK71"/>
      <c r="RWL71"/>
      <c r="RWM71"/>
      <c r="RWN71"/>
      <c r="RWO71"/>
      <c r="RWP71"/>
      <c r="RWQ71"/>
      <c r="RWR71"/>
      <c r="RWS71"/>
      <c r="RWT71"/>
      <c r="RWU71"/>
      <c r="RWV71"/>
      <c r="RWW71"/>
      <c r="RWX71"/>
      <c r="RWY71"/>
      <c r="RWZ71"/>
      <c r="RXA71"/>
      <c r="RXB71"/>
      <c r="RXC71"/>
      <c r="RXD71"/>
      <c r="RXE71"/>
      <c r="RXF71"/>
      <c r="RXG71"/>
      <c r="RXH71"/>
      <c r="RXI71"/>
      <c r="RXJ71"/>
      <c r="RXK71"/>
      <c r="RXL71"/>
      <c r="RXM71"/>
      <c r="RXN71"/>
      <c r="RXO71"/>
      <c r="RXP71"/>
      <c r="RXQ71"/>
      <c r="RXR71"/>
      <c r="RXS71"/>
      <c r="RXT71"/>
      <c r="RXU71"/>
      <c r="RXV71"/>
      <c r="RXW71"/>
      <c r="RXX71"/>
      <c r="RXY71"/>
      <c r="RXZ71"/>
      <c r="RYA71"/>
      <c r="RYB71"/>
      <c r="RYC71"/>
      <c r="RYD71"/>
      <c r="RYE71"/>
      <c r="RYF71"/>
      <c r="RYG71"/>
      <c r="RYH71"/>
      <c r="RYI71"/>
      <c r="RYJ71"/>
      <c r="RYK71"/>
      <c r="RYL71"/>
      <c r="RYM71"/>
      <c r="RYN71"/>
      <c r="RYO71"/>
      <c r="RYP71"/>
      <c r="RYQ71"/>
      <c r="RYR71"/>
      <c r="RYS71"/>
      <c r="RYT71"/>
      <c r="RYU71"/>
      <c r="RYV71"/>
      <c r="RYW71"/>
      <c r="RYX71"/>
      <c r="RYY71"/>
      <c r="RYZ71"/>
      <c r="RZA71"/>
      <c r="RZB71"/>
      <c r="RZC71"/>
      <c r="RZD71"/>
      <c r="RZE71"/>
      <c r="RZF71"/>
      <c r="RZG71"/>
      <c r="RZH71"/>
      <c r="RZI71"/>
      <c r="RZJ71"/>
      <c r="RZK71"/>
      <c r="RZL71"/>
      <c r="RZM71"/>
      <c r="RZN71"/>
      <c r="RZO71"/>
      <c r="RZP71"/>
      <c r="RZQ71"/>
      <c r="RZR71"/>
      <c r="RZS71"/>
      <c r="RZT71"/>
      <c r="RZU71"/>
      <c r="RZV71"/>
      <c r="RZW71"/>
      <c r="RZX71"/>
      <c r="RZY71"/>
      <c r="RZZ71"/>
      <c r="SAA71"/>
      <c r="SAB71"/>
      <c r="SAC71"/>
      <c r="SAD71"/>
      <c r="SAE71"/>
      <c r="SAF71"/>
      <c r="SAG71"/>
      <c r="SAH71"/>
      <c r="SAI71"/>
      <c r="SAJ71"/>
      <c r="SAK71"/>
      <c r="SAL71"/>
      <c r="SAM71"/>
      <c r="SAN71"/>
      <c r="SAO71"/>
      <c r="SAP71"/>
      <c r="SAQ71"/>
      <c r="SAR71"/>
      <c r="SAS71"/>
      <c r="SAT71"/>
      <c r="SAU71"/>
      <c r="SAV71"/>
      <c r="SAW71"/>
      <c r="SAX71"/>
      <c r="SAY71"/>
      <c r="SAZ71"/>
      <c r="SBA71"/>
      <c r="SBB71"/>
      <c r="SBC71"/>
      <c r="SBD71"/>
      <c r="SBE71"/>
      <c r="SBF71"/>
      <c r="SBG71"/>
      <c r="SBH71"/>
      <c r="SBI71"/>
      <c r="SBJ71"/>
      <c r="SBK71"/>
      <c r="SBL71"/>
      <c r="SBM71"/>
      <c r="SBN71"/>
      <c r="SBO71"/>
      <c r="SBP71"/>
      <c r="SBQ71"/>
      <c r="SBR71"/>
      <c r="SBS71"/>
      <c r="SBT71"/>
      <c r="SBU71"/>
      <c r="SBV71"/>
      <c r="SBW71"/>
      <c r="SBX71"/>
      <c r="SBY71"/>
      <c r="SBZ71"/>
      <c r="SCA71"/>
      <c r="SCB71"/>
      <c r="SCC71"/>
      <c r="SCD71"/>
      <c r="SCE71"/>
      <c r="SCF71"/>
      <c r="SCG71"/>
      <c r="SCH71"/>
      <c r="SCI71"/>
      <c r="SCJ71"/>
      <c r="SCK71"/>
      <c r="SCL71"/>
      <c r="SCM71"/>
      <c r="SCN71"/>
      <c r="SCO71"/>
      <c r="SCP71"/>
      <c r="SCQ71"/>
      <c r="SCR71"/>
      <c r="SCS71"/>
      <c r="SCT71"/>
      <c r="SCU71"/>
      <c r="SCV71"/>
      <c r="SCW71"/>
      <c r="SCX71"/>
      <c r="SCY71"/>
      <c r="SCZ71"/>
      <c r="SDA71"/>
      <c r="SDB71"/>
      <c r="SDC71"/>
      <c r="SDD71"/>
      <c r="SDE71"/>
      <c r="SDF71"/>
      <c r="SDG71"/>
      <c r="SDH71"/>
      <c r="SDI71"/>
      <c r="SDJ71"/>
      <c r="SDK71"/>
      <c r="SDL71"/>
      <c r="SDM71"/>
      <c r="SDN71"/>
      <c r="SDO71"/>
      <c r="SDP71"/>
      <c r="SDQ71"/>
      <c r="SDR71"/>
      <c r="SDS71"/>
      <c r="SDT71"/>
      <c r="SDU71"/>
      <c r="SDV71"/>
      <c r="SDW71"/>
      <c r="SDX71"/>
      <c r="SDY71"/>
      <c r="SDZ71"/>
      <c r="SEA71"/>
      <c r="SEB71"/>
      <c r="SEC71"/>
      <c r="SED71"/>
      <c r="SEE71"/>
      <c r="SEF71"/>
      <c r="SEG71"/>
      <c r="SEH71"/>
      <c r="SEI71"/>
      <c r="SEJ71"/>
      <c r="SEK71"/>
      <c r="SEL71"/>
      <c r="SEM71"/>
      <c r="SEN71"/>
      <c r="SEO71"/>
      <c r="SEP71"/>
      <c r="SEQ71"/>
      <c r="SER71"/>
      <c r="SES71"/>
      <c r="SET71"/>
      <c r="SEU71"/>
      <c r="SEV71"/>
      <c r="SEW71"/>
      <c r="SEX71"/>
      <c r="SEY71"/>
      <c r="SEZ71"/>
      <c r="SFA71"/>
      <c r="SFB71"/>
      <c r="SFC71"/>
      <c r="SFD71"/>
      <c r="SFE71"/>
      <c r="SFF71"/>
      <c r="SFG71"/>
      <c r="SFH71"/>
      <c r="SFI71"/>
      <c r="SFJ71"/>
      <c r="SFK71"/>
      <c r="SFL71"/>
      <c r="SFM71"/>
      <c r="SFN71"/>
      <c r="SFO71"/>
      <c r="SFP71"/>
      <c r="SFQ71"/>
      <c r="SFR71"/>
      <c r="SFS71"/>
      <c r="SFT71"/>
      <c r="SFU71"/>
      <c r="SFV71"/>
      <c r="SFW71"/>
      <c r="SFX71"/>
      <c r="SFY71"/>
      <c r="SFZ71"/>
      <c r="SGA71"/>
      <c r="SGB71"/>
      <c r="SGC71"/>
      <c r="SGD71"/>
      <c r="SGE71"/>
      <c r="SGF71"/>
      <c r="SGG71"/>
      <c r="SGH71"/>
      <c r="SGI71"/>
      <c r="SGJ71"/>
      <c r="SGK71"/>
      <c r="SGL71"/>
      <c r="SGM71"/>
      <c r="SGN71"/>
      <c r="SGO71"/>
      <c r="SGP71"/>
      <c r="SGQ71"/>
      <c r="SGR71"/>
      <c r="SGS71"/>
      <c r="SGT71"/>
      <c r="SGU71"/>
      <c r="SGV71"/>
      <c r="SGW71"/>
      <c r="SGX71"/>
      <c r="SGY71"/>
      <c r="SGZ71"/>
      <c r="SHA71"/>
      <c r="SHB71"/>
      <c r="SHC71"/>
      <c r="SHD71"/>
      <c r="SHE71"/>
      <c r="SHF71"/>
      <c r="SHG71"/>
      <c r="SHH71"/>
      <c r="SHI71"/>
      <c r="SHJ71"/>
      <c r="SHK71"/>
      <c r="SHL71"/>
      <c r="SHM71"/>
      <c r="SHN71"/>
      <c r="SHO71"/>
      <c r="SHP71"/>
      <c r="SHQ71"/>
      <c r="SHR71"/>
      <c r="SHS71"/>
      <c r="SHT71"/>
      <c r="SHU71"/>
      <c r="SHV71"/>
      <c r="SHW71"/>
      <c r="SHX71"/>
      <c r="SHY71"/>
      <c r="SHZ71"/>
      <c r="SIA71"/>
      <c r="SIB71"/>
      <c r="SIC71"/>
      <c r="SID71"/>
      <c r="SIE71"/>
      <c r="SIF71"/>
      <c r="SIG71"/>
      <c r="SIH71"/>
      <c r="SII71"/>
      <c r="SIJ71"/>
      <c r="SIK71"/>
      <c r="SIL71"/>
      <c r="SIM71"/>
      <c r="SIN71"/>
      <c r="SIO71"/>
      <c r="SIP71"/>
      <c r="SIQ71"/>
      <c r="SIR71"/>
      <c r="SIS71"/>
      <c r="SIT71"/>
      <c r="SIU71"/>
      <c r="SIV71"/>
      <c r="SIW71"/>
      <c r="SIX71"/>
      <c r="SIY71"/>
      <c r="SIZ71"/>
      <c r="SJA71"/>
      <c r="SJB71"/>
      <c r="SJC71"/>
      <c r="SJD71"/>
      <c r="SJE71"/>
      <c r="SJF71"/>
      <c r="SJG71"/>
      <c r="SJH71"/>
      <c r="SJI71"/>
      <c r="SJJ71"/>
      <c r="SJK71"/>
      <c r="SJL71"/>
      <c r="SJM71"/>
      <c r="SJN71"/>
      <c r="SJO71"/>
      <c r="SJP71"/>
      <c r="SJQ71"/>
      <c r="SJR71"/>
      <c r="SJS71"/>
      <c r="SJT71"/>
      <c r="SJU71"/>
      <c r="SJV71"/>
      <c r="SJW71"/>
      <c r="SJX71"/>
      <c r="SJY71"/>
      <c r="SJZ71"/>
      <c r="SKA71"/>
      <c r="SKB71"/>
      <c r="SKC71"/>
      <c r="SKD71"/>
      <c r="SKE71"/>
      <c r="SKF71"/>
      <c r="SKG71"/>
      <c r="SKH71"/>
      <c r="SKI71"/>
      <c r="SKJ71"/>
      <c r="SKK71"/>
      <c r="SKL71"/>
      <c r="SKM71"/>
      <c r="SKN71"/>
      <c r="SKO71"/>
      <c r="SKP71"/>
      <c r="SKQ71"/>
      <c r="SKR71"/>
      <c r="SKS71"/>
      <c r="SKT71"/>
      <c r="SKU71"/>
      <c r="SKV71"/>
      <c r="SKW71"/>
      <c r="SKX71"/>
      <c r="SKY71"/>
      <c r="SKZ71"/>
      <c r="SLA71"/>
      <c r="SLB71"/>
      <c r="SLC71"/>
      <c r="SLD71"/>
      <c r="SLE71"/>
      <c r="SLF71"/>
      <c r="SLG71"/>
      <c r="SLH71"/>
      <c r="SLI71"/>
      <c r="SLJ71"/>
      <c r="SLK71"/>
      <c r="SLL71"/>
      <c r="SLM71"/>
      <c r="SLN71"/>
      <c r="SLO71"/>
      <c r="SLP71"/>
      <c r="SLQ71"/>
      <c r="SLR71"/>
      <c r="SLS71"/>
      <c r="SLT71"/>
      <c r="SLU71"/>
      <c r="SLV71"/>
      <c r="SLW71"/>
      <c r="SLX71"/>
      <c r="SLY71"/>
      <c r="SLZ71"/>
      <c r="SMA71"/>
      <c r="SMB71"/>
      <c r="SMC71"/>
      <c r="SMD71"/>
      <c r="SME71"/>
      <c r="SMF71"/>
      <c r="SMG71"/>
      <c r="SMH71"/>
      <c r="SMI71"/>
      <c r="SMJ71"/>
      <c r="SMK71"/>
      <c r="SML71"/>
      <c r="SMM71"/>
      <c r="SMN71"/>
      <c r="SMO71"/>
      <c r="SMP71"/>
      <c r="SMQ71"/>
      <c r="SMR71"/>
      <c r="SMS71"/>
      <c r="SMT71"/>
      <c r="SMU71"/>
      <c r="SMV71"/>
      <c r="SMW71"/>
      <c r="SMX71"/>
      <c r="SMY71"/>
      <c r="SMZ71"/>
      <c r="SNA71"/>
      <c r="SNB71"/>
      <c r="SNC71"/>
      <c r="SND71"/>
      <c r="SNE71"/>
      <c r="SNF71"/>
      <c r="SNG71"/>
      <c r="SNH71"/>
      <c r="SNI71"/>
      <c r="SNJ71"/>
      <c r="SNK71"/>
      <c r="SNL71"/>
      <c r="SNM71"/>
      <c r="SNN71"/>
      <c r="SNO71"/>
      <c r="SNP71"/>
      <c r="SNQ71"/>
      <c r="SNR71"/>
      <c r="SNS71"/>
      <c r="SNT71"/>
      <c r="SNU71"/>
      <c r="SNV71"/>
      <c r="SNW71"/>
      <c r="SNX71"/>
      <c r="SNY71"/>
      <c r="SNZ71"/>
      <c r="SOA71"/>
      <c r="SOB71"/>
      <c r="SOC71"/>
      <c r="SOD71"/>
      <c r="SOE71"/>
      <c r="SOF71"/>
      <c r="SOG71"/>
      <c r="SOH71"/>
      <c r="SOI71"/>
      <c r="SOJ71"/>
      <c r="SOK71"/>
      <c r="SOL71"/>
      <c r="SOM71"/>
      <c r="SON71"/>
      <c r="SOO71"/>
      <c r="SOP71"/>
      <c r="SOQ71"/>
      <c r="SOR71"/>
      <c r="SOS71"/>
      <c r="SOT71"/>
      <c r="SOU71"/>
      <c r="SOV71"/>
      <c r="SOW71"/>
      <c r="SOX71"/>
      <c r="SOY71"/>
      <c r="SOZ71"/>
      <c r="SPA71"/>
      <c r="SPB71"/>
      <c r="SPC71"/>
      <c r="SPD71"/>
      <c r="SPE71"/>
      <c r="SPF71"/>
      <c r="SPG71"/>
      <c r="SPH71"/>
      <c r="SPI71"/>
      <c r="SPJ71"/>
      <c r="SPK71"/>
      <c r="SPL71"/>
      <c r="SPM71"/>
      <c r="SPN71"/>
      <c r="SPO71"/>
      <c r="SPP71"/>
      <c r="SPQ71"/>
      <c r="SPR71"/>
      <c r="SPS71"/>
      <c r="SPT71"/>
      <c r="SPU71"/>
      <c r="SPV71"/>
      <c r="SPW71"/>
      <c r="SPX71"/>
      <c r="SPY71"/>
      <c r="SPZ71"/>
      <c r="SQA71"/>
      <c r="SQB71"/>
      <c r="SQC71"/>
      <c r="SQD71"/>
      <c r="SQE71"/>
      <c r="SQF71"/>
      <c r="SQG71"/>
      <c r="SQH71"/>
      <c r="SQI71"/>
      <c r="SQJ71"/>
      <c r="SQK71"/>
      <c r="SQL71"/>
      <c r="SQM71"/>
      <c r="SQN71"/>
      <c r="SQO71"/>
      <c r="SQP71"/>
      <c r="SQQ71"/>
      <c r="SQR71"/>
      <c r="SQS71"/>
      <c r="SQT71"/>
      <c r="SQU71"/>
      <c r="SQV71"/>
      <c r="SQW71"/>
      <c r="SQX71"/>
      <c r="SQY71"/>
      <c r="SQZ71"/>
      <c r="SRA71"/>
      <c r="SRB71"/>
      <c r="SRC71"/>
      <c r="SRD71"/>
      <c r="SRE71"/>
      <c r="SRF71"/>
      <c r="SRG71"/>
      <c r="SRH71"/>
      <c r="SRI71"/>
      <c r="SRJ71"/>
      <c r="SRK71"/>
      <c r="SRL71"/>
      <c r="SRM71"/>
      <c r="SRN71"/>
      <c r="SRO71"/>
      <c r="SRP71"/>
      <c r="SRQ71"/>
      <c r="SRR71"/>
      <c r="SRS71"/>
      <c r="SRT71"/>
      <c r="SRU71"/>
      <c r="SRV71"/>
      <c r="SRW71"/>
      <c r="SRX71"/>
      <c r="SRY71"/>
      <c r="SRZ71"/>
      <c r="SSA71"/>
      <c r="SSB71"/>
      <c r="SSC71"/>
      <c r="SSD71"/>
      <c r="SSE71"/>
      <c r="SSF71"/>
      <c r="SSG71"/>
      <c r="SSH71"/>
      <c r="SSI71"/>
      <c r="SSJ71"/>
      <c r="SSK71"/>
      <c r="SSL71"/>
      <c r="SSM71"/>
      <c r="SSN71"/>
      <c r="SSO71"/>
      <c r="SSP71"/>
      <c r="SSQ71"/>
      <c r="SSR71"/>
      <c r="SSS71"/>
      <c r="SST71"/>
      <c r="SSU71"/>
      <c r="SSV71"/>
      <c r="SSW71"/>
      <c r="SSX71"/>
      <c r="SSY71"/>
      <c r="SSZ71"/>
      <c r="STA71"/>
      <c r="STB71"/>
      <c r="STC71"/>
      <c r="STD71"/>
      <c r="STE71"/>
      <c r="STF71"/>
      <c r="STG71"/>
      <c r="STH71"/>
      <c r="STI71"/>
      <c r="STJ71"/>
      <c r="STK71"/>
      <c r="STL71"/>
      <c r="STM71"/>
      <c r="STN71"/>
      <c r="STO71"/>
      <c r="STP71"/>
      <c r="STQ71"/>
      <c r="STR71"/>
      <c r="STS71"/>
      <c r="STT71"/>
      <c r="STU71"/>
      <c r="STV71"/>
      <c r="STW71"/>
      <c r="STX71"/>
      <c r="STY71"/>
      <c r="STZ71"/>
      <c r="SUA71"/>
      <c r="SUB71"/>
      <c r="SUC71"/>
      <c r="SUD71"/>
      <c r="SUE71"/>
      <c r="SUF71"/>
      <c r="SUG71"/>
      <c r="SUH71"/>
      <c r="SUI71"/>
      <c r="SUJ71"/>
      <c r="SUK71"/>
      <c r="SUL71"/>
      <c r="SUM71"/>
      <c r="SUN71"/>
      <c r="SUO71"/>
      <c r="SUP71"/>
      <c r="SUQ71"/>
      <c r="SUR71"/>
      <c r="SUS71"/>
      <c r="SUT71"/>
      <c r="SUU71"/>
      <c r="SUV71"/>
      <c r="SUW71"/>
      <c r="SUX71"/>
      <c r="SUY71"/>
      <c r="SUZ71"/>
      <c r="SVA71"/>
      <c r="SVB71"/>
      <c r="SVC71"/>
      <c r="SVD71"/>
      <c r="SVE71"/>
      <c r="SVF71"/>
      <c r="SVG71"/>
      <c r="SVH71"/>
      <c r="SVI71"/>
      <c r="SVJ71"/>
      <c r="SVK71"/>
      <c r="SVL71"/>
      <c r="SVM71"/>
      <c r="SVN71"/>
      <c r="SVO71"/>
      <c r="SVP71"/>
      <c r="SVQ71"/>
      <c r="SVR71"/>
      <c r="SVS71"/>
      <c r="SVT71"/>
      <c r="SVU71"/>
      <c r="SVV71"/>
      <c r="SVW71"/>
      <c r="SVX71"/>
      <c r="SVY71"/>
      <c r="SVZ71"/>
      <c r="SWA71"/>
      <c r="SWB71"/>
      <c r="SWC71"/>
      <c r="SWD71"/>
      <c r="SWE71"/>
      <c r="SWF71"/>
      <c r="SWG71"/>
      <c r="SWH71"/>
      <c r="SWI71"/>
      <c r="SWJ71"/>
      <c r="SWK71"/>
      <c r="SWL71"/>
      <c r="SWM71"/>
      <c r="SWN71"/>
      <c r="SWO71"/>
      <c r="SWP71"/>
      <c r="SWQ71"/>
      <c r="SWR71"/>
      <c r="SWS71"/>
      <c r="SWT71"/>
      <c r="SWU71"/>
      <c r="SWV71"/>
      <c r="SWW71"/>
      <c r="SWX71"/>
      <c r="SWY71"/>
      <c r="SWZ71"/>
      <c r="SXA71"/>
      <c r="SXB71"/>
      <c r="SXC71"/>
      <c r="SXD71"/>
      <c r="SXE71"/>
      <c r="SXF71"/>
      <c r="SXG71"/>
      <c r="SXH71"/>
      <c r="SXI71"/>
      <c r="SXJ71"/>
      <c r="SXK71"/>
      <c r="SXL71"/>
      <c r="SXM71"/>
      <c r="SXN71"/>
      <c r="SXO71"/>
      <c r="SXP71"/>
      <c r="SXQ71"/>
      <c r="SXR71"/>
      <c r="SXS71"/>
      <c r="SXT71"/>
      <c r="SXU71"/>
      <c r="SXV71"/>
      <c r="SXW71"/>
      <c r="SXX71"/>
      <c r="SXY71"/>
      <c r="SXZ71"/>
      <c r="SYA71"/>
      <c r="SYB71"/>
      <c r="SYC71"/>
      <c r="SYD71"/>
      <c r="SYE71"/>
      <c r="SYF71"/>
      <c r="SYG71"/>
      <c r="SYH71"/>
      <c r="SYI71"/>
      <c r="SYJ71"/>
      <c r="SYK71"/>
      <c r="SYL71"/>
      <c r="SYM71"/>
      <c r="SYN71"/>
      <c r="SYO71"/>
      <c r="SYP71"/>
      <c r="SYQ71"/>
      <c r="SYR71"/>
      <c r="SYS71"/>
      <c r="SYT71"/>
      <c r="SYU71"/>
      <c r="SYV71"/>
      <c r="SYW71"/>
      <c r="SYX71"/>
      <c r="SYY71"/>
      <c r="SYZ71"/>
      <c r="SZA71"/>
      <c r="SZB71"/>
      <c r="SZC71"/>
      <c r="SZD71"/>
      <c r="SZE71"/>
      <c r="SZF71"/>
      <c r="SZG71"/>
      <c r="SZH71"/>
      <c r="SZI71"/>
      <c r="SZJ71"/>
      <c r="SZK71"/>
      <c r="SZL71"/>
      <c r="SZM71"/>
      <c r="SZN71"/>
      <c r="SZO71"/>
      <c r="SZP71"/>
      <c r="SZQ71"/>
      <c r="SZR71"/>
      <c r="SZS71"/>
      <c r="SZT71"/>
      <c r="SZU71"/>
      <c r="SZV71"/>
      <c r="SZW71"/>
      <c r="SZX71"/>
      <c r="SZY71"/>
      <c r="SZZ71"/>
      <c r="TAA71"/>
      <c r="TAB71"/>
      <c r="TAC71"/>
      <c r="TAD71"/>
      <c r="TAE71"/>
      <c r="TAF71"/>
      <c r="TAG71"/>
      <c r="TAH71"/>
      <c r="TAI71"/>
      <c r="TAJ71"/>
      <c r="TAK71"/>
      <c r="TAL71"/>
      <c r="TAM71"/>
      <c r="TAN71"/>
      <c r="TAO71"/>
      <c r="TAP71"/>
      <c r="TAQ71"/>
      <c r="TAR71"/>
      <c r="TAS71"/>
      <c r="TAT71"/>
      <c r="TAU71"/>
      <c r="TAV71"/>
      <c r="TAW71"/>
      <c r="TAX71"/>
      <c r="TAY71"/>
      <c r="TAZ71"/>
      <c r="TBA71"/>
      <c r="TBB71"/>
      <c r="TBC71"/>
      <c r="TBD71"/>
      <c r="TBE71"/>
      <c r="TBF71"/>
      <c r="TBG71"/>
      <c r="TBH71"/>
      <c r="TBI71"/>
      <c r="TBJ71"/>
      <c r="TBK71"/>
      <c r="TBL71"/>
      <c r="TBM71"/>
      <c r="TBN71"/>
      <c r="TBO71"/>
      <c r="TBP71"/>
      <c r="TBQ71"/>
      <c r="TBR71"/>
      <c r="TBS71"/>
      <c r="TBT71"/>
      <c r="TBU71"/>
      <c r="TBV71"/>
      <c r="TBW71"/>
      <c r="TBX71"/>
      <c r="TBY71"/>
      <c r="TBZ71"/>
      <c r="TCA71"/>
      <c r="TCB71"/>
      <c r="TCC71"/>
      <c r="TCD71"/>
      <c r="TCE71"/>
      <c r="TCF71"/>
      <c r="TCG71"/>
      <c r="TCH71"/>
      <c r="TCI71"/>
      <c r="TCJ71"/>
      <c r="TCK71"/>
      <c r="TCL71"/>
      <c r="TCM71"/>
      <c r="TCN71"/>
      <c r="TCO71"/>
      <c r="TCP71"/>
      <c r="TCQ71"/>
      <c r="TCR71"/>
      <c r="TCS71"/>
      <c r="TCT71"/>
      <c r="TCU71"/>
      <c r="TCV71"/>
      <c r="TCW71"/>
      <c r="TCX71"/>
      <c r="TCY71"/>
      <c r="TCZ71"/>
      <c r="TDA71"/>
      <c r="TDB71"/>
      <c r="TDC71"/>
      <c r="TDD71"/>
      <c r="TDE71"/>
      <c r="TDF71"/>
      <c r="TDG71"/>
      <c r="TDH71"/>
      <c r="TDI71"/>
      <c r="TDJ71"/>
      <c r="TDK71"/>
      <c r="TDL71"/>
      <c r="TDM71"/>
      <c r="TDN71"/>
      <c r="TDO71"/>
      <c r="TDP71"/>
      <c r="TDQ71"/>
      <c r="TDR71"/>
      <c r="TDS71"/>
      <c r="TDT71"/>
      <c r="TDU71"/>
      <c r="TDV71"/>
      <c r="TDW71"/>
      <c r="TDX71"/>
      <c r="TDY71"/>
      <c r="TDZ71"/>
      <c r="TEA71"/>
      <c r="TEB71"/>
      <c r="TEC71"/>
      <c r="TED71"/>
      <c r="TEE71"/>
      <c r="TEF71"/>
      <c r="TEG71"/>
      <c r="TEH71"/>
      <c r="TEI71"/>
      <c r="TEJ71"/>
      <c r="TEK71"/>
      <c r="TEL71"/>
      <c r="TEM71"/>
      <c r="TEN71"/>
      <c r="TEO71"/>
      <c r="TEP71"/>
      <c r="TEQ71"/>
      <c r="TER71"/>
      <c r="TES71"/>
      <c r="TET71"/>
      <c r="TEU71"/>
      <c r="TEV71"/>
      <c r="TEW71"/>
      <c r="TEX71"/>
      <c r="TEY71"/>
      <c r="TEZ71"/>
      <c r="TFA71"/>
      <c r="TFB71"/>
      <c r="TFC71"/>
      <c r="TFD71"/>
      <c r="TFE71"/>
      <c r="TFF71"/>
      <c r="TFG71"/>
      <c r="TFH71"/>
      <c r="TFI71"/>
      <c r="TFJ71"/>
      <c r="TFK71"/>
      <c r="TFL71"/>
      <c r="TFM71"/>
      <c r="TFN71"/>
      <c r="TFO71"/>
      <c r="TFP71"/>
      <c r="TFQ71"/>
      <c r="TFR71"/>
      <c r="TFS71"/>
      <c r="TFT71"/>
      <c r="TFU71"/>
      <c r="TFV71"/>
      <c r="TFW71"/>
      <c r="TFX71"/>
      <c r="TFY71"/>
      <c r="TFZ71"/>
      <c r="TGA71"/>
      <c r="TGB71"/>
      <c r="TGC71"/>
      <c r="TGD71"/>
      <c r="TGE71"/>
      <c r="TGF71"/>
      <c r="TGG71"/>
      <c r="TGH71"/>
      <c r="TGI71"/>
      <c r="TGJ71"/>
      <c r="TGK71"/>
      <c r="TGL71"/>
      <c r="TGM71"/>
      <c r="TGN71"/>
      <c r="TGO71"/>
      <c r="TGP71"/>
      <c r="TGQ71"/>
      <c r="TGR71"/>
      <c r="TGS71"/>
      <c r="TGT71"/>
      <c r="TGU71"/>
      <c r="TGV71"/>
      <c r="TGW71"/>
      <c r="TGX71"/>
      <c r="TGY71"/>
      <c r="TGZ71"/>
      <c r="THA71"/>
      <c r="THB71"/>
      <c r="THC71"/>
      <c r="THD71"/>
      <c r="THE71"/>
      <c r="THF71"/>
      <c r="THG71"/>
      <c r="THH71"/>
      <c r="THI71"/>
      <c r="THJ71"/>
      <c r="THK71"/>
      <c r="THL71"/>
      <c r="THM71"/>
      <c r="THN71"/>
      <c r="THO71"/>
      <c r="THP71"/>
      <c r="THQ71"/>
      <c r="THR71"/>
      <c r="THS71"/>
      <c r="THT71"/>
      <c r="THU71"/>
      <c r="THV71"/>
      <c r="THW71"/>
      <c r="THX71"/>
      <c r="THY71"/>
      <c r="THZ71"/>
      <c r="TIA71"/>
      <c r="TIB71"/>
      <c r="TIC71"/>
      <c r="TID71"/>
      <c r="TIE71"/>
      <c r="TIF71"/>
      <c r="TIG71"/>
      <c r="TIH71"/>
      <c r="TII71"/>
      <c r="TIJ71"/>
      <c r="TIK71"/>
      <c r="TIL71"/>
      <c r="TIM71"/>
      <c r="TIN71"/>
      <c r="TIO71"/>
      <c r="TIP71"/>
      <c r="TIQ71"/>
      <c r="TIR71"/>
      <c r="TIS71"/>
      <c r="TIT71"/>
      <c r="TIU71"/>
      <c r="TIV71"/>
      <c r="TIW71"/>
      <c r="TIX71"/>
      <c r="TIY71"/>
      <c r="TIZ71"/>
      <c r="TJA71"/>
      <c r="TJB71"/>
      <c r="TJC71"/>
      <c r="TJD71"/>
      <c r="TJE71"/>
      <c r="TJF71"/>
      <c r="TJG71"/>
      <c r="TJH71"/>
      <c r="TJI71"/>
      <c r="TJJ71"/>
      <c r="TJK71"/>
      <c r="TJL71"/>
      <c r="TJM71"/>
      <c r="TJN71"/>
      <c r="TJO71"/>
      <c r="TJP71"/>
      <c r="TJQ71"/>
      <c r="TJR71"/>
      <c r="TJS71"/>
      <c r="TJT71"/>
      <c r="TJU71"/>
      <c r="TJV71"/>
      <c r="TJW71"/>
      <c r="TJX71"/>
      <c r="TJY71"/>
      <c r="TJZ71"/>
      <c r="TKA71"/>
      <c r="TKB71"/>
      <c r="TKC71"/>
      <c r="TKD71"/>
      <c r="TKE71"/>
      <c r="TKF71"/>
      <c r="TKG71"/>
      <c r="TKH71"/>
      <c r="TKI71"/>
      <c r="TKJ71"/>
      <c r="TKK71"/>
      <c r="TKL71"/>
      <c r="TKM71"/>
      <c r="TKN71"/>
      <c r="TKO71"/>
      <c r="TKP71"/>
      <c r="TKQ71"/>
      <c r="TKR71"/>
      <c r="TKS71"/>
      <c r="TKT71"/>
      <c r="TKU71"/>
      <c r="TKV71"/>
      <c r="TKW71"/>
      <c r="TKX71"/>
      <c r="TKY71"/>
      <c r="TKZ71"/>
      <c r="TLA71"/>
      <c r="TLB71"/>
      <c r="TLC71"/>
      <c r="TLD71"/>
      <c r="TLE71"/>
      <c r="TLF71"/>
      <c r="TLG71"/>
      <c r="TLH71"/>
      <c r="TLI71"/>
      <c r="TLJ71"/>
      <c r="TLK71"/>
      <c r="TLL71"/>
      <c r="TLM71"/>
      <c r="TLN71"/>
      <c r="TLO71"/>
      <c r="TLP71"/>
      <c r="TLQ71"/>
      <c r="TLR71"/>
      <c r="TLS71"/>
      <c r="TLT71"/>
      <c r="TLU71"/>
      <c r="TLV71"/>
      <c r="TLW71"/>
      <c r="TLX71"/>
      <c r="TLY71"/>
      <c r="TLZ71"/>
      <c r="TMA71"/>
      <c r="TMB71"/>
      <c r="TMC71"/>
      <c r="TMD71"/>
      <c r="TME71"/>
      <c r="TMF71"/>
      <c r="TMG71"/>
      <c r="TMH71"/>
      <c r="TMI71"/>
      <c r="TMJ71"/>
      <c r="TMK71"/>
      <c r="TML71"/>
      <c r="TMM71"/>
      <c r="TMN71"/>
      <c r="TMO71"/>
      <c r="TMP71"/>
      <c r="TMQ71"/>
      <c r="TMR71"/>
      <c r="TMS71"/>
      <c r="TMT71"/>
      <c r="TMU71"/>
      <c r="TMV71"/>
      <c r="TMW71"/>
      <c r="TMX71"/>
      <c r="TMY71"/>
      <c r="TMZ71"/>
      <c r="TNA71"/>
      <c r="TNB71"/>
      <c r="TNC71"/>
      <c r="TND71"/>
      <c r="TNE71"/>
      <c r="TNF71"/>
      <c r="TNG71"/>
      <c r="TNH71"/>
      <c r="TNI71"/>
      <c r="TNJ71"/>
      <c r="TNK71"/>
      <c r="TNL71"/>
      <c r="TNM71"/>
      <c r="TNN71"/>
      <c r="TNO71"/>
      <c r="TNP71"/>
      <c r="TNQ71"/>
      <c r="TNR71"/>
      <c r="TNS71"/>
      <c r="TNT71"/>
      <c r="TNU71"/>
      <c r="TNV71"/>
      <c r="TNW71"/>
      <c r="TNX71"/>
      <c r="TNY71"/>
      <c r="TNZ71"/>
      <c r="TOA71"/>
      <c r="TOB71"/>
      <c r="TOC71"/>
      <c r="TOD71"/>
      <c r="TOE71"/>
      <c r="TOF71"/>
      <c r="TOG71"/>
      <c r="TOH71"/>
      <c r="TOI71"/>
      <c r="TOJ71"/>
      <c r="TOK71"/>
      <c r="TOL71"/>
      <c r="TOM71"/>
      <c r="TON71"/>
      <c r="TOO71"/>
      <c r="TOP71"/>
      <c r="TOQ71"/>
      <c r="TOR71"/>
      <c r="TOS71"/>
      <c r="TOT71"/>
      <c r="TOU71"/>
      <c r="TOV71"/>
      <c r="TOW71"/>
      <c r="TOX71"/>
      <c r="TOY71"/>
      <c r="TOZ71"/>
      <c r="TPA71"/>
      <c r="TPB71"/>
      <c r="TPC71"/>
      <c r="TPD71"/>
      <c r="TPE71"/>
      <c r="TPF71"/>
      <c r="TPG71"/>
      <c r="TPH71"/>
      <c r="TPI71"/>
      <c r="TPJ71"/>
      <c r="TPK71"/>
      <c r="TPL71"/>
      <c r="TPM71"/>
      <c r="TPN71"/>
      <c r="TPO71"/>
      <c r="TPP71"/>
      <c r="TPQ71"/>
      <c r="TPR71"/>
      <c r="TPS71"/>
      <c r="TPT71"/>
      <c r="TPU71"/>
      <c r="TPV71"/>
      <c r="TPW71"/>
      <c r="TPX71"/>
      <c r="TPY71"/>
      <c r="TPZ71"/>
      <c r="TQA71"/>
      <c r="TQB71"/>
      <c r="TQC71"/>
      <c r="TQD71"/>
      <c r="TQE71"/>
      <c r="TQF71"/>
      <c r="TQG71"/>
      <c r="TQH71"/>
      <c r="TQI71"/>
      <c r="TQJ71"/>
      <c r="TQK71"/>
      <c r="TQL71"/>
      <c r="TQM71"/>
      <c r="TQN71"/>
      <c r="TQO71"/>
      <c r="TQP71"/>
      <c r="TQQ71"/>
      <c r="TQR71"/>
      <c r="TQS71"/>
      <c r="TQT71"/>
      <c r="TQU71"/>
      <c r="TQV71"/>
      <c r="TQW71"/>
      <c r="TQX71"/>
      <c r="TQY71"/>
      <c r="TQZ71"/>
      <c r="TRA71"/>
      <c r="TRB71"/>
      <c r="TRC71"/>
      <c r="TRD71"/>
      <c r="TRE71"/>
      <c r="TRF71"/>
      <c r="TRG71"/>
      <c r="TRH71"/>
      <c r="TRI71"/>
      <c r="TRJ71"/>
      <c r="TRK71"/>
      <c r="TRL71"/>
      <c r="TRM71"/>
      <c r="TRN71"/>
      <c r="TRO71"/>
      <c r="TRP71"/>
      <c r="TRQ71"/>
      <c r="TRR71"/>
      <c r="TRS71"/>
      <c r="TRT71"/>
      <c r="TRU71"/>
      <c r="TRV71"/>
      <c r="TRW71"/>
      <c r="TRX71"/>
      <c r="TRY71"/>
      <c r="TRZ71"/>
      <c r="TSA71"/>
      <c r="TSB71"/>
      <c r="TSC71"/>
      <c r="TSD71"/>
      <c r="TSE71"/>
      <c r="TSF71"/>
      <c r="TSG71"/>
      <c r="TSH71"/>
      <c r="TSI71"/>
      <c r="TSJ71"/>
      <c r="TSK71"/>
      <c r="TSL71"/>
      <c r="TSM71"/>
      <c r="TSN71"/>
      <c r="TSO71"/>
      <c r="TSP71"/>
      <c r="TSQ71"/>
      <c r="TSR71"/>
      <c r="TSS71"/>
      <c r="TST71"/>
      <c r="TSU71"/>
      <c r="TSV71"/>
      <c r="TSW71"/>
      <c r="TSX71"/>
      <c r="TSY71"/>
      <c r="TSZ71"/>
      <c r="TTA71"/>
      <c r="TTB71"/>
      <c r="TTC71"/>
      <c r="TTD71"/>
      <c r="TTE71"/>
      <c r="TTF71"/>
      <c r="TTG71"/>
      <c r="TTH71"/>
      <c r="TTI71"/>
      <c r="TTJ71"/>
      <c r="TTK71"/>
      <c r="TTL71"/>
      <c r="TTM71"/>
      <c r="TTN71"/>
      <c r="TTO71"/>
      <c r="TTP71"/>
      <c r="TTQ71"/>
      <c r="TTR71"/>
      <c r="TTS71"/>
      <c r="TTT71"/>
      <c r="TTU71"/>
      <c r="TTV71"/>
      <c r="TTW71"/>
      <c r="TTX71"/>
      <c r="TTY71"/>
      <c r="TTZ71"/>
      <c r="TUA71"/>
      <c r="TUB71"/>
      <c r="TUC71"/>
      <c r="TUD71"/>
      <c r="TUE71"/>
      <c r="TUF71"/>
      <c r="TUG71"/>
      <c r="TUH71"/>
      <c r="TUI71"/>
      <c r="TUJ71"/>
      <c r="TUK71"/>
      <c r="TUL71"/>
      <c r="TUM71"/>
      <c r="TUN71"/>
      <c r="TUO71"/>
      <c r="TUP71"/>
      <c r="TUQ71"/>
      <c r="TUR71"/>
      <c r="TUS71"/>
      <c r="TUT71"/>
      <c r="TUU71"/>
      <c r="TUV71"/>
      <c r="TUW71"/>
      <c r="TUX71"/>
      <c r="TUY71"/>
      <c r="TUZ71"/>
      <c r="TVA71"/>
      <c r="TVB71"/>
      <c r="TVC71"/>
      <c r="TVD71"/>
      <c r="TVE71"/>
      <c r="TVF71"/>
      <c r="TVG71"/>
      <c r="TVH71"/>
      <c r="TVI71"/>
      <c r="TVJ71"/>
      <c r="TVK71"/>
      <c r="TVL71"/>
      <c r="TVM71"/>
      <c r="TVN71"/>
      <c r="TVO71"/>
      <c r="TVP71"/>
      <c r="TVQ71"/>
      <c r="TVR71"/>
      <c r="TVS71"/>
      <c r="TVT71"/>
      <c r="TVU71"/>
      <c r="TVV71"/>
      <c r="TVW71"/>
      <c r="TVX71"/>
      <c r="TVY71"/>
      <c r="TVZ71"/>
      <c r="TWA71"/>
      <c r="TWB71"/>
      <c r="TWC71"/>
      <c r="TWD71"/>
      <c r="TWE71"/>
      <c r="TWF71"/>
      <c r="TWG71"/>
      <c r="TWH71"/>
      <c r="TWI71"/>
      <c r="TWJ71"/>
      <c r="TWK71"/>
      <c r="TWL71"/>
      <c r="TWM71"/>
      <c r="TWN71"/>
      <c r="TWO71"/>
      <c r="TWP71"/>
      <c r="TWQ71"/>
      <c r="TWR71"/>
      <c r="TWS71"/>
      <c r="TWT71"/>
      <c r="TWU71"/>
      <c r="TWV71"/>
      <c r="TWW71"/>
      <c r="TWX71"/>
      <c r="TWY71"/>
      <c r="TWZ71"/>
      <c r="TXA71"/>
      <c r="TXB71"/>
      <c r="TXC71"/>
      <c r="TXD71"/>
      <c r="TXE71"/>
      <c r="TXF71"/>
      <c r="TXG71"/>
      <c r="TXH71"/>
      <c r="TXI71"/>
      <c r="TXJ71"/>
      <c r="TXK71"/>
      <c r="TXL71"/>
      <c r="TXM71"/>
      <c r="TXN71"/>
      <c r="TXO71"/>
      <c r="TXP71"/>
      <c r="TXQ71"/>
      <c r="TXR71"/>
      <c r="TXS71"/>
      <c r="TXT71"/>
      <c r="TXU71"/>
      <c r="TXV71"/>
      <c r="TXW71"/>
      <c r="TXX71"/>
      <c r="TXY71"/>
      <c r="TXZ71"/>
      <c r="TYA71"/>
      <c r="TYB71"/>
      <c r="TYC71"/>
      <c r="TYD71"/>
      <c r="TYE71"/>
      <c r="TYF71"/>
      <c r="TYG71"/>
      <c r="TYH71"/>
      <c r="TYI71"/>
      <c r="TYJ71"/>
      <c r="TYK71"/>
      <c r="TYL71"/>
      <c r="TYM71"/>
      <c r="TYN71"/>
      <c r="TYO71"/>
      <c r="TYP71"/>
      <c r="TYQ71"/>
      <c r="TYR71"/>
      <c r="TYS71"/>
      <c r="TYT71"/>
      <c r="TYU71"/>
      <c r="TYV71"/>
      <c r="TYW71"/>
      <c r="TYX71"/>
      <c r="TYY71"/>
      <c r="TYZ71"/>
      <c r="TZA71"/>
      <c r="TZB71"/>
      <c r="TZC71"/>
      <c r="TZD71"/>
      <c r="TZE71"/>
      <c r="TZF71"/>
      <c r="TZG71"/>
      <c r="TZH71"/>
      <c r="TZI71"/>
      <c r="TZJ71"/>
      <c r="TZK71"/>
      <c r="TZL71"/>
      <c r="TZM71"/>
      <c r="TZN71"/>
      <c r="TZO71"/>
      <c r="TZP71"/>
      <c r="TZQ71"/>
      <c r="TZR71"/>
      <c r="TZS71"/>
      <c r="TZT71"/>
      <c r="TZU71"/>
      <c r="TZV71"/>
      <c r="TZW71"/>
      <c r="TZX71"/>
      <c r="TZY71"/>
      <c r="TZZ71"/>
      <c r="UAA71"/>
      <c r="UAB71"/>
      <c r="UAC71"/>
      <c r="UAD71"/>
      <c r="UAE71"/>
      <c r="UAF71"/>
      <c r="UAG71"/>
      <c r="UAH71"/>
      <c r="UAI71"/>
      <c r="UAJ71"/>
      <c r="UAK71"/>
      <c r="UAL71"/>
      <c r="UAM71"/>
      <c r="UAN71"/>
      <c r="UAO71"/>
      <c r="UAP71"/>
      <c r="UAQ71"/>
      <c r="UAR71"/>
      <c r="UAS71"/>
      <c r="UAT71"/>
      <c r="UAU71"/>
      <c r="UAV71"/>
      <c r="UAW71"/>
      <c r="UAX71"/>
      <c r="UAY71"/>
      <c r="UAZ71"/>
      <c r="UBA71"/>
      <c r="UBB71"/>
      <c r="UBC71"/>
      <c r="UBD71"/>
      <c r="UBE71"/>
      <c r="UBF71"/>
      <c r="UBG71"/>
      <c r="UBH71"/>
      <c r="UBI71"/>
      <c r="UBJ71"/>
      <c r="UBK71"/>
      <c r="UBL71"/>
      <c r="UBM71"/>
      <c r="UBN71"/>
      <c r="UBO71"/>
      <c r="UBP71"/>
      <c r="UBQ71"/>
      <c r="UBR71"/>
      <c r="UBS71"/>
      <c r="UBT71"/>
      <c r="UBU71"/>
      <c r="UBV71"/>
      <c r="UBW71"/>
      <c r="UBX71"/>
      <c r="UBY71"/>
      <c r="UBZ71"/>
      <c r="UCA71"/>
      <c r="UCB71"/>
      <c r="UCC71"/>
      <c r="UCD71"/>
      <c r="UCE71"/>
      <c r="UCF71"/>
      <c r="UCG71"/>
      <c r="UCH71"/>
      <c r="UCI71"/>
      <c r="UCJ71"/>
      <c r="UCK71"/>
      <c r="UCL71"/>
      <c r="UCM71"/>
      <c r="UCN71"/>
      <c r="UCO71"/>
      <c r="UCP71"/>
      <c r="UCQ71"/>
      <c r="UCR71"/>
      <c r="UCS71"/>
      <c r="UCT71"/>
      <c r="UCU71"/>
      <c r="UCV71"/>
      <c r="UCW71"/>
      <c r="UCX71"/>
      <c r="UCY71"/>
      <c r="UCZ71"/>
      <c r="UDA71"/>
      <c r="UDB71"/>
      <c r="UDC71"/>
      <c r="UDD71"/>
      <c r="UDE71"/>
      <c r="UDF71"/>
      <c r="UDG71"/>
      <c r="UDH71"/>
      <c r="UDI71"/>
      <c r="UDJ71"/>
      <c r="UDK71"/>
      <c r="UDL71"/>
      <c r="UDM71"/>
      <c r="UDN71"/>
      <c r="UDO71"/>
      <c r="UDP71"/>
      <c r="UDQ71"/>
      <c r="UDR71"/>
      <c r="UDS71"/>
      <c r="UDT71"/>
      <c r="UDU71"/>
      <c r="UDV71"/>
      <c r="UDW71"/>
      <c r="UDX71"/>
      <c r="UDY71"/>
      <c r="UDZ71"/>
      <c r="UEA71"/>
      <c r="UEB71"/>
      <c r="UEC71"/>
      <c r="UED71"/>
      <c r="UEE71"/>
      <c r="UEF71"/>
      <c r="UEG71"/>
      <c r="UEH71"/>
      <c r="UEI71"/>
      <c r="UEJ71"/>
      <c r="UEK71"/>
      <c r="UEL71"/>
      <c r="UEM71"/>
      <c r="UEN71"/>
      <c r="UEO71"/>
      <c r="UEP71"/>
      <c r="UEQ71"/>
      <c r="UER71"/>
      <c r="UES71"/>
      <c r="UET71"/>
      <c r="UEU71"/>
      <c r="UEV71"/>
      <c r="UEW71"/>
      <c r="UEX71"/>
      <c r="UEY71"/>
      <c r="UEZ71"/>
      <c r="UFA71"/>
      <c r="UFB71"/>
      <c r="UFC71"/>
      <c r="UFD71"/>
      <c r="UFE71"/>
      <c r="UFF71"/>
      <c r="UFG71"/>
      <c r="UFH71"/>
      <c r="UFI71"/>
      <c r="UFJ71"/>
      <c r="UFK71"/>
      <c r="UFL71"/>
      <c r="UFM71"/>
      <c r="UFN71"/>
      <c r="UFO71"/>
      <c r="UFP71"/>
      <c r="UFQ71"/>
      <c r="UFR71"/>
      <c r="UFS71"/>
      <c r="UFT71"/>
      <c r="UFU71"/>
      <c r="UFV71"/>
      <c r="UFW71"/>
      <c r="UFX71"/>
      <c r="UFY71"/>
      <c r="UFZ71"/>
      <c r="UGA71"/>
      <c r="UGB71"/>
      <c r="UGC71"/>
      <c r="UGD71"/>
      <c r="UGE71"/>
      <c r="UGF71"/>
      <c r="UGG71"/>
      <c r="UGH71"/>
      <c r="UGI71"/>
      <c r="UGJ71"/>
      <c r="UGK71"/>
      <c r="UGL71"/>
      <c r="UGM71"/>
      <c r="UGN71"/>
      <c r="UGO71"/>
      <c r="UGP71"/>
      <c r="UGQ71"/>
      <c r="UGR71"/>
      <c r="UGS71"/>
      <c r="UGT71"/>
      <c r="UGU71"/>
      <c r="UGV71"/>
      <c r="UGW71"/>
      <c r="UGX71"/>
      <c r="UGY71"/>
      <c r="UGZ71"/>
      <c r="UHA71"/>
      <c r="UHB71"/>
      <c r="UHC71"/>
      <c r="UHD71"/>
      <c r="UHE71"/>
      <c r="UHF71"/>
      <c r="UHG71"/>
      <c r="UHH71"/>
      <c r="UHI71"/>
      <c r="UHJ71"/>
      <c r="UHK71"/>
      <c r="UHL71"/>
      <c r="UHM71"/>
      <c r="UHN71"/>
      <c r="UHO71"/>
      <c r="UHP71"/>
      <c r="UHQ71"/>
      <c r="UHR71"/>
      <c r="UHS71"/>
      <c r="UHT71"/>
      <c r="UHU71"/>
      <c r="UHV71"/>
      <c r="UHW71"/>
      <c r="UHX71"/>
      <c r="UHY71"/>
      <c r="UHZ71"/>
      <c r="UIA71"/>
      <c r="UIB71"/>
      <c r="UIC71"/>
      <c r="UID71"/>
      <c r="UIE71"/>
      <c r="UIF71"/>
      <c r="UIG71"/>
      <c r="UIH71"/>
      <c r="UII71"/>
      <c r="UIJ71"/>
      <c r="UIK71"/>
      <c r="UIL71"/>
      <c r="UIM71"/>
      <c r="UIN71"/>
      <c r="UIO71"/>
      <c r="UIP71"/>
      <c r="UIQ71"/>
      <c r="UIR71"/>
      <c r="UIS71"/>
      <c r="UIT71"/>
      <c r="UIU71"/>
      <c r="UIV71"/>
      <c r="UIW71"/>
      <c r="UIX71"/>
      <c r="UIY71"/>
      <c r="UIZ71"/>
      <c r="UJA71"/>
      <c r="UJB71"/>
      <c r="UJC71"/>
      <c r="UJD71"/>
      <c r="UJE71"/>
      <c r="UJF71"/>
      <c r="UJG71"/>
      <c r="UJH71"/>
      <c r="UJI71"/>
      <c r="UJJ71"/>
      <c r="UJK71"/>
      <c r="UJL71"/>
      <c r="UJM71"/>
      <c r="UJN71"/>
      <c r="UJO71"/>
      <c r="UJP71"/>
      <c r="UJQ71"/>
      <c r="UJR71"/>
      <c r="UJS71"/>
      <c r="UJT71"/>
      <c r="UJU71"/>
      <c r="UJV71"/>
      <c r="UJW71"/>
      <c r="UJX71"/>
      <c r="UJY71"/>
      <c r="UJZ71"/>
      <c r="UKA71"/>
      <c r="UKB71"/>
      <c r="UKC71"/>
      <c r="UKD71"/>
      <c r="UKE71"/>
      <c r="UKF71"/>
      <c r="UKG71"/>
      <c r="UKH71"/>
      <c r="UKI71"/>
      <c r="UKJ71"/>
      <c r="UKK71"/>
      <c r="UKL71"/>
      <c r="UKM71"/>
      <c r="UKN71"/>
      <c r="UKO71"/>
      <c r="UKP71"/>
      <c r="UKQ71"/>
      <c r="UKR71"/>
      <c r="UKS71"/>
      <c r="UKT71"/>
      <c r="UKU71"/>
      <c r="UKV71"/>
      <c r="UKW71"/>
      <c r="UKX71"/>
      <c r="UKY71"/>
      <c r="UKZ71"/>
      <c r="ULA71"/>
      <c r="ULB71"/>
      <c r="ULC71"/>
      <c r="ULD71"/>
      <c r="ULE71"/>
      <c r="ULF71"/>
      <c r="ULG71"/>
      <c r="ULH71"/>
      <c r="ULI71"/>
      <c r="ULJ71"/>
      <c r="ULK71"/>
      <c r="ULL71"/>
      <c r="ULM71"/>
      <c r="ULN71"/>
      <c r="ULO71"/>
      <c r="ULP71"/>
      <c r="ULQ71"/>
      <c r="ULR71"/>
      <c r="ULS71"/>
      <c r="ULT71"/>
      <c r="ULU71"/>
      <c r="ULV71"/>
      <c r="ULW71"/>
      <c r="ULX71"/>
      <c r="ULY71"/>
      <c r="ULZ71"/>
      <c r="UMA71"/>
      <c r="UMB71"/>
      <c r="UMC71"/>
      <c r="UMD71"/>
      <c r="UME71"/>
      <c r="UMF71"/>
      <c r="UMG71"/>
      <c r="UMH71"/>
      <c r="UMI71"/>
      <c r="UMJ71"/>
      <c r="UMK71"/>
      <c r="UML71"/>
      <c r="UMM71"/>
      <c r="UMN71"/>
      <c r="UMO71"/>
      <c r="UMP71"/>
      <c r="UMQ71"/>
      <c r="UMR71"/>
      <c r="UMS71"/>
      <c r="UMT71"/>
      <c r="UMU71"/>
      <c r="UMV71"/>
      <c r="UMW71"/>
      <c r="UMX71"/>
      <c r="UMY71"/>
      <c r="UMZ71"/>
      <c r="UNA71"/>
      <c r="UNB71"/>
      <c r="UNC71"/>
      <c r="UND71"/>
      <c r="UNE71"/>
      <c r="UNF71"/>
      <c r="UNG71"/>
      <c r="UNH71"/>
      <c r="UNI71"/>
      <c r="UNJ71"/>
      <c r="UNK71"/>
      <c r="UNL71"/>
      <c r="UNM71"/>
      <c r="UNN71"/>
      <c r="UNO71"/>
      <c r="UNP71"/>
      <c r="UNQ71"/>
      <c r="UNR71"/>
      <c r="UNS71"/>
      <c r="UNT71"/>
      <c r="UNU71"/>
      <c r="UNV71"/>
      <c r="UNW71"/>
      <c r="UNX71"/>
      <c r="UNY71"/>
      <c r="UNZ71"/>
      <c r="UOA71"/>
      <c r="UOB71"/>
      <c r="UOC71"/>
      <c r="UOD71"/>
      <c r="UOE71"/>
      <c r="UOF71"/>
      <c r="UOG71"/>
      <c r="UOH71"/>
      <c r="UOI71"/>
      <c r="UOJ71"/>
      <c r="UOK71"/>
      <c r="UOL71"/>
      <c r="UOM71"/>
      <c r="UON71"/>
      <c r="UOO71"/>
      <c r="UOP71"/>
      <c r="UOQ71"/>
      <c r="UOR71"/>
      <c r="UOS71"/>
      <c r="UOT71"/>
      <c r="UOU71"/>
      <c r="UOV71"/>
      <c r="UOW71"/>
      <c r="UOX71"/>
      <c r="UOY71"/>
      <c r="UOZ71"/>
      <c r="UPA71"/>
      <c r="UPB71"/>
      <c r="UPC71"/>
      <c r="UPD71"/>
      <c r="UPE71"/>
      <c r="UPF71"/>
      <c r="UPG71"/>
      <c r="UPH71"/>
      <c r="UPI71"/>
      <c r="UPJ71"/>
      <c r="UPK71"/>
      <c r="UPL71"/>
      <c r="UPM71"/>
      <c r="UPN71"/>
      <c r="UPO71"/>
      <c r="UPP71"/>
      <c r="UPQ71"/>
      <c r="UPR71"/>
      <c r="UPS71"/>
      <c r="UPT71"/>
      <c r="UPU71"/>
      <c r="UPV71"/>
      <c r="UPW71"/>
      <c r="UPX71"/>
      <c r="UPY71"/>
      <c r="UPZ71"/>
      <c r="UQA71"/>
      <c r="UQB71"/>
      <c r="UQC71"/>
      <c r="UQD71"/>
      <c r="UQE71"/>
      <c r="UQF71"/>
      <c r="UQG71"/>
      <c r="UQH71"/>
      <c r="UQI71"/>
      <c r="UQJ71"/>
      <c r="UQK71"/>
      <c r="UQL71"/>
      <c r="UQM71"/>
      <c r="UQN71"/>
      <c r="UQO71"/>
      <c r="UQP71"/>
      <c r="UQQ71"/>
      <c r="UQR71"/>
      <c r="UQS71"/>
      <c r="UQT71"/>
      <c r="UQU71"/>
      <c r="UQV71"/>
      <c r="UQW71"/>
      <c r="UQX71"/>
      <c r="UQY71"/>
      <c r="UQZ71"/>
      <c r="URA71"/>
      <c r="URB71"/>
      <c r="URC71"/>
      <c r="URD71"/>
      <c r="URE71"/>
      <c r="URF71"/>
      <c r="URG71"/>
      <c r="URH71"/>
      <c r="URI71"/>
      <c r="URJ71"/>
      <c r="URK71"/>
      <c r="URL71"/>
      <c r="URM71"/>
      <c r="URN71"/>
      <c r="URO71"/>
      <c r="URP71"/>
      <c r="URQ71"/>
      <c r="URR71"/>
      <c r="URS71"/>
      <c r="URT71"/>
      <c r="URU71"/>
      <c r="URV71"/>
      <c r="URW71"/>
      <c r="URX71"/>
      <c r="URY71"/>
      <c r="URZ71"/>
      <c r="USA71"/>
      <c r="USB71"/>
      <c r="USC71"/>
      <c r="USD71"/>
      <c r="USE71"/>
      <c r="USF71"/>
      <c r="USG71"/>
      <c r="USH71"/>
      <c r="USI71"/>
      <c r="USJ71"/>
      <c r="USK71"/>
      <c r="USL71"/>
      <c r="USM71"/>
      <c r="USN71"/>
      <c r="USO71"/>
      <c r="USP71"/>
      <c r="USQ71"/>
      <c r="USR71"/>
      <c r="USS71"/>
      <c r="UST71"/>
      <c r="USU71"/>
      <c r="USV71"/>
      <c r="USW71"/>
      <c r="USX71"/>
      <c r="USY71"/>
      <c r="USZ71"/>
      <c r="UTA71"/>
      <c r="UTB71"/>
      <c r="UTC71"/>
      <c r="UTD71"/>
      <c r="UTE71"/>
      <c r="UTF71"/>
      <c r="UTG71"/>
      <c r="UTH71"/>
      <c r="UTI71"/>
      <c r="UTJ71"/>
      <c r="UTK71"/>
      <c r="UTL71"/>
      <c r="UTM71"/>
      <c r="UTN71"/>
      <c r="UTO71"/>
      <c r="UTP71"/>
      <c r="UTQ71"/>
      <c r="UTR71"/>
      <c r="UTS71"/>
      <c r="UTT71"/>
      <c r="UTU71"/>
      <c r="UTV71"/>
      <c r="UTW71"/>
      <c r="UTX71"/>
      <c r="UTY71"/>
      <c r="UTZ71"/>
      <c r="UUA71"/>
      <c r="UUB71"/>
      <c r="UUC71"/>
      <c r="UUD71"/>
      <c r="UUE71"/>
      <c r="UUF71"/>
      <c r="UUG71"/>
      <c r="UUH71"/>
      <c r="UUI71"/>
      <c r="UUJ71"/>
      <c r="UUK71"/>
      <c r="UUL71"/>
      <c r="UUM71"/>
      <c r="UUN71"/>
      <c r="UUO71"/>
      <c r="UUP71"/>
      <c r="UUQ71"/>
      <c r="UUR71"/>
      <c r="UUS71"/>
      <c r="UUT71"/>
      <c r="UUU71"/>
      <c r="UUV71"/>
      <c r="UUW71"/>
      <c r="UUX71"/>
      <c r="UUY71"/>
      <c r="UUZ71"/>
      <c r="UVA71"/>
      <c r="UVB71"/>
      <c r="UVC71"/>
      <c r="UVD71"/>
      <c r="UVE71"/>
      <c r="UVF71"/>
      <c r="UVG71"/>
      <c r="UVH71"/>
      <c r="UVI71"/>
      <c r="UVJ71"/>
      <c r="UVK71"/>
      <c r="UVL71"/>
      <c r="UVM71"/>
      <c r="UVN71"/>
      <c r="UVO71"/>
      <c r="UVP71"/>
      <c r="UVQ71"/>
      <c r="UVR71"/>
      <c r="UVS71"/>
      <c r="UVT71"/>
      <c r="UVU71"/>
      <c r="UVV71"/>
      <c r="UVW71"/>
      <c r="UVX71"/>
      <c r="UVY71"/>
      <c r="UVZ71"/>
      <c r="UWA71"/>
      <c r="UWB71"/>
      <c r="UWC71"/>
      <c r="UWD71"/>
      <c r="UWE71"/>
      <c r="UWF71"/>
      <c r="UWG71"/>
      <c r="UWH71"/>
      <c r="UWI71"/>
      <c r="UWJ71"/>
      <c r="UWK71"/>
      <c r="UWL71"/>
      <c r="UWM71"/>
      <c r="UWN71"/>
      <c r="UWO71"/>
      <c r="UWP71"/>
      <c r="UWQ71"/>
      <c r="UWR71"/>
      <c r="UWS71"/>
      <c r="UWT71"/>
      <c r="UWU71"/>
      <c r="UWV71"/>
      <c r="UWW71"/>
      <c r="UWX71"/>
      <c r="UWY71"/>
      <c r="UWZ71"/>
      <c r="UXA71"/>
      <c r="UXB71"/>
      <c r="UXC71"/>
      <c r="UXD71"/>
      <c r="UXE71"/>
      <c r="UXF71"/>
      <c r="UXG71"/>
      <c r="UXH71"/>
      <c r="UXI71"/>
      <c r="UXJ71"/>
      <c r="UXK71"/>
      <c r="UXL71"/>
      <c r="UXM71"/>
      <c r="UXN71"/>
      <c r="UXO71"/>
      <c r="UXP71"/>
      <c r="UXQ71"/>
      <c r="UXR71"/>
      <c r="UXS71"/>
      <c r="UXT71"/>
      <c r="UXU71"/>
      <c r="UXV71"/>
      <c r="UXW71"/>
      <c r="UXX71"/>
      <c r="UXY71"/>
      <c r="UXZ71"/>
      <c r="UYA71"/>
      <c r="UYB71"/>
      <c r="UYC71"/>
      <c r="UYD71"/>
      <c r="UYE71"/>
      <c r="UYF71"/>
      <c r="UYG71"/>
      <c r="UYH71"/>
      <c r="UYI71"/>
      <c r="UYJ71"/>
      <c r="UYK71"/>
      <c r="UYL71"/>
      <c r="UYM71"/>
      <c r="UYN71"/>
      <c r="UYO71"/>
      <c r="UYP71"/>
      <c r="UYQ71"/>
      <c r="UYR71"/>
      <c r="UYS71"/>
      <c r="UYT71"/>
      <c r="UYU71"/>
      <c r="UYV71"/>
      <c r="UYW71"/>
      <c r="UYX71"/>
      <c r="UYY71"/>
      <c r="UYZ71"/>
      <c r="UZA71"/>
      <c r="UZB71"/>
      <c r="UZC71"/>
      <c r="UZD71"/>
      <c r="UZE71"/>
      <c r="UZF71"/>
      <c r="UZG71"/>
      <c r="UZH71"/>
      <c r="UZI71"/>
      <c r="UZJ71"/>
      <c r="UZK71"/>
      <c r="UZL71"/>
      <c r="UZM71"/>
      <c r="UZN71"/>
      <c r="UZO71"/>
      <c r="UZP71"/>
      <c r="UZQ71"/>
      <c r="UZR71"/>
      <c r="UZS71"/>
      <c r="UZT71"/>
      <c r="UZU71"/>
      <c r="UZV71"/>
      <c r="UZW71"/>
      <c r="UZX71"/>
      <c r="UZY71"/>
      <c r="UZZ71"/>
      <c r="VAA71"/>
      <c r="VAB71"/>
      <c r="VAC71"/>
      <c r="VAD71"/>
      <c r="VAE71"/>
      <c r="VAF71"/>
      <c r="VAG71"/>
      <c r="VAH71"/>
      <c r="VAI71"/>
      <c r="VAJ71"/>
      <c r="VAK71"/>
      <c r="VAL71"/>
      <c r="VAM71"/>
      <c r="VAN71"/>
      <c r="VAO71"/>
      <c r="VAP71"/>
      <c r="VAQ71"/>
      <c r="VAR71"/>
      <c r="VAS71"/>
      <c r="VAT71"/>
      <c r="VAU71"/>
      <c r="VAV71"/>
      <c r="VAW71"/>
      <c r="VAX71"/>
      <c r="VAY71"/>
      <c r="VAZ71"/>
      <c r="VBA71"/>
      <c r="VBB71"/>
      <c r="VBC71"/>
      <c r="VBD71"/>
      <c r="VBE71"/>
      <c r="VBF71"/>
      <c r="VBG71"/>
      <c r="VBH71"/>
      <c r="VBI71"/>
      <c r="VBJ71"/>
      <c r="VBK71"/>
      <c r="VBL71"/>
      <c r="VBM71"/>
      <c r="VBN71"/>
      <c r="VBO71"/>
      <c r="VBP71"/>
      <c r="VBQ71"/>
      <c r="VBR71"/>
      <c r="VBS71"/>
      <c r="VBT71"/>
      <c r="VBU71"/>
      <c r="VBV71"/>
      <c r="VBW71"/>
      <c r="VBX71"/>
      <c r="VBY71"/>
      <c r="VBZ71"/>
      <c r="VCA71"/>
      <c r="VCB71"/>
      <c r="VCC71"/>
      <c r="VCD71"/>
      <c r="VCE71"/>
      <c r="VCF71"/>
      <c r="VCG71"/>
      <c r="VCH71"/>
      <c r="VCI71"/>
      <c r="VCJ71"/>
      <c r="VCK71"/>
      <c r="VCL71"/>
      <c r="VCM71"/>
      <c r="VCN71"/>
      <c r="VCO71"/>
      <c r="VCP71"/>
      <c r="VCQ71"/>
      <c r="VCR71"/>
      <c r="VCS71"/>
      <c r="VCT71"/>
      <c r="VCU71"/>
      <c r="VCV71"/>
      <c r="VCW71"/>
      <c r="VCX71"/>
      <c r="VCY71"/>
      <c r="VCZ71"/>
      <c r="VDA71"/>
      <c r="VDB71"/>
      <c r="VDC71"/>
      <c r="VDD71"/>
      <c r="VDE71"/>
      <c r="VDF71"/>
      <c r="VDG71"/>
      <c r="VDH71"/>
      <c r="VDI71"/>
      <c r="VDJ71"/>
      <c r="VDK71"/>
      <c r="VDL71"/>
      <c r="VDM71"/>
      <c r="VDN71"/>
      <c r="VDO71"/>
      <c r="VDP71"/>
      <c r="VDQ71"/>
      <c r="VDR71"/>
      <c r="VDS71"/>
      <c r="VDT71"/>
      <c r="VDU71"/>
      <c r="VDV71"/>
      <c r="VDW71"/>
      <c r="VDX71"/>
      <c r="VDY71"/>
      <c r="VDZ71"/>
      <c r="VEA71"/>
      <c r="VEB71"/>
      <c r="VEC71"/>
      <c r="VED71"/>
      <c r="VEE71"/>
      <c r="VEF71"/>
      <c r="VEG71"/>
      <c r="VEH71"/>
      <c r="VEI71"/>
      <c r="VEJ71"/>
      <c r="VEK71"/>
      <c r="VEL71"/>
      <c r="VEM71"/>
      <c r="VEN71"/>
      <c r="VEO71"/>
      <c r="VEP71"/>
      <c r="VEQ71"/>
      <c r="VER71"/>
      <c r="VES71"/>
      <c r="VET71"/>
      <c r="VEU71"/>
      <c r="VEV71"/>
      <c r="VEW71"/>
      <c r="VEX71"/>
      <c r="VEY71"/>
      <c r="VEZ71"/>
      <c r="VFA71"/>
      <c r="VFB71"/>
      <c r="VFC71"/>
      <c r="VFD71"/>
      <c r="VFE71"/>
      <c r="VFF71"/>
      <c r="VFG71"/>
      <c r="VFH71"/>
      <c r="VFI71"/>
      <c r="VFJ71"/>
      <c r="VFK71"/>
      <c r="VFL71"/>
      <c r="VFM71"/>
      <c r="VFN71"/>
      <c r="VFO71"/>
      <c r="VFP71"/>
      <c r="VFQ71"/>
      <c r="VFR71"/>
      <c r="VFS71"/>
      <c r="VFT71"/>
      <c r="VFU71"/>
      <c r="VFV71"/>
      <c r="VFW71"/>
      <c r="VFX71"/>
      <c r="VFY71"/>
      <c r="VFZ71"/>
      <c r="VGA71"/>
      <c r="VGB71"/>
      <c r="VGC71"/>
      <c r="VGD71"/>
      <c r="VGE71"/>
      <c r="VGF71"/>
      <c r="VGG71"/>
      <c r="VGH71"/>
      <c r="VGI71"/>
      <c r="VGJ71"/>
      <c r="VGK71"/>
      <c r="VGL71"/>
      <c r="VGM71"/>
      <c r="VGN71"/>
      <c r="VGO71"/>
      <c r="VGP71"/>
      <c r="VGQ71"/>
      <c r="VGR71"/>
      <c r="VGS71"/>
      <c r="VGT71"/>
      <c r="VGU71"/>
      <c r="VGV71"/>
      <c r="VGW71"/>
      <c r="VGX71"/>
      <c r="VGY71"/>
      <c r="VGZ71"/>
      <c r="VHA71"/>
      <c r="VHB71"/>
      <c r="VHC71"/>
      <c r="VHD71"/>
      <c r="VHE71"/>
      <c r="VHF71"/>
      <c r="VHG71"/>
      <c r="VHH71"/>
      <c r="VHI71"/>
      <c r="VHJ71"/>
      <c r="VHK71"/>
      <c r="VHL71"/>
      <c r="VHM71"/>
      <c r="VHN71"/>
      <c r="VHO71"/>
      <c r="VHP71"/>
      <c r="VHQ71"/>
      <c r="VHR71"/>
      <c r="VHS71"/>
      <c r="VHT71"/>
      <c r="VHU71"/>
      <c r="VHV71"/>
      <c r="VHW71"/>
      <c r="VHX71"/>
      <c r="VHY71"/>
      <c r="VHZ71"/>
      <c r="VIA71"/>
      <c r="VIB71"/>
      <c r="VIC71"/>
      <c r="VID71"/>
      <c r="VIE71"/>
      <c r="VIF71"/>
      <c r="VIG71"/>
      <c r="VIH71"/>
      <c r="VII71"/>
      <c r="VIJ71"/>
      <c r="VIK71"/>
      <c r="VIL71"/>
      <c r="VIM71"/>
      <c r="VIN71"/>
      <c r="VIO71"/>
      <c r="VIP71"/>
      <c r="VIQ71"/>
      <c r="VIR71"/>
      <c r="VIS71"/>
      <c r="VIT71"/>
      <c r="VIU71"/>
      <c r="VIV71"/>
      <c r="VIW71"/>
      <c r="VIX71"/>
      <c r="VIY71"/>
      <c r="VIZ71"/>
      <c r="VJA71"/>
      <c r="VJB71"/>
      <c r="VJC71"/>
      <c r="VJD71"/>
      <c r="VJE71"/>
      <c r="VJF71"/>
      <c r="VJG71"/>
      <c r="VJH71"/>
      <c r="VJI71"/>
      <c r="VJJ71"/>
      <c r="VJK71"/>
      <c r="VJL71"/>
      <c r="VJM71"/>
      <c r="VJN71"/>
      <c r="VJO71"/>
      <c r="VJP71"/>
      <c r="VJQ71"/>
      <c r="VJR71"/>
      <c r="VJS71"/>
      <c r="VJT71"/>
      <c r="VJU71"/>
      <c r="VJV71"/>
      <c r="VJW71"/>
      <c r="VJX71"/>
      <c r="VJY71"/>
      <c r="VJZ71"/>
      <c r="VKA71"/>
      <c r="VKB71"/>
      <c r="VKC71"/>
      <c r="VKD71"/>
      <c r="VKE71"/>
      <c r="VKF71"/>
      <c r="VKG71"/>
      <c r="VKH71"/>
      <c r="VKI71"/>
      <c r="VKJ71"/>
      <c r="VKK71"/>
      <c r="VKL71"/>
      <c r="VKM71"/>
      <c r="VKN71"/>
      <c r="VKO71"/>
      <c r="VKP71"/>
      <c r="VKQ71"/>
      <c r="VKR71"/>
      <c r="VKS71"/>
      <c r="VKT71"/>
      <c r="VKU71"/>
      <c r="VKV71"/>
      <c r="VKW71"/>
      <c r="VKX71"/>
      <c r="VKY71"/>
      <c r="VKZ71"/>
      <c r="VLA71"/>
      <c r="VLB71"/>
      <c r="VLC71"/>
      <c r="VLD71"/>
      <c r="VLE71"/>
      <c r="VLF71"/>
      <c r="VLG71"/>
      <c r="VLH71"/>
      <c r="VLI71"/>
      <c r="VLJ71"/>
      <c r="VLK71"/>
      <c r="VLL71"/>
      <c r="VLM71"/>
      <c r="VLN71"/>
      <c r="VLO71"/>
      <c r="VLP71"/>
      <c r="VLQ71"/>
      <c r="VLR71"/>
      <c r="VLS71"/>
      <c r="VLT71"/>
      <c r="VLU71"/>
      <c r="VLV71"/>
      <c r="VLW71"/>
      <c r="VLX71"/>
      <c r="VLY71"/>
      <c r="VLZ71"/>
      <c r="VMA71"/>
      <c r="VMB71"/>
      <c r="VMC71"/>
      <c r="VMD71"/>
      <c r="VME71"/>
      <c r="VMF71"/>
      <c r="VMG71"/>
      <c r="VMH71"/>
      <c r="VMI71"/>
      <c r="VMJ71"/>
      <c r="VMK71"/>
      <c r="VML71"/>
      <c r="VMM71"/>
      <c r="VMN71"/>
      <c r="VMO71"/>
      <c r="VMP71"/>
      <c r="VMQ71"/>
      <c r="VMR71"/>
      <c r="VMS71"/>
      <c r="VMT71"/>
      <c r="VMU71"/>
      <c r="VMV71"/>
      <c r="VMW71"/>
      <c r="VMX71"/>
      <c r="VMY71"/>
      <c r="VMZ71"/>
      <c r="VNA71"/>
      <c r="VNB71"/>
      <c r="VNC71"/>
      <c r="VND71"/>
      <c r="VNE71"/>
      <c r="VNF71"/>
      <c r="VNG71"/>
      <c r="VNH71"/>
      <c r="VNI71"/>
      <c r="VNJ71"/>
      <c r="VNK71"/>
      <c r="VNL71"/>
      <c r="VNM71"/>
      <c r="VNN71"/>
      <c r="VNO71"/>
      <c r="VNP71"/>
      <c r="VNQ71"/>
      <c r="VNR71"/>
      <c r="VNS71"/>
      <c r="VNT71"/>
      <c r="VNU71"/>
      <c r="VNV71"/>
      <c r="VNW71"/>
      <c r="VNX71"/>
      <c r="VNY71"/>
      <c r="VNZ71"/>
      <c r="VOA71"/>
      <c r="VOB71"/>
      <c r="VOC71"/>
      <c r="VOD71"/>
      <c r="VOE71"/>
      <c r="VOF71"/>
      <c r="VOG71"/>
      <c r="VOH71"/>
      <c r="VOI71"/>
      <c r="VOJ71"/>
      <c r="VOK71"/>
      <c r="VOL71"/>
      <c r="VOM71"/>
      <c r="VON71"/>
      <c r="VOO71"/>
      <c r="VOP71"/>
      <c r="VOQ71"/>
      <c r="VOR71"/>
      <c r="VOS71"/>
      <c r="VOT71"/>
      <c r="VOU71"/>
      <c r="VOV71"/>
      <c r="VOW71"/>
      <c r="VOX71"/>
      <c r="VOY71"/>
      <c r="VOZ71"/>
      <c r="VPA71"/>
      <c r="VPB71"/>
      <c r="VPC71"/>
      <c r="VPD71"/>
      <c r="VPE71"/>
      <c r="VPF71"/>
      <c r="VPG71"/>
      <c r="VPH71"/>
      <c r="VPI71"/>
      <c r="VPJ71"/>
      <c r="VPK71"/>
      <c r="VPL71"/>
      <c r="VPM71"/>
      <c r="VPN71"/>
      <c r="VPO71"/>
      <c r="VPP71"/>
      <c r="VPQ71"/>
      <c r="VPR71"/>
      <c r="VPS71"/>
      <c r="VPT71"/>
      <c r="VPU71"/>
      <c r="VPV71"/>
      <c r="VPW71"/>
      <c r="VPX71"/>
      <c r="VPY71"/>
      <c r="VPZ71"/>
      <c r="VQA71"/>
      <c r="VQB71"/>
      <c r="VQC71"/>
      <c r="VQD71"/>
      <c r="VQE71"/>
      <c r="VQF71"/>
      <c r="VQG71"/>
      <c r="VQH71"/>
      <c r="VQI71"/>
      <c r="VQJ71"/>
      <c r="VQK71"/>
      <c r="VQL71"/>
      <c r="VQM71"/>
      <c r="VQN71"/>
      <c r="VQO71"/>
      <c r="VQP71"/>
      <c r="VQQ71"/>
      <c r="VQR71"/>
      <c r="VQS71"/>
      <c r="VQT71"/>
      <c r="VQU71"/>
      <c r="VQV71"/>
      <c r="VQW71"/>
      <c r="VQX71"/>
      <c r="VQY71"/>
      <c r="VQZ71"/>
      <c r="VRA71"/>
      <c r="VRB71"/>
      <c r="VRC71"/>
      <c r="VRD71"/>
      <c r="VRE71"/>
      <c r="VRF71"/>
      <c r="VRG71"/>
      <c r="VRH71"/>
      <c r="VRI71"/>
      <c r="VRJ71"/>
      <c r="VRK71"/>
      <c r="VRL71"/>
      <c r="VRM71"/>
      <c r="VRN71"/>
      <c r="VRO71"/>
      <c r="VRP71"/>
      <c r="VRQ71"/>
      <c r="VRR71"/>
      <c r="VRS71"/>
      <c r="VRT71"/>
      <c r="VRU71"/>
      <c r="VRV71"/>
      <c r="VRW71"/>
      <c r="VRX71"/>
      <c r="VRY71"/>
      <c r="VRZ71"/>
      <c r="VSA71"/>
      <c r="VSB71"/>
      <c r="VSC71"/>
      <c r="VSD71"/>
      <c r="VSE71"/>
      <c r="VSF71"/>
      <c r="VSG71"/>
      <c r="VSH71"/>
      <c r="VSI71"/>
      <c r="VSJ71"/>
      <c r="VSK71"/>
      <c r="VSL71"/>
      <c r="VSM71"/>
      <c r="VSN71"/>
      <c r="VSO71"/>
      <c r="VSP71"/>
      <c r="VSQ71"/>
      <c r="VSR71"/>
      <c r="VSS71"/>
      <c r="VST71"/>
      <c r="VSU71"/>
      <c r="VSV71"/>
      <c r="VSW71"/>
      <c r="VSX71"/>
      <c r="VSY71"/>
      <c r="VSZ71"/>
      <c r="VTA71"/>
      <c r="VTB71"/>
      <c r="VTC71"/>
      <c r="VTD71"/>
      <c r="VTE71"/>
      <c r="VTF71"/>
      <c r="VTG71"/>
      <c r="VTH71"/>
      <c r="VTI71"/>
      <c r="VTJ71"/>
      <c r="VTK71"/>
      <c r="VTL71"/>
      <c r="VTM71"/>
      <c r="VTN71"/>
      <c r="VTO71"/>
      <c r="VTP71"/>
      <c r="VTQ71"/>
      <c r="VTR71"/>
      <c r="VTS71"/>
      <c r="VTT71"/>
      <c r="VTU71"/>
      <c r="VTV71"/>
      <c r="VTW71"/>
      <c r="VTX71"/>
      <c r="VTY71"/>
      <c r="VTZ71"/>
      <c r="VUA71"/>
      <c r="VUB71"/>
      <c r="VUC71"/>
      <c r="VUD71"/>
      <c r="VUE71"/>
      <c r="VUF71"/>
      <c r="VUG71"/>
      <c r="VUH71"/>
      <c r="VUI71"/>
      <c r="VUJ71"/>
      <c r="VUK71"/>
      <c r="VUL71"/>
      <c r="VUM71"/>
      <c r="VUN71"/>
      <c r="VUO71"/>
      <c r="VUP71"/>
      <c r="VUQ71"/>
      <c r="VUR71"/>
      <c r="VUS71"/>
      <c r="VUT71"/>
      <c r="VUU71"/>
      <c r="VUV71"/>
      <c r="VUW71"/>
      <c r="VUX71"/>
      <c r="VUY71"/>
      <c r="VUZ71"/>
      <c r="VVA71"/>
      <c r="VVB71"/>
      <c r="VVC71"/>
      <c r="VVD71"/>
      <c r="VVE71"/>
      <c r="VVF71"/>
      <c r="VVG71"/>
      <c r="VVH71"/>
      <c r="VVI71"/>
      <c r="VVJ71"/>
      <c r="VVK71"/>
      <c r="VVL71"/>
      <c r="VVM71"/>
      <c r="VVN71"/>
      <c r="VVO71"/>
      <c r="VVP71"/>
      <c r="VVQ71"/>
      <c r="VVR71"/>
      <c r="VVS71"/>
      <c r="VVT71"/>
      <c r="VVU71"/>
      <c r="VVV71"/>
      <c r="VVW71"/>
      <c r="VVX71"/>
      <c r="VVY71"/>
      <c r="VVZ71"/>
      <c r="VWA71"/>
      <c r="VWB71"/>
      <c r="VWC71"/>
      <c r="VWD71"/>
      <c r="VWE71"/>
      <c r="VWF71"/>
      <c r="VWG71"/>
      <c r="VWH71"/>
      <c r="VWI71"/>
      <c r="VWJ71"/>
      <c r="VWK71"/>
      <c r="VWL71"/>
      <c r="VWM71"/>
      <c r="VWN71"/>
      <c r="VWO71"/>
      <c r="VWP71"/>
      <c r="VWQ71"/>
      <c r="VWR71"/>
      <c r="VWS71"/>
      <c r="VWT71"/>
      <c r="VWU71"/>
      <c r="VWV71"/>
      <c r="VWW71"/>
      <c r="VWX71"/>
      <c r="VWY71"/>
      <c r="VWZ71"/>
      <c r="VXA71"/>
      <c r="VXB71"/>
      <c r="VXC71"/>
      <c r="VXD71"/>
      <c r="VXE71"/>
      <c r="VXF71"/>
      <c r="VXG71"/>
      <c r="VXH71"/>
      <c r="VXI71"/>
      <c r="VXJ71"/>
      <c r="VXK71"/>
      <c r="VXL71"/>
      <c r="VXM71"/>
      <c r="VXN71"/>
      <c r="VXO71"/>
      <c r="VXP71"/>
      <c r="VXQ71"/>
      <c r="VXR71"/>
      <c r="VXS71"/>
      <c r="VXT71"/>
      <c r="VXU71"/>
      <c r="VXV71"/>
      <c r="VXW71"/>
      <c r="VXX71"/>
      <c r="VXY71"/>
      <c r="VXZ71"/>
      <c r="VYA71"/>
      <c r="VYB71"/>
      <c r="VYC71"/>
      <c r="VYD71"/>
      <c r="VYE71"/>
      <c r="VYF71"/>
      <c r="VYG71"/>
      <c r="VYH71"/>
      <c r="VYI71"/>
      <c r="VYJ71"/>
      <c r="VYK71"/>
      <c r="VYL71"/>
      <c r="VYM71"/>
      <c r="VYN71"/>
      <c r="VYO71"/>
      <c r="VYP71"/>
      <c r="VYQ71"/>
      <c r="VYR71"/>
      <c r="VYS71"/>
      <c r="VYT71"/>
      <c r="VYU71"/>
      <c r="VYV71"/>
      <c r="VYW71"/>
      <c r="VYX71"/>
      <c r="VYY71"/>
      <c r="VYZ71"/>
      <c r="VZA71"/>
      <c r="VZB71"/>
      <c r="VZC71"/>
      <c r="VZD71"/>
      <c r="VZE71"/>
      <c r="VZF71"/>
      <c r="VZG71"/>
      <c r="VZH71"/>
      <c r="VZI71"/>
      <c r="VZJ71"/>
      <c r="VZK71"/>
      <c r="VZL71"/>
      <c r="VZM71"/>
      <c r="VZN71"/>
      <c r="VZO71"/>
      <c r="VZP71"/>
      <c r="VZQ71"/>
      <c r="VZR71"/>
      <c r="VZS71"/>
      <c r="VZT71"/>
      <c r="VZU71"/>
      <c r="VZV71"/>
      <c r="VZW71"/>
      <c r="VZX71"/>
      <c r="VZY71"/>
      <c r="VZZ71"/>
      <c r="WAA71"/>
      <c r="WAB71"/>
      <c r="WAC71"/>
      <c r="WAD71"/>
      <c r="WAE71"/>
      <c r="WAF71"/>
      <c r="WAG71"/>
      <c r="WAH71"/>
      <c r="WAI71"/>
      <c r="WAJ71"/>
      <c r="WAK71"/>
      <c r="WAL71"/>
      <c r="WAM71"/>
      <c r="WAN71"/>
      <c r="WAO71"/>
      <c r="WAP71"/>
      <c r="WAQ71"/>
      <c r="WAR71"/>
      <c r="WAS71"/>
      <c r="WAT71"/>
      <c r="WAU71"/>
      <c r="WAV71"/>
      <c r="WAW71"/>
      <c r="WAX71"/>
      <c r="WAY71"/>
      <c r="WAZ71"/>
      <c r="WBA71"/>
      <c r="WBB71"/>
      <c r="WBC71"/>
      <c r="WBD71"/>
      <c r="WBE71"/>
      <c r="WBF71"/>
      <c r="WBG71"/>
      <c r="WBH71"/>
      <c r="WBI71"/>
      <c r="WBJ71"/>
      <c r="WBK71"/>
      <c r="WBL71"/>
      <c r="WBM71"/>
      <c r="WBN71"/>
      <c r="WBO71"/>
      <c r="WBP71"/>
      <c r="WBQ71"/>
      <c r="WBR71"/>
      <c r="WBS71"/>
      <c r="WBT71"/>
      <c r="WBU71"/>
      <c r="WBV71"/>
      <c r="WBW71"/>
      <c r="WBX71"/>
      <c r="WBY71"/>
      <c r="WBZ71"/>
      <c r="WCA71"/>
      <c r="WCB71"/>
      <c r="WCC71"/>
      <c r="WCD71"/>
      <c r="WCE71"/>
      <c r="WCF71"/>
      <c r="WCG71"/>
      <c r="WCH71"/>
      <c r="WCI71"/>
      <c r="WCJ71"/>
      <c r="WCK71"/>
      <c r="WCL71"/>
      <c r="WCM71"/>
      <c r="WCN71"/>
      <c r="WCO71"/>
      <c r="WCP71"/>
      <c r="WCQ71"/>
      <c r="WCR71"/>
      <c r="WCS71"/>
      <c r="WCT71"/>
      <c r="WCU71"/>
      <c r="WCV71"/>
      <c r="WCW71"/>
      <c r="WCX71"/>
      <c r="WCY71"/>
      <c r="WCZ71"/>
      <c r="WDA71"/>
      <c r="WDB71"/>
      <c r="WDC71"/>
      <c r="WDD71"/>
      <c r="WDE71"/>
      <c r="WDF71"/>
      <c r="WDG71"/>
      <c r="WDH71"/>
      <c r="WDI71"/>
      <c r="WDJ71"/>
      <c r="WDK71"/>
      <c r="WDL71"/>
      <c r="WDM71"/>
      <c r="WDN71"/>
      <c r="WDO71"/>
      <c r="WDP71"/>
      <c r="WDQ71"/>
      <c r="WDR71"/>
      <c r="WDS71"/>
      <c r="WDT71"/>
      <c r="WDU71"/>
      <c r="WDV71"/>
      <c r="WDW71"/>
      <c r="WDX71"/>
      <c r="WDY71"/>
      <c r="WDZ71"/>
      <c r="WEA71"/>
      <c r="WEB71"/>
      <c r="WEC71"/>
      <c r="WED71"/>
      <c r="WEE71"/>
      <c r="WEF71"/>
      <c r="WEG71"/>
      <c r="WEH71"/>
      <c r="WEI71"/>
      <c r="WEJ71"/>
      <c r="WEK71"/>
      <c r="WEL71"/>
      <c r="WEM71"/>
      <c r="WEN71"/>
      <c r="WEO71"/>
      <c r="WEP71"/>
      <c r="WEQ71"/>
      <c r="WER71"/>
      <c r="WES71"/>
      <c r="WET71"/>
      <c r="WEU71"/>
      <c r="WEV71"/>
      <c r="WEW71"/>
      <c r="WEX71"/>
      <c r="WEY71"/>
      <c r="WEZ71"/>
      <c r="WFA71"/>
      <c r="WFB71"/>
      <c r="WFC71"/>
      <c r="WFD71"/>
      <c r="WFE71"/>
      <c r="WFF71"/>
      <c r="WFG71"/>
      <c r="WFH71"/>
      <c r="WFI71"/>
      <c r="WFJ71"/>
      <c r="WFK71"/>
      <c r="WFL71"/>
      <c r="WFM71"/>
      <c r="WFN71"/>
      <c r="WFO71"/>
      <c r="WFP71"/>
      <c r="WFQ71"/>
      <c r="WFR71"/>
      <c r="WFS71"/>
      <c r="WFT71"/>
      <c r="WFU71"/>
      <c r="WFV71"/>
      <c r="WFW71"/>
      <c r="WFX71"/>
      <c r="WFY71"/>
      <c r="WFZ71"/>
      <c r="WGA71"/>
      <c r="WGB71"/>
      <c r="WGC71"/>
      <c r="WGD71"/>
      <c r="WGE71"/>
      <c r="WGF71"/>
      <c r="WGG71"/>
      <c r="WGH71"/>
      <c r="WGI71"/>
      <c r="WGJ71"/>
      <c r="WGK71"/>
      <c r="WGL71"/>
      <c r="WGM71"/>
      <c r="WGN71"/>
      <c r="WGO71"/>
      <c r="WGP71"/>
      <c r="WGQ71"/>
      <c r="WGR71"/>
      <c r="WGS71"/>
      <c r="WGT71"/>
      <c r="WGU71"/>
      <c r="WGV71"/>
      <c r="WGW71"/>
      <c r="WGX71"/>
      <c r="WGY71"/>
      <c r="WGZ71"/>
      <c r="WHA71"/>
      <c r="WHB71"/>
      <c r="WHC71"/>
      <c r="WHD71"/>
      <c r="WHE71"/>
      <c r="WHF71"/>
      <c r="WHG71"/>
      <c r="WHH71"/>
      <c r="WHI71"/>
      <c r="WHJ71"/>
      <c r="WHK71"/>
      <c r="WHL71"/>
      <c r="WHM71"/>
      <c r="WHN71"/>
      <c r="WHO71"/>
      <c r="WHP71"/>
      <c r="WHQ71"/>
      <c r="WHR71"/>
      <c r="WHS71"/>
      <c r="WHT71"/>
      <c r="WHU71"/>
      <c r="WHV71"/>
      <c r="WHW71"/>
      <c r="WHX71"/>
      <c r="WHY71"/>
      <c r="WHZ71"/>
      <c r="WIA71"/>
      <c r="WIB71"/>
      <c r="WIC71"/>
      <c r="WID71"/>
      <c r="WIE71"/>
      <c r="WIF71"/>
      <c r="WIG71"/>
      <c r="WIH71"/>
      <c r="WII71"/>
      <c r="WIJ71"/>
      <c r="WIK71"/>
      <c r="WIL71"/>
      <c r="WIM71"/>
      <c r="WIN71"/>
      <c r="WIO71"/>
      <c r="WIP71"/>
      <c r="WIQ71"/>
      <c r="WIR71"/>
      <c r="WIS71"/>
      <c r="WIT71"/>
      <c r="WIU71"/>
      <c r="WIV71"/>
      <c r="WIW71"/>
      <c r="WIX71"/>
      <c r="WIY71"/>
      <c r="WIZ71"/>
      <c r="WJA71"/>
      <c r="WJB71"/>
      <c r="WJC71"/>
      <c r="WJD71"/>
      <c r="WJE71"/>
      <c r="WJF71"/>
      <c r="WJG71"/>
      <c r="WJH71"/>
      <c r="WJI71"/>
      <c r="WJJ71"/>
      <c r="WJK71"/>
      <c r="WJL71"/>
      <c r="WJM71"/>
      <c r="WJN71"/>
      <c r="WJO71"/>
      <c r="WJP71"/>
      <c r="WJQ71"/>
      <c r="WJR71"/>
      <c r="WJS71"/>
      <c r="WJT71"/>
      <c r="WJU71"/>
      <c r="WJV71"/>
      <c r="WJW71"/>
      <c r="WJX71"/>
      <c r="WJY71"/>
      <c r="WJZ71"/>
      <c r="WKA71"/>
      <c r="WKB71"/>
      <c r="WKC71"/>
      <c r="WKD71"/>
      <c r="WKE71"/>
      <c r="WKF71"/>
      <c r="WKG71"/>
      <c r="WKH71"/>
      <c r="WKI71"/>
      <c r="WKJ71"/>
      <c r="WKK71"/>
      <c r="WKL71"/>
      <c r="WKM71"/>
      <c r="WKN71"/>
      <c r="WKO71"/>
      <c r="WKP71"/>
      <c r="WKQ71"/>
      <c r="WKR71"/>
      <c r="WKS71"/>
      <c r="WKT71"/>
      <c r="WKU71"/>
      <c r="WKV71"/>
      <c r="WKW71"/>
      <c r="WKX71"/>
      <c r="WKY71"/>
      <c r="WKZ71"/>
      <c r="WLA71"/>
      <c r="WLB71"/>
      <c r="WLC71"/>
      <c r="WLD71"/>
      <c r="WLE71"/>
      <c r="WLF71"/>
      <c r="WLG71"/>
      <c r="WLH71"/>
      <c r="WLI71"/>
      <c r="WLJ71"/>
      <c r="WLK71"/>
      <c r="WLL71"/>
      <c r="WLM71"/>
      <c r="WLN71"/>
      <c r="WLO71"/>
      <c r="WLP71"/>
      <c r="WLQ71"/>
      <c r="WLR71"/>
      <c r="WLS71"/>
      <c r="WLT71"/>
      <c r="WLU71"/>
      <c r="WLV71"/>
      <c r="WLW71"/>
      <c r="WLX71"/>
      <c r="WLY71"/>
      <c r="WLZ71"/>
      <c r="WMA71"/>
      <c r="WMB71"/>
      <c r="WMC71"/>
      <c r="WMD71"/>
      <c r="WME71"/>
      <c r="WMF71"/>
      <c r="WMG71"/>
      <c r="WMH71"/>
      <c r="WMI71"/>
      <c r="WMJ71"/>
      <c r="WMK71"/>
      <c r="WML71"/>
      <c r="WMM71"/>
      <c r="WMN71"/>
      <c r="WMO71"/>
      <c r="WMP71"/>
      <c r="WMQ71"/>
      <c r="WMR71"/>
      <c r="WMS71"/>
      <c r="WMT71"/>
      <c r="WMU71"/>
      <c r="WMV71"/>
      <c r="WMW71"/>
      <c r="WMX71"/>
      <c r="WMY71"/>
      <c r="WMZ71"/>
      <c r="WNA71"/>
      <c r="WNB71"/>
      <c r="WNC71"/>
      <c r="WND71"/>
      <c r="WNE71"/>
      <c r="WNF71"/>
      <c r="WNG71"/>
      <c r="WNH71"/>
      <c r="WNI71"/>
      <c r="WNJ71"/>
      <c r="WNK71"/>
      <c r="WNL71"/>
      <c r="WNM71"/>
      <c r="WNN71"/>
      <c r="WNO71"/>
      <c r="WNP71"/>
      <c r="WNQ71"/>
      <c r="WNR71"/>
      <c r="WNS71"/>
      <c r="WNT71"/>
      <c r="WNU71"/>
      <c r="WNV71"/>
      <c r="WNW71"/>
      <c r="WNX71"/>
      <c r="WNY71"/>
      <c r="WNZ71"/>
      <c r="WOA71"/>
      <c r="WOB71"/>
      <c r="WOC71"/>
      <c r="WOD71"/>
      <c r="WOE71"/>
      <c r="WOF71"/>
      <c r="WOG71"/>
      <c r="WOH71"/>
      <c r="WOI71"/>
      <c r="WOJ71"/>
      <c r="WOK71"/>
      <c r="WOL71"/>
      <c r="WOM71"/>
      <c r="WON71"/>
      <c r="WOO71"/>
      <c r="WOP71"/>
      <c r="WOQ71"/>
      <c r="WOR71"/>
      <c r="WOS71"/>
      <c r="WOT71"/>
      <c r="WOU71"/>
      <c r="WOV71"/>
      <c r="WOW71"/>
      <c r="WOX71"/>
      <c r="WOY71"/>
      <c r="WOZ71"/>
      <c r="WPA71"/>
      <c r="WPB71"/>
      <c r="WPC71"/>
      <c r="WPD71"/>
      <c r="WPE71"/>
      <c r="WPF71"/>
      <c r="WPG71"/>
      <c r="WPH71"/>
      <c r="WPI71"/>
      <c r="WPJ71"/>
      <c r="WPK71"/>
      <c r="WPL71"/>
      <c r="WPM71"/>
      <c r="WPN71"/>
      <c r="WPO71"/>
      <c r="WPP71"/>
      <c r="WPQ71"/>
      <c r="WPR71"/>
      <c r="WPS71"/>
      <c r="WPT71"/>
      <c r="WPU71"/>
      <c r="WPV71"/>
      <c r="WPW71"/>
      <c r="WPX71"/>
      <c r="WPY71"/>
      <c r="WPZ71"/>
      <c r="WQA71"/>
      <c r="WQB71"/>
      <c r="WQC71"/>
      <c r="WQD71"/>
      <c r="WQE71"/>
      <c r="WQF71"/>
      <c r="WQG71"/>
      <c r="WQH71"/>
      <c r="WQI71"/>
      <c r="WQJ71"/>
      <c r="WQK71"/>
      <c r="WQL71"/>
      <c r="WQM71"/>
      <c r="WQN71"/>
      <c r="WQO71"/>
      <c r="WQP71"/>
      <c r="WQQ71"/>
      <c r="WQR71"/>
      <c r="WQS71"/>
      <c r="WQT71"/>
      <c r="WQU71"/>
      <c r="WQV71"/>
      <c r="WQW71"/>
      <c r="WQX71"/>
      <c r="WQY71"/>
      <c r="WQZ71"/>
      <c r="WRA71"/>
      <c r="WRB71"/>
      <c r="WRC71"/>
      <c r="WRD71"/>
      <c r="WRE71"/>
      <c r="WRF71"/>
      <c r="WRG71"/>
      <c r="WRH71"/>
      <c r="WRI71"/>
      <c r="WRJ71"/>
      <c r="WRK71"/>
      <c r="WRL71"/>
      <c r="WRM71"/>
      <c r="WRN71"/>
      <c r="WRO71"/>
      <c r="WRP71"/>
      <c r="WRQ71"/>
      <c r="WRR71"/>
      <c r="WRS71"/>
      <c r="WRT71"/>
      <c r="WRU71"/>
      <c r="WRV71"/>
      <c r="WRW71"/>
      <c r="WRX71"/>
      <c r="WRY71"/>
      <c r="WRZ71"/>
      <c r="WSA71"/>
      <c r="WSB71"/>
      <c r="WSC71"/>
      <c r="WSD71"/>
      <c r="WSE71"/>
      <c r="WSF71"/>
      <c r="WSG71"/>
      <c r="WSH71"/>
      <c r="WSI71"/>
      <c r="WSJ71"/>
      <c r="WSK71"/>
      <c r="WSL71"/>
      <c r="WSM71"/>
      <c r="WSN71"/>
      <c r="WSO71"/>
      <c r="WSP71"/>
      <c r="WSQ71"/>
      <c r="WSR71"/>
      <c r="WSS71"/>
      <c r="WST71"/>
      <c r="WSU71"/>
      <c r="WSV71"/>
      <c r="WSW71"/>
      <c r="WSX71"/>
      <c r="WSY71"/>
      <c r="WSZ71"/>
      <c r="WTA71"/>
      <c r="WTB71"/>
      <c r="WTC71"/>
      <c r="WTD71"/>
      <c r="WTE71"/>
      <c r="WTF71"/>
      <c r="WTG71"/>
      <c r="WTH71"/>
      <c r="WTI71"/>
      <c r="WTJ71"/>
      <c r="WTK71"/>
      <c r="WTL71"/>
      <c r="WTM71"/>
      <c r="WTN71"/>
      <c r="WTO71"/>
      <c r="WTP71"/>
      <c r="WTQ71"/>
      <c r="WTR71"/>
      <c r="WTS71"/>
      <c r="WTT71"/>
      <c r="WTU71"/>
      <c r="WTV71"/>
      <c r="WTW71"/>
      <c r="WTX71"/>
      <c r="WTY71"/>
      <c r="WTZ71"/>
      <c r="WUA71"/>
      <c r="WUB71"/>
      <c r="WUC71"/>
      <c r="WUD71"/>
      <c r="WUE71"/>
      <c r="WUF71"/>
      <c r="WUG71"/>
      <c r="WUH71"/>
      <c r="WUI71"/>
      <c r="WUJ71"/>
      <c r="WUK71"/>
      <c r="WUL71"/>
      <c r="WUM71"/>
      <c r="WUN71"/>
      <c r="WUO71"/>
      <c r="WUP71"/>
      <c r="WUQ71"/>
      <c r="WUR71"/>
      <c r="WUS71"/>
      <c r="WUT71"/>
      <c r="WUU71"/>
      <c r="WUV71"/>
      <c r="WUW71"/>
      <c r="WUX71"/>
      <c r="WUY71"/>
      <c r="WUZ71"/>
      <c r="WVA71"/>
      <c r="WVB71"/>
      <c r="WVC71"/>
      <c r="WVD71"/>
      <c r="WVE71"/>
      <c r="WVF71"/>
      <c r="WVG71"/>
      <c r="WVH71"/>
      <c r="WVI71"/>
      <c r="WVJ71"/>
      <c r="WVK71"/>
      <c r="WVL71"/>
      <c r="WVM71"/>
      <c r="WVN71"/>
      <c r="WVO71"/>
      <c r="WVP71"/>
      <c r="WVQ71"/>
      <c r="WVR71"/>
      <c r="WVS71"/>
      <c r="WVT71"/>
      <c r="WVU71"/>
      <c r="WVV71"/>
      <c r="WVW71"/>
      <c r="WVX71"/>
      <c r="WVY71"/>
      <c r="WVZ71"/>
      <c r="WWA71"/>
      <c r="WWB71"/>
      <c r="WWC71"/>
      <c r="WWD71"/>
      <c r="WWE71"/>
      <c r="WWF71"/>
      <c r="WWG71"/>
      <c r="WWH71"/>
      <c r="WWI71"/>
      <c r="WWJ71"/>
      <c r="WWK71"/>
      <c r="WWL71"/>
      <c r="WWM71"/>
      <c r="WWN71"/>
      <c r="WWO71"/>
      <c r="WWP71"/>
      <c r="WWQ71"/>
      <c r="WWR71"/>
      <c r="WWS71"/>
      <c r="WWT71"/>
      <c r="WWU71"/>
      <c r="WWV71"/>
      <c r="WWW71"/>
      <c r="WWX71"/>
      <c r="WWY71"/>
      <c r="WWZ71"/>
      <c r="WXA71"/>
      <c r="WXB71"/>
      <c r="WXC71"/>
      <c r="WXD71"/>
      <c r="WXE71"/>
      <c r="WXF71"/>
      <c r="WXG71"/>
      <c r="WXH71"/>
      <c r="WXI71"/>
      <c r="WXJ71"/>
      <c r="WXK71"/>
      <c r="WXL71"/>
      <c r="WXM71"/>
      <c r="WXN71"/>
      <c r="WXO71"/>
      <c r="WXP71"/>
      <c r="WXQ71"/>
      <c r="WXR71"/>
      <c r="WXS71"/>
      <c r="WXT71"/>
      <c r="WXU71"/>
      <c r="WXV71"/>
      <c r="WXW71"/>
      <c r="WXX71"/>
      <c r="WXY71"/>
      <c r="WXZ71"/>
      <c r="WYA71"/>
      <c r="WYB71"/>
      <c r="WYC71"/>
      <c r="WYD71"/>
      <c r="WYE71"/>
      <c r="WYF71"/>
      <c r="WYG71"/>
      <c r="WYH71"/>
      <c r="WYI71"/>
      <c r="WYJ71"/>
      <c r="WYK71"/>
      <c r="WYL71"/>
      <c r="WYM71"/>
      <c r="WYN71"/>
      <c r="WYO71"/>
      <c r="WYP71"/>
      <c r="WYQ71"/>
      <c r="WYR71"/>
      <c r="WYS71"/>
      <c r="WYT71"/>
      <c r="WYU71"/>
      <c r="WYV71"/>
      <c r="WYW71"/>
      <c r="WYX71"/>
      <c r="WYY71"/>
      <c r="WYZ71"/>
      <c r="WZA71"/>
      <c r="WZB71"/>
      <c r="WZC71"/>
      <c r="WZD71"/>
      <c r="WZE71"/>
      <c r="WZF71"/>
      <c r="WZG71"/>
      <c r="WZH71"/>
      <c r="WZI71"/>
      <c r="WZJ71"/>
      <c r="WZK71"/>
      <c r="WZL71"/>
      <c r="WZM71"/>
      <c r="WZN71"/>
      <c r="WZO71"/>
      <c r="WZP71"/>
      <c r="WZQ71"/>
      <c r="WZR71"/>
      <c r="WZS71"/>
      <c r="WZT71"/>
      <c r="WZU71"/>
      <c r="WZV71"/>
      <c r="WZW71"/>
      <c r="WZX71"/>
      <c r="WZY71"/>
      <c r="WZZ71"/>
      <c r="XAA71"/>
      <c r="XAB71"/>
      <c r="XAC71"/>
      <c r="XAD71"/>
      <c r="XAE71"/>
      <c r="XAF71"/>
      <c r="XAG71"/>
      <c r="XAH71"/>
      <c r="XAI71"/>
      <c r="XAJ71"/>
      <c r="XAK71"/>
      <c r="XAL71"/>
      <c r="XAM71"/>
      <c r="XAN71"/>
      <c r="XAO71"/>
      <c r="XAP71"/>
      <c r="XAQ71"/>
      <c r="XAR71"/>
      <c r="XAS71"/>
      <c r="XAT71"/>
      <c r="XAU71"/>
      <c r="XAV71"/>
      <c r="XAW71"/>
      <c r="XAX71"/>
      <c r="XAY71"/>
      <c r="XAZ71"/>
      <c r="XBA71"/>
      <c r="XBB71"/>
      <c r="XBC71"/>
      <c r="XBD71"/>
      <c r="XBE71"/>
      <c r="XBF71"/>
      <c r="XBG71"/>
      <c r="XBH71"/>
      <c r="XBI71"/>
      <c r="XBJ71"/>
      <c r="XBK71"/>
      <c r="XBL71"/>
      <c r="XBM71"/>
      <c r="XBN71"/>
      <c r="XBO71"/>
      <c r="XBP71"/>
      <c r="XBQ71"/>
      <c r="XBR71"/>
      <c r="XBS71"/>
      <c r="XBT71"/>
      <c r="XBU71"/>
      <c r="XBV71"/>
      <c r="XBW71"/>
      <c r="XBX71"/>
      <c r="XBY71"/>
      <c r="XBZ71"/>
      <c r="XCA71"/>
      <c r="XCB71"/>
      <c r="XCC71"/>
      <c r="XCD71"/>
      <c r="XCE71"/>
      <c r="XCF71"/>
      <c r="XCG71"/>
      <c r="XCH71"/>
      <c r="XCI71"/>
      <c r="XCJ71"/>
      <c r="XCK71"/>
      <c r="XCL71"/>
      <c r="XCM71"/>
      <c r="XCN71"/>
      <c r="XCO71"/>
      <c r="XCP71"/>
      <c r="XCQ71"/>
      <c r="XCR71"/>
      <c r="XCS71"/>
      <c r="XCT71"/>
      <c r="XCU71"/>
      <c r="XCV71"/>
      <c r="XCW71"/>
      <c r="XCX71"/>
      <c r="XCY71"/>
      <c r="XCZ71"/>
      <c r="XDA71"/>
      <c r="XDB71"/>
      <c r="XDC71"/>
      <c r="XDD71"/>
      <c r="XDE71"/>
      <c r="XDF71"/>
      <c r="XDG71"/>
      <c r="XDH71"/>
      <c r="XDI71"/>
      <c r="XDJ71"/>
      <c r="XDK71"/>
      <c r="XDL71"/>
      <c r="XDM71"/>
      <c r="XDN71"/>
      <c r="XDO71"/>
      <c r="XDP71"/>
      <c r="XDQ71"/>
      <c r="XDR71"/>
      <c r="XDS71"/>
      <c r="XDT71"/>
      <c r="XDU71"/>
      <c r="XDV71"/>
      <c r="XDW71"/>
      <c r="XDX71"/>
      <c r="XDY71"/>
      <c r="XDZ71"/>
      <c r="XEA71"/>
      <c r="XEB71"/>
      <c r="XEC71"/>
      <c r="XED71"/>
      <c r="XEE71"/>
      <c r="XEF71"/>
      <c r="XEG71"/>
      <c r="XEH71"/>
      <c r="XEI71"/>
      <c r="XEJ71"/>
      <c r="XEK71"/>
      <c r="XEL71"/>
      <c r="XEM71"/>
      <c r="XEN71"/>
      <c r="XEO71"/>
      <c r="XEP71"/>
      <c r="XEQ71"/>
      <c r="XER71"/>
      <c r="XES71"/>
      <c r="XET71"/>
      <c r="XEU71"/>
      <c r="XEV71"/>
      <c r="XEW71"/>
      <c r="XEX71"/>
      <c r="XEY71"/>
      <c r="XEZ71"/>
      <c r="XFA71"/>
      <c r="XFB71"/>
      <c r="XFC71"/>
      <c r="XFD71"/>
    </row>
    <row r="72" spans="3:16384" ht="78.75">
      <c r="C72" s="1227" t="s">
        <v>1842</v>
      </c>
      <c r="D72" s="1210">
        <v>51</v>
      </c>
      <c r="E72" s="1211" t="s">
        <v>1843</v>
      </c>
      <c r="F72" s="1211" t="s">
        <v>1635</v>
      </c>
      <c r="G72" s="1211" t="s">
        <v>1645</v>
      </c>
      <c r="H72" s="1211" t="s">
        <v>1844</v>
      </c>
      <c r="I72" s="1211" t="s">
        <v>1638</v>
      </c>
      <c r="J72" s="1211" t="s">
        <v>1705</v>
      </c>
      <c r="K72" s="1210">
        <v>136022</v>
      </c>
      <c r="L72" s="1232" t="s">
        <v>1640</v>
      </c>
      <c r="M72" s="1232">
        <v>4671.2</v>
      </c>
      <c r="N72" s="1234">
        <v>55784</v>
      </c>
      <c r="O72" s="1211" t="s">
        <v>1641</v>
      </c>
      <c r="P72" s="1234">
        <v>42185</v>
      </c>
      <c r="Q72" s="1211" t="s">
        <v>1845</v>
      </c>
      <c r="R72" s="1244" t="s">
        <v>1649</v>
      </c>
    </row>
    <row r="73" spans="3:16384" ht="31.5">
      <c r="C73" s="1226" t="s">
        <v>1846</v>
      </c>
      <c r="D73" s="1213"/>
      <c r="E73" s="1214"/>
      <c r="F73" s="1214"/>
      <c r="G73" s="1214"/>
      <c r="H73" s="1214"/>
      <c r="I73" s="1214"/>
      <c r="J73" s="1214"/>
      <c r="K73" s="1213"/>
      <c r="L73" s="1213"/>
      <c r="M73" s="1213"/>
      <c r="N73" s="1235"/>
      <c r="O73" s="1214"/>
      <c r="P73" s="1235"/>
      <c r="Q73" s="1214"/>
      <c r="R73" s="1246" t="s">
        <v>1663</v>
      </c>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c r="GQ73"/>
      <c r="GR73"/>
      <c r="GS73"/>
      <c r="GT73"/>
      <c r="GU73"/>
      <c r="GV73"/>
      <c r="GW73"/>
      <c r="GX73"/>
      <c r="GY73"/>
      <c r="GZ73"/>
      <c r="HA73"/>
      <c r="HB73"/>
      <c r="HC73"/>
      <c r="HD73"/>
      <c r="HE73"/>
      <c r="HF73"/>
      <c r="HG73"/>
      <c r="HH73"/>
      <c r="HI73"/>
      <c r="HJ73"/>
      <c r="HK73"/>
      <c r="HL73"/>
      <c r="HM73"/>
      <c r="HN73"/>
      <c r="HO73"/>
      <c r="HP73"/>
      <c r="HQ73"/>
      <c r="HR73"/>
      <c r="HS73"/>
      <c r="HT73"/>
      <c r="HU73"/>
      <c r="HV73"/>
      <c r="HW73"/>
      <c r="HX73"/>
      <c r="HY73"/>
      <c r="HZ73"/>
      <c r="IA73"/>
      <c r="IB73"/>
      <c r="IC73"/>
      <c r="ID73"/>
      <c r="IE73"/>
      <c r="IF73"/>
      <c r="IG73"/>
      <c r="IH73"/>
      <c r="II73"/>
      <c r="IJ73"/>
      <c r="IK73"/>
      <c r="IL73"/>
      <c r="IM73"/>
      <c r="IN73"/>
      <c r="IO73"/>
      <c r="IP73"/>
      <c r="IQ73"/>
      <c r="IR73"/>
      <c r="IS73"/>
      <c r="IT73"/>
      <c r="IU73"/>
      <c r="IV73"/>
      <c r="IW73"/>
      <c r="IX73"/>
      <c r="IY73"/>
      <c r="IZ73"/>
      <c r="JA73"/>
      <c r="JB73"/>
      <c r="JC73"/>
      <c r="JD73"/>
      <c r="JE73"/>
      <c r="JF73"/>
      <c r="JG73"/>
      <c r="JH73"/>
      <c r="JI73"/>
      <c r="JJ73"/>
      <c r="JK73"/>
      <c r="JL73"/>
      <c r="JM73"/>
      <c r="JN73"/>
      <c r="JO73"/>
      <c r="JP73"/>
      <c r="JQ73"/>
      <c r="JR73"/>
      <c r="JS73"/>
      <c r="JT73"/>
      <c r="JU73"/>
      <c r="JV73"/>
      <c r="JW73"/>
      <c r="JX73"/>
      <c r="JY73"/>
      <c r="JZ73"/>
      <c r="KA73"/>
      <c r="KB73"/>
      <c r="KC73"/>
      <c r="KD73"/>
      <c r="KE73"/>
      <c r="KF73"/>
      <c r="KG73"/>
      <c r="KH73"/>
      <c r="KI73"/>
      <c r="KJ73"/>
      <c r="KK73"/>
      <c r="KL73"/>
      <c r="KM73"/>
      <c r="KN73"/>
      <c r="KO73"/>
      <c r="KP73"/>
      <c r="KQ73"/>
      <c r="KR73"/>
      <c r="KS73"/>
      <c r="KT73"/>
      <c r="KU73"/>
      <c r="KV73"/>
      <c r="KW73"/>
      <c r="KX73"/>
      <c r="KY73"/>
      <c r="KZ73"/>
      <c r="LA73"/>
      <c r="LB73"/>
      <c r="LC73"/>
      <c r="LD73"/>
      <c r="LE73"/>
      <c r="LF73"/>
      <c r="LG73"/>
      <c r="LH73"/>
      <c r="LI73"/>
      <c r="LJ73"/>
      <c r="LK73"/>
      <c r="LL73"/>
      <c r="LM73"/>
      <c r="LN73"/>
      <c r="LO73"/>
      <c r="LP73"/>
      <c r="LQ73"/>
      <c r="LR73"/>
      <c r="LS73"/>
      <c r="LT73"/>
      <c r="LU73"/>
      <c r="LV73"/>
      <c r="LW73"/>
      <c r="LX73"/>
      <c r="LY73"/>
      <c r="LZ73"/>
      <c r="MA73"/>
      <c r="MB73"/>
      <c r="MC73"/>
      <c r="MD73"/>
      <c r="ME73"/>
      <c r="MF73"/>
      <c r="MG73"/>
      <c r="MH73"/>
      <c r="MI73"/>
      <c r="MJ73"/>
      <c r="MK73"/>
      <c r="ML73"/>
      <c r="MM73"/>
      <c r="MN73"/>
      <c r="MO73"/>
      <c r="MP73"/>
      <c r="MQ73"/>
      <c r="MR73"/>
      <c r="MS73"/>
      <c r="MT73"/>
      <c r="MU73"/>
      <c r="MV73"/>
      <c r="MW73"/>
      <c r="MX73"/>
      <c r="MY73"/>
      <c r="MZ73"/>
      <c r="NA73"/>
      <c r="NB73"/>
      <c r="NC73"/>
      <c r="ND73"/>
      <c r="NE73"/>
      <c r="NF73"/>
      <c r="NG73"/>
      <c r="NH73"/>
      <c r="NI73"/>
      <c r="NJ73"/>
      <c r="NK73"/>
      <c r="NL73"/>
      <c r="NM73"/>
      <c r="NN73"/>
      <c r="NO73"/>
      <c r="NP73"/>
      <c r="NQ73"/>
      <c r="NR73"/>
      <c r="NS73"/>
      <c r="NT73"/>
      <c r="NU73"/>
      <c r="NV73"/>
      <c r="NW73"/>
      <c r="NX73"/>
      <c r="NY73"/>
      <c r="NZ73"/>
      <c r="OA73"/>
      <c r="OB73"/>
      <c r="OC73"/>
      <c r="OD73"/>
      <c r="OE73"/>
      <c r="OF73"/>
      <c r="OG73"/>
      <c r="OH73"/>
      <c r="OI73"/>
      <c r="OJ73"/>
      <c r="OK73"/>
      <c r="OL73"/>
      <c r="OM73"/>
      <c r="ON73"/>
      <c r="OO73"/>
      <c r="OP73"/>
      <c r="OQ73"/>
      <c r="OR73"/>
      <c r="OS73"/>
      <c r="OT73"/>
      <c r="OU73"/>
      <c r="OV73"/>
      <c r="OW73"/>
      <c r="OX73"/>
      <c r="OY73"/>
      <c r="OZ73"/>
      <c r="PA73"/>
      <c r="PB73"/>
      <c r="PC73"/>
      <c r="PD73"/>
      <c r="PE73"/>
      <c r="PF73"/>
      <c r="PG73"/>
      <c r="PH73"/>
      <c r="PI73"/>
      <c r="PJ73"/>
      <c r="PK73"/>
      <c r="PL73"/>
      <c r="PM73"/>
      <c r="PN73"/>
      <c r="PO73"/>
      <c r="PP73"/>
      <c r="PQ73"/>
      <c r="PR73"/>
      <c r="PS73"/>
      <c r="PT73"/>
      <c r="PU73"/>
      <c r="PV73"/>
      <c r="PW73"/>
      <c r="PX73"/>
      <c r="PY73"/>
      <c r="PZ73"/>
      <c r="QA73"/>
      <c r="QB73"/>
      <c r="QC73"/>
      <c r="QD73"/>
      <c r="QE73"/>
      <c r="QF73"/>
      <c r="QG73"/>
      <c r="QH73"/>
      <c r="QI73"/>
      <c r="QJ73"/>
      <c r="QK73"/>
      <c r="QL73"/>
      <c r="QM73"/>
      <c r="QN73"/>
      <c r="QO73"/>
      <c r="QP73"/>
      <c r="QQ73"/>
      <c r="QR73"/>
      <c r="QS73"/>
      <c r="QT73"/>
      <c r="QU73"/>
      <c r="QV73"/>
      <c r="QW73"/>
      <c r="QX73"/>
      <c r="QY73"/>
      <c r="QZ73"/>
      <c r="RA73"/>
      <c r="RB73"/>
      <c r="RC73"/>
      <c r="RD73"/>
      <c r="RE73"/>
      <c r="RF73"/>
      <c r="RG73"/>
      <c r="RH73"/>
      <c r="RI73"/>
      <c r="RJ73"/>
      <c r="RK73"/>
      <c r="RL73"/>
      <c r="RM73"/>
      <c r="RN73"/>
      <c r="RO73"/>
      <c r="RP73"/>
      <c r="RQ73"/>
      <c r="RR73"/>
      <c r="RS73"/>
      <c r="RT73"/>
      <c r="RU73"/>
      <c r="RV73"/>
      <c r="RW73"/>
      <c r="RX73"/>
      <c r="RY73"/>
      <c r="RZ73"/>
      <c r="SA73"/>
      <c r="SB73"/>
      <c r="SC73"/>
      <c r="SD73"/>
      <c r="SE73"/>
      <c r="SF73"/>
      <c r="SG73"/>
      <c r="SH73"/>
      <c r="SI73"/>
      <c r="SJ73"/>
      <c r="SK73"/>
      <c r="SL73"/>
      <c r="SM73"/>
      <c r="SN73"/>
      <c r="SO73"/>
      <c r="SP73"/>
      <c r="SQ73"/>
      <c r="SR73"/>
      <c r="SS73"/>
      <c r="ST73"/>
      <c r="SU73"/>
      <c r="SV73"/>
      <c r="SW73"/>
      <c r="SX73"/>
      <c r="SY73"/>
      <c r="SZ73"/>
      <c r="TA73"/>
      <c r="TB73"/>
      <c r="TC73"/>
      <c r="TD73"/>
      <c r="TE73"/>
      <c r="TF73"/>
      <c r="TG73"/>
      <c r="TH73"/>
      <c r="TI73"/>
      <c r="TJ73"/>
      <c r="TK73"/>
      <c r="TL73"/>
      <c r="TM73"/>
      <c r="TN73"/>
      <c r="TO73"/>
      <c r="TP73"/>
      <c r="TQ73"/>
      <c r="TR73"/>
      <c r="TS73"/>
      <c r="TT73"/>
      <c r="TU73"/>
      <c r="TV73"/>
      <c r="TW73"/>
      <c r="TX73"/>
      <c r="TY73"/>
      <c r="TZ73"/>
      <c r="UA73"/>
      <c r="UB73"/>
      <c r="UC73"/>
      <c r="UD73"/>
      <c r="UE73"/>
      <c r="UF73"/>
      <c r="UG73"/>
      <c r="UH73"/>
      <c r="UI73"/>
      <c r="UJ73"/>
      <c r="UK73"/>
      <c r="UL73"/>
      <c r="UM73"/>
      <c r="UN73"/>
      <c r="UO73"/>
      <c r="UP73"/>
      <c r="UQ73"/>
      <c r="UR73"/>
      <c r="US73"/>
      <c r="UT73"/>
      <c r="UU73"/>
      <c r="UV73"/>
      <c r="UW73"/>
      <c r="UX73"/>
      <c r="UY73"/>
      <c r="UZ73"/>
      <c r="VA73"/>
      <c r="VB73"/>
      <c r="VC73"/>
      <c r="VD73"/>
      <c r="VE73"/>
      <c r="VF73"/>
      <c r="VG73"/>
      <c r="VH73"/>
      <c r="VI73"/>
      <c r="VJ73"/>
      <c r="VK73"/>
      <c r="VL73"/>
      <c r="VM73"/>
      <c r="VN73"/>
      <c r="VO73"/>
      <c r="VP73"/>
      <c r="VQ73"/>
      <c r="VR73"/>
      <c r="VS73"/>
      <c r="VT73"/>
      <c r="VU73"/>
      <c r="VV73"/>
      <c r="VW73"/>
      <c r="VX73"/>
      <c r="VY73"/>
      <c r="VZ73"/>
      <c r="WA73"/>
      <c r="WB73"/>
      <c r="WC73"/>
      <c r="WD73"/>
      <c r="WE73"/>
      <c r="WF73"/>
      <c r="WG73"/>
      <c r="WH73"/>
      <c r="WI73"/>
      <c r="WJ73"/>
      <c r="WK73"/>
      <c r="WL73"/>
      <c r="WM73"/>
      <c r="WN73"/>
      <c r="WO73"/>
      <c r="WP73"/>
      <c r="WQ73"/>
      <c r="WR73"/>
      <c r="WS73"/>
      <c r="WT73"/>
      <c r="WU73"/>
      <c r="WV73"/>
      <c r="WW73"/>
      <c r="WX73"/>
      <c r="WY73"/>
      <c r="WZ73"/>
      <c r="XA73"/>
      <c r="XB73"/>
      <c r="XC73"/>
      <c r="XD73"/>
      <c r="XE73"/>
      <c r="XF73"/>
      <c r="XG73"/>
      <c r="XH73"/>
      <c r="XI73"/>
      <c r="XJ73"/>
      <c r="XK73"/>
      <c r="XL73"/>
      <c r="XM73"/>
      <c r="XN73"/>
      <c r="XO73"/>
      <c r="XP73"/>
      <c r="XQ73"/>
      <c r="XR73"/>
      <c r="XS73"/>
      <c r="XT73"/>
      <c r="XU73"/>
      <c r="XV73"/>
      <c r="XW73"/>
      <c r="XX73"/>
      <c r="XY73"/>
      <c r="XZ73"/>
      <c r="YA73"/>
      <c r="YB73"/>
      <c r="YC73"/>
      <c r="YD73"/>
      <c r="YE73"/>
      <c r="YF73"/>
      <c r="YG73"/>
      <c r="YH73"/>
      <c r="YI73"/>
      <c r="YJ73"/>
      <c r="YK73"/>
      <c r="YL73"/>
      <c r="YM73"/>
      <c r="YN73"/>
      <c r="YO73"/>
      <c r="YP73"/>
      <c r="YQ73"/>
      <c r="YR73"/>
      <c r="YS73"/>
      <c r="YT73"/>
      <c r="YU73"/>
      <c r="YV73"/>
      <c r="YW73"/>
      <c r="YX73"/>
      <c r="YY73"/>
      <c r="YZ73"/>
      <c r="ZA73"/>
      <c r="ZB73"/>
      <c r="ZC73"/>
      <c r="ZD73"/>
      <c r="ZE73"/>
      <c r="ZF73"/>
      <c r="ZG73"/>
      <c r="ZH73"/>
      <c r="ZI73"/>
      <c r="ZJ73"/>
      <c r="ZK73"/>
      <c r="ZL73"/>
      <c r="ZM73"/>
      <c r="ZN73"/>
      <c r="ZO73"/>
      <c r="ZP73"/>
      <c r="ZQ73"/>
      <c r="ZR73"/>
      <c r="ZS73"/>
      <c r="ZT73"/>
      <c r="ZU73"/>
      <c r="ZV73"/>
      <c r="ZW73"/>
      <c r="ZX73"/>
      <c r="ZY73"/>
      <c r="ZZ73"/>
      <c r="AAA73"/>
      <c r="AAB73"/>
      <c r="AAC73"/>
      <c r="AAD73"/>
      <c r="AAE73"/>
      <c r="AAF73"/>
      <c r="AAG73"/>
      <c r="AAH73"/>
      <c r="AAI73"/>
      <c r="AAJ73"/>
      <c r="AAK73"/>
      <c r="AAL73"/>
      <c r="AAM73"/>
      <c r="AAN73"/>
      <c r="AAO73"/>
      <c r="AAP73"/>
      <c r="AAQ73"/>
      <c r="AAR73"/>
      <c r="AAS73"/>
      <c r="AAT73"/>
      <c r="AAU73"/>
      <c r="AAV73"/>
      <c r="AAW73"/>
      <c r="AAX73"/>
      <c r="AAY73"/>
      <c r="AAZ73"/>
      <c r="ABA73"/>
      <c r="ABB73"/>
      <c r="ABC73"/>
      <c r="ABD73"/>
      <c r="ABE73"/>
      <c r="ABF73"/>
      <c r="ABG73"/>
      <c r="ABH73"/>
      <c r="ABI73"/>
      <c r="ABJ73"/>
      <c r="ABK73"/>
      <c r="ABL73"/>
      <c r="ABM73"/>
      <c r="ABN73"/>
      <c r="ABO73"/>
      <c r="ABP73"/>
      <c r="ABQ73"/>
      <c r="ABR73"/>
      <c r="ABS73"/>
      <c r="ABT73"/>
      <c r="ABU73"/>
      <c r="ABV73"/>
      <c r="ABW73"/>
      <c r="ABX73"/>
      <c r="ABY73"/>
      <c r="ABZ73"/>
      <c r="ACA73"/>
      <c r="ACB73"/>
      <c r="ACC73"/>
      <c r="ACD73"/>
      <c r="ACE73"/>
      <c r="ACF73"/>
      <c r="ACG73"/>
      <c r="ACH73"/>
      <c r="ACI73"/>
      <c r="ACJ73"/>
      <c r="ACK73"/>
      <c r="ACL73"/>
      <c r="ACM73"/>
      <c r="ACN73"/>
      <c r="ACO73"/>
      <c r="ACP73"/>
      <c r="ACQ73"/>
      <c r="ACR73"/>
      <c r="ACS73"/>
      <c r="ACT73"/>
      <c r="ACU73"/>
      <c r="ACV73"/>
      <c r="ACW73"/>
      <c r="ACX73"/>
      <c r="ACY73"/>
      <c r="ACZ73"/>
      <c r="ADA73"/>
      <c r="ADB73"/>
      <c r="ADC73"/>
      <c r="ADD73"/>
      <c r="ADE73"/>
      <c r="ADF73"/>
      <c r="ADG73"/>
      <c r="ADH73"/>
      <c r="ADI73"/>
      <c r="ADJ73"/>
      <c r="ADK73"/>
      <c r="ADL73"/>
      <c r="ADM73"/>
      <c r="ADN73"/>
      <c r="ADO73"/>
      <c r="ADP73"/>
      <c r="ADQ73"/>
      <c r="ADR73"/>
      <c r="ADS73"/>
      <c r="ADT73"/>
      <c r="ADU73"/>
      <c r="ADV73"/>
      <c r="ADW73"/>
      <c r="ADX73"/>
      <c r="ADY73"/>
      <c r="ADZ73"/>
      <c r="AEA73"/>
      <c r="AEB73"/>
      <c r="AEC73"/>
      <c r="AED73"/>
      <c r="AEE73"/>
      <c r="AEF73"/>
      <c r="AEG73"/>
      <c r="AEH73"/>
      <c r="AEI73"/>
      <c r="AEJ73"/>
      <c r="AEK73"/>
      <c r="AEL73"/>
      <c r="AEM73"/>
      <c r="AEN73"/>
      <c r="AEO73"/>
      <c r="AEP73"/>
      <c r="AEQ73"/>
      <c r="AER73"/>
      <c r="AES73"/>
      <c r="AET73"/>
      <c r="AEU73"/>
      <c r="AEV73"/>
      <c r="AEW73"/>
      <c r="AEX73"/>
      <c r="AEY73"/>
      <c r="AEZ73"/>
      <c r="AFA73"/>
      <c r="AFB73"/>
      <c r="AFC73"/>
      <c r="AFD73"/>
      <c r="AFE73"/>
      <c r="AFF73"/>
      <c r="AFG73"/>
      <c r="AFH73"/>
      <c r="AFI73"/>
      <c r="AFJ73"/>
      <c r="AFK73"/>
      <c r="AFL73"/>
      <c r="AFM73"/>
      <c r="AFN73"/>
      <c r="AFO73"/>
      <c r="AFP73"/>
      <c r="AFQ73"/>
      <c r="AFR73"/>
      <c r="AFS73"/>
      <c r="AFT73"/>
      <c r="AFU73"/>
      <c r="AFV73"/>
      <c r="AFW73"/>
      <c r="AFX73"/>
      <c r="AFY73"/>
      <c r="AFZ73"/>
      <c r="AGA73"/>
      <c r="AGB73"/>
      <c r="AGC73"/>
      <c r="AGD73"/>
      <c r="AGE73"/>
      <c r="AGF73"/>
      <c r="AGG73"/>
      <c r="AGH73"/>
      <c r="AGI73"/>
      <c r="AGJ73"/>
      <c r="AGK73"/>
      <c r="AGL73"/>
      <c r="AGM73"/>
      <c r="AGN73"/>
      <c r="AGO73"/>
      <c r="AGP73"/>
      <c r="AGQ73"/>
      <c r="AGR73"/>
      <c r="AGS73"/>
      <c r="AGT73"/>
      <c r="AGU73"/>
      <c r="AGV73"/>
      <c r="AGW73"/>
      <c r="AGX73"/>
      <c r="AGY73"/>
      <c r="AGZ73"/>
      <c r="AHA73"/>
      <c r="AHB73"/>
      <c r="AHC73"/>
      <c r="AHD73"/>
      <c r="AHE73"/>
      <c r="AHF73"/>
      <c r="AHG73"/>
      <c r="AHH73"/>
      <c r="AHI73"/>
      <c r="AHJ73"/>
      <c r="AHK73"/>
      <c r="AHL73"/>
      <c r="AHM73"/>
      <c r="AHN73"/>
      <c r="AHO73"/>
      <c r="AHP73"/>
      <c r="AHQ73"/>
      <c r="AHR73"/>
      <c r="AHS73"/>
      <c r="AHT73"/>
      <c r="AHU73"/>
      <c r="AHV73"/>
      <c r="AHW73"/>
      <c r="AHX73"/>
      <c r="AHY73"/>
      <c r="AHZ73"/>
      <c r="AIA73"/>
      <c r="AIB73"/>
      <c r="AIC73"/>
      <c r="AID73"/>
      <c r="AIE73"/>
      <c r="AIF73"/>
      <c r="AIG73"/>
      <c r="AIH73"/>
      <c r="AII73"/>
      <c r="AIJ73"/>
      <c r="AIK73"/>
      <c r="AIL73"/>
      <c r="AIM73"/>
      <c r="AIN73"/>
      <c r="AIO73"/>
      <c r="AIP73"/>
      <c r="AIQ73"/>
      <c r="AIR73"/>
      <c r="AIS73"/>
      <c r="AIT73"/>
      <c r="AIU73"/>
      <c r="AIV73"/>
      <c r="AIW73"/>
      <c r="AIX73"/>
      <c r="AIY73"/>
      <c r="AIZ73"/>
      <c r="AJA73"/>
      <c r="AJB73"/>
      <c r="AJC73"/>
      <c r="AJD73"/>
      <c r="AJE73"/>
      <c r="AJF73"/>
      <c r="AJG73"/>
      <c r="AJH73"/>
      <c r="AJI73"/>
      <c r="AJJ73"/>
      <c r="AJK73"/>
      <c r="AJL73"/>
      <c r="AJM73"/>
      <c r="AJN73"/>
      <c r="AJO73"/>
      <c r="AJP73"/>
      <c r="AJQ73"/>
      <c r="AJR73"/>
      <c r="AJS73"/>
      <c r="AJT73"/>
      <c r="AJU73"/>
      <c r="AJV73"/>
      <c r="AJW73"/>
      <c r="AJX73"/>
      <c r="AJY73"/>
      <c r="AJZ73"/>
      <c r="AKA73"/>
      <c r="AKB73"/>
      <c r="AKC73"/>
      <c r="AKD73"/>
      <c r="AKE73"/>
      <c r="AKF73"/>
      <c r="AKG73"/>
      <c r="AKH73"/>
      <c r="AKI73"/>
      <c r="AKJ73"/>
      <c r="AKK73"/>
      <c r="AKL73"/>
      <c r="AKM73"/>
      <c r="AKN73"/>
      <c r="AKO73"/>
      <c r="AKP73"/>
      <c r="AKQ73"/>
      <c r="AKR73"/>
      <c r="AKS73"/>
      <c r="AKT73"/>
      <c r="AKU73"/>
      <c r="AKV73"/>
      <c r="AKW73"/>
      <c r="AKX73"/>
      <c r="AKY73"/>
      <c r="AKZ73"/>
      <c r="ALA73"/>
      <c r="ALB73"/>
      <c r="ALC73"/>
      <c r="ALD73"/>
      <c r="ALE73"/>
      <c r="ALF73"/>
      <c r="ALG73"/>
      <c r="ALH73"/>
      <c r="ALI73"/>
      <c r="ALJ73"/>
      <c r="ALK73"/>
      <c r="ALL73"/>
      <c r="ALM73"/>
      <c r="ALN73"/>
      <c r="ALO73"/>
      <c r="ALP73"/>
      <c r="ALQ73"/>
      <c r="ALR73"/>
      <c r="ALS73"/>
      <c r="ALT73"/>
      <c r="ALU73"/>
      <c r="ALV73"/>
      <c r="ALW73"/>
      <c r="ALX73"/>
      <c r="ALY73"/>
      <c r="ALZ73"/>
      <c r="AMA73"/>
      <c r="AMB73"/>
      <c r="AMC73"/>
      <c r="AMD73"/>
      <c r="AME73"/>
      <c r="AMF73"/>
      <c r="AMG73"/>
      <c r="AMH73"/>
      <c r="AMI73"/>
      <c r="AMJ73"/>
      <c r="AMK73"/>
      <c r="AML73"/>
      <c r="AMM73"/>
      <c r="AMN73"/>
      <c r="AMO73"/>
      <c r="AMP73"/>
      <c r="AMQ73"/>
      <c r="AMR73"/>
      <c r="AMS73"/>
      <c r="AMT73"/>
      <c r="AMU73"/>
      <c r="AMV73"/>
      <c r="AMW73"/>
      <c r="AMX73"/>
      <c r="AMY73"/>
      <c r="AMZ73"/>
      <c r="ANA73"/>
      <c r="ANB73"/>
      <c r="ANC73"/>
      <c r="AND73"/>
      <c r="ANE73"/>
      <c r="ANF73"/>
      <c r="ANG73"/>
      <c r="ANH73"/>
      <c r="ANI73"/>
      <c r="ANJ73"/>
      <c r="ANK73"/>
      <c r="ANL73"/>
      <c r="ANM73"/>
      <c r="ANN73"/>
      <c r="ANO73"/>
      <c r="ANP73"/>
      <c r="ANQ73"/>
      <c r="ANR73"/>
      <c r="ANS73"/>
      <c r="ANT73"/>
      <c r="ANU73"/>
      <c r="ANV73"/>
      <c r="ANW73"/>
      <c r="ANX73"/>
      <c r="ANY73"/>
      <c r="ANZ73"/>
      <c r="AOA73"/>
      <c r="AOB73"/>
      <c r="AOC73"/>
      <c r="AOD73"/>
      <c r="AOE73"/>
      <c r="AOF73"/>
      <c r="AOG73"/>
      <c r="AOH73"/>
      <c r="AOI73"/>
      <c r="AOJ73"/>
      <c r="AOK73"/>
      <c r="AOL73"/>
      <c r="AOM73"/>
      <c r="AON73"/>
      <c r="AOO73"/>
      <c r="AOP73"/>
      <c r="AOQ73"/>
      <c r="AOR73"/>
      <c r="AOS73"/>
      <c r="AOT73"/>
      <c r="AOU73"/>
      <c r="AOV73"/>
      <c r="AOW73"/>
      <c r="AOX73"/>
      <c r="AOY73"/>
      <c r="AOZ73"/>
      <c r="APA73"/>
      <c r="APB73"/>
      <c r="APC73"/>
      <c r="APD73"/>
      <c r="APE73"/>
      <c r="APF73"/>
      <c r="APG73"/>
      <c r="APH73"/>
      <c r="API73"/>
      <c r="APJ73"/>
      <c r="APK73"/>
      <c r="APL73"/>
      <c r="APM73"/>
      <c r="APN73"/>
      <c r="APO73"/>
      <c r="APP73"/>
      <c r="APQ73"/>
      <c r="APR73"/>
      <c r="APS73"/>
      <c r="APT73"/>
      <c r="APU73"/>
      <c r="APV73"/>
      <c r="APW73"/>
      <c r="APX73"/>
      <c r="APY73"/>
      <c r="APZ73"/>
      <c r="AQA73"/>
      <c r="AQB73"/>
      <c r="AQC73"/>
      <c r="AQD73"/>
      <c r="AQE73"/>
      <c r="AQF73"/>
      <c r="AQG73"/>
      <c r="AQH73"/>
      <c r="AQI73"/>
      <c r="AQJ73"/>
      <c r="AQK73"/>
      <c r="AQL73"/>
      <c r="AQM73"/>
      <c r="AQN73"/>
      <c r="AQO73"/>
      <c r="AQP73"/>
      <c r="AQQ73"/>
      <c r="AQR73"/>
      <c r="AQS73"/>
      <c r="AQT73"/>
      <c r="AQU73"/>
      <c r="AQV73"/>
      <c r="AQW73"/>
      <c r="AQX73"/>
      <c r="AQY73"/>
      <c r="AQZ73"/>
      <c r="ARA73"/>
      <c r="ARB73"/>
      <c r="ARC73"/>
      <c r="ARD73"/>
      <c r="ARE73"/>
      <c r="ARF73"/>
      <c r="ARG73"/>
      <c r="ARH73"/>
      <c r="ARI73"/>
      <c r="ARJ73"/>
      <c r="ARK73"/>
      <c r="ARL73"/>
      <c r="ARM73"/>
      <c r="ARN73"/>
      <c r="ARO73"/>
      <c r="ARP73"/>
      <c r="ARQ73"/>
      <c r="ARR73"/>
      <c r="ARS73"/>
      <c r="ART73"/>
      <c r="ARU73"/>
      <c r="ARV73"/>
      <c r="ARW73"/>
      <c r="ARX73"/>
      <c r="ARY73"/>
      <c r="ARZ73"/>
      <c r="ASA73"/>
      <c r="ASB73"/>
      <c r="ASC73"/>
      <c r="ASD73"/>
      <c r="ASE73"/>
      <c r="ASF73"/>
      <c r="ASG73"/>
      <c r="ASH73"/>
      <c r="ASI73"/>
      <c r="ASJ73"/>
      <c r="ASK73"/>
      <c r="ASL73"/>
      <c r="ASM73"/>
      <c r="ASN73"/>
      <c r="ASO73"/>
      <c r="ASP73"/>
      <c r="ASQ73"/>
      <c r="ASR73"/>
      <c r="ASS73"/>
      <c r="AST73"/>
      <c r="ASU73"/>
      <c r="ASV73"/>
      <c r="ASW73"/>
      <c r="ASX73"/>
      <c r="ASY73"/>
      <c r="ASZ73"/>
      <c r="ATA73"/>
      <c r="ATB73"/>
      <c r="ATC73"/>
      <c r="ATD73"/>
      <c r="ATE73"/>
      <c r="ATF73"/>
      <c r="ATG73"/>
      <c r="ATH73"/>
      <c r="ATI73"/>
      <c r="ATJ73"/>
      <c r="ATK73"/>
      <c r="ATL73"/>
      <c r="ATM73"/>
      <c r="ATN73"/>
      <c r="ATO73"/>
      <c r="ATP73"/>
      <c r="ATQ73"/>
      <c r="ATR73"/>
      <c r="ATS73"/>
      <c r="ATT73"/>
      <c r="ATU73"/>
      <c r="ATV73"/>
      <c r="ATW73"/>
      <c r="ATX73"/>
      <c r="ATY73"/>
      <c r="ATZ73"/>
      <c r="AUA73"/>
      <c r="AUB73"/>
      <c r="AUC73"/>
      <c r="AUD73"/>
      <c r="AUE73"/>
      <c r="AUF73"/>
      <c r="AUG73"/>
      <c r="AUH73"/>
      <c r="AUI73"/>
      <c r="AUJ73"/>
      <c r="AUK73"/>
      <c r="AUL73"/>
      <c r="AUM73"/>
      <c r="AUN73"/>
      <c r="AUO73"/>
      <c r="AUP73"/>
      <c r="AUQ73"/>
      <c r="AUR73"/>
      <c r="AUS73"/>
      <c r="AUT73"/>
      <c r="AUU73"/>
      <c r="AUV73"/>
      <c r="AUW73"/>
      <c r="AUX73"/>
      <c r="AUY73"/>
      <c r="AUZ73"/>
      <c r="AVA73"/>
      <c r="AVB73"/>
      <c r="AVC73"/>
      <c r="AVD73"/>
      <c r="AVE73"/>
      <c r="AVF73"/>
      <c r="AVG73"/>
      <c r="AVH73"/>
      <c r="AVI73"/>
      <c r="AVJ73"/>
      <c r="AVK73"/>
      <c r="AVL73"/>
      <c r="AVM73"/>
      <c r="AVN73"/>
      <c r="AVO73"/>
      <c r="AVP73"/>
      <c r="AVQ73"/>
      <c r="AVR73"/>
      <c r="AVS73"/>
      <c r="AVT73"/>
      <c r="AVU73"/>
      <c r="AVV73"/>
      <c r="AVW73"/>
      <c r="AVX73"/>
      <c r="AVY73"/>
      <c r="AVZ73"/>
      <c r="AWA73"/>
      <c r="AWB73"/>
      <c r="AWC73"/>
      <c r="AWD73"/>
      <c r="AWE73"/>
      <c r="AWF73"/>
      <c r="AWG73"/>
      <c r="AWH73"/>
      <c r="AWI73"/>
      <c r="AWJ73"/>
      <c r="AWK73"/>
      <c r="AWL73"/>
      <c r="AWM73"/>
      <c r="AWN73"/>
      <c r="AWO73"/>
      <c r="AWP73"/>
      <c r="AWQ73"/>
      <c r="AWR73"/>
      <c r="AWS73"/>
      <c r="AWT73"/>
      <c r="AWU73"/>
      <c r="AWV73"/>
      <c r="AWW73"/>
      <c r="AWX73"/>
      <c r="AWY73"/>
      <c r="AWZ73"/>
      <c r="AXA73"/>
      <c r="AXB73"/>
      <c r="AXC73"/>
      <c r="AXD73"/>
      <c r="AXE73"/>
      <c r="AXF73"/>
      <c r="AXG73"/>
      <c r="AXH73"/>
      <c r="AXI73"/>
      <c r="AXJ73"/>
      <c r="AXK73"/>
      <c r="AXL73"/>
      <c r="AXM73"/>
      <c r="AXN73"/>
      <c r="AXO73"/>
      <c r="AXP73"/>
      <c r="AXQ73"/>
      <c r="AXR73"/>
      <c r="AXS73"/>
      <c r="AXT73"/>
      <c r="AXU73"/>
      <c r="AXV73"/>
      <c r="AXW73"/>
      <c r="AXX73"/>
      <c r="AXY73"/>
      <c r="AXZ73"/>
      <c r="AYA73"/>
      <c r="AYB73"/>
      <c r="AYC73"/>
      <c r="AYD73"/>
      <c r="AYE73"/>
      <c r="AYF73"/>
      <c r="AYG73"/>
      <c r="AYH73"/>
      <c r="AYI73"/>
      <c r="AYJ73"/>
      <c r="AYK73"/>
      <c r="AYL73"/>
      <c r="AYM73"/>
      <c r="AYN73"/>
      <c r="AYO73"/>
      <c r="AYP73"/>
      <c r="AYQ73"/>
      <c r="AYR73"/>
      <c r="AYS73"/>
      <c r="AYT73"/>
      <c r="AYU73"/>
      <c r="AYV73"/>
      <c r="AYW73"/>
      <c r="AYX73"/>
      <c r="AYY73"/>
      <c r="AYZ73"/>
      <c r="AZA73"/>
      <c r="AZB73"/>
      <c r="AZC73"/>
      <c r="AZD73"/>
      <c r="AZE73"/>
      <c r="AZF73"/>
      <c r="AZG73"/>
      <c r="AZH73"/>
      <c r="AZI73"/>
      <c r="AZJ73"/>
      <c r="AZK73"/>
      <c r="AZL73"/>
      <c r="AZM73"/>
      <c r="AZN73"/>
      <c r="AZO73"/>
      <c r="AZP73"/>
      <c r="AZQ73"/>
      <c r="AZR73"/>
      <c r="AZS73"/>
      <c r="AZT73"/>
      <c r="AZU73"/>
      <c r="AZV73"/>
      <c r="AZW73"/>
      <c r="AZX73"/>
      <c r="AZY73"/>
      <c r="AZZ73"/>
      <c r="BAA73"/>
      <c r="BAB73"/>
      <c r="BAC73"/>
      <c r="BAD73"/>
      <c r="BAE73"/>
      <c r="BAF73"/>
      <c r="BAG73"/>
      <c r="BAH73"/>
      <c r="BAI73"/>
      <c r="BAJ73"/>
      <c r="BAK73"/>
      <c r="BAL73"/>
      <c r="BAM73"/>
      <c r="BAN73"/>
      <c r="BAO73"/>
      <c r="BAP73"/>
      <c r="BAQ73"/>
      <c r="BAR73"/>
      <c r="BAS73"/>
      <c r="BAT73"/>
      <c r="BAU73"/>
      <c r="BAV73"/>
      <c r="BAW73"/>
      <c r="BAX73"/>
      <c r="BAY73"/>
      <c r="BAZ73"/>
      <c r="BBA73"/>
      <c r="BBB73"/>
      <c r="BBC73"/>
      <c r="BBD73"/>
      <c r="BBE73"/>
      <c r="BBF73"/>
      <c r="BBG73"/>
      <c r="BBH73"/>
      <c r="BBI73"/>
      <c r="BBJ73"/>
      <c r="BBK73"/>
      <c r="BBL73"/>
      <c r="BBM73"/>
      <c r="BBN73"/>
      <c r="BBO73"/>
      <c r="BBP73"/>
      <c r="BBQ73"/>
      <c r="BBR73"/>
      <c r="BBS73"/>
      <c r="BBT73"/>
      <c r="BBU73"/>
      <c r="BBV73"/>
      <c r="BBW73"/>
      <c r="BBX73"/>
      <c r="BBY73"/>
      <c r="BBZ73"/>
      <c r="BCA73"/>
      <c r="BCB73"/>
      <c r="BCC73"/>
      <c r="BCD73"/>
      <c r="BCE73"/>
      <c r="BCF73"/>
      <c r="BCG73"/>
      <c r="BCH73"/>
      <c r="BCI73"/>
      <c r="BCJ73"/>
      <c r="BCK73"/>
      <c r="BCL73"/>
      <c r="BCM73"/>
      <c r="BCN73"/>
      <c r="BCO73"/>
      <c r="BCP73"/>
      <c r="BCQ73"/>
      <c r="BCR73"/>
      <c r="BCS73"/>
      <c r="BCT73"/>
      <c r="BCU73"/>
      <c r="BCV73"/>
      <c r="BCW73"/>
      <c r="BCX73"/>
      <c r="BCY73"/>
      <c r="BCZ73"/>
      <c r="BDA73"/>
      <c r="BDB73"/>
      <c r="BDC73"/>
      <c r="BDD73"/>
      <c r="BDE73"/>
      <c r="BDF73"/>
      <c r="BDG73"/>
      <c r="BDH73"/>
      <c r="BDI73"/>
      <c r="BDJ73"/>
      <c r="BDK73"/>
      <c r="BDL73"/>
      <c r="BDM73"/>
      <c r="BDN73"/>
      <c r="BDO73"/>
      <c r="BDP73"/>
      <c r="BDQ73"/>
      <c r="BDR73"/>
      <c r="BDS73"/>
      <c r="BDT73"/>
      <c r="BDU73"/>
      <c r="BDV73"/>
      <c r="BDW73"/>
      <c r="BDX73"/>
      <c r="BDY73"/>
      <c r="BDZ73"/>
      <c r="BEA73"/>
      <c r="BEB73"/>
      <c r="BEC73"/>
      <c r="BED73"/>
      <c r="BEE73"/>
      <c r="BEF73"/>
      <c r="BEG73"/>
      <c r="BEH73"/>
      <c r="BEI73"/>
      <c r="BEJ73"/>
      <c r="BEK73"/>
      <c r="BEL73"/>
      <c r="BEM73"/>
      <c r="BEN73"/>
      <c r="BEO73"/>
      <c r="BEP73"/>
      <c r="BEQ73"/>
      <c r="BER73"/>
      <c r="BES73"/>
      <c r="BET73"/>
      <c r="BEU73"/>
      <c r="BEV73"/>
      <c r="BEW73"/>
      <c r="BEX73"/>
      <c r="BEY73"/>
      <c r="BEZ73"/>
      <c r="BFA73"/>
      <c r="BFB73"/>
      <c r="BFC73"/>
      <c r="BFD73"/>
      <c r="BFE73"/>
      <c r="BFF73"/>
      <c r="BFG73"/>
      <c r="BFH73"/>
      <c r="BFI73"/>
      <c r="BFJ73"/>
      <c r="BFK73"/>
      <c r="BFL73"/>
      <c r="BFM73"/>
      <c r="BFN73"/>
      <c r="BFO73"/>
      <c r="BFP73"/>
      <c r="BFQ73"/>
      <c r="BFR73"/>
      <c r="BFS73"/>
      <c r="BFT73"/>
      <c r="BFU73"/>
      <c r="BFV73"/>
      <c r="BFW73"/>
      <c r="BFX73"/>
      <c r="BFY73"/>
      <c r="BFZ73"/>
      <c r="BGA73"/>
      <c r="BGB73"/>
      <c r="BGC73"/>
      <c r="BGD73"/>
      <c r="BGE73"/>
      <c r="BGF73"/>
      <c r="BGG73"/>
      <c r="BGH73"/>
      <c r="BGI73"/>
      <c r="BGJ73"/>
      <c r="BGK73"/>
      <c r="BGL73"/>
      <c r="BGM73"/>
      <c r="BGN73"/>
      <c r="BGO73"/>
      <c r="BGP73"/>
      <c r="BGQ73"/>
      <c r="BGR73"/>
      <c r="BGS73"/>
      <c r="BGT73"/>
      <c r="BGU73"/>
      <c r="BGV73"/>
      <c r="BGW73"/>
      <c r="BGX73"/>
      <c r="BGY73"/>
      <c r="BGZ73"/>
      <c r="BHA73"/>
      <c r="BHB73"/>
      <c r="BHC73"/>
      <c r="BHD73"/>
      <c r="BHE73"/>
      <c r="BHF73"/>
      <c r="BHG73"/>
      <c r="BHH73"/>
      <c r="BHI73"/>
      <c r="BHJ73"/>
      <c r="BHK73"/>
      <c r="BHL73"/>
      <c r="BHM73"/>
      <c r="BHN73"/>
      <c r="BHO73"/>
      <c r="BHP73"/>
      <c r="BHQ73"/>
      <c r="BHR73"/>
      <c r="BHS73"/>
      <c r="BHT73"/>
      <c r="BHU73"/>
      <c r="BHV73"/>
      <c r="BHW73"/>
      <c r="BHX73"/>
      <c r="BHY73"/>
      <c r="BHZ73"/>
      <c r="BIA73"/>
      <c r="BIB73"/>
      <c r="BIC73"/>
      <c r="BID73"/>
      <c r="BIE73"/>
      <c r="BIF73"/>
      <c r="BIG73"/>
      <c r="BIH73"/>
      <c r="BII73"/>
      <c r="BIJ73"/>
      <c r="BIK73"/>
      <c r="BIL73"/>
      <c r="BIM73"/>
      <c r="BIN73"/>
      <c r="BIO73"/>
      <c r="BIP73"/>
      <c r="BIQ73"/>
      <c r="BIR73"/>
      <c r="BIS73"/>
      <c r="BIT73"/>
      <c r="BIU73"/>
      <c r="BIV73"/>
      <c r="BIW73"/>
      <c r="BIX73"/>
      <c r="BIY73"/>
      <c r="BIZ73"/>
      <c r="BJA73"/>
      <c r="BJB73"/>
      <c r="BJC73"/>
      <c r="BJD73"/>
      <c r="BJE73"/>
      <c r="BJF73"/>
      <c r="BJG73"/>
      <c r="BJH73"/>
      <c r="BJI73"/>
      <c r="BJJ73"/>
      <c r="BJK73"/>
      <c r="BJL73"/>
      <c r="BJM73"/>
      <c r="BJN73"/>
      <c r="BJO73"/>
      <c r="BJP73"/>
      <c r="BJQ73"/>
      <c r="BJR73"/>
      <c r="BJS73"/>
      <c r="BJT73"/>
      <c r="BJU73"/>
      <c r="BJV73"/>
      <c r="BJW73"/>
      <c r="BJX73"/>
      <c r="BJY73"/>
      <c r="BJZ73"/>
      <c r="BKA73"/>
      <c r="BKB73"/>
      <c r="BKC73"/>
      <c r="BKD73"/>
      <c r="BKE73"/>
      <c r="BKF73"/>
      <c r="BKG73"/>
      <c r="BKH73"/>
      <c r="BKI73"/>
      <c r="BKJ73"/>
      <c r="BKK73"/>
      <c r="BKL73"/>
      <c r="BKM73"/>
      <c r="BKN73"/>
      <c r="BKO73"/>
      <c r="BKP73"/>
      <c r="BKQ73"/>
      <c r="BKR73"/>
      <c r="BKS73"/>
      <c r="BKT73"/>
      <c r="BKU73"/>
      <c r="BKV73"/>
      <c r="BKW73"/>
      <c r="BKX73"/>
      <c r="BKY73"/>
      <c r="BKZ73"/>
      <c r="BLA73"/>
      <c r="BLB73"/>
      <c r="BLC73"/>
      <c r="BLD73"/>
      <c r="BLE73"/>
      <c r="BLF73"/>
      <c r="BLG73"/>
      <c r="BLH73"/>
      <c r="BLI73"/>
      <c r="BLJ73"/>
      <c r="BLK73"/>
      <c r="BLL73"/>
      <c r="BLM73"/>
      <c r="BLN73"/>
      <c r="BLO73"/>
      <c r="BLP73"/>
      <c r="BLQ73"/>
      <c r="BLR73"/>
      <c r="BLS73"/>
      <c r="BLT73"/>
      <c r="BLU73"/>
      <c r="BLV73"/>
      <c r="BLW73"/>
      <c r="BLX73"/>
      <c r="BLY73"/>
      <c r="BLZ73"/>
      <c r="BMA73"/>
      <c r="BMB73"/>
      <c r="BMC73"/>
      <c r="BMD73"/>
      <c r="BME73"/>
      <c r="BMF73"/>
      <c r="BMG73"/>
      <c r="BMH73"/>
      <c r="BMI73"/>
      <c r="BMJ73"/>
      <c r="BMK73"/>
      <c r="BML73"/>
      <c r="BMM73"/>
      <c r="BMN73"/>
      <c r="BMO73"/>
      <c r="BMP73"/>
      <c r="BMQ73"/>
      <c r="BMR73"/>
      <c r="BMS73"/>
      <c r="BMT73"/>
      <c r="BMU73"/>
      <c r="BMV73"/>
      <c r="BMW73"/>
      <c r="BMX73"/>
      <c r="BMY73"/>
      <c r="BMZ73"/>
      <c r="BNA73"/>
      <c r="BNB73"/>
      <c r="BNC73"/>
      <c r="BND73"/>
      <c r="BNE73"/>
      <c r="BNF73"/>
      <c r="BNG73"/>
      <c r="BNH73"/>
      <c r="BNI73"/>
      <c r="BNJ73"/>
      <c r="BNK73"/>
      <c r="BNL73"/>
      <c r="BNM73"/>
      <c r="BNN73"/>
      <c r="BNO73"/>
      <c r="BNP73"/>
      <c r="BNQ73"/>
      <c r="BNR73"/>
      <c r="BNS73"/>
      <c r="BNT73"/>
      <c r="BNU73"/>
      <c r="BNV73"/>
      <c r="BNW73"/>
      <c r="BNX73"/>
      <c r="BNY73"/>
      <c r="BNZ73"/>
      <c r="BOA73"/>
      <c r="BOB73"/>
      <c r="BOC73"/>
      <c r="BOD73"/>
      <c r="BOE73"/>
      <c r="BOF73"/>
      <c r="BOG73"/>
      <c r="BOH73"/>
      <c r="BOI73"/>
      <c r="BOJ73"/>
      <c r="BOK73"/>
      <c r="BOL73"/>
      <c r="BOM73"/>
      <c r="BON73"/>
      <c r="BOO73"/>
      <c r="BOP73"/>
      <c r="BOQ73"/>
      <c r="BOR73"/>
      <c r="BOS73"/>
      <c r="BOT73"/>
      <c r="BOU73"/>
      <c r="BOV73"/>
      <c r="BOW73"/>
      <c r="BOX73"/>
      <c r="BOY73"/>
      <c r="BOZ73"/>
      <c r="BPA73"/>
      <c r="BPB73"/>
      <c r="BPC73"/>
      <c r="BPD73"/>
      <c r="BPE73"/>
      <c r="BPF73"/>
      <c r="BPG73"/>
      <c r="BPH73"/>
      <c r="BPI73"/>
      <c r="BPJ73"/>
      <c r="BPK73"/>
      <c r="BPL73"/>
      <c r="BPM73"/>
      <c r="BPN73"/>
      <c r="BPO73"/>
      <c r="BPP73"/>
      <c r="BPQ73"/>
      <c r="BPR73"/>
      <c r="BPS73"/>
      <c r="BPT73"/>
      <c r="BPU73"/>
      <c r="BPV73"/>
      <c r="BPW73"/>
      <c r="BPX73"/>
      <c r="BPY73"/>
      <c r="BPZ73"/>
      <c r="BQA73"/>
      <c r="BQB73"/>
      <c r="BQC73"/>
      <c r="BQD73"/>
      <c r="BQE73"/>
      <c r="BQF73"/>
      <c r="BQG73"/>
      <c r="BQH73"/>
      <c r="BQI73"/>
      <c r="BQJ73"/>
      <c r="BQK73"/>
      <c r="BQL73"/>
      <c r="BQM73"/>
      <c r="BQN73"/>
      <c r="BQO73"/>
      <c r="BQP73"/>
      <c r="BQQ73"/>
      <c r="BQR73"/>
      <c r="BQS73"/>
      <c r="BQT73"/>
      <c r="BQU73"/>
      <c r="BQV73"/>
      <c r="BQW73"/>
      <c r="BQX73"/>
      <c r="BQY73"/>
      <c r="BQZ73"/>
      <c r="BRA73"/>
      <c r="BRB73"/>
      <c r="BRC73"/>
      <c r="BRD73"/>
      <c r="BRE73"/>
      <c r="BRF73"/>
      <c r="BRG73"/>
      <c r="BRH73"/>
      <c r="BRI73"/>
      <c r="BRJ73"/>
      <c r="BRK73"/>
      <c r="BRL73"/>
      <c r="BRM73"/>
      <c r="BRN73"/>
      <c r="BRO73"/>
      <c r="BRP73"/>
      <c r="BRQ73"/>
      <c r="BRR73"/>
      <c r="BRS73"/>
      <c r="BRT73"/>
      <c r="BRU73"/>
      <c r="BRV73"/>
      <c r="BRW73"/>
      <c r="BRX73"/>
      <c r="BRY73"/>
      <c r="BRZ73"/>
      <c r="BSA73"/>
      <c r="BSB73"/>
      <c r="BSC73"/>
      <c r="BSD73"/>
      <c r="BSE73"/>
      <c r="BSF73"/>
      <c r="BSG73"/>
      <c r="BSH73"/>
      <c r="BSI73"/>
      <c r="BSJ73"/>
      <c r="BSK73"/>
      <c r="BSL73"/>
      <c r="BSM73"/>
      <c r="BSN73"/>
      <c r="BSO73"/>
      <c r="BSP73"/>
      <c r="BSQ73"/>
      <c r="BSR73"/>
      <c r="BSS73"/>
      <c r="BST73"/>
      <c r="BSU73"/>
      <c r="BSV73"/>
      <c r="BSW73"/>
      <c r="BSX73"/>
      <c r="BSY73"/>
      <c r="BSZ73"/>
      <c r="BTA73"/>
      <c r="BTB73"/>
      <c r="BTC73"/>
      <c r="BTD73"/>
      <c r="BTE73"/>
      <c r="BTF73"/>
      <c r="BTG73"/>
      <c r="BTH73"/>
      <c r="BTI73"/>
      <c r="BTJ73"/>
      <c r="BTK73"/>
      <c r="BTL73"/>
      <c r="BTM73"/>
      <c r="BTN73"/>
      <c r="BTO73"/>
      <c r="BTP73"/>
      <c r="BTQ73"/>
      <c r="BTR73"/>
      <c r="BTS73"/>
      <c r="BTT73"/>
      <c r="BTU73"/>
      <c r="BTV73"/>
      <c r="BTW73"/>
      <c r="BTX73"/>
      <c r="BTY73"/>
      <c r="BTZ73"/>
      <c r="BUA73"/>
      <c r="BUB73"/>
      <c r="BUC73"/>
      <c r="BUD73"/>
      <c r="BUE73"/>
      <c r="BUF73"/>
      <c r="BUG73"/>
      <c r="BUH73"/>
      <c r="BUI73"/>
      <c r="BUJ73"/>
      <c r="BUK73"/>
      <c r="BUL73"/>
      <c r="BUM73"/>
      <c r="BUN73"/>
      <c r="BUO73"/>
      <c r="BUP73"/>
      <c r="BUQ73"/>
      <c r="BUR73"/>
      <c r="BUS73"/>
      <c r="BUT73"/>
      <c r="BUU73"/>
      <c r="BUV73"/>
      <c r="BUW73"/>
      <c r="BUX73"/>
      <c r="BUY73"/>
      <c r="BUZ73"/>
      <c r="BVA73"/>
      <c r="BVB73"/>
      <c r="BVC73"/>
      <c r="BVD73"/>
      <c r="BVE73"/>
      <c r="BVF73"/>
      <c r="BVG73"/>
      <c r="BVH73"/>
      <c r="BVI73"/>
      <c r="BVJ73"/>
      <c r="BVK73"/>
      <c r="BVL73"/>
      <c r="BVM73"/>
      <c r="BVN73"/>
      <c r="BVO73"/>
      <c r="BVP73"/>
      <c r="BVQ73"/>
      <c r="BVR73"/>
      <c r="BVS73"/>
      <c r="BVT73"/>
      <c r="BVU73"/>
      <c r="BVV73"/>
      <c r="BVW73"/>
      <c r="BVX73"/>
      <c r="BVY73"/>
      <c r="BVZ73"/>
      <c r="BWA73"/>
      <c r="BWB73"/>
      <c r="BWC73"/>
      <c r="BWD73"/>
      <c r="BWE73"/>
      <c r="BWF73"/>
      <c r="BWG73"/>
      <c r="BWH73"/>
      <c r="BWI73"/>
      <c r="BWJ73"/>
      <c r="BWK73"/>
      <c r="BWL73"/>
      <c r="BWM73"/>
      <c r="BWN73"/>
      <c r="BWO73"/>
      <c r="BWP73"/>
      <c r="BWQ73"/>
      <c r="BWR73"/>
      <c r="BWS73"/>
      <c r="BWT73"/>
      <c r="BWU73"/>
      <c r="BWV73"/>
      <c r="BWW73"/>
      <c r="BWX73"/>
      <c r="BWY73"/>
      <c r="BWZ73"/>
      <c r="BXA73"/>
      <c r="BXB73"/>
      <c r="BXC73"/>
      <c r="BXD73"/>
      <c r="BXE73"/>
      <c r="BXF73"/>
      <c r="BXG73"/>
      <c r="BXH73"/>
      <c r="BXI73"/>
      <c r="BXJ73"/>
      <c r="BXK73"/>
      <c r="BXL73"/>
      <c r="BXM73"/>
      <c r="BXN73"/>
      <c r="BXO73"/>
      <c r="BXP73"/>
      <c r="BXQ73"/>
      <c r="BXR73"/>
      <c r="BXS73"/>
      <c r="BXT73"/>
      <c r="BXU73"/>
      <c r="BXV73"/>
      <c r="BXW73"/>
      <c r="BXX73"/>
      <c r="BXY73"/>
      <c r="BXZ73"/>
      <c r="BYA73"/>
      <c r="BYB73"/>
      <c r="BYC73"/>
      <c r="BYD73"/>
      <c r="BYE73"/>
      <c r="BYF73"/>
      <c r="BYG73"/>
      <c r="BYH73"/>
      <c r="BYI73"/>
      <c r="BYJ73"/>
      <c r="BYK73"/>
      <c r="BYL73"/>
      <c r="BYM73"/>
      <c r="BYN73"/>
      <c r="BYO73"/>
      <c r="BYP73"/>
      <c r="BYQ73"/>
      <c r="BYR73"/>
      <c r="BYS73"/>
      <c r="BYT73"/>
      <c r="BYU73"/>
      <c r="BYV73"/>
      <c r="BYW73"/>
      <c r="BYX73"/>
      <c r="BYY73"/>
      <c r="BYZ73"/>
      <c r="BZA73"/>
      <c r="BZB73"/>
      <c r="BZC73"/>
      <c r="BZD73"/>
      <c r="BZE73"/>
      <c r="BZF73"/>
      <c r="BZG73"/>
      <c r="BZH73"/>
      <c r="BZI73"/>
      <c r="BZJ73"/>
      <c r="BZK73"/>
      <c r="BZL73"/>
      <c r="BZM73"/>
      <c r="BZN73"/>
      <c r="BZO73"/>
      <c r="BZP73"/>
      <c r="BZQ73"/>
      <c r="BZR73"/>
      <c r="BZS73"/>
      <c r="BZT73"/>
      <c r="BZU73"/>
      <c r="BZV73"/>
      <c r="BZW73"/>
      <c r="BZX73"/>
      <c r="BZY73"/>
      <c r="BZZ73"/>
      <c r="CAA73"/>
      <c r="CAB73"/>
      <c r="CAC73"/>
      <c r="CAD73"/>
      <c r="CAE73"/>
      <c r="CAF73"/>
      <c r="CAG73"/>
      <c r="CAH73"/>
      <c r="CAI73"/>
      <c r="CAJ73"/>
      <c r="CAK73"/>
      <c r="CAL73"/>
      <c r="CAM73"/>
      <c r="CAN73"/>
      <c r="CAO73"/>
      <c r="CAP73"/>
      <c r="CAQ73"/>
      <c r="CAR73"/>
      <c r="CAS73"/>
      <c r="CAT73"/>
      <c r="CAU73"/>
      <c r="CAV73"/>
      <c r="CAW73"/>
      <c r="CAX73"/>
      <c r="CAY73"/>
      <c r="CAZ73"/>
      <c r="CBA73"/>
      <c r="CBB73"/>
      <c r="CBC73"/>
      <c r="CBD73"/>
      <c r="CBE73"/>
      <c r="CBF73"/>
      <c r="CBG73"/>
      <c r="CBH73"/>
      <c r="CBI73"/>
      <c r="CBJ73"/>
      <c r="CBK73"/>
      <c r="CBL73"/>
      <c r="CBM73"/>
      <c r="CBN73"/>
      <c r="CBO73"/>
      <c r="CBP73"/>
      <c r="CBQ73"/>
      <c r="CBR73"/>
      <c r="CBS73"/>
      <c r="CBT73"/>
      <c r="CBU73"/>
      <c r="CBV73"/>
      <c r="CBW73"/>
      <c r="CBX73"/>
      <c r="CBY73"/>
      <c r="CBZ73"/>
      <c r="CCA73"/>
      <c r="CCB73"/>
      <c r="CCC73"/>
      <c r="CCD73"/>
      <c r="CCE73"/>
      <c r="CCF73"/>
      <c r="CCG73"/>
      <c r="CCH73"/>
      <c r="CCI73"/>
      <c r="CCJ73"/>
      <c r="CCK73"/>
      <c r="CCL73"/>
      <c r="CCM73"/>
      <c r="CCN73"/>
      <c r="CCO73"/>
      <c r="CCP73"/>
      <c r="CCQ73"/>
      <c r="CCR73"/>
      <c r="CCS73"/>
      <c r="CCT73"/>
      <c r="CCU73"/>
      <c r="CCV73"/>
      <c r="CCW73"/>
      <c r="CCX73"/>
      <c r="CCY73"/>
      <c r="CCZ73"/>
      <c r="CDA73"/>
      <c r="CDB73"/>
      <c r="CDC73"/>
      <c r="CDD73"/>
      <c r="CDE73"/>
      <c r="CDF73"/>
      <c r="CDG73"/>
      <c r="CDH73"/>
      <c r="CDI73"/>
      <c r="CDJ73"/>
      <c r="CDK73"/>
      <c r="CDL73"/>
      <c r="CDM73"/>
      <c r="CDN73"/>
      <c r="CDO73"/>
      <c r="CDP73"/>
      <c r="CDQ73"/>
      <c r="CDR73"/>
      <c r="CDS73"/>
      <c r="CDT73"/>
      <c r="CDU73"/>
      <c r="CDV73"/>
      <c r="CDW73"/>
      <c r="CDX73"/>
      <c r="CDY73"/>
      <c r="CDZ73"/>
      <c r="CEA73"/>
      <c r="CEB73"/>
      <c r="CEC73"/>
      <c r="CED73"/>
      <c r="CEE73"/>
      <c r="CEF73"/>
      <c r="CEG73"/>
      <c r="CEH73"/>
      <c r="CEI73"/>
      <c r="CEJ73"/>
      <c r="CEK73"/>
      <c r="CEL73"/>
      <c r="CEM73"/>
      <c r="CEN73"/>
      <c r="CEO73"/>
      <c r="CEP73"/>
      <c r="CEQ73"/>
      <c r="CER73"/>
      <c r="CES73"/>
      <c r="CET73"/>
      <c r="CEU73"/>
      <c r="CEV73"/>
      <c r="CEW73"/>
      <c r="CEX73"/>
      <c r="CEY73"/>
      <c r="CEZ73"/>
      <c r="CFA73"/>
      <c r="CFB73"/>
      <c r="CFC73"/>
      <c r="CFD73"/>
      <c r="CFE73"/>
      <c r="CFF73"/>
      <c r="CFG73"/>
      <c r="CFH73"/>
      <c r="CFI73"/>
      <c r="CFJ73"/>
      <c r="CFK73"/>
      <c r="CFL73"/>
      <c r="CFM73"/>
      <c r="CFN73"/>
      <c r="CFO73"/>
      <c r="CFP73"/>
      <c r="CFQ73"/>
      <c r="CFR73"/>
      <c r="CFS73"/>
      <c r="CFT73"/>
      <c r="CFU73"/>
      <c r="CFV73"/>
      <c r="CFW73"/>
      <c r="CFX73"/>
      <c r="CFY73"/>
      <c r="CFZ73"/>
      <c r="CGA73"/>
      <c r="CGB73"/>
      <c r="CGC73"/>
      <c r="CGD73"/>
      <c r="CGE73"/>
      <c r="CGF73"/>
      <c r="CGG73"/>
      <c r="CGH73"/>
      <c r="CGI73"/>
      <c r="CGJ73"/>
      <c r="CGK73"/>
      <c r="CGL73"/>
      <c r="CGM73"/>
      <c r="CGN73"/>
      <c r="CGO73"/>
      <c r="CGP73"/>
      <c r="CGQ73"/>
      <c r="CGR73"/>
      <c r="CGS73"/>
      <c r="CGT73"/>
      <c r="CGU73"/>
      <c r="CGV73"/>
      <c r="CGW73"/>
      <c r="CGX73"/>
      <c r="CGY73"/>
      <c r="CGZ73"/>
      <c r="CHA73"/>
      <c r="CHB73"/>
      <c r="CHC73"/>
      <c r="CHD73"/>
      <c r="CHE73"/>
      <c r="CHF73"/>
      <c r="CHG73"/>
      <c r="CHH73"/>
      <c r="CHI73"/>
      <c r="CHJ73"/>
      <c r="CHK73"/>
      <c r="CHL73"/>
      <c r="CHM73"/>
      <c r="CHN73"/>
      <c r="CHO73"/>
      <c r="CHP73"/>
      <c r="CHQ73"/>
      <c r="CHR73"/>
      <c r="CHS73"/>
      <c r="CHT73"/>
      <c r="CHU73"/>
      <c r="CHV73"/>
      <c r="CHW73"/>
      <c r="CHX73"/>
      <c r="CHY73"/>
      <c r="CHZ73"/>
      <c r="CIA73"/>
      <c r="CIB73"/>
      <c r="CIC73"/>
      <c r="CID73"/>
      <c r="CIE73"/>
      <c r="CIF73"/>
      <c r="CIG73"/>
      <c r="CIH73"/>
      <c r="CII73"/>
      <c r="CIJ73"/>
      <c r="CIK73"/>
      <c r="CIL73"/>
      <c r="CIM73"/>
      <c r="CIN73"/>
      <c r="CIO73"/>
      <c r="CIP73"/>
      <c r="CIQ73"/>
      <c r="CIR73"/>
      <c r="CIS73"/>
      <c r="CIT73"/>
      <c r="CIU73"/>
      <c r="CIV73"/>
      <c r="CIW73"/>
      <c r="CIX73"/>
      <c r="CIY73"/>
      <c r="CIZ73"/>
      <c r="CJA73"/>
      <c r="CJB73"/>
      <c r="CJC73"/>
      <c r="CJD73"/>
      <c r="CJE73"/>
      <c r="CJF73"/>
      <c r="CJG73"/>
      <c r="CJH73"/>
      <c r="CJI73"/>
      <c r="CJJ73"/>
      <c r="CJK73"/>
      <c r="CJL73"/>
      <c r="CJM73"/>
      <c r="CJN73"/>
      <c r="CJO73"/>
      <c r="CJP73"/>
      <c r="CJQ73"/>
      <c r="CJR73"/>
      <c r="CJS73"/>
      <c r="CJT73"/>
      <c r="CJU73"/>
      <c r="CJV73"/>
      <c r="CJW73"/>
      <c r="CJX73"/>
      <c r="CJY73"/>
      <c r="CJZ73"/>
      <c r="CKA73"/>
      <c r="CKB73"/>
      <c r="CKC73"/>
      <c r="CKD73"/>
      <c r="CKE73"/>
      <c r="CKF73"/>
      <c r="CKG73"/>
      <c r="CKH73"/>
      <c r="CKI73"/>
      <c r="CKJ73"/>
      <c r="CKK73"/>
      <c r="CKL73"/>
      <c r="CKM73"/>
      <c r="CKN73"/>
      <c r="CKO73"/>
      <c r="CKP73"/>
      <c r="CKQ73"/>
      <c r="CKR73"/>
      <c r="CKS73"/>
      <c r="CKT73"/>
      <c r="CKU73"/>
      <c r="CKV73"/>
      <c r="CKW73"/>
      <c r="CKX73"/>
      <c r="CKY73"/>
      <c r="CKZ73"/>
      <c r="CLA73"/>
      <c r="CLB73"/>
      <c r="CLC73"/>
      <c r="CLD73"/>
      <c r="CLE73"/>
      <c r="CLF73"/>
      <c r="CLG73"/>
      <c r="CLH73"/>
      <c r="CLI73"/>
      <c r="CLJ73"/>
      <c r="CLK73"/>
      <c r="CLL73"/>
      <c r="CLM73"/>
      <c r="CLN73"/>
      <c r="CLO73"/>
      <c r="CLP73"/>
      <c r="CLQ73"/>
      <c r="CLR73"/>
      <c r="CLS73"/>
      <c r="CLT73"/>
      <c r="CLU73"/>
      <c r="CLV73"/>
      <c r="CLW73"/>
      <c r="CLX73"/>
      <c r="CLY73"/>
      <c r="CLZ73"/>
      <c r="CMA73"/>
      <c r="CMB73"/>
      <c r="CMC73"/>
      <c r="CMD73"/>
      <c r="CME73"/>
      <c r="CMF73"/>
      <c r="CMG73"/>
      <c r="CMH73"/>
      <c r="CMI73"/>
      <c r="CMJ73"/>
      <c r="CMK73"/>
      <c r="CML73"/>
      <c r="CMM73"/>
      <c r="CMN73"/>
      <c r="CMO73"/>
      <c r="CMP73"/>
      <c r="CMQ73"/>
      <c r="CMR73"/>
      <c r="CMS73"/>
      <c r="CMT73"/>
      <c r="CMU73"/>
      <c r="CMV73"/>
      <c r="CMW73"/>
      <c r="CMX73"/>
      <c r="CMY73"/>
      <c r="CMZ73"/>
      <c r="CNA73"/>
      <c r="CNB73"/>
      <c r="CNC73"/>
      <c r="CND73"/>
      <c r="CNE73"/>
      <c r="CNF73"/>
      <c r="CNG73"/>
      <c r="CNH73"/>
      <c r="CNI73"/>
      <c r="CNJ73"/>
      <c r="CNK73"/>
      <c r="CNL73"/>
      <c r="CNM73"/>
      <c r="CNN73"/>
      <c r="CNO73"/>
      <c r="CNP73"/>
      <c r="CNQ73"/>
      <c r="CNR73"/>
      <c r="CNS73"/>
      <c r="CNT73"/>
      <c r="CNU73"/>
      <c r="CNV73"/>
      <c r="CNW73"/>
      <c r="CNX73"/>
      <c r="CNY73"/>
      <c r="CNZ73"/>
      <c r="COA73"/>
      <c r="COB73"/>
      <c r="COC73"/>
      <c r="COD73"/>
      <c r="COE73"/>
      <c r="COF73"/>
      <c r="COG73"/>
      <c r="COH73"/>
      <c r="COI73"/>
      <c r="COJ73"/>
      <c r="COK73"/>
      <c r="COL73"/>
      <c r="COM73"/>
      <c r="CON73"/>
      <c r="COO73"/>
      <c r="COP73"/>
      <c r="COQ73"/>
      <c r="COR73"/>
      <c r="COS73"/>
      <c r="COT73"/>
      <c r="COU73"/>
      <c r="COV73"/>
      <c r="COW73"/>
      <c r="COX73"/>
      <c r="COY73"/>
      <c r="COZ73"/>
      <c r="CPA73"/>
      <c r="CPB73"/>
      <c r="CPC73"/>
      <c r="CPD73"/>
      <c r="CPE73"/>
      <c r="CPF73"/>
      <c r="CPG73"/>
      <c r="CPH73"/>
      <c r="CPI73"/>
      <c r="CPJ73"/>
      <c r="CPK73"/>
      <c r="CPL73"/>
      <c r="CPM73"/>
      <c r="CPN73"/>
      <c r="CPO73"/>
      <c r="CPP73"/>
      <c r="CPQ73"/>
      <c r="CPR73"/>
      <c r="CPS73"/>
      <c r="CPT73"/>
      <c r="CPU73"/>
      <c r="CPV73"/>
      <c r="CPW73"/>
      <c r="CPX73"/>
      <c r="CPY73"/>
      <c r="CPZ73"/>
      <c r="CQA73"/>
      <c r="CQB73"/>
      <c r="CQC73"/>
      <c r="CQD73"/>
      <c r="CQE73"/>
      <c r="CQF73"/>
      <c r="CQG73"/>
      <c r="CQH73"/>
      <c r="CQI73"/>
      <c r="CQJ73"/>
      <c r="CQK73"/>
      <c r="CQL73"/>
      <c r="CQM73"/>
      <c r="CQN73"/>
      <c r="CQO73"/>
      <c r="CQP73"/>
      <c r="CQQ73"/>
      <c r="CQR73"/>
      <c r="CQS73"/>
      <c r="CQT73"/>
      <c r="CQU73"/>
      <c r="CQV73"/>
      <c r="CQW73"/>
      <c r="CQX73"/>
      <c r="CQY73"/>
      <c r="CQZ73"/>
      <c r="CRA73"/>
      <c r="CRB73"/>
      <c r="CRC73"/>
      <c r="CRD73"/>
      <c r="CRE73"/>
      <c r="CRF73"/>
      <c r="CRG73"/>
      <c r="CRH73"/>
      <c r="CRI73"/>
      <c r="CRJ73"/>
      <c r="CRK73"/>
      <c r="CRL73"/>
      <c r="CRM73"/>
      <c r="CRN73"/>
      <c r="CRO73"/>
      <c r="CRP73"/>
      <c r="CRQ73"/>
      <c r="CRR73"/>
      <c r="CRS73"/>
      <c r="CRT73"/>
      <c r="CRU73"/>
      <c r="CRV73"/>
      <c r="CRW73"/>
      <c r="CRX73"/>
      <c r="CRY73"/>
      <c r="CRZ73"/>
      <c r="CSA73"/>
      <c r="CSB73"/>
      <c r="CSC73"/>
      <c r="CSD73"/>
      <c r="CSE73"/>
      <c r="CSF73"/>
      <c r="CSG73"/>
      <c r="CSH73"/>
      <c r="CSI73"/>
      <c r="CSJ73"/>
      <c r="CSK73"/>
      <c r="CSL73"/>
      <c r="CSM73"/>
      <c r="CSN73"/>
      <c r="CSO73"/>
      <c r="CSP73"/>
      <c r="CSQ73"/>
      <c r="CSR73"/>
      <c r="CSS73"/>
      <c r="CST73"/>
      <c r="CSU73"/>
      <c r="CSV73"/>
      <c r="CSW73"/>
      <c r="CSX73"/>
      <c r="CSY73"/>
      <c r="CSZ73"/>
      <c r="CTA73"/>
      <c r="CTB73"/>
      <c r="CTC73"/>
      <c r="CTD73"/>
      <c r="CTE73"/>
      <c r="CTF73"/>
      <c r="CTG73"/>
      <c r="CTH73"/>
      <c r="CTI73"/>
      <c r="CTJ73"/>
      <c r="CTK73"/>
      <c r="CTL73"/>
      <c r="CTM73"/>
      <c r="CTN73"/>
      <c r="CTO73"/>
      <c r="CTP73"/>
      <c r="CTQ73"/>
      <c r="CTR73"/>
      <c r="CTS73"/>
      <c r="CTT73"/>
      <c r="CTU73"/>
      <c r="CTV73"/>
      <c r="CTW73"/>
      <c r="CTX73"/>
      <c r="CTY73"/>
      <c r="CTZ73"/>
      <c r="CUA73"/>
      <c r="CUB73"/>
      <c r="CUC73"/>
      <c r="CUD73"/>
      <c r="CUE73"/>
      <c r="CUF73"/>
      <c r="CUG73"/>
      <c r="CUH73"/>
      <c r="CUI73"/>
      <c r="CUJ73"/>
      <c r="CUK73"/>
      <c r="CUL73"/>
      <c r="CUM73"/>
      <c r="CUN73"/>
      <c r="CUO73"/>
      <c r="CUP73"/>
      <c r="CUQ73"/>
      <c r="CUR73"/>
      <c r="CUS73"/>
      <c r="CUT73"/>
      <c r="CUU73"/>
      <c r="CUV73"/>
      <c r="CUW73"/>
      <c r="CUX73"/>
      <c r="CUY73"/>
      <c r="CUZ73"/>
      <c r="CVA73"/>
      <c r="CVB73"/>
      <c r="CVC73"/>
      <c r="CVD73"/>
      <c r="CVE73"/>
      <c r="CVF73"/>
      <c r="CVG73"/>
      <c r="CVH73"/>
      <c r="CVI73"/>
      <c r="CVJ73"/>
      <c r="CVK73"/>
      <c r="CVL73"/>
      <c r="CVM73"/>
      <c r="CVN73"/>
      <c r="CVO73"/>
      <c r="CVP73"/>
      <c r="CVQ73"/>
      <c r="CVR73"/>
      <c r="CVS73"/>
      <c r="CVT73"/>
      <c r="CVU73"/>
      <c r="CVV73"/>
      <c r="CVW73"/>
      <c r="CVX73"/>
      <c r="CVY73"/>
      <c r="CVZ73"/>
      <c r="CWA73"/>
      <c r="CWB73"/>
      <c r="CWC73"/>
      <c r="CWD73"/>
      <c r="CWE73"/>
      <c r="CWF73"/>
      <c r="CWG73"/>
      <c r="CWH73"/>
      <c r="CWI73"/>
      <c r="CWJ73"/>
      <c r="CWK73"/>
      <c r="CWL73"/>
      <c r="CWM73"/>
      <c r="CWN73"/>
      <c r="CWO73"/>
      <c r="CWP73"/>
      <c r="CWQ73"/>
      <c r="CWR73"/>
      <c r="CWS73"/>
      <c r="CWT73"/>
      <c r="CWU73"/>
      <c r="CWV73"/>
      <c r="CWW73"/>
      <c r="CWX73"/>
      <c r="CWY73"/>
      <c r="CWZ73"/>
      <c r="CXA73"/>
      <c r="CXB73"/>
      <c r="CXC73"/>
      <c r="CXD73"/>
      <c r="CXE73"/>
      <c r="CXF73"/>
      <c r="CXG73"/>
      <c r="CXH73"/>
      <c r="CXI73"/>
      <c r="CXJ73"/>
      <c r="CXK73"/>
      <c r="CXL73"/>
      <c r="CXM73"/>
      <c r="CXN73"/>
      <c r="CXO73"/>
      <c r="CXP73"/>
      <c r="CXQ73"/>
      <c r="CXR73"/>
      <c r="CXS73"/>
      <c r="CXT73"/>
      <c r="CXU73"/>
      <c r="CXV73"/>
      <c r="CXW73"/>
      <c r="CXX73"/>
      <c r="CXY73"/>
      <c r="CXZ73"/>
      <c r="CYA73"/>
      <c r="CYB73"/>
      <c r="CYC73"/>
      <c r="CYD73"/>
      <c r="CYE73"/>
      <c r="CYF73"/>
      <c r="CYG73"/>
      <c r="CYH73"/>
      <c r="CYI73"/>
      <c r="CYJ73"/>
      <c r="CYK73"/>
      <c r="CYL73"/>
      <c r="CYM73"/>
      <c r="CYN73"/>
      <c r="CYO73"/>
      <c r="CYP73"/>
      <c r="CYQ73"/>
      <c r="CYR73"/>
      <c r="CYS73"/>
      <c r="CYT73"/>
      <c r="CYU73"/>
      <c r="CYV73"/>
      <c r="CYW73"/>
      <c r="CYX73"/>
      <c r="CYY73"/>
      <c r="CYZ73"/>
      <c r="CZA73"/>
      <c r="CZB73"/>
      <c r="CZC73"/>
      <c r="CZD73"/>
      <c r="CZE73"/>
      <c r="CZF73"/>
      <c r="CZG73"/>
      <c r="CZH73"/>
      <c r="CZI73"/>
      <c r="CZJ73"/>
      <c r="CZK73"/>
      <c r="CZL73"/>
      <c r="CZM73"/>
      <c r="CZN73"/>
      <c r="CZO73"/>
      <c r="CZP73"/>
      <c r="CZQ73"/>
      <c r="CZR73"/>
      <c r="CZS73"/>
      <c r="CZT73"/>
      <c r="CZU73"/>
      <c r="CZV73"/>
      <c r="CZW73"/>
      <c r="CZX73"/>
      <c r="CZY73"/>
      <c r="CZZ73"/>
      <c r="DAA73"/>
      <c r="DAB73"/>
      <c r="DAC73"/>
      <c r="DAD73"/>
      <c r="DAE73"/>
      <c r="DAF73"/>
      <c r="DAG73"/>
      <c r="DAH73"/>
      <c r="DAI73"/>
      <c r="DAJ73"/>
      <c r="DAK73"/>
      <c r="DAL73"/>
      <c r="DAM73"/>
      <c r="DAN73"/>
      <c r="DAO73"/>
      <c r="DAP73"/>
      <c r="DAQ73"/>
      <c r="DAR73"/>
      <c r="DAS73"/>
      <c r="DAT73"/>
      <c r="DAU73"/>
      <c r="DAV73"/>
      <c r="DAW73"/>
      <c r="DAX73"/>
      <c r="DAY73"/>
      <c r="DAZ73"/>
      <c r="DBA73"/>
      <c r="DBB73"/>
      <c r="DBC73"/>
      <c r="DBD73"/>
      <c r="DBE73"/>
      <c r="DBF73"/>
      <c r="DBG73"/>
      <c r="DBH73"/>
      <c r="DBI73"/>
      <c r="DBJ73"/>
      <c r="DBK73"/>
      <c r="DBL73"/>
      <c r="DBM73"/>
      <c r="DBN73"/>
      <c r="DBO73"/>
      <c r="DBP73"/>
      <c r="DBQ73"/>
      <c r="DBR73"/>
      <c r="DBS73"/>
      <c r="DBT73"/>
      <c r="DBU73"/>
      <c r="DBV73"/>
      <c r="DBW73"/>
      <c r="DBX73"/>
      <c r="DBY73"/>
      <c r="DBZ73"/>
      <c r="DCA73"/>
      <c r="DCB73"/>
      <c r="DCC73"/>
      <c r="DCD73"/>
      <c r="DCE73"/>
      <c r="DCF73"/>
      <c r="DCG73"/>
      <c r="DCH73"/>
      <c r="DCI73"/>
      <c r="DCJ73"/>
      <c r="DCK73"/>
      <c r="DCL73"/>
      <c r="DCM73"/>
      <c r="DCN73"/>
      <c r="DCO73"/>
      <c r="DCP73"/>
      <c r="DCQ73"/>
      <c r="DCR73"/>
      <c r="DCS73"/>
      <c r="DCT73"/>
      <c r="DCU73"/>
      <c r="DCV73"/>
      <c r="DCW73"/>
      <c r="DCX73"/>
      <c r="DCY73"/>
      <c r="DCZ73"/>
      <c r="DDA73"/>
      <c r="DDB73"/>
      <c r="DDC73"/>
      <c r="DDD73"/>
      <c r="DDE73"/>
      <c r="DDF73"/>
      <c r="DDG73"/>
      <c r="DDH73"/>
      <c r="DDI73"/>
      <c r="DDJ73"/>
      <c r="DDK73"/>
      <c r="DDL73"/>
      <c r="DDM73"/>
      <c r="DDN73"/>
      <c r="DDO73"/>
      <c r="DDP73"/>
      <c r="DDQ73"/>
      <c r="DDR73"/>
      <c r="DDS73"/>
      <c r="DDT73"/>
      <c r="DDU73"/>
      <c r="DDV73"/>
      <c r="DDW73"/>
      <c r="DDX73"/>
      <c r="DDY73"/>
      <c r="DDZ73"/>
      <c r="DEA73"/>
      <c r="DEB73"/>
      <c r="DEC73"/>
      <c r="DED73"/>
      <c r="DEE73"/>
      <c r="DEF73"/>
      <c r="DEG73"/>
      <c r="DEH73"/>
      <c r="DEI73"/>
      <c r="DEJ73"/>
      <c r="DEK73"/>
      <c r="DEL73"/>
      <c r="DEM73"/>
      <c r="DEN73"/>
      <c r="DEO73"/>
      <c r="DEP73"/>
      <c r="DEQ73"/>
      <c r="DER73"/>
      <c r="DES73"/>
      <c r="DET73"/>
      <c r="DEU73"/>
      <c r="DEV73"/>
      <c r="DEW73"/>
      <c r="DEX73"/>
      <c r="DEY73"/>
      <c r="DEZ73"/>
      <c r="DFA73"/>
      <c r="DFB73"/>
      <c r="DFC73"/>
      <c r="DFD73"/>
      <c r="DFE73"/>
      <c r="DFF73"/>
      <c r="DFG73"/>
      <c r="DFH73"/>
      <c r="DFI73"/>
      <c r="DFJ73"/>
      <c r="DFK73"/>
      <c r="DFL73"/>
      <c r="DFM73"/>
      <c r="DFN73"/>
      <c r="DFO73"/>
      <c r="DFP73"/>
      <c r="DFQ73"/>
      <c r="DFR73"/>
      <c r="DFS73"/>
      <c r="DFT73"/>
      <c r="DFU73"/>
      <c r="DFV73"/>
      <c r="DFW73"/>
      <c r="DFX73"/>
      <c r="DFY73"/>
      <c r="DFZ73"/>
      <c r="DGA73"/>
      <c r="DGB73"/>
      <c r="DGC73"/>
      <c r="DGD73"/>
      <c r="DGE73"/>
      <c r="DGF73"/>
      <c r="DGG73"/>
      <c r="DGH73"/>
      <c r="DGI73"/>
      <c r="DGJ73"/>
      <c r="DGK73"/>
      <c r="DGL73"/>
      <c r="DGM73"/>
      <c r="DGN73"/>
      <c r="DGO73"/>
      <c r="DGP73"/>
      <c r="DGQ73"/>
      <c r="DGR73"/>
      <c r="DGS73"/>
      <c r="DGT73"/>
      <c r="DGU73"/>
      <c r="DGV73"/>
      <c r="DGW73"/>
      <c r="DGX73"/>
      <c r="DGY73"/>
      <c r="DGZ73"/>
      <c r="DHA73"/>
      <c r="DHB73"/>
      <c r="DHC73"/>
      <c r="DHD73"/>
      <c r="DHE73"/>
      <c r="DHF73"/>
      <c r="DHG73"/>
      <c r="DHH73"/>
      <c r="DHI73"/>
      <c r="DHJ73"/>
      <c r="DHK73"/>
      <c r="DHL73"/>
      <c r="DHM73"/>
      <c r="DHN73"/>
      <c r="DHO73"/>
      <c r="DHP73"/>
      <c r="DHQ73"/>
      <c r="DHR73"/>
      <c r="DHS73"/>
      <c r="DHT73"/>
      <c r="DHU73"/>
      <c r="DHV73"/>
      <c r="DHW73"/>
      <c r="DHX73"/>
      <c r="DHY73"/>
      <c r="DHZ73"/>
      <c r="DIA73"/>
      <c r="DIB73"/>
      <c r="DIC73"/>
      <c r="DID73"/>
      <c r="DIE73"/>
      <c r="DIF73"/>
      <c r="DIG73"/>
      <c r="DIH73"/>
      <c r="DII73"/>
      <c r="DIJ73"/>
      <c r="DIK73"/>
      <c r="DIL73"/>
      <c r="DIM73"/>
      <c r="DIN73"/>
      <c r="DIO73"/>
      <c r="DIP73"/>
      <c r="DIQ73"/>
      <c r="DIR73"/>
      <c r="DIS73"/>
      <c r="DIT73"/>
      <c r="DIU73"/>
      <c r="DIV73"/>
      <c r="DIW73"/>
      <c r="DIX73"/>
      <c r="DIY73"/>
      <c r="DIZ73"/>
      <c r="DJA73"/>
      <c r="DJB73"/>
      <c r="DJC73"/>
      <c r="DJD73"/>
      <c r="DJE73"/>
      <c r="DJF73"/>
      <c r="DJG73"/>
      <c r="DJH73"/>
      <c r="DJI73"/>
      <c r="DJJ73"/>
      <c r="DJK73"/>
      <c r="DJL73"/>
      <c r="DJM73"/>
      <c r="DJN73"/>
      <c r="DJO73"/>
      <c r="DJP73"/>
      <c r="DJQ73"/>
      <c r="DJR73"/>
      <c r="DJS73"/>
      <c r="DJT73"/>
      <c r="DJU73"/>
      <c r="DJV73"/>
      <c r="DJW73"/>
      <c r="DJX73"/>
      <c r="DJY73"/>
      <c r="DJZ73"/>
      <c r="DKA73"/>
      <c r="DKB73"/>
      <c r="DKC73"/>
      <c r="DKD73"/>
      <c r="DKE73"/>
      <c r="DKF73"/>
      <c r="DKG73"/>
      <c r="DKH73"/>
      <c r="DKI73"/>
      <c r="DKJ73"/>
      <c r="DKK73"/>
      <c r="DKL73"/>
      <c r="DKM73"/>
      <c r="DKN73"/>
      <c r="DKO73"/>
      <c r="DKP73"/>
      <c r="DKQ73"/>
      <c r="DKR73"/>
      <c r="DKS73"/>
      <c r="DKT73"/>
      <c r="DKU73"/>
      <c r="DKV73"/>
      <c r="DKW73"/>
      <c r="DKX73"/>
      <c r="DKY73"/>
      <c r="DKZ73"/>
      <c r="DLA73"/>
      <c r="DLB73"/>
      <c r="DLC73"/>
      <c r="DLD73"/>
      <c r="DLE73"/>
      <c r="DLF73"/>
      <c r="DLG73"/>
      <c r="DLH73"/>
      <c r="DLI73"/>
      <c r="DLJ73"/>
      <c r="DLK73"/>
      <c r="DLL73"/>
      <c r="DLM73"/>
      <c r="DLN73"/>
      <c r="DLO73"/>
      <c r="DLP73"/>
      <c r="DLQ73"/>
      <c r="DLR73"/>
      <c r="DLS73"/>
      <c r="DLT73"/>
      <c r="DLU73"/>
      <c r="DLV73"/>
      <c r="DLW73"/>
      <c r="DLX73"/>
      <c r="DLY73"/>
      <c r="DLZ73"/>
      <c r="DMA73"/>
      <c r="DMB73"/>
      <c r="DMC73"/>
      <c r="DMD73"/>
      <c r="DME73"/>
      <c r="DMF73"/>
      <c r="DMG73"/>
      <c r="DMH73"/>
      <c r="DMI73"/>
      <c r="DMJ73"/>
      <c r="DMK73"/>
      <c r="DML73"/>
      <c r="DMM73"/>
      <c r="DMN73"/>
      <c r="DMO73"/>
      <c r="DMP73"/>
      <c r="DMQ73"/>
      <c r="DMR73"/>
      <c r="DMS73"/>
      <c r="DMT73"/>
      <c r="DMU73"/>
      <c r="DMV73"/>
      <c r="DMW73"/>
      <c r="DMX73"/>
      <c r="DMY73"/>
      <c r="DMZ73"/>
      <c r="DNA73"/>
      <c r="DNB73"/>
      <c r="DNC73"/>
      <c r="DND73"/>
      <c r="DNE73"/>
      <c r="DNF73"/>
      <c r="DNG73"/>
      <c r="DNH73"/>
      <c r="DNI73"/>
      <c r="DNJ73"/>
      <c r="DNK73"/>
      <c r="DNL73"/>
      <c r="DNM73"/>
      <c r="DNN73"/>
      <c r="DNO73"/>
      <c r="DNP73"/>
      <c r="DNQ73"/>
      <c r="DNR73"/>
      <c r="DNS73"/>
      <c r="DNT73"/>
      <c r="DNU73"/>
      <c r="DNV73"/>
      <c r="DNW73"/>
      <c r="DNX73"/>
      <c r="DNY73"/>
      <c r="DNZ73"/>
      <c r="DOA73"/>
      <c r="DOB73"/>
      <c r="DOC73"/>
      <c r="DOD73"/>
      <c r="DOE73"/>
      <c r="DOF73"/>
      <c r="DOG73"/>
      <c r="DOH73"/>
      <c r="DOI73"/>
      <c r="DOJ73"/>
      <c r="DOK73"/>
      <c r="DOL73"/>
      <c r="DOM73"/>
      <c r="DON73"/>
      <c r="DOO73"/>
      <c r="DOP73"/>
      <c r="DOQ73"/>
      <c r="DOR73"/>
      <c r="DOS73"/>
      <c r="DOT73"/>
      <c r="DOU73"/>
      <c r="DOV73"/>
      <c r="DOW73"/>
      <c r="DOX73"/>
      <c r="DOY73"/>
      <c r="DOZ73"/>
      <c r="DPA73"/>
      <c r="DPB73"/>
      <c r="DPC73"/>
      <c r="DPD73"/>
      <c r="DPE73"/>
      <c r="DPF73"/>
      <c r="DPG73"/>
      <c r="DPH73"/>
      <c r="DPI73"/>
      <c r="DPJ73"/>
      <c r="DPK73"/>
      <c r="DPL73"/>
      <c r="DPM73"/>
      <c r="DPN73"/>
      <c r="DPO73"/>
      <c r="DPP73"/>
      <c r="DPQ73"/>
      <c r="DPR73"/>
      <c r="DPS73"/>
      <c r="DPT73"/>
      <c r="DPU73"/>
      <c r="DPV73"/>
      <c r="DPW73"/>
      <c r="DPX73"/>
      <c r="DPY73"/>
      <c r="DPZ73"/>
      <c r="DQA73"/>
      <c r="DQB73"/>
      <c r="DQC73"/>
      <c r="DQD73"/>
      <c r="DQE73"/>
      <c r="DQF73"/>
      <c r="DQG73"/>
      <c r="DQH73"/>
      <c r="DQI73"/>
      <c r="DQJ73"/>
      <c r="DQK73"/>
      <c r="DQL73"/>
      <c r="DQM73"/>
      <c r="DQN73"/>
      <c r="DQO73"/>
      <c r="DQP73"/>
      <c r="DQQ73"/>
      <c r="DQR73"/>
      <c r="DQS73"/>
      <c r="DQT73"/>
      <c r="DQU73"/>
      <c r="DQV73"/>
      <c r="DQW73"/>
      <c r="DQX73"/>
      <c r="DQY73"/>
      <c r="DQZ73"/>
      <c r="DRA73"/>
      <c r="DRB73"/>
      <c r="DRC73"/>
      <c r="DRD73"/>
      <c r="DRE73"/>
      <c r="DRF73"/>
      <c r="DRG73"/>
      <c r="DRH73"/>
      <c r="DRI73"/>
      <c r="DRJ73"/>
      <c r="DRK73"/>
      <c r="DRL73"/>
      <c r="DRM73"/>
      <c r="DRN73"/>
      <c r="DRO73"/>
      <c r="DRP73"/>
      <c r="DRQ73"/>
      <c r="DRR73"/>
      <c r="DRS73"/>
      <c r="DRT73"/>
      <c r="DRU73"/>
      <c r="DRV73"/>
      <c r="DRW73"/>
      <c r="DRX73"/>
      <c r="DRY73"/>
      <c r="DRZ73"/>
      <c r="DSA73"/>
      <c r="DSB73"/>
      <c r="DSC73"/>
      <c r="DSD73"/>
      <c r="DSE73"/>
      <c r="DSF73"/>
      <c r="DSG73"/>
      <c r="DSH73"/>
      <c r="DSI73"/>
      <c r="DSJ73"/>
      <c r="DSK73"/>
      <c r="DSL73"/>
      <c r="DSM73"/>
      <c r="DSN73"/>
      <c r="DSO73"/>
      <c r="DSP73"/>
      <c r="DSQ73"/>
      <c r="DSR73"/>
      <c r="DSS73"/>
      <c r="DST73"/>
      <c r="DSU73"/>
      <c r="DSV73"/>
      <c r="DSW73"/>
      <c r="DSX73"/>
      <c r="DSY73"/>
      <c r="DSZ73"/>
      <c r="DTA73"/>
      <c r="DTB73"/>
      <c r="DTC73"/>
      <c r="DTD73"/>
      <c r="DTE73"/>
      <c r="DTF73"/>
      <c r="DTG73"/>
      <c r="DTH73"/>
      <c r="DTI73"/>
      <c r="DTJ73"/>
      <c r="DTK73"/>
      <c r="DTL73"/>
      <c r="DTM73"/>
      <c r="DTN73"/>
      <c r="DTO73"/>
      <c r="DTP73"/>
      <c r="DTQ73"/>
      <c r="DTR73"/>
      <c r="DTS73"/>
      <c r="DTT73"/>
      <c r="DTU73"/>
      <c r="DTV73"/>
      <c r="DTW73"/>
      <c r="DTX73"/>
      <c r="DTY73"/>
      <c r="DTZ73"/>
      <c r="DUA73"/>
      <c r="DUB73"/>
      <c r="DUC73"/>
      <c r="DUD73"/>
      <c r="DUE73"/>
      <c r="DUF73"/>
      <c r="DUG73"/>
      <c r="DUH73"/>
      <c r="DUI73"/>
      <c r="DUJ73"/>
      <c r="DUK73"/>
      <c r="DUL73"/>
      <c r="DUM73"/>
      <c r="DUN73"/>
      <c r="DUO73"/>
      <c r="DUP73"/>
      <c r="DUQ73"/>
      <c r="DUR73"/>
      <c r="DUS73"/>
      <c r="DUT73"/>
      <c r="DUU73"/>
      <c r="DUV73"/>
      <c r="DUW73"/>
      <c r="DUX73"/>
      <c r="DUY73"/>
      <c r="DUZ73"/>
      <c r="DVA73"/>
      <c r="DVB73"/>
      <c r="DVC73"/>
      <c r="DVD73"/>
      <c r="DVE73"/>
      <c r="DVF73"/>
      <c r="DVG73"/>
      <c r="DVH73"/>
      <c r="DVI73"/>
      <c r="DVJ73"/>
      <c r="DVK73"/>
      <c r="DVL73"/>
      <c r="DVM73"/>
      <c r="DVN73"/>
      <c r="DVO73"/>
      <c r="DVP73"/>
      <c r="DVQ73"/>
      <c r="DVR73"/>
      <c r="DVS73"/>
      <c r="DVT73"/>
      <c r="DVU73"/>
      <c r="DVV73"/>
      <c r="DVW73"/>
      <c r="DVX73"/>
      <c r="DVY73"/>
      <c r="DVZ73"/>
      <c r="DWA73"/>
      <c r="DWB73"/>
      <c r="DWC73"/>
      <c r="DWD73"/>
      <c r="DWE73"/>
      <c r="DWF73"/>
      <c r="DWG73"/>
      <c r="DWH73"/>
      <c r="DWI73"/>
      <c r="DWJ73"/>
      <c r="DWK73"/>
      <c r="DWL73"/>
      <c r="DWM73"/>
      <c r="DWN73"/>
      <c r="DWO73"/>
      <c r="DWP73"/>
      <c r="DWQ73"/>
      <c r="DWR73"/>
      <c r="DWS73"/>
      <c r="DWT73"/>
      <c r="DWU73"/>
      <c r="DWV73"/>
      <c r="DWW73"/>
      <c r="DWX73"/>
      <c r="DWY73"/>
      <c r="DWZ73"/>
      <c r="DXA73"/>
      <c r="DXB73"/>
      <c r="DXC73"/>
      <c r="DXD73"/>
      <c r="DXE73"/>
      <c r="DXF73"/>
      <c r="DXG73"/>
      <c r="DXH73"/>
      <c r="DXI73"/>
      <c r="DXJ73"/>
      <c r="DXK73"/>
      <c r="DXL73"/>
      <c r="DXM73"/>
      <c r="DXN73"/>
      <c r="DXO73"/>
      <c r="DXP73"/>
      <c r="DXQ73"/>
      <c r="DXR73"/>
      <c r="DXS73"/>
      <c r="DXT73"/>
      <c r="DXU73"/>
      <c r="DXV73"/>
      <c r="DXW73"/>
      <c r="DXX73"/>
      <c r="DXY73"/>
      <c r="DXZ73"/>
      <c r="DYA73"/>
      <c r="DYB73"/>
      <c r="DYC73"/>
      <c r="DYD73"/>
      <c r="DYE73"/>
      <c r="DYF73"/>
      <c r="DYG73"/>
      <c r="DYH73"/>
      <c r="DYI73"/>
      <c r="DYJ73"/>
      <c r="DYK73"/>
      <c r="DYL73"/>
      <c r="DYM73"/>
      <c r="DYN73"/>
      <c r="DYO73"/>
      <c r="DYP73"/>
      <c r="DYQ73"/>
      <c r="DYR73"/>
      <c r="DYS73"/>
      <c r="DYT73"/>
      <c r="DYU73"/>
      <c r="DYV73"/>
      <c r="DYW73"/>
      <c r="DYX73"/>
      <c r="DYY73"/>
      <c r="DYZ73"/>
      <c r="DZA73"/>
      <c r="DZB73"/>
      <c r="DZC73"/>
      <c r="DZD73"/>
      <c r="DZE73"/>
      <c r="DZF73"/>
      <c r="DZG73"/>
      <c r="DZH73"/>
      <c r="DZI73"/>
      <c r="DZJ73"/>
      <c r="DZK73"/>
      <c r="DZL73"/>
      <c r="DZM73"/>
      <c r="DZN73"/>
      <c r="DZO73"/>
      <c r="DZP73"/>
      <c r="DZQ73"/>
      <c r="DZR73"/>
      <c r="DZS73"/>
      <c r="DZT73"/>
      <c r="DZU73"/>
      <c r="DZV73"/>
      <c r="DZW73"/>
      <c r="DZX73"/>
      <c r="DZY73"/>
      <c r="DZZ73"/>
      <c r="EAA73"/>
      <c r="EAB73"/>
      <c r="EAC73"/>
      <c r="EAD73"/>
      <c r="EAE73"/>
      <c r="EAF73"/>
      <c r="EAG73"/>
      <c r="EAH73"/>
      <c r="EAI73"/>
      <c r="EAJ73"/>
      <c r="EAK73"/>
      <c r="EAL73"/>
      <c r="EAM73"/>
      <c r="EAN73"/>
      <c r="EAO73"/>
      <c r="EAP73"/>
      <c r="EAQ73"/>
      <c r="EAR73"/>
      <c r="EAS73"/>
      <c r="EAT73"/>
      <c r="EAU73"/>
      <c r="EAV73"/>
      <c r="EAW73"/>
      <c r="EAX73"/>
      <c r="EAY73"/>
      <c r="EAZ73"/>
      <c r="EBA73"/>
      <c r="EBB73"/>
      <c r="EBC73"/>
      <c r="EBD73"/>
      <c r="EBE73"/>
      <c r="EBF73"/>
      <c r="EBG73"/>
      <c r="EBH73"/>
      <c r="EBI73"/>
      <c r="EBJ73"/>
      <c r="EBK73"/>
      <c r="EBL73"/>
      <c r="EBM73"/>
      <c r="EBN73"/>
      <c r="EBO73"/>
      <c r="EBP73"/>
      <c r="EBQ73"/>
      <c r="EBR73"/>
      <c r="EBS73"/>
      <c r="EBT73"/>
      <c r="EBU73"/>
      <c r="EBV73"/>
      <c r="EBW73"/>
      <c r="EBX73"/>
      <c r="EBY73"/>
      <c r="EBZ73"/>
      <c r="ECA73"/>
      <c r="ECB73"/>
      <c r="ECC73"/>
      <c r="ECD73"/>
      <c r="ECE73"/>
      <c r="ECF73"/>
      <c r="ECG73"/>
      <c r="ECH73"/>
      <c r="ECI73"/>
      <c r="ECJ73"/>
      <c r="ECK73"/>
      <c r="ECL73"/>
      <c r="ECM73"/>
      <c r="ECN73"/>
      <c r="ECO73"/>
      <c r="ECP73"/>
      <c r="ECQ73"/>
      <c r="ECR73"/>
      <c r="ECS73"/>
      <c r="ECT73"/>
      <c r="ECU73"/>
      <c r="ECV73"/>
      <c r="ECW73"/>
      <c r="ECX73"/>
      <c r="ECY73"/>
      <c r="ECZ73"/>
      <c r="EDA73"/>
      <c r="EDB73"/>
      <c r="EDC73"/>
      <c r="EDD73"/>
      <c r="EDE73"/>
      <c r="EDF73"/>
      <c r="EDG73"/>
      <c r="EDH73"/>
      <c r="EDI73"/>
      <c r="EDJ73"/>
      <c r="EDK73"/>
      <c r="EDL73"/>
      <c r="EDM73"/>
      <c r="EDN73"/>
      <c r="EDO73"/>
      <c r="EDP73"/>
      <c r="EDQ73"/>
      <c r="EDR73"/>
      <c r="EDS73"/>
      <c r="EDT73"/>
      <c r="EDU73"/>
      <c r="EDV73"/>
      <c r="EDW73"/>
      <c r="EDX73"/>
      <c r="EDY73"/>
      <c r="EDZ73"/>
      <c r="EEA73"/>
      <c r="EEB73"/>
      <c r="EEC73"/>
      <c r="EED73"/>
      <c r="EEE73"/>
      <c r="EEF73"/>
      <c r="EEG73"/>
      <c r="EEH73"/>
      <c r="EEI73"/>
      <c r="EEJ73"/>
      <c r="EEK73"/>
      <c r="EEL73"/>
      <c r="EEM73"/>
      <c r="EEN73"/>
      <c r="EEO73"/>
      <c r="EEP73"/>
      <c r="EEQ73"/>
      <c r="EER73"/>
      <c r="EES73"/>
      <c r="EET73"/>
      <c r="EEU73"/>
      <c r="EEV73"/>
      <c r="EEW73"/>
      <c r="EEX73"/>
      <c r="EEY73"/>
      <c r="EEZ73"/>
      <c r="EFA73"/>
      <c r="EFB73"/>
      <c r="EFC73"/>
      <c r="EFD73"/>
      <c r="EFE73"/>
      <c r="EFF73"/>
      <c r="EFG73"/>
      <c r="EFH73"/>
      <c r="EFI73"/>
      <c r="EFJ73"/>
      <c r="EFK73"/>
      <c r="EFL73"/>
      <c r="EFM73"/>
      <c r="EFN73"/>
      <c r="EFO73"/>
      <c r="EFP73"/>
      <c r="EFQ73"/>
      <c r="EFR73"/>
      <c r="EFS73"/>
      <c r="EFT73"/>
      <c r="EFU73"/>
      <c r="EFV73"/>
      <c r="EFW73"/>
      <c r="EFX73"/>
      <c r="EFY73"/>
      <c r="EFZ73"/>
      <c r="EGA73"/>
      <c r="EGB73"/>
      <c r="EGC73"/>
      <c r="EGD73"/>
      <c r="EGE73"/>
      <c r="EGF73"/>
      <c r="EGG73"/>
      <c r="EGH73"/>
      <c r="EGI73"/>
      <c r="EGJ73"/>
      <c r="EGK73"/>
      <c r="EGL73"/>
      <c r="EGM73"/>
      <c r="EGN73"/>
      <c r="EGO73"/>
      <c r="EGP73"/>
      <c r="EGQ73"/>
      <c r="EGR73"/>
      <c r="EGS73"/>
      <c r="EGT73"/>
      <c r="EGU73"/>
      <c r="EGV73"/>
      <c r="EGW73"/>
      <c r="EGX73"/>
      <c r="EGY73"/>
      <c r="EGZ73"/>
      <c r="EHA73"/>
      <c r="EHB73"/>
      <c r="EHC73"/>
      <c r="EHD73"/>
      <c r="EHE73"/>
      <c r="EHF73"/>
      <c r="EHG73"/>
      <c r="EHH73"/>
      <c r="EHI73"/>
      <c r="EHJ73"/>
      <c r="EHK73"/>
      <c r="EHL73"/>
      <c r="EHM73"/>
      <c r="EHN73"/>
      <c r="EHO73"/>
      <c r="EHP73"/>
      <c r="EHQ73"/>
      <c r="EHR73"/>
      <c r="EHS73"/>
      <c r="EHT73"/>
      <c r="EHU73"/>
      <c r="EHV73"/>
      <c r="EHW73"/>
      <c r="EHX73"/>
      <c r="EHY73"/>
      <c r="EHZ73"/>
      <c r="EIA73"/>
      <c r="EIB73"/>
      <c r="EIC73"/>
      <c r="EID73"/>
      <c r="EIE73"/>
      <c r="EIF73"/>
      <c r="EIG73"/>
      <c r="EIH73"/>
      <c r="EII73"/>
      <c r="EIJ73"/>
      <c r="EIK73"/>
      <c r="EIL73"/>
      <c r="EIM73"/>
      <c r="EIN73"/>
      <c r="EIO73"/>
      <c r="EIP73"/>
      <c r="EIQ73"/>
      <c r="EIR73"/>
      <c r="EIS73"/>
      <c r="EIT73"/>
      <c r="EIU73"/>
      <c r="EIV73"/>
      <c r="EIW73"/>
      <c r="EIX73"/>
      <c r="EIY73"/>
      <c r="EIZ73"/>
      <c r="EJA73"/>
      <c r="EJB73"/>
      <c r="EJC73"/>
      <c r="EJD73"/>
      <c r="EJE73"/>
      <c r="EJF73"/>
      <c r="EJG73"/>
      <c r="EJH73"/>
      <c r="EJI73"/>
      <c r="EJJ73"/>
      <c r="EJK73"/>
      <c r="EJL73"/>
      <c r="EJM73"/>
      <c r="EJN73"/>
      <c r="EJO73"/>
      <c r="EJP73"/>
      <c r="EJQ73"/>
      <c r="EJR73"/>
      <c r="EJS73"/>
      <c r="EJT73"/>
      <c r="EJU73"/>
      <c r="EJV73"/>
      <c r="EJW73"/>
      <c r="EJX73"/>
      <c r="EJY73"/>
      <c r="EJZ73"/>
      <c r="EKA73"/>
      <c r="EKB73"/>
      <c r="EKC73"/>
      <c r="EKD73"/>
      <c r="EKE73"/>
      <c r="EKF73"/>
      <c r="EKG73"/>
      <c r="EKH73"/>
      <c r="EKI73"/>
      <c r="EKJ73"/>
      <c r="EKK73"/>
      <c r="EKL73"/>
      <c r="EKM73"/>
      <c r="EKN73"/>
      <c r="EKO73"/>
      <c r="EKP73"/>
      <c r="EKQ73"/>
      <c r="EKR73"/>
      <c r="EKS73"/>
      <c r="EKT73"/>
      <c r="EKU73"/>
      <c r="EKV73"/>
      <c r="EKW73"/>
      <c r="EKX73"/>
      <c r="EKY73"/>
      <c r="EKZ73"/>
      <c r="ELA73"/>
      <c r="ELB73"/>
      <c r="ELC73"/>
      <c r="ELD73"/>
      <c r="ELE73"/>
      <c r="ELF73"/>
      <c r="ELG73"/>
      <c r="ELH73"/>
      <c r="ELI73"/>
      <c r="ELJ73"/>
      <c r="ELK73"/>
      <c r="ELL73"/>
      <c r="ELM73"/>
      <c r="ELN73"/>
      <c r="ELO73"/>
      <c r="ELP73"/>
      <c r="ELQ73"/>
      <c r="ELR73"/>
      <c r="ELS73"/>
      <c r="ELT73"/>
      <c r="ELU73"/>
      <c r="ELV73"/>
      <c r="ELW73"/>
      <c r="ELX73"/>
      <c r="ELY73"/>
      <c r="ELZ73"/>
      <c r="EMA73"/>
      <c r="EMB73"/>
      <c r="EMC73"/>
      <c r="EMD73"/>
      <c r="EME73"/>
      <c r="EMF73"/>
      <c r="EMG73"/>
      <c r="EMH73"/>
      <c r="EMI73"/>
      <c r="EMJ73"/>
      <c r="EMK73"/>
      <c r="EML73"/>
      <c r="EMM73"/>
      <c r="EMN73"/>
      <c r="EMO73"/>
      <c r="EMP73"/>
      <c r="EMQ73"/>
      <c r="EMR73"/>
      <c r="EMS73"/>
      <c r="EMT73"/>
      <c r="EMU73"/>
      <c r="EMV73"/>
      <c r="EMW73"/>
      <c r="EMX73"/>
      <c r="EMY73"/>
      <c r="EMZ73"/>
      <c r="ENA73"/>
      <c r="ENB73"/>
      <c r="ENC73"/>
      <c r="END73"/>
      <c r="ENE73"/>
      <c r="ENF73"/>
      <c r="ENG73"/>
      <c r="ENH73"/>
      <c r="ENI73"/>
      <c r="ENJ73"/>
      <c r="ENK73"/>
      <c r="ENL73"/>
      <c r="ENM73"/>
      <c r="ENN73"/>
      <c r="ENO73"/>
      <c r="ENP73"/>
      <c r="ENQ73"/>
      <c r="ENR73"/>
      <c r="ENS73"/>
      <c r="ENT73"/>
      <c r="ENU73"/>
      <c r="ENV73"/>
      <c r="ENW73"/>
      <c r="ENX73"/>
      <c r="ENY73"/>
      <c r="ENZ73"/>
      <c r="EOA73"/>
      <c r="EOB73"/>
      <c r="EOC73"/>
      <c r="EOD73"/>
      <c r="EOE73"/>
      <c r="EOF73"/>
      <c r="EOG73"/>
      <c r="EOH73"/>
      <c r="EOI73"/>
      <c r="EOJ73"/>
      <c r="EOK73"/>
      <c r="EOL73"/>
      <c r="EOM73"/>
      <c r="EON73"/>
      <c r="EOO73"/>
      <c r="EOP73"/>
      <c r="EOQ73"/>
      <c r="EOR73"/>
      <c r="EOS73"/>
      <c r="EOT73"/>
      <c r="EOU73"/>
      <c r="EOV73"/>
      <c r="EOW73"/>
      <c r="EOX73"/>
      <c r="EOY73"/>
      <c r="EOZ73"/>
      <c r="EPA73"/>
      <c r="EPB73"/>
      <c r="EPC73"/>
      <c r="EPD73"/>
      <c r="EPE73"/>
      <c r="EPF73"/>
      <c r="EPG73"/>
      <c r="EPH73"/>
      <c r="EPI73"/>
      <c r="EPJ73"/>
      <c r="EPK73"/>
      <c r="EPL73"/>
      <c r="EPM73"/>
      <c r="EPN73"/>
      <c r="EPO73"/>
      <c r="EPP73"/>
      <c r="EPQ73"/>
      <c r="EPR73"/>
      <c r="EPS73"/>
      <c r="EPT73"/>
      <c r="EPU73"/>
      <c r="EPV73"/>
      <c r="EPW73"/>
      <c r="EPX73"/>
      <c r="EPY73"/>
      <c r="EPZ73"/>
      <c r="EQA73"/>
      <c r="EQB73"/>
      <c r="EQC73"/>
      <c r="EQD73"/>
      <c r="EQE73"/>
      <c r="EQF73"/>
      <c r="EQG73"/>
      <c r="EQH73"/>
      <c r="EQI73"/>
      <c r="EQJ73"/>
      <c r="EQK73"/>
      <c r="EQL73"/>
      <c r="EQM73"/>
      <c r="EQN73"/>
      <c r="EQO73"/>
      <c r="EQP73"/>
      <c r="EQQ73"/>
      <c r="EQR73"/>
      <c r="EQS73"/>
      <c r="EQT73"/>
      <c r="EQU73"/>
      <c r="EQV73"/>
      <c r="EQW73"/>
      <c r="EQX73"/>
      <c r="EQY73"/>
      <c r="EQZ73"/>
      <c r="ERA73"/>
      <c r="ERB73"/>
      <c r="ERC73"/>
      <c r="ERD73"/>
      <c r="ERE73"/>
      <c r="ERF73"/>
      <c r="ERG73"/>
      <c r="ERH73"/>
      <c r="ERI73"/>
      <c r="ERJ73"/>
      <c r="ERK73"/>
      <c r="ERL73"/>
      <c r="ERM73"/>
      <c r="ERN73"/>
      <c r="ERO73"/>
      <c r="ERP73"/>
      <c r="ERQ73"/>
      <c r="ERR73"/>
      <c r="ERS73"/>
      <c r="ERT73"/>
      <c r="ERU73"/>
      <c r="ERV73"/>
      <c r="ERW73"/>
      <c r="ERX73"/>
      <c r="ERY73"/>
      <c r="ERZ73"/>
      <c r="ESA73"/>
      <c r="ESB73"/>
      <c r="ESC73"/>
      <c r="ESD73"/>
      <c r="ESE73"/>
      <c r="ESF73"/>
      <c r="ESG73"/>
      <c r="ESH73"/>
      <c r="ESI73"/>
      <c r="ESJ73"/>
      <c r="ESK73"/>
      <c r="ESL73"/>
      <c r="ESM73"/>
      <c r="ESN73"/>
      <c r="ESO73"/>
      <c r="ESP73"/>
      <c r="ESQ73"/>
      <c r="ESR73"/>
      <c r="ESS73"/>
      <c r="EST73"/>
      <c r="ESU73"/>
      <c r="ESV73"/>
      <c r="ESW73"/>
      <c r="ESX73"/>
      <c r="ESY73"/>
      <c r="ESZ73"/>
      <c r="ETA73"/>
      <c r="ETB73"/>
      <c r="ETC73"/>
      <c r="ETD73"/>
      <c r="ETE73"/>
      <c r="ETF73"/>
      <c r="ETG73"/>
      <c r="ETH73"/>
      <c r="ETI73"/>
      <c r="ETJ73"/>
      <c r="ETK73"/>
      <c r="ETL73"/>
      <c r="ETM73"/>
      <c r="ETN73"/>
      <c r="ETO73"/>
      <c r="ETP73"/>
      <c r="ETQ73"/>
      <c r="ETR73"/>
      <c r="ETS73"/>
      <c r="ETT73"/>
      <c r="ETU73"/>
      <c r="ETV73"/>
      <c r="ETW73"/>
      <c r="ETX73"/>
      <c r="ETY73"/>
      <c r="ETZ73"/>
      <c r="EUA73"/>
      <c r="EUB73"/>
      <c r="EUC73"/>
      <c r="EUD73"/>
      <c r="EUE73"/>
      <c r="EUF73"/>
      <c r="EUG73"/>
      <c r="EUH73"/>
      <c r="EUI73"/>
      <c r="EUJ73"/>
      <c r="EUK73"/>
      <c r="EUL73"/>
      <c r="EUM73"/>
      <c r="EUN73"/>
      <c r="EUO73"/>
      <c r="EUP73"/>
      <c r="EUQ73"/>
      <c r="EUR73"/>
      <c r="EUS73"/>
      <c r="EUT73"/>
      <c r="EUU73"/>
      <c r="EUV73"/>
      <c r="EUW73"/>
      <c r="EUX73"/>
      <c r="EUY73"/>
      <c r="EUZ73"/>
      <c r="EVA73"/>
      <c r="EVB73"/>
      <c r="EVC73"/>
      <c r="EVD73"/>
      <c r="EVE73"/>
      <c r="EVF73"/>
      <c r="EVG73"/>
      <c r="EVH73"/>
      <c r="EVI73"/>
      <c r="EVJ73"/>
      <c r="EVK73"/>
      <c r="EVL73"/>
      <c r="EVM73"/>
      <c r="EVN73"/>
      <c r="EVO73"/>
      <c r="EVP73"/>
      <c r="EVQ73"/>
      <c r="EVR73"/>
      <c r="EVS73"/>
      <c r="EVT73"/>
      <c r="EVU73"/>
      <c r="EVV73"/>
      <c r="EVW73"/>
      <c r="EVX73"/>
      <c r="EVY73"/>
      <c r="EVZ73"/>
      <c r="EWA73"/>
      <c r="EWB73"/>
      <c r="EWC73"/>
      <c r="EWD73"/>
      <c r="EWE73"/>
      <c r="EWF73"/>
      <c r="EWG73"/>
      <c r="EWH73"/>
      <c r="EWI73"/>
      <c r="EWJ73"/>
      <c r="EWK73"/>
      <c r="EWL73"/>
      <c r="EWM73"/>
      <c r="EWN73"/>
      <c r="EWO73"/>
      <c r="EWP73"/>
      <c r="EWQ73"/>
      <c r="EWR73"/>
      <c r="EWS73"/>
      <c r="EWT73"/>
      <c r="EWU73"/>
      <c r="EWV73"/>
      <c r="EWW73"/>
      <c r="EWX73"/>
      <c r="EWY73"/>
      <c r="EWZ73"/>
      <c r="EXA73"/>
      <c r="EXB73"/>
      <c r="EXC73"/>
      <c r="EXD73"/>
      <c r="EXE73"/>
      <c r="EXF73"/>
      <c r="EXG73"/>
      <c r="EXH73"/>
      <c r="EXI73"/>
      <c r="EXJ73"/>
      <c r="EXK73"/>
      <c r="EXL73"/>
      <c r="EXM73"/>
      <c r="EXN73"/>
      <c r="EXO73"/>
      <c r="EXP73"/>
      <c r="EXQ73"/>
      <c r="EXR73"/>
      <c r="EXS73"/>
      <c r="EXT73"/>
      <c r="EXU73"/>
      <c r="EXV73"/>
      <c r="EXW73"/>
      <c r="EXX73"/>
      <c r="EXY73"/>
      <c r="EXZ73"/>
      <c r="EYA73"/>
      <c r="EYB73"/>
      <c r="EYC73"/>
      <c r="EYD73"/>
      <c r="EYE73"/>
      <c r="EYF73"/>
      <c r="EYG73"/>
      <c r="EYH73"/>
      <c r="EYI73"/>
      <c r="EYJ73"/>
      <c r="EYK73"/>
      <c r="EYL73"/>
      <c r="EYM73"/>
      <c r="EYN73"/>
      <c r="EYO73"/>
      <c r="EYP73"/>
      <c r="EYQ73"/>
      <c r="EYR73"/>
      <c r="EYS73"/>
      <c r="EYT73"/>
      <c r="EYU73"/>
      <c r="EYV73"/>
      <c r="EYW73"/>
      <c r="EYX73"/>
      <c r="EYY73"/>
      <c r="EYZ73"/>
      <c r="EZA73"/>
      <c r="EZB73"/>
      <c r="EZC73"/>
      <c r="EZD73"/>
      <c r="EZE73"/>
      <c r="EZF73"/>
      <c r="EZG73"/>
      <c r="EZH73"/>
      <c r="EZI73"/>
      <c r="EZJ73"/>
      <c r="EZK73"/>
      <c r="EZL73"/>
      <c r="EZM73"/>
      <c r="EZN73"/>
      <c r="EZO73"/>
      <c r="EZP73"/>
      <c r="EZQ73"/>
      <c r="EZR73"/>
      <c r="EZS73"/>
      <c r="EZT73"/>
      <c r="EZU73"/>
      <c r="EZV73"/>
      <c r="EZW73"/>
      <c r="EZX73"/>
      <c r="EZY73"/>
      <c r="EZZ73"/>
      <c r="FAA73"/>
      <c r="FAB73"/>
      <c r="FAC73"/>
      <c r="FAD73"/>
      <c r="FAE73"/>
      <c r="FAF73"/>
      <c r="FAG73"/>
      <c r="FAH73"/>
      <c r="FAI73"/>
      <c r="FAJ73"/>
      <c r="FAK73"/>
      <c r="FAL73"/>
      <c r="FAM73"/>
      <c r="FAN73"/>
      <c r="FAO73"/>
      <c r="FAP73"/>
      <c r="FAQ73"/>
      <c r="FAR73"/>
      <c r="FAS73"/>
      <c r="FAT73"/>
      <c r="FAU73"/>
      <c r="FAV73"/>
      <c r="FAW73"/>
      <c r="FAX73"/>
      <c r="FAY73"/>
      <c r="FAZ73"/>
      <c r="FBA73"/>
      <c r="FBB73"/>
      <c r="FBC73"/>
      <c r="FBD73"/>
      <c r="FBE73"/>
      <c r="FBF73"/>
      <c r="FBG73"/>
      <c r="FBH73"/>
      <c r="FBI73"/>
      <c r="FBJ73"/>
      <c r="FBK73"/>
      <c r="FBL73"/>
      <c r="FBM73"/>
      <c r="FBN73"/>
      <c r="FBO73"/>
      <c r="FBP73"/>
      <c r="FBQ73"/>
      <c r="FBR73"/>
      <c r="FBS73"/>
      <c r="FBT73"/>
      <c r="FBU73"/>
      <c r="FBV73"/>
      <c r="FBW73"/>
      <c r="FBX73"/>
      <c r="FBY73"/>
      <c r="FBZ73"/>
      <c r="FCA73"/>
      <c r="FCB73"/>
      <c r="FCC73"/>
      <c r="FCD73"/>
      <c r="FCE73"/>
      <c r="FCF73"/>
      <c r="FCG73"/>
      <c r="FCH73"/>
      <c r="FCI73"/>
      <c r="FCJ73"/>
      <c r="FCK73"/>
      <c r="FCL73"/>
      <c r="FCM73"/>
      <c r="FCN73"/>
      <c r="FCO73"/>
      <c r="FCP73"/>
      <c r="FCQ73"/>
      <c r="FCR73"/>
      <c r="FCS73"/>
      <c r="FCT73"/>
      <c r="FCU73"/>
      <c r="FCV73"/>
      <c r="FCW73"/>
      <c r="FCX73"/>
      <c r="FCY73"/>
      <c r="FCZ73"/>
      <c r="FDA73"/>
      <c r="FDB73"/>
      <c r="FDC73"/>
      <c r="FDD73"/>
      <c r="FDE73"/>
      <c r="FDF73"/>
      <c r="FDG73"/>
      <c r="FDH73"/>
      <c r="FDI73"/>
      <c r="FDJ73"/>
      <c r="FDK73"/>
      <c r="FDL73"/>
      <c r="FDM73"/>
      <c r="FDN73"/>
      <c r="FDO73"/>
      <c r="FDP73"/>
      <c r="FDQ73"/>
      <c r="FDR73"/>
      <c r="FDS73"/>
      <c r="FDT73"/>
      <c r="FDU73"/>
      <c r="FDV73"/>
      <c r="FDW73"/>
      <c r="FDX73"/>
      <c r="FDY73"/>
      <c r="FDZ73"/>
      <c r="FEA73"/>
      <c r="FEB73"/>
      <c r="FEC73"/>
      <c r="FED73"/>
      <c r="FEE73"/>
      <c r="FEF73"/>
      <c r="FEG73"/>
      <c r="FEH73"/>
      <c r="FEI73"/>
      <c r="FEJ73"/>
      <c r="FEK73"/>
      <c r="FEL73"/>
      <c r="FEM73"/>
      <c r="FEN73"/>
      <c r="FEO73"/>
      <c r="FEP73"/>
      <c r="FEQ73"/>
      <c r="FER73"/>
      <c r="FES73"/>
      <c r="FET73"/>
      <c r="FEU73"/>
      <c r="FEV73"/>
      <c r="FEW73"/>
      <c r="FEX73"/>
      <c r="FEY73"/>
      <c r="FEZ73"/>
      <c r="FFA73"/>
      <c r="FFB73"/>
      <c r="FFC73"/>
      <c r="FFD73"/>
      <c r="FFE73"/>
      <c r="FFF73"/>
      <c r="FFG73"/>
      <c r="FFH73"/>
      <c r="FFI73"/>
      <c r="FFJ73"/>
      <c r="FFK73"/>
      <c r="FFL73"/>
      <c r="FFM73"/>
      <c r="FFN73"/>
      <c r="FFO73"/>
      <c r="FFP73"/>
      <c r="FFQ73"/>
      <c r="FFR73"/>
      <c r="FFS73"/>
      <c r="FFT73"/>
      <c r="FFU73"/>
      <c r="FFV73"/>
      <c r="FFW73"/>
      <c r="FFX73"/>
      <c r="FFY73"/>
      <c r="FFZ73"/>
      <c r="FGA73"/>
      <c r="FGB73"/>
      <c r="FGC73"/>
      <c r="FGD73"/>
      <c r="FGE73"/>
      <c r="FGF73"/>
      <c r="FGG73"/>
      <c r="FGH73"/>
      <c r="FGI73"/>
      <c r="FGJ73"/>
      <c r="FGK73"/>
      <c r="FGL73"/>
      <c r="FGM73"/>
      <c r="FGN73"/>
      <c r="FGO73"/>
      <c r="FGP73"/>
      <c r="FGQ73"/>
      <c r="FGR73"/>
      <c r="FGS73"/>
      <c r="FGT73"/>
      <c r="FGU73"/>
      <c r="FGV73"/>
      <c r="FGW73"/>
      <c r="FGX73"/>
      <c r="FGY73"/>
      <c r="FGZ73"/>
      <c r="FHA73"/>
      <c r="FHB73"/>
      <c r="FHC73"/>
      <c r="FHD73"/>
      <c r="FHE73"/>
      <c r="FHF73"/>
      <c r="FHG73"/>
      <c r="FHH73"/>
      <c r="FHI73"/>
      <c r="FHJ73"/>
      <c r="FHK73"/>
      <c r="FHL73"/>
      <c r="FHM73"/>
      <c r="FHN73"/>
      <c r="FHO73"/>
      <c r="FHP73"/>
      <c r="FHQ73"/>
      <c r="FHR73"/>
      <c r="FHS73"/>
      <c r="FHT73"/>
      <c r="FHU73"/>
      <c r="FHV73"/>
      <c r="FHW73"/>
      <c r="FHX73"/>
      <c r="FHY73"/>
      <c r="FHZ73"/>
      <c r="FIA73"/>
      <c r="FIB73"/>
      <c r="FIC73"/>
      <c r="FID73"/>
      <c r="FIE73"/>
      <c r="FIF73"/>
      <c r="FIG73"/>
      <c r="FIH73"/>
      <c r="FII73"/>
      <c r="FIJ73"/>
      <c r="FIK73"/>
      <c r="FIL73"/>
      <c r="FIM73"/>
      <c r="FIN73"/>
      <c r="FIO73"/>
      <c r="FIP73"/>
      <c r="FIQ73"/>
      <c r="FIR73"/>
      <c r="FIS73"/>
      <c r="FIT73"/>
      <c r="FIU73"/>
      <c r="FIV73"/>
      <c r="FIW73"/>
      <c r="FIX73"/>
      <c r="FIY73"/>
      <c r="FIZ73"/>
      <c r="FJA73"/>
      <c r="FJB73"/>
      <c r="FJC73"/>
      <c r="FJD73"/>
      <c r="FJE73"/>
      <c r="FJF73"/>
      <c r="FJG73"/>
      <c r="FJH73"/>
      <c r="FJI73"/>
      <c r="FJJ73"/>
      <c r="FJK73"/>
      <c r="FJL73"/>
      <c r="FJM73"/>
      <c r="FJN73"/>
      <c r="FJO73"/>
      <c r="FJP73"/>
      <c r="FJQ73"/>
      <c r="FJR73"/>
      <c r="FJS73"/>
      <c r="FJT73"/>
      <c r="FJU73"/>
      <c r="FJV73"/>
      <c r="FJW73"/>
      <c r="FJX73"/>
      <c r="FJY73"/>
      <c r="FJZ73"/>
      <c r="FKA73"/>
      <c r="FKB73"/>
      <c r="FKC73"/>
      <c r="FKD73"/>
      <c r="FKE73"/>
      <c r="FKF73"/>
      <c r="FKG73"/>
      <c r="FKH73"/>
      <c r="FKI73"/>
      <c r="FKJ73"/>
      <c r="FKK73"/>
      <c r="FKL73"/>
      <c r="FKM73"/>
      <c r="FKN73"/>
      <c r="FKO73"/>
      <c r="FKP73"/>
      <c r="FKQ73"/>
      <c r="FKR73"/>
      <c r="FKS73"/>
      <c r="FKT73"/>
      <c r="FKU73"/>
      <c r="FKV73"/>
      <c r="FKW73"/>
      <c r="FKX73"/>
      <c r="FKY73"/>
      <c r="FKZ73"/>
      <c r="FLA73"/>
      <c r="FLB73"/>
      <c r="FLC73"/>
      <c r="FLD73"/>
      <c r="FLE73"/>
      <c r="FLF73"/>
      <c r="FLG73"/>
      <c r="FLH73"/>
      <c r="FLI73"/>
      <c r="FLJ73"/>
      <c r="FLK73"/>
      <c r="FLL73"/>
      <c r="FLM73"/>
      <c r="FLN73"/>
      <c r="FLO73"/>
      <c r="FLP73"/>
      <c r="FLQ73"/>
      <c r="FLR73"/>
      <c r="FLS73"/>
      <c r="FLT73"/>
      <c r="FLU73"/>
      <c r="FLV73"/>
      <c r="FLW73"/>
      <c r="FLX73"/>
      <c r="FLY73"/>
      <c r="FLZ73"/>
      <c r="FMA73"/>
      <c r="FMB73"/>
      <c r="FMC73"/>
      <c r="FMD73"/>
      <c r="FME73"/>
      <c r="FMF73"/>
      <c r="FMG73"/>
      <c r="FMH73"/>
      <c r="FMI73"/>
      <c r="FMJ73"/>
      <c r="FMK73"/>
      <c r="FML73"/>
      <c r="FMM73"/>
      <c r="FMN73"/>
      <c r="FMO73"/>
      <c r="FMP73"/>
      <c r="FMQ73"/>
      <c r="FMR73"/>
      <c r="FMS73"/>
      <c r="FMT73"/>
      <c r="FMU73"/>
      <c r="FMV73"/>
      <c r="FMW73"/>
      <c r="FMX73"/>
      <c r="FMY73"/>
      <c r="FMZ73"/>
      <c r="FNA73"/>
      <c r="FNB73"/>
      <c r="FNC73"/>
      <c r="FND73"/>
      <c r="FNE73"/>
      <c r="FNF73"/>
      <c r="FNG73"/>
      <c r="FNH73"/>
      <c r="FNI73"/>
      <c r="FNJ73"/>
      <c r="FNK73"/>
      <c r="FNL73"/>
      <c r="FNM73"/>
      <c r="FNN73"/>
      <c r="FNO73"/>
      <c r="FNP73"/>
      <c r="FNQ73"/>
      <c r="FNR73"/>
      <c r="FNS73"/>
      <c r="FNT73"/>
      <c r="FNU73"/>
      <c r="FNV73"/>
      <c r="FNW73"/>
      <c r="FNX73"/>
      <c r="FNY73"/>
      <c r="FNZ73"/>
      <c r="FOA73"/>
      <c r="FOB73"/>
      <c r="FOC73"/>
      <c r="FOD73"/>
      <c r="FOE73"/>
      <c r="FOF73"/>
      <c r="FOG73"/>
      <c r="FOH73"/>
      <c r="FOI73"/>
      <c r="FOJ73"/>
      <c r="FOK73"/>
      <c r="FOL73"/>
      <c r="FOM73"/>
      <c r="FON73"/>
      <c r="FOO73"/>
      <c r="FOP73"/>
      <c r="FOQ73"/>
      <c r="FOR73"/>
      <c r="FOS73"/>
      <c r="FOT73"/>
      <c r="FOU73"/>
      <c r="FOV73"/>
      <c r="FOW73"/>
      <c r="FOX73"/>
      <c r="FOY73"/>
      <c r="FOZ73"/>
      <c r="FPA73"/>
      <c r="FPB73"/>
      <c r="FPC73"/>
      <c r="FPD73"/>
      <c r="FPE73"/>
      <c r="FPF73"/>
      <c r="FPG73"/>
      <c r="FPH73"/>
      <c r="FPI73"/>
      <c r="FPJ73"/>
      <c r="FPK73"/>
      <c r="FPL73"/>
      <c r="FPM73"/>
      <c r="FPN73"/>
      <c r="FPO73"/>
      <c r="FPP73"/>
      <c r="FPQ73"/>
      <c r="FPR73"/>
      <c r="FPS73"/>
      <c r="FPT73"/>
      <c r="FPU73"/>
      <c r="FPV73"/>
      <c r="FPW73"/>
      <c r="FPX73"/>
      <c r="FPY73"/>
      <c r="FPZ73"/>
      <c r="FQA73"/>
      <c r="FQB73"/>
      <c r="FQC73"/>
      <c r="FQD73"/>
      <c r="FQE73"/>
      <c r="FQF73"/>
      <c r="FQG73"/>
      <c r="FQH73"/>
      <c r="FQI73"/>
      <c r="FQJ73"/>
      <c r="FQK73"/>
      <c r="FQL73"/>
      <c r="FQM73"/>
      <c r="FQN73"/>
      <c r="FQO73"/>
      <c r="FQP73"/>
      <c r="FQQ73"/>
      <c r="FQR73"/>
      <c r="FQS73"/>
      <c r="FQT73"/>
      <c r="FQU73"/>
      <c r="FQV73"/>
      <c r="FQW73"/>
      <c r="FQX73"/>
      <c r="FQY73"/>
      <c r="FQZ73"/>
      <c r="FRA73"/>
      <c r="FRB73"/>
      <c r="FRC73"/>
      <c r="FRD73"/>
      <c r="FRE73"/>
      <c r="FRF73"/>
      <c r="FRG73"/>
      <c r="FRH73"/>
      <c r="FRI73"/>
      <c r="FRJ73"/>
      <c r="FRK73"/>
      <c r="FRL73"/>
      <c r="FRM73"/>
      <c r="FRN73"/>
      <c r="FRO73"/>
      <c r="FRP73"/>
      <c r="FRQ73"/>
      <c r="FRR73"/>
      <c r="FRS73"/>
      <c r="FRT73"/>
      <c r="FRU73"/>
      <c r="FRV73"/>
      <c r="FRW73"/>
      <c r="FRX73"/>
      <c r="FRY73"/>
      <c r="FRZ73"/>
      <c r="FSA73"/>
      <c r="FSB73"/>
      <c r="FSC73"/>
      <c r="FSD73"/>
      <c r="FSE73"/>
      <c r="FSF73"/>
      <c r="FSG73"/>
      <c r="FSH73"/>
      <c r="FSI73"/>
      <c r="FSJ73"/>
      <c r="FSK73"/>
      <c r="FSL73"/>
      <c r="FSM73"/>
      <c r="FSN73"/>
      <c r="FSO73"/>
      <c r="FSP73"/>
      <c r="FSQ73"/>
      <c r="FSR73"/>
      <c r="FSS73"/>
      <c r="FST73"/>
      <c r="FSU73"/>
      <c r="FSV73"/>
      <c r="FSW73"/>
      <c r="FSX73"/>
      <c r="FSY73"/>
      <c r="FSZ73"/>
      <c r="FTA73"/>
      <c r="FTB73"/>
      <c r="FTC73"/>
      <c r="FTD73"/>
      <c r="FTE73"/>
      <c r="FTF73"/>
      <c r="FTG73"/>
      <c r="FTH73"/>
      <c r="FTI73"/>
      <c r="FTJ73"/>
      <c r="FTK73"/>
      <c r="FTL73"/>
      <c r="FTM73"/>
      <c r="FTN73"/>
      <c r="FTO73"/>
      <c r="FTP73"/>
      <c r="FTQ73"/>
      <c r="FTR73"/>
      <c r="FTS73"/>
      <c r="FTT73"/>
      <c r="FTU73"/>
      <c r="FTV73"/>
      <c r="FTW73"/>
      <c r="FTX73"/>
      <c r="FTY73"/>
      <c r="FTZ73"/>
      <c r="FUA73"/>
      <c r="FUB73"/>
      <c r="FUC73"/>
      <c r="FUD73"/>
      <c r="FUE73"/>
      <c r="FUF73"/>
      <c r="FUG73"/>
      <c r="FUH73"/>
      <c r="FUI73"/>
      <c r="FUJ73"/>
      <c r="FUK73"/>
      <c r="FUL73"/>
      <c r="FUM73"/>
      <c r="FUN73"/>
      <c r="FUO73"/>
      <c r="FUP73"/>
      <c r="FUQ73"/>
      <c r="FUR73"/>
      <c r="FUS73"/>
      <c r="FUT73"/>
      <c r="FUU73"/>
      <c r="FUV73"/>
      <c r="FUW73"/>
      <c r="FUX73"/>
      <c r="FUY73"/>
      <c r="FUZ73"/>
      <c r="FVA73"/>
      <c r="FVB73"/>
      <c r="FVC73"/>
      <c r="FVD73"/>
      <c r="FVE73"/>
      <c r="FVF73"/>
      <c r="FVG73"/>
      <c r="FVH73"/>
      <c r="FVI73"/>
      <c r="FVJ73"/>
      <c r="FVK73"/>
      <c r="FVL73"/>
      <c r="FVM73"/>
      <c r="FVN73"/>
      <c r="FVO73"/>
      <c r="FVP73"/>
      <c r="FVQ73"/>
      <c r="FVR73"/>
      <c r="FVS73"/>
      <c r="FVT73"/>
      <c r="FVU73"/>
      <c r="FVV73"/>
      <c r="FVW73"/>
      <c r="FVX73"/>
      <c r="FVY73"/>
      <c r="FVZ73"/>
      <c r="FWA73"/>
      <c r="FWB73"/>
      <c r="FWC73"/>
      <c r="FWD73"/>
      <c r="FWE73"/>
      <c r="FWF73"/>
      <c r="FWG73"/>
      <c r="FWH73"/>
      <c r="FWI73"/>
      <c r="FWJ73"/>
      <c r="FWK73"/>
      <c r="FWL73"/>
      <c r="FWM73"/>
      <c r="FWN73"/>
      <c r="FWO73"/>
      <c r="FWP73"/>
      <c r="FWQ73"/>
      <c r="FWR73"/>
      <c r="FWS73"/>
      <c r="FWT73"/>
      <c r="FWU73"/>
      <c r="FWV73"/>
      <c r="FWW73"/>
      <c r="FWX73"/>
      <c r="FWY73"/>
      <c r="FWZ73"/>
      <c r="FXA73"/>
      <c r="FXB73"/>
      <c r="FXC73"/>
      <c r="FXD73"/>
      <c r="FXE73"/>
      <c r="FXF73"/>
      <c r="FXG73"/>
      <c r="FXH73"/>
      <c r="FXI73"/>
      <c r="FXJ73"/>
      <c r="FXK73"/>
      <c r="FXL73"/>
      <c r="FXM73"/>
      <c r="FXN73"/>
      <c r="FXO73"/>
      <c r="FXP73"/>
      <c r="FXQ73"/>
      <c r="FXR73"/>
      <c r="FXS73"/>
      <c r="FXT73"/>
      <c r="FXU73"/>
      <c r="FXV73"/>
      <c r="FXW73"/>
      <c r="FXX73"/>
      <c r="FXY73"/>
      <c r="FXZ73"/>
      <c r="FYA73"/>
      <c r="FYB73"/>
      <c r="FYC73"/>
      <c r="FYD73"/>
      <c r="FYE73"/>
      <c r="FYF73"/>
      <c r="FYG73"/>
      <c r="FYH73"/>
      <c r="FYI73"/>
      <c r="FYJ73"/>
      <c r="FYK73"/>
      <c r="FYL73"/>
      <c r="FYM73"/>
      <c r="FYN73"/>
      <c r="FYO73"/>
      <c r="FYP73"/>
      <c r="FYQ73"/>
      <c r="FYR73"/>
      <c r="FYS73"/>
      <c r="FYT73"/>
      <c r="FYU73"/>
      <c r="FYV73"/>
      <c r="FYW73"/>
      <c r="FYX73"/>
      <c r="FYY73"/>
      <c r="FYZ73"/>
      <c r="FZA73"/>
      <c r="FZB73"/>
      <c r="FZC73"/>
      <c r="FZD73"/>
      <c r="FZE73"/>
      <c r="FZF73"/>
      <c r="FZG73"/>
      <c r="FZH73"/>
      <c r="FZI73"/>
      <c r="FZJ73"/>
      <c r="FZK73"/>
      <c r="FZL73"/>
      <c r="FZM73"/>
      <c r="FZN73"/>
      <c r="FZO73"/>
      <c r="FZP73"/>
      <c r="FZQ73"/>
      <c r="FZR73"/>
      <c r="FZS73"/>
      <c r="FZT73"/>
      <c r="FZU73"/>
      <c r="FZV73"/>
      <c r="FZW73"/>
      <c r="FZX73"/>
      <c r="FZY73"/>
      <c r="FZZ73"/>
      <c r="GAA73"/>
      <c r="GAB73"/>
      <c r="GAC73"/>
      <c r="GAD73"/>
      <c r="GAE73"/>
      <c r="GAF73"/>
      <c r="GAG73"/>
      <c r="GAH73"/>
      <c r="GAI73"/>
      <c r="GAJ73"/>
      <c r="GAK73"/>
      <c r="GAL73"/>
      <c r="GAM73"/>
      <c r="GAN73"/>
      <c r="GAO73"/>
      <c r="GAP73"/>
      <c r="GAQ73"/>
      <c r="GAR73"/>
      <c r="GAS73"/>
      <c r="GAT73"/>
      <c r="GAU73"/>
      <c r="GAV73"/>
      <c r="GAW73"/>
      <c r="GAX73"/>
      <c r="GAY73"/>
      <c r="GAZ73"/>
      <c r="GBA73"/>
      <c r="GBB73"/>
      <c r="GBC73"/>
      <c r="GBD73"/>
      <c r="GBE73"/>
      <c r="GBF73"/>
      <c r="GBG73"/>
      <c r="GBH73"/>
      <c r="GBI73"/>
      <c r="GBJ73"/>
      <c r="GBK73"/>
      <c r="GBL73"/>
      <c r="GBM73"/>
      <c r="GBN73"/>
      <c r="GBO73"/>
      <c r="GBP73"/>
      <c r="GBQ73"/>
      <c r="GBR73"/>
      <c r="GBS73"/>
      <c r="GBT73"/>
      <c r="GBU73"/>
      <c r="GBV73"/>
      <c r="GBW73"/>
      <c r="GBX73"/>
      <c r="GBY73"/>
      <c r="GBZ73"/>
      <c r="GCA73"/>
      <c r="GCB73"/>
      <c r="GCC73"/>
      <c r="GCD73"/>
      <c r="GCE73"/>
      <c r="GCF73"/>
      <c r="GCG73"/>
      <c r="GCH73"/>
      <c r="GCI73"/>
      <c r="GCJ73"/>
      <c r="GCK73"/>
      <c r="GCL73"/>
      <c r="GCM73"/>
      <c r="GCN73"/>
      <c r="GCO73"/>
      <c r="GCP73"/>
      <c r="GCQ73"/>
      <c r="GCR73"/>
      <c r="GCS73"/>
      <c r="GCT73"/>
      <c r="GCU73"/>
      <c r="GCV73"/>
      <c r="GCW73"/>
      <c r="GCX73"/>
      <c r="GCY73"/>
      <c r="GCZ73"/>
      <c r="GDA73"/>
      <c r="GDB73"/>
      <c r="GDC73"/>
      <c r="GDD73"/>
      <c r="GDE73"/>
      <c r="GDF73"/>
      <c r="GDG73"/>
      <c r="GDH73"/>
      <c r="GDI73"/>
      <c r="GDJ73"/>
      <c r="GDK73"/>
      <c r="GDL73"/>
      <c r="GDM73"/>
      <c r="GDN73"/>
      <c r="GDO73"/>
      <c r="GDP73"/>
      <c r="GDQ73"/>
      <c r="GDR73"/>
      <c r="GDS73"/>
      <c r="GDT73"/>
      <c r="GDU73"/>
      <c r="GDV73"/>
      <c r="GDW73"/>
      <c r="GDX73"/>
      <c r="GDY73"/>
      <c r="GDZ73"/>
      <c r="GEA73"/>
      <c r="GEB73"/>
      <c r="GEC73"/>
      <c r="GED73"/>
      <c r="GEE73"/>
      <c r="GEF73"/>
      <c r="GEG73"/>
      <c r="GEH73"/>
      <c r="GEI73"/>
      <c r="GEJ73"/>
      <c r="GEK73"/>
      <c r="GEL73"/>
      <c r="GEM73"/>
      <c r="GEN73"/>
      <c r="GEO73"/>
      <c r="GEP73"/>
      <c r="GEQ73"/>
      <c r="GER73"/>
      <c r="GES73"/>
      <c r="GET73"/>
      <c r="GEU73"/>
      <c r="GEV73"/>
      <c r="GEW73"/>
      <c r="GEX73"/>
      <c r="GEY73"/>
      <c r="GEZ73"/>
      <c r="GFA73"/>
      <c r="GFB73"/>
      <c r="GFC73"/>
      <c r="GFD73"/>
      <c r="GFE73"/>
      <c r="GFF73"/>
      <c r="GFG73"/>
      <c r="GFH73"/>
      <c r="GFI73"/>
      <c r="GFJ73"/>
      <c r="GFK73"/>
      <c r="GFL73"/>
      <c r="GFM73"/>
      <c r="GFN73"/>
      <c r="GFO73"/>
      <c r="GFP73"/>
      <c r="GFQ73"/>
      <c r="GFR73"/>
      <c r="GFS73"/>
      <c r="GFT73"/>
      <c r="GFU73"/>
      <c r="GFV73"/>
      <c r="GFW73"/>
      <c r="GFX73"/>
      <c r="GFY73"/>
      <c r="GFZ73"/>
      <c r="GGA73"/>
      <c r="GGB73"/>
      <c r="GGC73"/>
      <c r="GGD73"/>
      <c r="GGE73"/>
      <c r="GGF73"/>
      <c r="GGG73"/>
      <c r="GGH73"/>
      <c r="GGI73"/>
      <c r="GGJ73"/>
      <c r="GGK73"/>
      <c r="GGL73"/>
      <c r="GGM73"/>
      <c r="GGN73"/>
      <c r="GGO73"/>
      <c r="GGP73"/>
      <c r="GGQ73"/>
      <c r="GGR73"/>
      <c r="GGS73"/>
      <c r="GGT73"/>
      <c r="GGU73"/>
      <c r="GGV73"/>
      <c r="GGW73"/>
      <c r="GGX73"/>
      <c r="GGY73"/>
      <c r="GGZ73"/>
      <c r="GHA73"/>
      <c r="GHB73"/>
      <c r="GHC73"/>
      <c r="GHD73"/>
      <c r="GHE73"/>
      <c r="GHF73"/>
      <c r="GHG73"/>
      <c r="GHH73"/>
      <c r="GHI73"/>
      <c r="GHJ73"/>
      <c r="GHK73"/>
      <c r="GHL73"/>
      <c r="GHM73"/>
      <c r="GHN73"/>
      <c r="GHO73"/>
      <c r="GHP73"/>
      <c r="GHQ73"/>
      <c r="GHR73"/>
      <c r="GHS73"/>
      <c r="GHT73"/>
      <c r="GHU73"/>
      <c r="GHV73"/>
      <c r="GHW73"/>
      <c r="GHX73"/>
      <c r="GHY73"/>
      <c r="GHZ73"/>
      <c r="GIA73"/>
      <c r="GIB73"/>
      <c r="GIC73"/>
      <c r="GID73"/>
      <c r="GIE73"/>
      <c r="GIF73"/>
      <c r="GIG73"/>
      <c r="GIH73"/>
      <c r="GII73"/>
      <c r="GIJ73"/>
      <c r="GIK73"/>
      <c r="GIL73"/>
      <c r="GIM73"/>
      <c r="GIN73"/>
      <c r="GIO73"/>
      <c r="GIP73"/>
      <c r="GIQ73"/>
      <c r="GIR73"/>
      <c r="GIS73"/>
      <c r="GIT73"/>
      <c r="GIU73"/>
      <c r="GIV73"/>
      <c r="GIW73"/>
      <c r="GIX73"/>
      <c r="GIY73"/>
      <c r="GIZ73"/>
      <c r="GJA73"/>
      <c r="GJB73"/>
      <c r="GJC73"/>
      <c r="GJD73"/>
      <c r="GJE73"/>
      <c r="GJF73"/>
      <c r="GJG73"/>
      <c r="GJH73"/>
      <c r="GJI73"/>
      <c r="GJJ73"/>
      <c r="GJK73"/>
      <c r="GJL73"/>
      <c r="GJM73"/>
      <c r="GJN73"/>
      <c r="GJO73"/>
      <c r="GJP73"/>
      <c r="GJQ73"/>
      <c r="GJR73"/>
      <c r="GJS73"/>
      <c r="GJT73"/>
      <c r="GJU73"/>
      <c r="GJV73"/>
      <c r="GJW73"/>
      <c r="GJX73"/>
      <c r="GJY73"/>
      <c r="GJZ73"/>
      <c r="GKA73"/>
      <c r="GKB73"/>
      <c r="GKC73"/>
      <c r="GKD73"/>
      <c r="GKE73"/>
      <c r="GKF73"/>
      <c r="GKG73"/>
      <c r="GKH73"/>
      <c r="GKI73"/>
      <c r="GKJ73"/>
      <c r="GKK73"/>
      <c r="GKL73"/>
      <c r="GKM73"/>
      <c r="GKN73"/>
      <c r="GKO73"/>
      <c r="GKP73"/>
      <c r="GKQ73"/>
      <c r="GKR73"/>
      <c r="GKS73"/>
      <c r="GKT73"/>
      <c r="GKU73"/>
      <c r="GKV73"/>
      <c r="GKW73"/>
      <c r="GKX73"/>
      <c r="GKY73"/>
      <c r="GKZ73"/>
      <c r="GLA73"/>
      <c r="GLB73"/>
      <c r="GLC73"/>
      <c r="GLD73"/>
      <c r="GLE73"/>
      <c r="GLF73"/>
      <c r="GLG73"/>
      <c r="GLH73"/>
      <c r="GLI73"/>
      <c r="GLJ73"/>
      <c r="GLK73"/>
      <c r="GLL73"/>
      <c r="GLM73"/>
      <c r="GLN73"/>
      <c r="GLO73"/>
      <c r="GLP73"/>
      <c r="GLQ73"/>
      <c r="GLR73"/>
      <c r="GLS73"/>
      <c r="GLT73"/>
      <c r="GLU73"/>
      <c r="GLV73"/>
      <c r="GLW73"/>
      <c r="GLX73"/>
      <c r="GLY73"/>
      <c r="GLZ73"/>
      <c r="GMA73"/>
      <c r="GMB73"/>
      <c r="GMC73"/>
      <c r="GMD73"/>
      <c r="GME73"/>
      <c r="GMF73"/>
      <c r="GMG73"/>
      <c r="GMH73"/>
      <c r="GMI73"/>
      <c r="GMJ73"/>
      <c r="GMK73"/>
      <c r="GML73"/>
      <c r="GMM73"/>
      <c r="GMN73"/>
      <c r="GMO73"/>
      <c r="GMP73"/>
      <c r="GMQ73"/>
      <c r="GMR73"/>
      <c r="GMS73"/>
      <c r="GMT73"/>
      <c r="GMU73"/>
      <c r="GMV73"/>
      <c r="GMW73"/>
      <c r="GMX73"/>
      <c r="GMY73"/>
      <c r="GMZ73"/>
      <c r="GNA73"/>
      <c r="GNB73"/>
      <c r="GNC73"/>
      <c r="GND73"/>
      <c r="GNE73"/>
      <c r="GNF73"/>
      <c r="GNG73"/>
      <c r="GNH73"/>
      <c r="GNI73"/>
      <c r="GNJ73"/>
      <c r="GNK73"/>
      <c r="GNL73"/>
      <c r="GNM73"/>
      <c r="GNN73"/>
      <c r="GNO73"/>
      <c r="GNP73"/>
      <c r="GNQ73"/>
      <c r="GNR73"/>
      <c r="GNS73"/>
      <c r="GNT73"/>
      <c r="GNU73"/>
      <c r="GNV73"/>
      <c r="GNW73"/>
      <c r="GNX73"/>
      <c r="GNY73"/>
      <c r="GNZ73"/>
      <c r="GOA73"/>
      <c r="GOB73"/>
      <c r="GOC73"/>
      <c r="GOD73"/>
      <c r="GOE73"/>
      <c r="GOF73"/>
      <c r="GOG73"/>
      <c r="GOH73"/>
      <c r="GOI73"/>
      <c r="GOJ73"/>
      <c r="GOK73"/>
      <c r="GOL73"/>
      <c r="GOM73"/>
      <c r="GON73"/>
      <c r="GOO73"/>
      <c r="GOP73"/>
      <c r="GOQ73"/>
      <c r="GOR73"/>
      <c r="GOS73"/>
      <c r="GOT73"/>
      <c r="GOU73"/>
      <c r="GOV73"/>
      <c r="GOW73"/>
      <c r="GOX73"/>
      <c r="GOY73"/>
      <c r="GOZ73"/>
      <c r="GPA73"/>
      <c r="GPB73"/>
      <c r="GPC73"/>
      <c r="GPD73"/>
      <c r="GPE73"/>
      <c r="GPF73"/>
      <c r="GPG73"/>
      <c r="GPH73"/>
      <c r="GPI73"/>
      <c r="GPJ73"/>
      <c r="GPK73"/>
      <c r="GPL73"/>
      <c r="GPM73"/>
      <c r="GPN73"/>
      <c r="GPO73"/>
      <c r="GPP73"/>
      <c r="GPQ73"/>
      <c r="GPR73"/>
      <c r="GPS73"/>
      <c r="GPT73"/>
      <c r="GPU73"/>
      <c r="GPV73"/>
      <c r="GPW73"/>
      <c r="GPX73"/>
      <c r="GPY73"/>
      <c r="GPZ73"/>
      <c r="GQA73"/>
      <c r="GQB73"/>
      <c r="GQC73"/>
      <c r="GQD73"/>
      <c r="GQE73"/>
      <c r="GQF73"/>
      <c r="GQG73"/>
      <c r="GQH73"/>
      <c r="GQI73"/>
      <c r="GQJ73"/>
      <c r="GQK73"/>
      <c r="GQL73"/>
      <c r="GQM73"/>
      <c r="GQN73"/>
      <c r="GQO73"/>
      <c r="GQP73"/>
      <c r="GQQ73"/>
      <c r="GQR73"/>
      <c r="GQS73"/>
      <c r="GQT73"/>
      <c r="GQU73"/>
      <c r="GQV73"/>
      <c r="GQW73"/>
      <c r="GQX73"/>
      <c r="GQY73"/>
      <c r="GQZ73"/>
      <c r="GRA73"/>
      <c r="GRB73"/>
      <c r="GRC73"/>
      <c r="GRD73"/>
      <c r="GRE73"/>
      <c r="GRF73"/>
      <c r="GRG73"/>
      <c r="GRH73"/>
      <c r="GRI73"/>
      <c r="GRJ73"/>
      <c r="GRK73"/>
      <c r="GRL73"/>
      <c r="GRM73"/>
      <c r="GRN73"/>
      <c r="GRO73"/>
      <c r="GRP73"/>
      <c r="GRQ73"/>
      <c r="GRR73"/>
      <c r="GRS73"/>
      <c r="GRT73"/>
      <c r="GRU73"/>
      <c r="GRV73"/>
      <c r="GRW73"/>
      <c r="GRX73"/>
      <c r="GRY73"/>
      <c r="GRZ73"/>
      <c r="GSA73"/>
      <c r="GSB73"/>
      <c r="GSC73"/>
      <c r="GSD73"/>
      <c r="GSE73"/>
      <c r="GSF73"/>
      <c r="GSG73"/>
      <c r="GSH73"/>
      <c r="GSI73"/>
      <c r="GSJ73"/>
      <c r="GSK73"/>
      <c r="GSL73"/>
      <c r="GSM73"/>
      <c r="GSN73"/>
      <c r="GSO73"/>
      <c r="GSP73"/>
      <c r="GSQ73"/>
      <c r="GSR73"/>
      <c r="GSS73"/>
      <c r="GST73"/>
      <c r="GSU73"/>
      <c r="GSV73"/>
      <c r="GSW73"/>
      <c r="GSX73"/>
      <c r="GSY73"/>
      <c r="GSZ73"/>
      <c r="GTA73"/>
      <c r="GTB73"/>
      <c r="GTC73"/>
      <c r="GTD73"/>
      <c r="GTE73"/>
      <c r="GTF73"/>
      <c r="GTG73"/>
      <c r="GTH73"/>
      <c r="GTI73"/>
      <c r="GTJ73"/>
      <c r="GTK73"/>
      <c r="GTL73"/>
      <c r="GTM73"/>
      <c r="GTN73"/>
      <c r="GTO73"/>
      <c r="GTP73"/>
      <c r="GTQ73"/>
      <c r="GTR73"/>
      <c r="GTS73"/>
      <c r="GTT73"/>
      <c r="GTU73"/>
      <c r="GTV73"/>
      <c r="GTW73"/>
      <c r="GTX73"/>
      <c r="GTY73"/>
      <c r="GTZ73"/>
      <c r="GUA73"/>
      <c r="GUB73"/>
      <c r="GUC73"/>
      <c r="GUD73"/>
      <c r="GUE73"/>
      <c r="GUF73"/>
      <c r="GUG73"/>
      <c r="GUH73"/>
      <c r="GUI73"/>
      <c r="GUJ73"/>
      <c r="GUK73"/>
      <c r="GUL73"/>
      <c r="GUM73"/>
      <c r="GUN73"/>
      <c r="GUO73"/>
      <c r="GUP73"/>
      <c r="GUQ73"/>
      <c r="GUR73"/>
      <c r="GUS73"/>
      <c r="GUT73"/>
      <c r="GUU73"/>
      <c r="GUV73"/>
      <c r="GUW73"/>
      <c r="GUX73"/>
      <c r="GUY73"/>
      <c r="GUZ73"/>
      <c r="GVA73"/>
      <c r="GVB73"/>
      <c r="GVC73"/>
      <c r="GVD73"/>
      <c r="GVE73"/>
      <c r="GVF73"/>
      <c r="GVG73"/>
      <c r="GVH73"/>
      <c r="GVI73"/>
      <c r="GVJ73"/>
      <c r="GVK73"/>
      <c r="GVL73"/>
      <c r="GVM73"/>
      <c r="GVN73"/>
      <c r="GVO73"/>
      <c r="GVP73"/>
      <c r="GVQ73"/>
      <c r="GVR73"/>
      <c r="GVS73"/>
      <c r="GVT73"/>
      <c r="GVU73"/>
      <c r="GVV73"/>
      <c r="GVW73"/>
      <c r="GVX73"/>
      <c r="GVY73"/>
      <c r="GVZ73"/>
      <c r="GWA73"/>
      <c r="GWB73"/>
      <c r="GWC73"/>
      <c r="GWD73"/>
      <c r="GWE73"/>
      <c r="GWF73"/>
      <c r="GWG73"/>
      <c r="GWH73"/>
      <c r="GWI73"/>
      <c r="GWJ73"/>
      <c r="GWK73"/>
      <c r="GWL73"/>
      <c r="GWM73"/>
      <c r="GWN73"/>
      <c r="GWO73"/>
      <c r="GWP73"/>
      <c r="GWQ73"/>
      <c r="GWR73"/>
      <c r="GWS73"/>
      <c r="GWT73"/>
      <c r="GWU73"/>
      <c r="GWV73"/>
      <c r="GWW73"/>
      <c r="GWX73"/>
      <c r="GWY73"/>
      <c r="GWZ73"/>
      <c r="GXA73"/>
      <c r="GXB73"/>
      <c r="GXC73"/>
      <c r="GXD73"/>
      <c r="GXE73"/>
      <c r="GXF73"/>
      <c r="GXG73"/>
      <c r="GXH73"/>
      <c r="GXI73"/>
      <c r="GXJ73"/>
      <c r="GXK73"/>
      <c r="GXL73"/>
      <c r="GXM73"/>
      <c r="GXN73"/>
      <c r="GXO73"/>
      <c r="GXP73"/>
      <c r="GXQ73"/>
      <c r="GXR73"/>
      <c r="GXS73"/>
      <c r="GXT73"/>
      <c r="GXU73"/>
      <c r="GXV73"/>
      <c r="GXW73"/>
      <c r="GXX73"/>
      <c r="GXY73"/>
      <c r="GXZ73"/>
      <c r="GYA73"/>
      <c r="GYB73"/>
      <c r="GYC73"/>
      <c r="GYD73"/>
      <c r="GYE73"/>
      <c r="GYF73"/>
      <c r="GYG73"/>
      <c r="GYH73"/>
      <c r="GYI73"/>
      <c r="GYJ73"/>
      <c r="GYK73"/>
      <c r="GYL73"/>
      <c r="GYM73"/>
      <c r="GYN73"/>
      <c r="GYO73"/>
      <c r="GYP73"/>
      <c r="GYQ73"/>
      <c r="GYR73"/>
      <c r="GYS73"/>
      <c r="GYT73"/>
      <c r="GYU73"/>
      <c r="GYV73"/>
      <c r="GYW73"/>
      <c r="GYX73"/>
      <c r="GYY73"/>
      <c r="GYZ73"/>
      <c r="GZA73"/>
      <c r="GZB73"/>
      <c r="GZC73"/>
      <c r="GZD73"/>
      <c r="GZE73"/>
      <c r="GZF73"/>
      <c r="GZG73"/>
      <c r="GZH73"/>
      <c r="GZI73"/>
      <c r="GZJ73"/>
      <c r="GZK73"/>
      <c r="GZL73"/>
      <c r="GZM73"/>
      <c r="GZN73"/>
      <c r="GZO73"/>
      <c r="GZP73"/>
      <c r="GZQ73"/>
      <c r="GZR73"/>
      <c r="GZS73"/>
      <c r="GZT73"/>
      <c r="GZU73"/>
      <c r="GZV73"/>
      <c r="GZW73"/>
      <c r="GZX73"/>
      <c r="GZY73"/>
      <c r="GZZ73"/>
      <c r="HAA73"/>
      <c r="HAB73"/>
      <c r="HAC73"/>
      <c r="HAD73"/>
      <c r="HAE73"/>
      <c r="HAF73"/>
      <c r="HAG73"/>
      <c r="HAH73"/>
      <c r="HAI73"/>
      <c r="HAJ73"/>
      <c r="HAK73"/>
      <c r="HAL73"/>
      <c r="HAM73"/>
      <c r="HAN73"/>
      <c r="HAO73"/>
      <c r="HAP73"/>
      <c r="HAQ73"/>
      <c r="HAR73"/>
      <c r="HAS73"/>
      <c r="HAT73"/>
      <c r="HAU73"/>
      <c r="HAV73"/>
      <c r="HAW73"/>
      <c r="HAX73"/>
      <c r="HAY73"/>
      <c r="HAZ73"/>
      <c r="HBA73"/>
      <c r="HBB73"/>
      <c r="HBC73"/>
      <c r="HBD73"/>
      <c r="HBE73"/>
      <c r="HBF73"/>
      <c r="HBG73"/>
      <c r="HBH73"/>
      <c r="HBI73"/>
      <c r="HBJ73"/>
      <c r="HBK73"/>
      <c r="HBL73"/>
      <c r="HBM73"/>
      <c r="HBN73"/>
      <c r="HBO73"/>
      <c r="HBP73"/>
      <c r="HBQ73"/>
      <c r="HBR73"/>
      <c r="HBS73"/>
      <c r="HBT73"/>
      <c r="HBU73"/>
      <c r="HBV73"/>
      <c r="HBW73"/>
      <c r="HBX73"/>
      <c r="HBY73"/>
      <c r="HBZ73"/>
      <c r="HCA73"/>
      <c r="HCB73"/>
      <c r="HCC73"/>
      <c r="HCD73"/>
      <c r="HCE73"/>
      <c r="HCF73"/>
      <c r="HCG73"/>
      <c r="HCH73"/>
      <c r="HCI73"/>
      <c r="HCJ73"/>
      <c r="HCK73"/>
      <c r="HCL73"/>
      <c r="HCM73"/>
      <c r="HCN73"/>
      <c r="HCO73"/>
      <c r="HCP73"/>
      <c r="HCQ73"/>
      <c r="HCR73"/>
      <c r="HCS73"/>
      <c r="HCT73"/>
      <c r="HCU73"/>
      <c r="HCV73"/>
      <c r="HCW73"/>
      <c r="HCX73"/>
      <c r="HCY73"/>
      <c r="HCZ73"/>
      <c r="HDA73"/>
      <c r="HDB73"/>
      <c r="HDC73"/>
      <c r="HDD73"/>
      <c r="HDE73"/>
      <c r="HDF73"/>
      <c r="HDG73"/>
      <c r="HDH73"/>
      <c r="HDI73"/>
      <c r="HDJ73"/>
      <c r="HDK73"/>
      <c r="HDL73"/>
      <c r="HDM73"/>
      <c r="HDN73"/>
      <c r="HDO73"/>
      <c r="HDP73"/>
      <c r="HDQ73"/>
      <c r="HDR73"/>
      <c r="HDS73"/>
      <c r="HDT73"/>
      <c r="HDU73"/>
      <c r="HDV73"/>
      <c r="HDW73"/>
      <c r="HDX73"/>
      <c r="HDY73"/>
      <c r="HDZ73"/>
      <c r="HEA73"/>
      <c r="HEB73"/>
      <c r="HEC73"/>
      <c r="HED73"/>
      <c r="HEE73"/>
      <c r="HEF73"/>
      <c r="HEG73"/>
      <c r="HEH73"/>
      <c r="HEI73"/>
      <c r="HEJ73"/>
      <c r="HEK73"/>
      <c r="HEL73"/>
      <c r="HEM73"/>
      <c r="HEN73"/>
      <c r="HEO73"/>
      <c r="HEP73"/>
      <c r="HEQ73"/>
      <c r="HER73"/>
      <c r="HES73"/>
      <c r="HET73"/>
      <c r="HEU73"/>
      <c r="HEV73"/>
      <c r="HEW73"/>
      <c r="HEX73"/>
      <c r="HEY73"/>
      <c r="HEZ73"/>
      <c r="HFA73"/>
      <c r="HFB73"/>
      <c r="HFC73"/>
      <c r="HFD73"/>
      <c r="HFE73"/>
      <c r="HFF73"/>
      <c r="HFG73"/>
      <c r="HFH73"/>
      <c r="HFI73"/>
      <c r="HFJ73"/>
      <c r="HFK73"/>
      <c r="HFL73"/>
      <c r="HFM73"/>
      <c r="HFN73"/>
      <c r="HFO73"/>
      <c r="HFP73"/>
      <c r="HFQ73"/>
      <c r="HFR73"/>
      <c r="HFS73"/>
      <c r="HFT73"/>
      <c r="HFU73"/>
      <c r="HFV73"/>
      <c r="HFW73"/>
      <c r="HFX73"/>
      <c r="HFY73"/>
      <c r="HFZ73"/>
      <c r="HGA73"/>
      <c r="HGB73"/>
      <c r="HGC73"/>
      <c r="HGD73"/>
      <c r="HGE73"/>
      <c r="HGF73"/>
      <c r="HGG73"/>
      <c r="HGH73"/>
      <c r="HGI73"/>
      <c r="HGJ73"/>
      <c r="HGK73"/>
      <c r="HGL73"/>
      <c r="HGM73"/>
      <c r="HGN73"/>
      <c r="HGO73"/>
      <c r="HGP73"/>
      <c r="HGQ73"/>
      <c r="HGR73"/>
      <c r="HGS73"/>
      <c r="HGT73"/>
      <c r="HGU73"/>
      <c r="HGV73"/>
      <c r="HGW73"/>
      <c r="HGX73"/>
      <c r="HGY73"/>
      <c r="HGZ73"/>
      <c r="HHA73"/>
      <c r="HHB73"/>
      <c r="HHC73"/>
      <c r="HHD73"/>
      <c r="HHE73"/>
      <c r="HHF73"/>
      <c r="HHG73"/>
      <c r="HHH73"/>
      <c r="HHI73"/>
      <c r="HHJ73"/>
      <c r="HHK73"/>
      <c r="HHL73"/>
      <c r="HHM73"/>
      <c r="HHN73"/>
      <c r="HHO73"/>
      <c r="HHP73"/>
      <c r="HHQ73"/>
      <c r="HHR73"/>
      <c r="HHS73"/>
      <c r="HHT73"/>
      <c r="HHU73"/>
      <c r="HHV73"/>
      <c r="HHW73"/>
      <c r="HHX73"/>
      <c r="HHY73"/>
      <c r="HHZ73"/>
      <c r="HIA73"/>
      <c r="HIB73"/>
      <c r="HIC73"/>
      <c r="HID73"/>
      <c r="HIE73"/>
      <c r="HIF73"/>
      <c r="HIG73"/>
      <c r="HIH73"/>
      <c r="HII73"/>
      <c r="HIJ73"/>
      <c r="HIK73"/>
      <c r="HIL73"/>
      <c r="HIM73"/>
      <c r="HIN73"/>
      <c r="HIO73"/>
      <c r="HIP73"/>
      <c r="HIQ73"/>
      <c r="HIR73"/>
      <c r="HIS73"/>
      <c r="HIT73"/>
      <c r="HIU73"/>
      <c r="HIV73"/>
      <c r="HIW73"/>
      <c r="HIX73"/>
      <c r="HIY73"/>
      <c r="HIZ73"/>
      <c r="HJA73"/>
      <c r="HJB73"/>
      <c r="HJC73"/>
      <c r="HJD73"/>
      <c r="HJE73"/>
      <c r="HJF73"/>
      <c r="HJG73"/>
      <c r="HJH73"/>
      <c r="HJI73"/>
      <c r="HJJ73"/>
      <c r="HJK73"/>
      <c r="HJL73"/>
      <c r="HJM73"/>
      <c r="HJN73"/>
      <c r="HJO73"/>
      <c r="HJP73"/>
      <c r="HJQ73"/>
      <c r="HJR73"/>
      <c r="HJS73"/>
      <c r="HJT73"/>
      <c r="HJU73"/>
      <c r="HJV73"/>
      <c r="HJW73"/>
      <c r="HJX73"/>
      <c r="HJY73"/>
      <c r="HJZ73"/>
      <c r="HKA73"/>
      <c r="HKB73"/>
      <c r="HKC73"/>
      <c r="HKD73"/>
      <c r="HKE73"/>
      <c r="HKF73"/>
      <c r="HKG73"/>
      <c r="HKH73"/>
      <c r="HKI73"/>
      <c r="HKJ73"/>
      <c r="HKK73"/>
      <c r="HKL73"/>
      <c r="HKM73"/>
      <c r="HKN73"/>
      <c r="HKO73"/>
      <c r="HKP73"/>
      <c r="HKQ73"/>
      <c r="HKR73"/>
      <c r="HKS73"/>
      <c r="HKT73"/>
      <c r="HKU73"/>
      <c r="HKV73"/>
      <c r="HKW73"/>
      <c r="HKX73"/>
      <c r="HKY73"/>
      <c r="HKZ73"/>
      <c r="HLA73"/>
      <c r="HLB73"/>
      <c r="HLC73"/>
      <c r="HLD73"/>
      <c r="HLE73"/>
      <c r="HLF73"/>
      <c r="HLG73"/>
      <c r="HLH73"/>
      <c r="HLI73"/>
      <c r="HLJ73"/>
      <c r="HLK73"/>
      <c r="HLL73"/>
      <c r="HLM73"/>
      <c r="HLN73"/>
      <c r="HLO73"/>
      <c r="HLP73"/>
      <c r="HLQ73"/>
      <c r="HLR73"/>
      <c r="HLS73"/>
      <c r="HLT73"/>
      <c r="HLU73"/>
      <c r="HLV73"/>
      <c r="HLW73"/>
      <c r="HLX73"/>
      <c r="HLY73"/>
      <c r="HLZ73"/>
      <c r="HMA73"/>
      <c r="HMB73"/>
      <c r="HMC73"/>
      <c r="HMD73"/>
      <c r="HME73"/>
      <c r="HMF73"/>
      <c r="HMG73"/>
      <c r="HMH73"/>
      <c r="HMI73"/>
      <c r="HMJ73"/>
      <c r="HMK73"/>
      <c r="HML73"/>
      <c r="HMM73"/>
      <c r="HMN73"/>
      <c r="HMO73"/>
      <c r="HMP73"/>
      <c r="HMQ73"/>
      <c r="HMR73"/>
      <c r="HMS73"/>
      <c r="HMT73"/>
      <c r="HMU73"/>
      <c r="HMV73"/>
      <c r="HMW73"/>
      <c r="HMX73"/>
      <c r="HMY73"/>
      <c r="HMZ73"/>
      <c r="HNA73"/>
      <c r="HNB73"/>
      <c r="HNC73"/>
      <c r="HND73"/>
      <c r="HNE73"/>
      <c r="HNF73"/>
      <c r="HNG73"/>
      <c r="HNH73"/>
      <c r="HNI73"/>
      <c r="HNJ73"/>
      <c r="HNK73"/>
      <c r="HNL73"/>
      <c r="HNM73"/>
      <c r="HNN73"/>
      <c r="HNO73"/>
      <c r="HNP73"/>
      <c r="HNQ73"/>
      <c r="HNR73"/>
      <c r="HNS73"/>
      <c r="HNT73"/>
      <c r="HNU73"/>
      <c r="HNV73"/>
      <c r="HNW73"/>
      <c r="HNX73"/>
      <c r="HNY73"/>
      <c r="HNZ73"/>
      <c r="HOA73"/>
      <c r="HOB73"/>
      <c r="HOC73"/>
      <c r="HOD73"/>
      <c r="HOE73"/>
      <c r="HOF73"/>
      <c r="HOG73"/>
      <c r="HOH73"/>
      <c r="HOI73"/>
      <c r="HOJ73"/>
      <c r="HOK73"/>
      <c r="HOL73"/>
      <c r="HOM73"/>
      <c r="HON73"/>
      <c r="HOO73"/>
      <c r="HOP73"/>
      <c r="HOQ73"/>
      <c r="HOR73"/>
      <c r="HOS73"/>
      <c r="HOT73"/>
      <c r="HOU73"/>
      <c r="HOV73"/>
      <c r="HOW73"/>
      <c r="HOX73"/>
      <c r="HOY73"/>
      <c r="HOZ73"/>
      <c r="HPA73"/>
      <c r="HPB73"/>
      <c r="HPC73"/>
      <c r="HPD73"/>
      <c r="HPE73"/>
      <c r="HPF73"/>
      <c r="HPG73"/>
      <c r="HPH73"/>
      <c r="HPI73"/>
      <c r="HPJ73"/>
      <c r="HPK73"/>
      <c r="HPL73"/>
      <c r="HPM73"/>
      <c r="HPN73"/>
      <c r="HPO73"/>
      <c r="HPP73"/>
      <c r="HPQ73"/>
      <c r="HPR73"/>
      <c r="HPS73"/>
      <c r="HPT73"/>
      <c r="HPU73"/>
      <c r="HPV73"/>
      <c r="HPW73"/>
      <c r="HPX73"/>
      <c r="HPY73"/>
      <c r="HPZ73"/>
      <c r="HQA73"/>
      <c r="HQB73"/>
      <c r="HQC73"/>
      <c r="HQD73"/>
      <c r="HQE73"/>
      <c r="HQF73"/>
      <c r="HQG73"/>
      <c r="HQH73"/>
      <c r="HQI73"/>
      <c r="HQJ73"/>
      <c r="HQK73"/>
      <c r="HQL73"/>
      <c r="HQM73"/>
      <c r="HQN73"/>
      <c r="HQO73"/>
      <c r="HQP73"/>
      <c r="HQQ73"/>
      <c r="HQR73"/>
      <c r="HQS73"/>
      <c r="HQT73"/>
      <c r="HQU73"/>
      <c r="HQV73"/>
      <c r="HQW73"/>
      <c r="HQX73"/>
      <c r="HQY73"/>
      <c r="HQZ73"/>
      <c r="HRA73"/>
      <c r="HRB73"/>
      <c r="HRC73"/>
      <c r="HRD73"/>
      <c r="HRE73"/>
      <c r="HRF73"/>
      <c r="HRG73"/>
      <c r="HRH73"/>
      <c r="HRI73"/>
      <c r="HRJ73"/>
      <c r="HRK73"/>
      <c r="HRL73"/>
      <c r="HRM73"/>
      <c r="HRN73"/>
      <c r="HRO73"/>
      <c r="HRP73"/>
      <c r="HRQ73"/>
      <c r="HRR73"/>
      <c r="HRS73"/>
      <c r="HRT73"/>
      <c r="HRU73"/>
      <c r="HRV73"/>
      <c r="HRW73"/>
      <c r="HRX73"/>
      <c r="HRY73"/>
      <c r="HRZ73"/>
      <c r="HSA73"/>
      <c r="HSB73"/>
      <c r="HSC73"/>
      <c r="HSD73"/>
      <c r="HSE73"/>
      <c r="HSF73"/>
      <c r="HSG73"/>
      <c r="HSH73"/>
      <c r="HSI73"/>
      <c r="HSJ73"/>
      <c r="HSK73"/>
      <c r="HSL73"/>
      <c r="HSM73"/>
      <c r="HSN73"/>
      <c r="HSO73"/>
      <c r="HSP73"/>
      <c r="HSQ73"/>
      <c r="HSR73"/>
      <c r="HSS73"/>
      <c r="HST73"/>
      <c r="HSU73"/>
      <c r="HSV73"/>
      <c r="HSW73"/>
      <c r="HSX73"/>
      <c r="HSY73"/>
      <c r="HSZ73"/>
      <c r="HTA73"/>
      <c r="HTB73"/>
      <c r="HTC73"/>
      <c r="HTD73"/>
      <c r="HTE73"/>
      <c r="HTF73"/>
      <c r="HTG73"/>
      <c r="HTH73"/>
      <c r="HTI73"/>
      <c r="HTJ73"/>
      <c r="HTK73"/>
      <c r="HTL73"/>
      <c r="HTM73"/>
      <c r="HTN73"/>
      <c r="HTO73"/>
      <c r="HTP73"/>
      <c r="HTQ73"/>
      <c r="HTR73"/>
      <c r="HTS73"/>
      <c r="HTT73"/>
      <c r="HTU73"/>
      <c r="HTV73"/>
      <c r="HTW73"/>
      <c r="HTX73"/>
      <c r="HTY73"/>
      <c r="HTZ73"/>
      <c r="HUA73"/>
      <c r="HUB73"/>
      <c r="HUC73"/>
      <c r="HUD73"/>
      <c r="HUE73"/>
      <c r="HUF73"/>
      <c r="HUG73"/>
      <c r="HUH73"/>
      <c r="HUI73"/>
      <c r="HUJ73"/>
      <c r="HUK73"/>
      <c r="HUL73"/>
      <c r="HUM73"/>
      <c r="HUN73"/>
      <c r="HUO73"/>
      <c r="HUP73"/>
      <c r="HUQ73"/>
      <c r="HUR73"/>
      <c r="HUS73"/>
      <c r="HUT73"/>
      <c r="HUU73"/>
      <c r="HUV73"/>
      <c r="HUW73"/>
      <c r="HUX73"/>
      <c r="HUY73"/>
      <c r="HUZ73"/>
      <c r="HVA73"/>
      <c r="HVB73"/>
      <c r="HVC73"/>
      <c r="HVD73"/>
      <c r="HVE73"/>
      <c r="HVF73"/>
      <c r="HVG73"/>
      <c r="HVH73"/>
      <c r="HVI73"/>
      <c r="HVJ73"/>
      <c r="HVK73"/>
      <c r="HVL73"/>
      <c r="HVM73"/>
      <c r="HVN73"/>
      <c r="HVO73"/>
      <c r="HVP73"/>
      <c r="HVQ73"/>
      <c r="HVR73"/>
      <c r="HVS73"/>
      <c r="HVT73"/>
      <c r="HVU73"/>
      <c r="HVV73"/>
      <c r="HVW73"/>
      <c r="HVX73"/>
      <c r="HVY73"/>
      <c r="HVZ73"/>
      <c r="HWA73"/>
      <c r="HWB73"/>
      <c r="HWC73"/>
      <c r="HWD73"/>
      <c r="HWE73"/>
      <c r="HWF73"/>
      <c r="HWG73"/>
      <c r="HWH73"/>
      <c r="HWI73"/>
      <c r="HWJ73"/>
      <c r="HWK73"/>
      <c r="HWL73"/>
      <c r="HWM73"/>
      <c r="HWN73"/>
      <c r="HWO73"/>
      <c r="HWP73"/>
      <c r="HWQ73"/>
      <c r="HWR73"/>
      <c r="HWS73"/>
      <c r="HWT73"/>
      <c r="HWU73"/>
      <c r="HWV73"/>
      <c r="HWW73"/>
      <c r="HWX73"/>
      <c r="HWY73"/>
      <c r="HWZ73"/>
      <c r="HXA73"/>
      <c r="HXB73"/>
      <c r="HXC73"/>
      <c r="HXD73"/>
      <c r="HXE73"/>
      <c r="HXF73"/>
      <c r="HXG73"/>
      <c r="HXH73"/>
      <c r="HXI73"/>
      <c r="HXJ73"/>
      <c r="HXK73"/>
      <c r="HXL73"/>
      <c r="HXM73"/>
      <c r="HXN73"/>
      <c r="HXO73"/>
      <c r="HXP73"/>
      <c r="HXQ73"/>
      <c r="HXR73"/>
      <c r="HXS73"/>
      <c r="HXT73"/>
      <c r="HXU73"/>
      <c r="HXV73"/>
      <c r="HXW73"/>
      <c r="HXX73"/>
      <c r="HXY73"/>
      <c r="HXZ73"/>
      <c r="HYA73"/>
      <c r="HYB73"/>
      <c r="HYC73"/>
      <c r="HYD73"/>
      <c r="HYE73"/>
      <c r="HYF73"/>
      <c r="HYG73"/>
      <c r="HYH73"/>
      <c r="HYI73"/>
      <c r="HYJ73"/>
      <c r="HYK73"/>
      <c r="HYL73"/>
      <c r="HYM73"/>
      <c r="HYN73"/>
      <c r="HYO73"/>
      <c r="HYP73"/>
      <c r="HYQ73"/>
      <c r="HYR73"/>
      <c r="HYS73"/>
      <c r="HYT73"/>
      <c r="HYU73"/>
      <c r="HYV73"/>
      <c r="HYW73"/>
      <c r="HYX73"/>
      <c r="HYY73"/>
      <c r="HYZ73"/>
      <c r="HZA73"/>
      <c r="HZB73"/>
      <c r="HZC73"/>
      <c r="HZD73"/>
      <c r="HZE73"/>
      <c r="HZF73"/>
      <c r="HZG73"/>
      <c r="HZH73"/>
      <c r="HZI73"/>
      <c r="HZJ73"/>
      <c r="HZK73"/>
      <c r="HZL73"/>
      <c r="HZM73"/>
      <c r="HZN73"/>
      <c r="HZO73"/>
      <c r="HZP73"/>
      <c r="HZQ73"/>
      <c r="HZR73"/>
      <c r="HZS73"/>
      <c r="HZT73"/>
      <c r="HZU73"/>
      <c r="HZV73"/>
      <c r="HZW73"/>
      <c r="HZX73"/>
      <c r="HZY73"/>
      <c r="HZZ73"/>
      <c r="IAA73"/>
      <c r="IAB73"/>
      <c r="IAC73"/>
      <c r="IAD73"/>
      <c r="IAE73"/>
      <c r="IAF73"/>
      <c r="IAG73"/>
      <c r="IAH73"/>
      <c r="IAI73"/>
      <c r="IAJ73"/>
      <c r="IAK73"/>
      <c r="IAL73"/>
      <c r="IAM73"/>
      <c r="IAN73"/>
      <c r="IAO73"/>
      <c r="IAP73"/>
      <c r="IAQ73"/>
      <c r="IAR73"/>
      <c r="IAS73"/>
      <c r="IAT73"/>
      <c r="IAU73"/>
      <c r="IAV73"/>
      <c r="IAW73"/>
      <c r="IAX73"/>
      <c r="IAY73"/>
      <c r="IAZ73"/>
      <c r="IBA73"/>
      <c r="IBB73"/>
      <c r="IBC73"/>
      <c r="IBD73"/>
      <c r="IBE73"/>
      <c r="IBF73"/>
      <c r="IBG73"/>
      <c r="IBH73"/>
      <c r="IBI73"/>
      <c r="IBJ73"/>
      <c r="IBK73"/>
      <c r="IBL73"/>
      <c r="IBM73"/>
      <c r="IBN73"/>
      <c r="IBO73"/>
      <c r="IBP73"/>
      <c r="IBQ73"/>
      <c r="IBR73"/>
      <c r="IBS73"/>
      <c r="IBT73"/>
      <c r="IBU73"/>
      <c r="IBV73"/>
      <c r="IBW73"/>
      <c r="IBX73"/>
      <c r="IBY73"/>
      <c r="IBZ73"/>
      <c r="ICA73"/>
      <c r="ICB73"/>
      <c r="ICC73"/>
      <c r="ICD73"/>
      <c r="ICE73"/>
      <c r="ICF73"/>
      <c r="ICG73"/>
      <c r="ICH73"/>
      <c r="ICI73"/>
      <c r="ICJ73"/>
      <c r="ICK73"/>
      <c r="ICL73"/>
      <c r="ICM73"/>
      <c r="ICN73"/>
      <c r="ICO73"/>
      <c r="ICP73"/>
      <c r="ICQ73"/>
      <c r="ICR73"/>
      <c r="ICS73"/>
      <c r="ICT73"/>
      <c r="ICU73"/>
      <c r="ICV73"/>
      <c r="ICW73"/>
      <c r="ICX73"/>
      <c r="ICY73"/>
      <c r="ICZ73"/>
      <c r="IDA73"/>
      <c r="IDB73"/>
      <c r="IDC73"/>
      <c r="IDD73"/>
      <c r="IDE73"/>
      <c r="IDF73"/>
      <c r="IDG73"/>
      <c r="IDH73"/>
      <c r="IDI73"/>
      <c r="IDJ73"/>
      <c r="IDK73"/>
      <c r="IDL73"/>
      <c r="IDM73"/>
      <c r="IDN73"/>
      <c r="IDO73"/>
      <c r="IDP73"/>
      <c r="IDQ73"/>
      <c r="IDR73"/>
      <c r="IDS73"/>
      <c r="IDT73"/>
      <c r="IDU73"/>
      <c r="IDV73"/>
      <c r="IDW73"/>
      <c r="IDX73"/>
      <c r="IDY73"/>
      <c r="IDZ73"/>
      <c r="IEA73"/>
      <c r="IEB73"/>
      <c r="IEC73"/>
      <c r="IED73"/>
      <c r="IEE73"/>
      <c r="IEF73"/>
      <c r="IEG73"/>
      <c r="IEH73"/>
      <c r="IEI73"/>
      <c r="IEJ73"/>
      <c r="IEK73"/>
      <c r="IEL73"/>
      <c r="IEM73"/>
      <c r="IEN73"/>
      <c r="IEO73"/>
      <c r="IEP73"/>
      <c r="IEQ73"/>
      <c r="IER73"/>
      <c r="IES73"/>
      <c r="IET73"/>
      <c r="IEU73"/>
      <c r="IEV73"/>
      <c r="IEW73"/>
      <c r="IEX73"/>
      <c r="IEY73"/>
      <c r="IEZ73"/>
      <c r="IFA73"/>
      <c r="IFB73"/>
      <c r="IFC73"/>
      <c r="IFD73"/>
      <c r="IFE73"/>
      <c r="IFF73"/>
      <c r="IFG73"/>
      <c r="IFH73"/>
      <c r="IFI73"/>
      <c r="IFJ73"/>
      <c r="IFK73"/>
      <c r="IFL73"/>
      <c r="IFM73"/>
      <c r="IFN73"/>
      <c r="IFO73"/>
      <c r="IFP73"/>
      <c r="IFQ73"/>
      <c r="IFR73"/>
      <c r="IFS73"/>
      <c r="IFT73"/>
      <c r="IFU73"/>
      <c r="IFV73"/>
      <c r="IFW73"/>
      <c r="IFX73"/>
      <c r="IFY73"/>
      <c r="IFZ73"/>
      <c r="IGA73"/>
      <c r="IGB73"/>
      <c r="IGC73"/>
      <c r="IGD73"/>
      <c r="IGE73"/>
      <c r="IGF73"/>
      <c r="IGG73"/>
      <c r="IGH73"/>
      <c r="IGI73"/>
      <c r="IGJ73"/>
      <c r="IGK73"/>
      <c r="IGL73"/>
      <c r="IGM73"/>
      <c r="IGN73"/>
      <c r="IGO73"/>
      <c r="IGP73"/>
      <c r="IGQ73"/>
      <c r="IGR73"/>
      <c r="IGS73"/>
      <c r="IGT73"/>
      <c r="IGU73"/>
      <c r="IGV73"/>
      <c r="IGW73"/>
      <c r="IGX73"/>
      <c r="IGY73"/>
      <c r="IGZ73"/>
      <c r="IHA73"/>
      <c r="IHB73"/>
      <c r="IHC73"/>
      <c r="IHD73"/>
      <c r="IHE73"/>
      <c r="IHF73"/>
      <c r="IHG73"/>
      <c r="IHH73"/>
      <c r="IHI73"/>
      <c r="IHJ73"/>
      <c r="IHK73"/>
      <c r="IHL73"/>
      <c r="IHM73"/>
      <c r="IHN73"/>
      <c r="IHO73"/>
      <c r="IHP73"/>
      <c r="IHQ73"/>
      <c r="IHR73"/>
      <c r="IHS73"/>
      <c r="IHT73"/>
      <c r="IHU73"/>
      <c r="IHV73"/>
      <c r="IHW73"/>
      <c r="IHX73"/>
      <c r="IHY73"/>
      <c r="IHZ73"/>
      <c r="IIA73"/>
      <c r="IIB73"/>
      <c r="IIC73"/>
      <c r="IID73"/>
      <c r="IIE73"/>
      <c r="IIF73"/>
      <c r="IIG73"/>
      <c r="IIH73"/>
      <c r="III73"/>
      <c r="IIJ73"/>
      <c r="IIK73"/>
      <c r="IIL73"/>
      <c r="IIM73"/>
      <c r="IIN73"/>
      <c r="IIO73"/>
      <c r="IIP73"/>
      <c r="IIQ73"/>
      <c r="IIR73"/>
      <c r="IIS73"/>
      <c r="IIT73"/>
      <c r="IIU73"/>
      <c r="IIV73"/>
      <c r="IIW73"/>
      <c r="IIX73"/>
      <c r="IIY73"/>
      <c r="IIZ73"/>
      <c r="IJA73"/>
      <c r="IJB73"/>
      <c r="IJC73"/>
      <c r="IJD73"/>
      <c r="IJE73"/>
      <c r="IJF73"/>
      <c r="IJG73"/>
      <c r="IJH73"/>
      <c r="IJI73"/>
      <c r="IJJ73"/>
      <c r="IJK73"/>
      <c r="IJL73"/>
      <c r="IJM73"/>
      <c r="IJN73"/>
      <c r="IJO73"/>
      <c r="IJP73"/>
      <c r="IJQ73"/>
      <c r="IJR73"/>
      <c r="IJS73"/>
      <c r="IJT73"/>
      <c r="IJU73"/>
      <c r="IJV73"/>
      <c r="IJW73"/>
      <c r="IJX73"/>
      <c r="IJY73"/>
      <c r="IJZ73"/>
      <c r="IKA73"/>
      <c r="IKB73"/>
      <c r="IKC73"/>
      <c r="IKD73"/>
      <c r="IKE73"/>
      <c r="IKF73"/>
      <c r="IKG73"/>
      <c r="IKH73"/>
      <c r="IKI73"/>
      <c r="IKJ73"/>
      <c r="IKK73"/>
      <c r="IKL73"/>
      <c r="IKM73"/>
      <c r="IKN73"/>
      <c r="IKO73"/>
      <c r="IKP73"/>
      <c r="IKQ73"/>
      <c r="IKR73"/>
      <c r="IKS73"/>
      <c r="IKT73"/>
      <c r="IKU73"/>
      <c r="IKV73"/>
      <c r="IKW73"/>
      <c r="IKX73"/>
      <c r="IKY73"/>
      <c r="IKZ73"/>
      <c r="ILA73"/>
      <c r="ILB73"/>
      <c r="ILC73"/>
      <c r="ILD73"/>
      <c r="ILE73"/>
      <c r="ILF73"/>
      <c r="ILG73"/>
      <c r="ILH73"/>
      <c r="ILI73"/>
      <c r="ILJ73"/>
      <c r="ILK73"/>
      <c r="ILL73"/>
      <c r="ILM73"/>
      <c r="ILN73"/>
      <c r="ILO73"/>
      <c r="ILP73"/>
      <c r="ILQ73"/>
      <c r="ILR73"/>
      <c r="ILS73"/>
      <c r="ILT73"/>
      <c r="ILU73"/>
      <c r="ILV73"/>
      <c r="ILW73"/>
      <c r="ILX73"/>
      <c r="ILY73"/>
      <c r="ILZ73"/>
      <c r="IMA73"/>
      <c r="IMB73"/>
      <c r="IMC73"/>
      <c r="IMD73"/>
      <c r="IME73"/>
      <c r="IMF73"/>
      <c r="IMG73"/>
      <c r="IMH73"/>
      <c r="IMI73"/>
      <c r="IMJ73"/>
      <c r="IMK73"/>
      <c r="IML73"/>
      <c r="IMM73"/>
      <c r="IMN73"/>
      <c r="IMO73"/>
      <c r="IMP73"/>
      <c r="IMQ73"/>
      <c r="IMR73"/>
      <c r="IMS73"/>
      <c r="IMT73"/>
      <c r="IMU73"/>
      <c r="IMV73"/>
      <c r="IMW73"/>
      <c r="IMX73"/>
      <c r="IMY73"/>
      <c r="IMZ73"/>
      <c r="INA73"/>
      <c r="INB73"/>
      <c r="INC73"/>
      <c r="IND73"/>
      <c r="INE73"/>
      <c r="INF73"/>
      <c r="ING73"/>
      <c r="INH73"/>
      <c r="INI73"/>
      <c r="INJ73"/>
      <c r="INK73"/>
      <c r="INL73"/>
      <c r="INM73"/>
      <c r="INN73"/>
      <c r="INO73"/>
      <c r="INP73"/>
      <c r="INQ73"/>
      <c r="INR73"/>
      <c r="INS73"/>
      <c r="INT73"/>
      <c r="INU73"/>
      <c r="INV73"/>
      <c r="INW73"/>
      <c r="INX73"/>
      <c r="INY73"/>
      <c r="INZ73"/>
      <c r="IOA73"/>
      <c r="IOB73"/>
      <c r="IOC73"/>
      <c r="IOD73"/>
      <c r="IOE73"/>
      <c r="IOF73"/>
      <c r="IOG73"/>
      <c r="IOH73"/>
      <c r="IOI73"/>
      <c r="IOJ73"/>
      <c r="IOK73"/>
      <c r="IOL73"/>
      <c r="IOM73"/>
      <c r="ION73"/>
      <c r="IOO73"/>
      <c r="IOP73"/>
      <c r="IOQ73"/>
      <c r="IOR73"/>
      <c r="IOS73"/>
      <c r="IOT73"/>
      <c r="IOU73"/>
      <c r="IOV73"/>
      <c r="IOW73"/>
      <c r="IOX73"/>
      <c r="IOY73"/>
      <c r="IOZ73"/>
      <c r="IPA73"/>
      <c r="IPB73"/>
      <c r="IPC73"/>
      <c r="IPD73"/>
      <c r="IPE73"/>
      <c r="IPF73"/>
      <c r="IPG73"/>
      <c r="IPH73"/>
      <c r="IPI73"/>
      <c r="IPJ73"/>
      <c r="IPK73"/>
      <c r="IPL73"/>
      <c r="IPM73"/>
      <c r="IPN73"/>
      <c r="IPO73"/>
      <c r="IPP73"/>
      <c r="IPQ73"/>
      <c r="IPR73"/>
      <c r="IPS73"/>
      <c r="IPT73"/>
      <c r="IPU73"/>
      <c r="IPV73"/>
      <c r="IPW73"/>
      <c r="IPX73"/>
      <c r="IPY73"/>
      <c r="IPZ73"/>
      <c r="IQA73"/>
      <c r="IQB73"/>
      <c r="IQC73"/>
      <c r="IQD73"/>
      <c r="IQE73"/>
      <c r="IQF73"/>
      <c r="IQG73"/>
      <c r="IQH73"/>
      <c r="IQI73"/>
      <c r="IQJ73"/>
      <c r="IQK73"/>
      <c r="IQL73"/>
      <c r="IQM73"/>
      <c r="IQN73"/>
      <c r="IQO73"/>
      <c r="IQP73"/>
      <c r="IQQ73"/>
      <c r="IQR73"/>
      <c r="IQS73"/>
      <c r="IQT73"/>
      <c r="IQU73"/>
      <c r="IQV73"/>
      <c r="IQW73"/>
      <c r="IQX73"/>
      <c r="IQY73"/>
      <c r="IQZ73"/>
      <c r="IRA73"/>
      <c r="IRB73"/>
      <c r="IRC73"/>
      <c r="IRD73"/>
      <c r="IRE73"/>
      <c r="IRF73"/>
      <c r="IRG73"/>
      <c r="IRH73"/>
      <c r="IRI73"/>
      <c r="IRJ73"/>
      <c r="IRK73"/>
      <c r="IRL73"/>
      <c r="IRM73"/>
      <c r="IRN73"/>
      <c r="IRO73"/>
      <c r="IRP73"/>
      <c r="IRQ73"/>
      <c r="IRR73"/>
      <c r="IRS73"/>
      <c r="IRT73"/>
      <c r="IRU73"/>
      <c r="IRV73"/>
      <c r="IRW73"/>
      <c r="IRX73"/>
      <c r="IRY73"/>
      <c r="IRZ73"/>
      <c r="ISA73"/>
      <c r="ISB73"/>
      <c r="ISC73"/>
      <c r="ISD73"/>
      <c r="ISE73"/>
      <c r="ISF73"/>
      <c r="ISG73"/>
      <c r="ISH73"/>
      <c r="ISI73"/>
      <c r="ISJ73"/>
      <c r="ISK73"/>
      <c r="ISL73"/>
      <c r="ISM73"/>
      <c r="ISN73"/>
      <c r="ISO73"/>
      <c r="ISP73"/>
      <c r="ISQ73"/>
      <c r="ISR73"/>
      <c r="ISS73"/>
      <c r="IST73"/>
      <c r="ISU73"/>
      <c r="ISV73"/>
      <c r="ISW73"/>
      <c r="ISX73"/>
      <c r="ISY73"/>
      <c r="ISZ73"/>
      <c r="ITA73"/>
      <c r="ITB73"/>
      <c r="ITC73"/>
      <c r="ITD73"/>
      <c r="ITE73"/>
      <c r="ITF73"/>
      <c r="ITG73"/>
      <c r="ITH73"/>
      <c r="ITI73"/>
      <c r="ITJ73"/>
      <c r="ITK73"/>
      <c r="ITL73"/>
      <c r="ITM73"/>
      <c r="ITN73"/>
      <c r="ITO73"/>
      <c r="ITP73"/>
      <c r="ITQ73"/>
      <c r="ITR73"/>
      <c r="ITS73"/>
      <c r="ITT73"/>
      <c r="ITU73"/>
      <c r="ITV73"/>
      <c r="ITW73"/>
      <c r="ITX73"/>
      <c r="ITY73"/>
      <c r="ITZ73"/>
      <c r="IUA73"/>
      <c r="IUB73"/>
      <c r="IUC73"/>
      <c r="IUD73"/>
      <c r="IUE73"/>
      <c r="IUF73"/>
      <c r="IUG73"/>
      <c r="IUH73"/>
      <c r="IUI73"/>
      <c r="IUJ73"/>
      <c r="IUK73"/>
      <c r="IUL73"/>
      <c r="IUM73"/>
      <c r="IUN73"/>
      <c r="IUO73"/>
      <c r="IUP73"/>
      <c r="IUQ73"/>
      <c r="IUR73"/>
      <c r="IUS73"/>
      <c r="IUT73"/>
      <c r="IUU73"/>
      <c r="IUV73"/>
      <c r="IUW73"/>
      <c r="IUX73"/>
      <c r="IUY73"/>
      <c r="IUZ73"/>
      <c r="IVA73"/>
      <c r="IVB73"/>
      <c r="IVC73"/>
      <c r="IVD73"/>
      <c r="IVE73"/>
      <c r="IVF73"/>
      <c r="IVG73"/>
      <c r="IVH73"/>
      <c r="IVI73"/>
      <c r="IVJ73"/>
      <c r="IVK73"/>
      <c r="IVL73"/>
      <c r="IVM73"/>
      <c r="IVN73"/>
      <c r="IVO73"/>
      <c r="IVP73"/>
      <c r="IVQ73"/>
      <c r="IVR73"/>
      <c r="IVS73"/>
      <c r="IVT73"/>
      <c r="IVU73"/>
      <c r="IVV73"/>
      <c r="IVW73"/>
      <c r="IVX73"/>
      <c r="IVY73"/>
      <c r="IVZ73"/>
      <c r="IWA73"/>
      <c r="IWB73"/>
      <c r="IWC73"/>
      <c r="IWD73"/>
      <c r="IWE73"/>
      <c r="IWF73"/>
      <c r="IWG73"/>
      <c r="IWH73"/>
      <c r="IWI73"/>
      <c r="IWJ73"/>
      <c r="IWK73"/>
      <c r="IWL73"/>
      <c r="IWM73"/>
      <c r="IWN73"/>
      <c r="IWO73"/>
      <c r="IWP73"/>
      <c r="IWQ73"/>
      <c r="IWR73"/>
      <c r="IWS73"/>
      <c r="IWT73"/>
      <c r="IWU73"/>
      <c r="IWV73"/>
      <c r="IWW73"/>
      <c r="IWX73"/>
      <c r="IWY73"/>
      <c r="IWZ73"/>
      <c r="IXA73"/>
      <c r="IXB73"/>
      <c r="IXC73"/>
      <c r="IXD73"/>
      <c r="IXE73"/>
      <c r="IXF73"/>
      <c r="IXG73"/>
      <c r="IXH73"/>
      <c r="IXI73"/>
      <c r="IXJ73"/>
      <c r="IXK73"/>
      <c r="IXL73"/>
      <c r="IXM73"/>
      <c r="IXN73"/>
      <c r="IXO73"/>
      <c r="IXP73"/>
      <c r="IXQ73"/>
      <c r="IXR73"/>
      <c r="IXS73"/>
      <c r="IXT73"/>
      <c r="IXU73"/>
      <c r="IXV73"/>
      <c r="IXW73"/>
      <c r="IXX73"/>
      <c r="IXY73"/>
      <c r="IXZ73"/>
      <c r="IYA73"/>
      <c r="IYB73"/>
      <c r="IYC73"/>
      <c r="IYD73"/>
      <c r="IYE73"/>
      <c r="IYF73"/>
      <c r="IYG73"/>
      <c r="IYH73"/>
      <c r="IYI73"/>
      <c r="IYJ73"/>
      <c r="IYK73"/>
      <c r="IYL73"/>
      <c r="IYM73"/>
      <c r="IYN73"/>
      <c r="IYO73"/>
      <c r="IYP73"/>
      <c r="IYQ73"/>
      <c r="IYR73"/>
      <c r="IYS73"/>
      <c r="IYT73"/>
      <c r="IYU73"/>
      <c r="IYV73"/>
      <c r="IYW73"/>
      <c r="IYX73"/>
      <c r="IYY73"/>
      <c r="IYZ73"/>
      <c r="IZA73"/>
      <c r="IZB73"/>
      <c r="IZC73"/>
      <c r="IZD73"/>
      <c r="IZE73"/>
      <c r="IZF73"/>
      <c r="IZG73"/>
      <c r="IZH73"/>
      <c r="IZI73"/>
      <c r="IZJ73"/>
      <c r="IZK73"/>
      <c r="IZL73"/>
      <c r="IZM73"/>
      <c r="IZN73"/>
      <c r="IZO73"/>
      <c r="IZP73"/>
      <c r="IZQ73"/>
      <c r="IZR73"/>
      <c r="IZS73"/>
      <c r="IZT73"/>
      <c r="IZU73"/>
      <c r="IZV73"/>
      <c r="IZW73"/>
      <c r="IZX73"/>
      <c r="IZY73"/>
      <c r="IZZ73"/>
      <c r="JAA73"/>
      <c r="JAB73"/>
      <c r="JAC73"/>
      <c r="JAD73"/>
      <c r="JAE73"/>
      <c r="JAF73"/>
      <c r="JAG73"/>
      <c r="JAH73"/>
      <c r="JAI73"/>
      <c r="JAJ73"/>
      <c r="JAK73"/>
      <c r="JAL73"/>
      <c r="JAM73"/>
      <c r="JAN73"/>
      <c r="JAO73"/>
      <c r="JAP73"/>
      <c r="JAQ73"/>
      <c r="JAR73"/>
      <c r="JAS73"/>
      <c r="JAT73"/>
      <c r="JAU73"/>
      <c r="JAV73"/>
      <c r="JAW73"/>
      <c r="JAX73"/>
      <c r="JAY73"/>
      <c r="JAZ73"/>
      <c r="JBA73"/>
      <c r="JBB73"/>
      <c r="JBC73"/>
      <c r="JBD73"/>
      <c r="JBE73"/>
      <c r="JBF73"/>
      <c r="JBG73"/>
      <c r="JBH73"/>
      <c r="JBI73"/>
      <c r="JBJ73"/>
      <c r="JBK73"/>
      <c r="JBL73"/>
      <c r="JBM73"/>
      <c r="JBN73"/>
      <c r="JBO73"/>
      <c r="JBP73"/>
      <c r="JBQ73"/>
      <c r="JBR73"/>
      <c r="JBS73"/>
      <c r="JBT73"/>
      <c r="JBU73"/>
      <c r="JBV73"/>
      <c r="JBW73"/>
      <c r="JBX73"/>
      <c r="JBY73"/>
      <c r="JBZ73"/>
      <c r="JCA73"/>
      <c r="JCB73"/>
      <c r="JCC73"/>
      <c r="JCD73"/>
      <c r="JCE73"/>
      <c r="JCF73"/>
      <c r="JCG73"/>
      <c r="JCH73"/>
      <c r="JCI73"/>
      <c r="JCJ73"/>
      <c r="JCK73"/>
      <c r="JCL73"/>
      <c r="JCM73"/>
      <c r="JCN73"/>
      <c r="JCO73"/>
      <c r="JCP73"/>
      <c r="JCQ73"/>
      <c r="JCR73"/>
      <c r="JCS73"/>
      <c r="JCT73"/>
      <c r="JCU73"/>
      <c r="JCV73"/>
      <c r="JCW73"/>
      <c r="JCX73"/>
      <c r="JCY73"/>
      <c r="JCZ73"/>
      <c r="JDA73"/>
      <c r="JDB73"/>
      <c r="JDC73"/>
      <c r="JDD73"/>
      <c r="JDE73"/>
      <c r="JDF73"/>
      <c r="JDG73"/>
      <c r="JDH73"/>
      <c r="JDI73"/>
      <c r="JDJ73"/>
      <c r="JDK73"/>
      <c r="JDL73"/>
      <c r="JDM73"/>
      <c r="JDN73"/>
      <c r="JDO73"/>
      <c r="JDP73"/>
      <c r="JDQ73"/>
      <c r="JDR73"/>
      <c r="JDS73"/>
      <c r="JDT73"/>
      <c r="JDU73"/>
      <c r="JDV73"/>
      <c r="JDW73"/>
      <c r="JDX73"/>
      <c r="JDY73"/>
      <c r="JDZ73"/>
      <c r="JEA73"/>
      <c r="JEB73"/>
      <c r="JEC73"/>
      <c r="JED73"/>
      <c r="JEE73"/>
      <c r="JEF73"/>
      <c r="JEG73"/>
      <c r="JEH73"/>
      <c r="JEI73"/>
      <c r="JEJ73"/>
      <c r="JEK73"/>
      <c r="JEL73"/>
      <c r="JEM73"/>
      <c r="JEN73"/>
      <c r="JEO73"/>
      <c r="JEP73"/>
      <c r="JEQ73"/>
      <c r="JER73"/>
      <c r="JES73"/>
      <c r="JET73"/>
      <c r="JEU73"/>
      <c r="JEV73"/>
      <c r="JEW73"/>
      <c r="JEX73"/>
      <c r="JEY73"/>
      <c r="JEZ73"/>
      <c r="JFA73"/>
      <c r="JFB73"/>
      <c r="JFC73"/>
      <c r="JFD73"/>
      <c r="JFE73"/>
      <c r="JFF73"/>
      <c r="JFG73"/>
      <c r="JFH73"/>
      <c r="JFI73"/>
      <c r="JFJ73"/>
      <c r="JFK73"/>
      <c r="JFL73"/>
      <c r="JFM73"/>
      <c r="JFN73"/>
      <c r="JFO73"/>
      <c r="JFP73"/>
      <c r="JFQ73"/>
      <c r="JFR73"/>
      <c r="JFS73"/>
      <c r="JFT73"/>
      <c r="JFU73"/>
      <c r="JFV73"/>
      <c r="JFW73"/>
      <c r="JFX73"/>
      <c r="JFY73"/>
      <c r="JFZ73"/>
      <c r="JGA73"/>
      <c r="JGB73"/>
      <c r="JGC73"/>
      <c r="JGD73"/>
      <c r="JGE73"/>
      <c r="JGF73"/>
      <c r="JGG73"/>
      <c r="JGH73"/>
      <c r="JGI73"/>
      <c r="JGJ73"/>
      <c r="JGK73"/>
      <c r="JGL73"/>
      <c r="JGM73"/>
      <c r="JGN73"/>
      <c r="JGO73"/>
      <c r="JGP73"/>
      <c r="JGQ73"/>
      <c r="JGR73"/>
      <c r="JGS73"/>
      <c r="JGT73"/>
      <c r="JGU73"/>
      <c r="JGV73"/>
      <c r="JGW73"/>
      <c r="JGX73"/>
      <c r="JGY73"/>
      <c r="JGZ73"/>
      <c r="JHA73"/>
      <c r="JHB73"/>
      <c r="JHC73"/>
      <c r="JHD73"/>
      <c r="JHE73"/>
      <c r="JHF73"/>
      <c r="JHG73"/>
      <c r="JHH73"/>
      <c r="JHI73"/>
      <c r="JHJ73"/>
      <c r="JHK73"/>
      <c r="JHL73"/>
      <c r="JHM73"/>
      <c r="JHN73"/>
      <c r="JHO73"/>
      <c r="JHP73"/>
      <c r="JHQ73"/>
      <c r="JHR73"/>
      <c r="JHS73"/>
      <c r="JHT73"/>
      <c r="JHU73"/>
      <c r="JHV73"/>
      <c r="JHW73"/>
      <c r="JHX73"/>
      <c r="JHY73"/>
      <c r="JHZ73"/>
      <c r="JIA73"/>
      <c r="JIB73"/>
      <c r="JIC73"/>
      <c r="JID73"/>
      <c r="JIE73"/>
      <c r="JIF73"/>
      <c r="JIG73"/>
      <c r="JIH73"/>
      <c r="JII73"/>
      <c r="JIJ73"/>
      <c r="JIK73"/>
      <c r="JIL73"/>
      <c r="JIM73"/>
      <c r="JIN73"/>
      <c r="JIO73"/>
      <c r="JIP73"/>
      <c r="JIQ73"/>
      <c r="JIR73"/>
      <c r="JIS73"/>
      <c r="JIT73"/>
      <c r="JIU73"/>
      <c r="JIV73"/>
      <c r="JIW73"/>
      <c r="JIX73"/>
      <c r="JIY73"/>
      <c r="JIZ73"/>
      <c r="JJA73"/>
      <c r="JJB73"/>
      <c r="JJC73"/>
      <c r="JJD73"/>
      <c r="JJE73"/>
      <c r="JJF73"/>
      <c r="JJG73"/>
      <c r="JJH73"/>
      <c r="JJI73"/>
      <c r="JJJ73"/>
      <c r="JJK73"/>
      <c r="JJL73"/>
      <c r="JJM73"/>
      <c r="JJN73"/>
      <c r="JJO73"/>
      <c r="JJP73"/>
      <c r="JJQ73"/>
      <c r="JJR73"/>
      <c r="JJS73"/>
      <c r="JJT73"/>
      <c r="JJU73"/>
      <c r="JJV73"/>
      <c r="JJW73"/>
      <c r="JJX73"/>
      <c r="JJY73"/>
      <c r="JJZ73"/>
      <c r="JKA73"/>
      <c r="JKB73"/>
      <c r="JKC73"/>
      <c r="JKD73"/>
      <c r="JKE73"/>
      <c r="JKF73"/>
      <c r="JKG73"/>
      <c r="JKH73"/>
      <c r="JKI73"/>
      <c r="JKJ73"/>
      <c r="JKK73"/>
      <c r="JKL73"/>
      <c r="JKM73"/>
      <c r="JKN73"/>
      <c r="JKO73"/>
      <c r="JKP73"/>
      <c r="JKQ73"/>
      <c r="JKR73"/>
      <c r="JKS73"/>
      <c r="JKT73"/>
      <c r="JKU73"/>
      <c r="JKV73"/>
      <c r="JKW73"/>
      <c r="JKX73"/>
      <c r="JKY73"/>
      <c r="JKZ73"/>
      <c r="JLA73"/>
      <c r="JLB73"/>
      <c r="JLC73"/>
      <c r="JLD73"/>
      <c r="JLE73"/>
      <c r="JLF73"/>
      <c r="JLG73"/>
      <c r="JLH73"/>
      <c r="JLI73"/>
      <c r="JLJ73"/>
      <c r="JLK73"/>
      <c r="JLL73"/>
      <c r="JLM73"/>
      <c r="JLN73"/>
      <c r="JLO73"/>
      <c r="JLP73"/>
      <c r="JLQ73"/>
      <c r="JLR73"/>
      <c r="JLS73"/>
      <c r="JLT73"/>
      <c r="JLU73"/>
      <c r="JLV73"/>
      <c r="JLW73"/>
      <c r="JLX73"/>
      <c r="JLY73"/>
      <c r="JLZ73"/>
      <c r="JMA73"/>
      <c r="JMB73"/>
      <c r="JMC73"/>
      <c r="JMD73"/>
      <c r="JME73"/>
      <c r="JMF73"/>
      <c r="JMG73"/>
      <c r="JMH73"/>
      <c r="JMI73"/>
      <c r="JMJ73"/>
      <c r="JMK73"/>
      <c r="JML73"/>
      <c r="JMM73"/>
      <c r="JMN73"/>
      <c r="JMO73"/>
      <c r="JMP73"/>
      <c r="JMQ73"/>
      <c r="JMR73"/>
      <c r="JMS73"/>
      <c r="JMT73"/>
      <c r="JMU73"/>
      <c r="JMV73"/>
      <c r="JMW73"/>
      <c r="JMX73"/>
      <c r="JMY73"/>
      <c r="JMZ73"/>
      <c r="JNA73"/>
      <c r="JNB73"/>
      <c r="JNC73"/>
      <c r="JND73"/>
      <c r="JNE73"/>
      <c r="JNF73"/>
      <c r="JNG73"/>
      <c r="JNH73"/>
      <c r="JNI73"/>
      <c r="JNJ73"/>
      <c r="JNK73"/>
      <c r="JNL73"/>
      <c r="JNM73"/>
      <c r="JNN73"/>
      <c r="JNO73"/>
      <c r="JNP73"/>
      <c r="JNQ73"/>
      <c r="JNR73"/>
      <c r="JNS73"/>
      <c r="JNT73"/>
      <c r="JNU73"/>
      <c r="JNV73"/>
      <c r="JNW73"/>
      <c r="JNX73"/>
      <c r="JNY73"/>
      <c r="JNZ73"/>
      <c r="JOA73"/>
      <c r="JOB73"/>
      <c r="JOC73"/>
      <c r="JOD73"/>
      <c r="JOE73"/>
      <c r="JOF73"/>
      <c r="JOG73"/>
      <c r="JOH73"/>
      <c r="JOI73"/>
      <c r="JOJ73"/>
      <c r="JOK73"/>
      <c r="JOL73"/>
      <c r="JOM73"/>
      <c r="JON73"/>
      <c r="JOO73"/>
      <c r="JOP73"/>
      <c r="JOQ73"/>
      <c r="JOR73"/>
      <c r="JOS73"/>
      <c r="JOT73"/>
      <c r="JOU73"/>
      <c r="JOV73"/>
      <c r="JOW73"/>
      <c r="JOX73"/>
      <c r="JOY73"/>
      <c r="JOZ73"/>
      <c r="JPA73"/>
      <c r="JPB73"/>
      <c r="JPC73"/>
      <c r="JPD73"/>
      <c r="JPE73"/>
      <c r="JPF73"/>
      <c r="JPG73"/>
      <c r="JPH73"/>
      <c r="JPI73"/>
      <c r="JPJ73"/>
      <c r="JPK73"/>
      <c r="JPL73"/>
      <c r="JPM73"/>
      <c r="JPN73"/>
      <c r="JPO73"/>
      <c r="JPP73"/>
      <c r="JPQ73"/>
      <c r="JPR73"/>
      <c r="JPS73"/>
      <c r="JPT73"/>
      <c r="JPU73"/>
      <c r="JPV73"/>
      <c r="JPW73"/>
      <c r="JPX73"/>
      <c r="JPY73"/>
      <c r="JPZ73"/>
      <c r="JQA73"/>
      <c r="JQB73"/>
      <c r="JQC73"/>
      <c r="JQD73"/>
      <c r="JQE73"/>
      <c r="JQF73"/>
      <c r="JQG73"/>
      <c r="JQH73"/>
      <c r="JQI73"/>
      <c r="JQJ73"/>
      <c r="JQK73"/>
      <c r="JQL73"/>
      <c r="JQM73"/>
      <c r="JQN73"/>
      <c r="JQO73"/>
      <c r="JQP73"/>
      <c r="JQQ73"/>
      <c r="JQR73"/>
      <c r="JQS73"/>
      <c r="JQT73"/>
      <c r="JQU73"/>
      <c r="JQV73"/>
      <c r="JQW73"/>
      <c r="JQX73"/>
      <c r="JQY73"/>
      <c r="JQZ73"/>
      <c r="JRA73"/>
      <c r="JRB73"/>
      <c r="JRC73"/>
      <c r="JRD73"/>
      <c r="JRE73"/>
      <c r="JRF73"/>
      <c r="JRG73"/>
      <c r="JRH73"/>
      <c r="JRI73"/>
      <c r="JRJ73"/>
      <c r="JRK73"/>
      <c r="JRL73"/>
      <c r="JRM73"/>
      <c r="JRN73"/>
      <c r="JRO73"/>
      <c r="JRP73"/>
      <c r="JRQ73"/>
      <c r="JRR73"/>
      <c r="JRS73"/>
      <c r="JRT73"/>
      <c r="JRU73"/>
      <c r="JRV73"/>
      <c r="JRW73"/>
      <c r="JRX73"/>
      <c r="JRY73"/>
      <c r="JRZ73"/>
      <c r="JSA73"/>
      <c r="JSB73"/>
      <c r="JSC73"/>
      <c r="JSD73"/>
      <c r="JSE73"/>
      <c r="JSF73"/>
      <c r="JSG73"/>
      <c r="JSH73"/>
      <c r="JSI73"/>
      <c r="JSJ73"/>
      <c r="JSK73"/>
      <c r="JSL73"/>
      <c r="JSM73"/>
      <c r="JSN73"/>
      <c r="JSO73"/>
      <c r="JSP73"/>
      <c r="JSQ73"/>
      <c r="JSR73"/>
      <c r="JSS73"/>
      <c r="JST73"/>
      <c r="JSU73"/>
      <c r="JSV73"/>
      <c r="JSW73"/>
      <c r="JSX73"/>
      <c r="JSY73"/>
      <c r="JSZ73"/>
      <c r="JTA73"/>
      <c r="JTB73"/>
      <c r="JTC73"/>
      <c r="JTD73"/>
      <c r="JTE73"/>
      <c r="JTF73"/>
      <c r="JTG73"/>
      <c r="JTH73"/>
      <c r="JTI73"/>
      <c r="JTJ73"/>
      <c r="JTK73"/>
      <c r="JTL73"/>
      <c r="JTM73"/>
      <c r="JTN73"/>
      <c r="JTO73"/>
      <c r="JTP73"/>
      <c r="JTQ73"/>
      <c r="JTR73"/>
      <c r="JTS73"/>
      <c r="JTT73"/>
      <c r="JTU73"/>
      <c r="JTV73"/>
      <c r="JTW73"/>
      <c r="JTX73"/>
      <c r="JTY73"/>
      <c r="JTZ73"/>
      <c r="JUA73"/>
      <c r="JUB73"/>
      <c r="JUC73"/>
      <c r="JUD73"/>
      <c r="JUE73"/>
      <c r="JUF73"/>
      <c r="JUG73"/>
      <c r="JUH73"/>
      <c r="JUI73"/>
      <c r="JUJ73"/>
      <c r="JUK73"/>
      <c r="JUL73"/>
      <c r="JUM73"/>
      <c r="JUN73"/>
      <c r="JUO73"/>
      <c r="JUP73"/>
      <c r="JUQ73"/>
      <c r="JUR73"/>
      <c r="JUS73"/>
      <c r="JUT73"/>
      <c r="JUU73"/>
      <c r="JUV73"/>
      <c r="JUW73"/>
      <c r="JUX73"/>
      <c r="JUY73"/>
      <c r="JUZ73"/>
      <c r="JVA73"/>
      <c r="JVB73"/>
      <c r="JVC73"/>
      <c r="JVD73"/>
      <c r="JVE73"/>
      <c r="JVF73"/>
      <c r="JVG73"/>
      <c r="JVH73"/>
      <c r="JVI73"/>
      <c r="JVJ73"/>
      <c r="JVK73"/>
      <c r="JVL73"/>
      <c r="JVM73"/>
      <c r="JVN73"/>
      <c r="JVO73"/>
      <c r="JVP73"/>
      <c r="JVQ73"/>
      <c r="JVR73"/>
      <c r="JVS73"/>
      <c r="JVT73"/>
      <c r="JVU73"/>
      <c r="JVV73"/>
      <c r="JVW73"/>
      <c r="JVX73"/>
      <c r="JVY73"/>
      <c r="JVZ73"/>
      <c r="JWA73"/>
      <c r="JWB73"/>
      <c r="JWC73"/>
      <c r="JWD73"/>
      <c r="JWE73"/>
      <c r="JWF73"/>
      <c r="JWG73"/>
      <c r="JWH73"/>
      <c r="JWI73"/>
      <c r="JWJ73"/>
      <c r="JWK73"/>
      <c r="JWL73"/>
      <c r="JWM73"/>
      <c r="JWN73"/>
      <c r="JWO73"/>
      <c r="JWP73"/>
      <c r="JWQ73"/>
      <c r="JWR73"/>
      <c r="JWS73"/>
      <c r="JWT73"/>
      <c r="JWU73"/>
      <c r="JWV73"/>
      <c r="JWW73"/>
      <c r="JWX73"/>
      <c r="JWY73"/>
      <c r="JWZ73"/>
      <c r="JXA73"/>
      <c r="JXB73"/>
      <c r="JXC73"/>
      <c r="JXD73"/>
      <c r="JXE73"/>
      <c r="JXF73"/>
      <c r="JXG73"/>
      <c r="JXH73"/>
      <c r="JXI73"/>
      <c r="JXJ73"/>
      <c r="JXK73"/>
      <c r="JXL73"/>
      <c r="JXM73"/>
      <c r="JXN73"/>
      <c r="JXO73"/>
      <c r="JXP73"/>
      <c r="JXQ73"/>
      <c r="JXR73"/>
      <c r="JXS73"/>
      <c r="JXT73"/>
      <c r="JXU73"/>
      <c r="JXV73"/>
      <c r="JXW73"/>
      <c r="JXX73"/>
      <c r="JXY73"/>
      <c r="JXZ73"/>
      <c r="JYA73"/>
      <c r="JYB73"/>
      <c r="JYC73"/>
      <c r="JYD73"/>
      <c r="JYE73"/>
      <c r="JYF73"/>
      <c r="JYG73"/>
      <c r="JYH73"/>
      <c r="JYI73"/>
      <c r="JYJ73"/>
      <c r="JYK73"/>
      <c r="JYL73"/>
      <c r="JYM73"/>
      <c r="JYN73"/>
      <c r="JYO73"/>
      <c r="JYP73"/>
      <c r="JYQ73"/>
      <c r="JYR73"/>
      <c r="JYS73"/>
      <c r="JYT73"/>
      <c r="JYU73"/>
      <c r="JYV73"/>
      <c r="JYW73"/>
      <c r="JYX73"/>
      <c r="JYY73"/>
      <c r="JYZ73"/>
      <c r="JZA73"/>
      <c r="JZB73"/>
      <c r="JZC73"/>
      <c r="JZD73"/>
      <c r="JZE73"/>
      <c r="JZF73"/>
      <c r="JZG73"/>
      <c r="JZH73"/>
      <c r="JZI73"/>
      <c r="JZJ73"/>
      <c r="JZK73"/>
      <c r="JZL73"/>
      <c r="JZM73"/>
      <c r="JZN73"/>
      <c r="JZO73"/>
      <c r="JZP73"/>
      <c r="JZQ73"/>
      <c r="JZR73"/>
      <c r="JZS73"/>
      <c r="JZT73"/>
      <c r="JZU73"/>
      <c r="JZV73"/>
      <c r="JZW73"/>
      <c r="JZX73"/>
      <c r="JZY73"/>
      <c r="JZZ73"/>
      <c r="KAA73"/>
      <c r="KAB73"/>
      <c r="KAC73"/>
      <c r="KAD73"/>
      <c r="KAE73"/>
      <c r="KAF73"/>
      <c r="KAG73"/>
      <c r="KAH73"/>
      <c r="KAI73"/>
      <c r="KAJ73"/>
      <c r="KAK73"/>
      <c r="KAL73"/>
      <c r="KAM73"/>
      <c r="KAN73"/>
      <c r="KAO73"/>
      <c r="KAP73"/>
      <c r="KAQ73"/>
      <c r="KAR73"/>
      <c r="KAS73"/>
      <c r="KAT73"/>
      <c r="KAU73"/>
      <c r="KAV73"/>
      <c r="KAW73"/>
      <c r="KAX73"/>
      <c r="KAY73"/>
      <c r="KAZ73"/>
      <c r="KBA73"/>
      <c r="KBB73"/>
      <c r="KBC73"/>
      <c r="KBD73"/>
      <c r="KBE73"/>
      <c r="KBF73"/>
      <c r="KBG73"/>
      <c r="KBH73"/>
      <c r="KBI73"/>
      <c r="KBJ73"/>
      <c r="KBK73"/>
      <c r="KBL73"/>
      <c r="KBM73"/>
      <c r="KBN73"/>
      <c r="KBO73"/>
      <c r="KBP73"/>
      <c r="KBQ73"/>
      <c r="KBR73"/>
      <c r="KBS73"/>
      <c r="KBT73"/>
      <c r="KBU73"/>
      <c r="KBV73"/>
      <c r="KBW73"/>
      <c r="KBX73"/>
      <c r="KBY73"/>
      <c r="KBZ73"/>
      <c r="KCA73"/>
      <c r="KCB73"/>
      <c r="KCC73"/>
      <c r="KCD73"/>
      <c r="KCE73"/>
      <c r="KCF73"/>
      <c r="KCG73"/>
      <c r="KCH73"/>
      <c r="KCI73"/>
      <c r="KCJ73"/>
      <c r="KCK73"/>
      <c r="KCL73"/>
      <c r="KCM73"/>
      <c r="KCN73"/>
      <c r="KCO73"/>
      <c r="KCP73"/>
      <c r="KCQ73"/>
      <c r="KCR73"/>
      <c r="KCS73"/>
      <c r="KCT73"/>
      <c r="KCU73"/>
      <c r="KCV73"/>
      <c r="KCW73"/>
      <c r="KCX73"/>
      <c r="KCY73"/>
      <c r="KCZ73"/>
      <c r="KDA73"/>
      <c r="KDB73"/>
      <c r="KDC73"/>
      <c r="KDD73"/>
      <c r="KDE73"/>
      <c r="KDF73"/>
      <c r="KDG73"/>
      <c r="KDH73"/>
      <c r="KDI73"/>
      <c r="KDJ73"/>
      <c r="KDK73"/>
      <c r="KDL73"/>
      <c r="KDM73"/>
      <c r="KDN73"/>
      <c r="KDO73"/>
      <c r="KDP73"/>
      <c r="KDQ73"/>
      <c r="KDR73"/>
      <c r="KDS73"/>
      <c r="KDT73"/>
      <c r="KDU73"/>
      <c r="KDV73"/>
      <c r="KDW73"/>
      <c r="KDX73"/>
      <c r="KDY73"/>
      <c r="KDZ73"/>
      <c r="KEA73"/>
      <c r="KEB73"/>
      <c r="KEC73"/>
      <c r="KED73"/>
      <c r="KEE73"/>
      <c r="KEF73"/>
      <c r="KEG73"/>
      <c r="KEH73"/>
      <c r="KEI73"/>
      <c r="KEJ73"/>
      <c r="KEK73"/>
      <c r="KEL73"/>
      <c r="KEM73"/>
      <c r="KEN73"/>
      <c r="KEO73"/>
      <c r="KEP73"/>
      <c r="KEQ73"/>
      <c r="KER73"/>
      <c r="KES73"/>
      <c r="KET73"/>
      <c r="KEU73"/>
      <c r="KEV73"/>
      <c r="KEW73"/>
      <c r="KEX73"/>
      <c r="KEY73"/>
      <c r="KEZ73"/>
      <c r="KFA73"/>
      <c r="KFB73"/>
      <c r="KFC73"/>
      <c r="KFD73"/>
      <c r="KFE73"/>
      <c r="KFF73"/>
      <c r="KFG73"/>
      <c r="KFH73"/>
      <c r="KFI73"/>
      <c r="KFJ73"/>
      <c r="KFK73"/>
      <c r="KFL73"/>
      <c r="KFM73"/>
      <c r="KFN73"/>
      <c r="KFO73"/>
      <c r="KFP73"/>
      <c r="KFQ73"/>
      <c r="KFR73"/>
      <c r="KFS73"/>
      <c r="KFT73"/>
      <c r="KFU73"/>
      <c r="KFV73"/>
      <c r="KFW73"/>
      <c r="KFX73"/>
      <c r="KFY73"/>
      <c r="KFZ73"/>
      <c r="KGA73"/>
      <c r="KGB73"/>
      <c r="KGC73"/>
      <c r="KGD73"/>
      <c r="KGE73"/>
      <c r="KGF73"/>
      <c r="KGG73"/>
      <c r="KGH73"/>
      <c r="KGI73"/>
      <c r="KGJ73"/>
      <c r="KGK73"/>
      <c r="KGL73"/>
      <c r="KGM73"/>
      <c r="KGN73"/>
      <c r="KGO73"/>
      <c r="KGP73"/>
      <c r="KGQ73"/>
      <c r="KGR73"/>
      <c r="KGS73"/>
      <c r="KGT73"/>
      <c r="KGU73"/>
      <c r="KGV73"/>
      <c r="KGW73"/>
      <c r="KGX73"/>
      <c r="KGY73"/>
      <c r="KGZ73"/>
      <c r="KHA73"/>
      <c r="KHB73"/>
      <c r="KHC73"/>
      <c r="KHD73"/>
      <c r="KHE73"/>
      <c r="KHF73"/>
      <c r="KHG73"/>
      <c r="KHH73"/>
      <c r="KHI73"/>
      <c r="KHJ73"/>
      <c r="KHK73"/>
      <c r="KHL73"/>
      <c r="KHM73"/>
      <c r="KHN73"/>
      <c r="KHO73"/>
      <c r="KHP73"/>
      <c r="KHQ73"/>
      <c r="KHR73"/>
      <c r="KHS73"/>
      <c r="KHT73"/>
      <c r="KHU73"/>
      <c r="KHV73"/>
      <c r="KHW73"/>
      <c r="KHX73"/>
      <c r="KHY73"/>
      <c r="KHZ73"/>
      <c r="KIA73"/>
      <c r="KIB73"/>
      <c r="KIC73"/>
      <c r="KID73"/>
      <c r="KIE73"/>
      <c r="KIF73"/>
      <c r="KIG73"/>
      <c r="KIH73"/>
      <c r="KII73"/>
      <c r="KIJ73"/>
      <c r="KIK73"/>
      <c r="KIL73"/>
      <c r="KIM73"/>
      <c r="KIN73"/>
      <c r="KIO73"/>
      <c r="KIP73"/>
      <c r="KIQ73"/>
      <c r="KIR73"/>
      <c r="KIS73"/>
      <c r="KIT73"/>
      <c r="KIU73"/>
      <c r="KIV73"/>
      <c r="KIW73"/>
      <c r="KIX73"/>
      <c r="KIY73"/>
      <c r="KIZ73"/>
      <c r="KJA73"/>
      <c r="KJB73"/>
      <c r="KJC73"/>
      <c r="KJD73"/>
      <c r="KJE73"/>
      <c r="KJF73"/>
      <c r="KJG73"/>
      <c r="KJH73"/>
      <c r="KJI73"/>
      <c r="KJJ73"/>
      <c r="KJK73"/>
      <c r="KJL73"/>
      <c r="KJM73"/>
      <c r="KJN73"/>
      <c r="KJO73"/>
      <c r="KJP73"/>
      <c r="KJQ73"/>
      <c r="KJR73"/>
      <c r="KJS73"/>
      <c r="KJT73"/>
      <c r="KJU73"/>
      <c r="KJV73"/>
      <c r="KJW73"/>
      <c r="KJX73"/>
      <c r="KJY73"/>
      <c r="KJZ73"/>
      <c r="KKA73"/>
      <c r="KKB73"/>
      <c r="KKC73"/>
      <c r="KKD73"/>
      <c r="KKE73"/>
      <c r="KKF73"/>
      <c r="KKG73"/>
      <c r="KKH73"/>
      <c r="KKI73"/>
      <c r="KKJ73"/>
      <c r="KKK73"/>
      <c r="KKL73"/>
      <c r="KKM73"/>
      <c r="KKN73"/>
      <c r="KKO73"/>
      <c r="KKP73"/>
      <c r="KKQ73"/>
      <c r="KKR73"/>
      <c r="KKS73"/>
      <c r="KKT73"/>
      <c r="KKU73"/>
      <c r="KKV73"/>
      <c r="KKW73"/>
      <c r="KKX73"/>
      <c r="KKY73"/>
      <c r="KKZ73"/>
      <c r="KLA73"/>
      <c r="KLB73"/>
      <c r="KLC73"/>
      <c r="KLD73"/>
      <c r="KLE73"/>
      <c r="KLF73"/>
      <c r="KLG73"/>
      <c r="KLH73"/>
      <c r="KLI73"/>
      <c r="KLJ73"/>
      <c r="KLK73"/>
      <c r="KLL73"/>
      <c r="KLM73"/>
      <c r="KLN73"/>
      <c r="KLO73"/>
      <c r="KLP73"/>
      <c r="KLQ73"/>
      <c r="KLR73"/>
      <c r="KLS73"/>
      <c r="KLT73"/>
      <c r="KLU73"/>
      <c r="KLV73"/>
      <c r="KLW73"/>
      <c r="KLX73"/>
      <c r="KLY73"/>
      <c r="KLZ73"/>
      <c r="KMA73"/>
      <c r="KMB73"/>
      <c r="KMC73"/>
      <c r="KMD73"/>
      <c r="KME73"/>
      <c r="KMF73"/>
      <c r="KMG73"/>
      <c r="KMH73"/>
      <c r="KMI73"/>
      <c r="KMJ73"/>
      <c r="KMK73"/>
      <c r="KML73"/>
      <c r="KMM73"/>
      <c r="KMN73"/>
      <c r="KMO73"/>
      <c r="KMP73"/>
      <c r="KMQ73"/>
      <c r="KMR73"/>
      <c r="KMS73"/>
      <c r="KMT73"/>
      <c r="KMU73"/>
      <c r="KMV73"/>
      <c r="KMW73"/>
      <c r="KMX73"/>
      <c r="KMY73"/>
      <c r="KMZ73"/>
      <c r="KNA73"/>
      <c r="KNB73"/>
      <c r="KNC73"/>
      <c r="KND73"/>
      <c r="KNE73"/>
      <c r="KNF73"/>
      <c r="KNG73"/>
      <c r="KNH73"/>
      <c r="KNI73"/>
      <c r="KNJ73"/>
      <c r="KNK73"/>
      <c r="KNL73"/>
      <c r="KNM73"/>
      <c r="KNN73"/>
      <c r="KNO73"/>
      <c r="KNP73"/>
      <c r="KNQ73"/>
      <c r="KNR73"/>
      <c r="KNS73"/>
      <c r="KNT73"/>
      <c r="KNU73"/>
      <c r="KNV73"/>
      <c r="KNW73"/>
      <c r="KNX73"/>
      <c r="KNY73"/>
      <c r="KNZ73"/>
      <c r="KOA73"/>
      <c r="KOB73"/>
      <c r="KOC73"/>
      <c r="KOD73"/>
      <c r="KOE73"/>
      <c r="KOF73"/>
      <c r="KOG73"/>
      <c r="KOH73"/>
      <c r="KOI73"/>
      <c r="KOJ73"/>
      <c r="KOK73"/>
      <c r="KOL73"/>
      <c r="KOM73"/>
      <c r="KON73"/>
      <c r="KOO73"/>
      <c r="KOP73"/>
      <c r="KOQ73"/>
      <c r="KOR73"/>
      <c r="KOS73"/>
      <c r="KOT73"/>
      <c r="KOU73"/>
      <c r="KOV73"/>
      <c r="KOW73"/>
      <c r="KOX73"/>
      <c r="KOY73"/>
      <c r="KOZ73"/>
      <c r="KPA73"/>
      <c r="KPB73"/>
      <c r="KPC73"/>
      <c r="KPD73"/>
      <c r="KPE73"/>
      <c r="KPF73"/>
      <c r="KPG73"/>
      <c r="KPH73"/>
      <c r="KPI73"/>
      <c r="KPJ73"/>
      <c r="KPK73"/>
      <c r="KPL73"/>
      <c r="KPM73"/>
      <c r="KPN73"/>
      <c r="KPO73"/>
      <c r="KPP73"/>
      <c r="KPQ73"/>
      <c r="KPR73"/>
      <c r="KPS73"/>
      <c r="KPT73"/>
      <c r="KPU73"/>
      <c r="KPV73"/>
      <c r="KPW73"/>
      <c r="KPX73"/>
      <c r="KPY73"/>
      <c r="KPZ73"/>
      <c r="KQA73"/>
      <c r="KQB73"/>
      <c r="KQC73"/>
      <c r="KQD73"/>
      <c r="KQE73"/>
      <c r="KQF73"/>
      <c r="KQG73"/>
      <c r="KQH73"/>
      <c r="KQI73"/>
      <c r="KQJ73"/>
      <c r="KQK73"/>
      <c r="KQL73"/>
      <c r="KQM73"/>
      <c r="KQN73"/>
      <c r="KQO73"/>
      <c r="KQP73"/>
      <c r="KQQ73"/>
      <c r="KQR73"/>
      <c r="KQS73"/>
      <c r="KQT73"/>
      <c r="KQU73"/>
      <c r="KQV73"/>
      <c r="KQW73"/>
      <c r="KQX73"/>
      <c r="KQY73"/>
      <c r="KQZ73"/>
      <c r="KRA73"/>
      <c r="KRB73"/>
      <c r="KRC73"/>
      <c r="KRD73"/>
      <c r="KRE73"/>
      <c r="KRF73"/>
      <c r="KRG73"/>
      <c r="KRH73"/>
      <c r="KRI73"/>
      <c r="KRJ73"/>
      <c r="KRK73"/>
      <c r="KRL73"/>
      <c r="KRM73"/>
      <c r="KRN73"/>
      <c r="KRO73"/>
      <c r="KRP73"/>
      <c r="KRQ73"/>
      <c r="KRR73"/>
      <c r="KRS73"/>
      <c r="KRT73"/>
      <c r="KRU73"/>
      <c r="KRV73"/>
      <c r="KRW73"/>
      <c r="KRX73"/>
      <c r="KRY73"/>
      <c r="KRZ73"/>
      <c r="KSA73"/>
      <c r="KSB73"/>
      <c r="KSC73"/>
      <c r="KSD73"/>
      <c r="KSE73"/>
      <c r="KSF73"/>
      <c r="KSG73"/>
      <c r="KSH73"/>
      <c r="KSI73"/>
      <c r="KSJ73"/>
      <c r="KSK73"/>
      <c r="KSL73"/>
      <c r="KSM73"/>
      <c r="KSN73"/>
      <c r="KSO73"/>
      <c r="KSP73"/>
      <c r="KSQ73"/>
      <c r="KSR73"/>
      <c r="KSS73"/>
      <c r="KST73"/>
      <c r="KSU73"/>
      <c r="KSV73"/>
      <c r="KSW73"/>
      <c r="KSX73"/>
      <c r="KSY73"/>
      <c r="KSZ73"/>
      <c r="KTA73"/>
      <c r="KTB73"/>
      <c r="KTC73"/>
      <c r="KTD73"/>
      <c r="KTE73"/>
      <c r="KTF73"/>
      <c r="KTG73"/>
      <c r="KTH73"/>
      <c r="KTI73"/>
      <c r="KTJ73"/>
      <c r="KTK73"/>
      <c r="KTL73"/>
      <c r="KTM73"/>
      <c r="KTN73"/>
      <c r="KTO73"/>
      <c r="KTP73"/>
      <c r="KTQ73"/>
      <c r="KTR73"/>
      <c r="KTS73"/>
      <c r="KTT73"/>
      <c r="KTU73"/>
      <c r="KTV73"/>
      <c r="KTW73"/>
      <c r="KTX73"/>
      <c r="KTY73"/>
      <c r="KTZ73"/>
      <c r="KUA73"/>
      <c r="KUB73"/>
      <c r="KUC73"/>
      <c r="KUD73"/>
      <c r="KUE73"/>
      <c r="KUF73"/>
      <c r="KUG73"/>
      <c r="KUH73"/>
      <c r="KUI73"/>
      <c r="KUJ73"/>
      <c r="KUK73"/>
      <c r="KUL73"/>
      <c r="KUM73"/>
      <c r="KUN73"/>
      <c r="KUO73"/>
      <c r="KUP73"/>
      <c r="KUQ73"/>
      <c r="KUR73"/>
      <c r="KUS73"/>
      <c r="KUT73"/>
      <c r="KUU73"/>
      <c r="KUV73"/>
      <c r="KUW73"/>
      <c r="KUX73"/>
      <c r="KUY73"/>
      <c r="KUZ73"/>
      <c r="KVA73"/>
      <c r="KVB73"/>
      <c r="KVC73"/>
      <c r="KVD73"/>
      <c r="KVE73"/>
      <c r="KVF73"/>
      <c r="KVG73"/>
      <c r="KVH73"/>
      <c r="KVI73"/>
      <c r="KVJ73"/>
      <c r="KVK73"/>
      <c r="KVL73"/>
      <c r="KVM73"/>
      <c r="KVN73"/>
      <c r="KVO73"/>
      <c r="KVP73"/>
      <c r="KVQ73"/>
      <c r="KVR73"/>
      <c r="KVS73"/>
      <c r="KVT73"/>
      <c r="KVU73"/>
      <c r="KVV73"/>
      <c r="KVW73"/>
      <c r="KVX73"/>
      <c r="KVY73"/>
      <c r="KVZ73"/>
      <c r="KWA73"/>
      <c r="KWB73"/>
      <c r="KWC73"/>
      <c r="KWD73"/>
      <c r="KWE73"/>
      <c r="KWF73"/>
      <c r="KWG73"/>
      <c r="KWH73"/>
      <c r="KWI73"/>
      <c r="KWJ73"/>
      <c r="KWK73"/>
      <c r="KWL73"/>
      <c r="KWM73"/>
      <c r="KWN73"/>
      <c r="KWO73"/>
      <c r="KWP73"/>
      <c r="KWQ73"/>
      <c r="KWR73"/>
      <c r="KWS73"/>
      <c r="KWT73"/>
      <c r="KWU73"/>
      <c r="KWV73"/>
      <c r="KWW73"/>
      <c r="KWX73"/>
      <c r="KWY73"/>
      <c r="KWZ73"/>
      <c r="KXA73"/>
      <c r="KXB73"/>
      <c r="KXC73"/>
      <c r="KXD73"/>
      <c r="KXE73"/>
      <c r="KXF73"/>
      <c r="KXG73"/>
      <c r="KXH73"/>
      <c r="KXI73"/>
      <c r="KXJ73"/>
      <c r="KXK73"/>
      <c r="KXL73"/>
      <c r="KXM73"/>
      <c r="KXN73"/>
      <c r="KXO73"/>
      <c r="KXP73"/>
      <c r="KXQ73"/>
      <c r="KXR73"/>
      <c r="KXS73"/>
      <c r="KXT73"/>
      <c r="KXU73"/>
      <c r="KXV73"/>
      <c r="KXW73"/>
      <c r="KXX73"/>
      <c r="KXY73"/>
      <c r="KXZ73"/>
      <c r="KYA73"/>
      <c r="KYB73"/>
      <c r="KYC73"/>
      <c r="KYD73"/>
      <c r="KYE73"/>
      <c r="KYF73"/>
      <c r="KYG73"/>
      <c r="KYH73"/>
      <c r="KYI73"/>
      <c r="KYJ73"/>
      <c r="KYK73"/>
      <c r="KYL73"/>
      <c r="KYM73"/>
      <c r="KYN73"/>
      <c r="KYO73"/>
      <c r="KYP73"/>
      <c r="KYQ73"/>
      <c r="KYR73"/>
      <c r="KYS73"/>
      <c r="KYT73"/>
      <c r="KYU73"/>
      <c r="KYV73"/>
      <c r="KYW73"/>
      <c r="KYX73"/>
      <c r="KYY73"/>
      <c r="KYZ73"/>
      <c r="KZA73"/>
      <c r="KZB73"/>
      <c r="KZC73"/>
      <c r="KZD73"/>
      <c r="KZE73"/>
      <c r="KZF73"/>
      <c r="KZG73"/>
      <c r="KZH73"/>
      <c r="KZI73"/>
      <c r="KZJ73"/>
      <c r="KZK73"/>
      <c r="KZL73"/>
      <c r="KZM73"/>
      <c r="KZN73"/>
      <c r="KZO73"/>
      <c r="KZP73"/>
      <c r="KZQ73"/>
      <c r="KZR73"/>
      <c r="KZS73"/>
      <c r="KZT73"/>
      <c r="KZU73"/>
      <c r="KZV73"/>
      <c r="KZW73"/>
      <c r="KZX73"/>
      <c r="KZY73"/>
      <c r="KZZ73"/>
      <c r="LAA73"/>
      <c r="LAB73"/>
      <c r="LAC73"/>
      <c r="LAD73"/>
      <c r="LAE73"/>
      <c r="LAF73"/>
      <c r="LAG73"/>
      <c r="LAH73"/>
      <c r="LAI73"/>
      <c r="LAJ73"/>
      <c r="LAK73"/>
      <c r="LAL73"/>
      <c r="LAM73"/>
      <c r="LAN73"/>
      <c r="LAO73"/>
      <c r="LAP73"/>
      <c r="LAQ73"/>
      <c r="LAR73"/>
      <c r="LAS73"/>
      <c r="LAT73"/>
      <c r="LAU73"/>
      <c r="LAV73"/>
      <c r="LAW73"/>
      <c r="LAX73"/>
      <c r="LAY73"/>
      <c r="LAZ73"/>
      <c r="LBA73"/>
      <c r="LBB73"/>
      <c r="LBC73"/>
      <c r="LBD73"/>
      <c r="LBE73"/>
      <c r="LBF73"/>
      <c r="LBG73"/>
      <c r="LBH73"/>
      <c r="LBI73"/>
      <c r="LBJ73"/>
      <c r="LBK73"/>
      <c r="LBL73"/>
      <c r="LBM73"/>
      <c r="LBN73"/>
      <c r="LBO73"/>
      <c r="LBP73"/>
      <c r="LBQ73"/>
      <c r="LBR73"/>
      <c r="LBS73"/>
      <c r="LBT73"/>
      <c r="LBU73"/>
      <c r="LBV73"/>
      <c r="LBW73"/>
      <c r="LBX73"/>
      <c r="LBY73"/>
      <c r="LBZ73"/>
      <c r="LCA73"/>
      <c r="LCB73"/>
      <c r="LCC73"/>
      <c r="LCD73"/>
      <c r="LCE73"/>
      <c r="LCF73"/>
      <c r="LCG73"/>
      <c r="LCH73"/>
      <c r="LCI73"/>
      <c r="LCJ73"/>
      <c r="LCK73"/>
      <c r="LCL73"/>
      <c r="LCM73"/>
      <c r="LCN73"/>
      <c r="LCO73"/>
      <c r="LCP73"/>
      <c r="LCQ73"/>
      <c r="LCR73"/>
      <c r="LCS73"/>
      <c r="LCT73"/>
      <c r="LCU73"/>
      <c r="LCV73"/>
      <c r="LCW73"/>
      <c r="LCX73"/>
      <c r="LCY73"/>
      <c r="LCZ73"/>
      <c r="LDA73"/>
      <c r="LDB73"/>
      <c r="LDC73"/>
      <c r="LDD73"/>
      <c r="LDE73"/>
      <c r="LDF73"/>
      <c r="LDG73"/>
      <c r="LDH73"/>
      <c r="LDI73"/>
      <c r="LDJ73"/>
      <c r="LDK73"/>
      <c r="LDL73"/>
      <c r="LDM73"/>
      <c r="LDN73"/>
      <c r="LDO73"/>
      <c r="LDP73"/>
      <c r="LDQ73"/>
      <c r="LDR73"/>
      <c r="LDS73"/>
      <c r="LDT73"/>
      <c r="LDU73"/>
      <c r="LDV73"/>
      <c r="LDW73"/>
      <c r="LDX73"/>
      <c r="LDY73"/>
      <c r="LDZ73"/>
      <c r="LEA73"/>
      <c r="LEB73"/>
      <c r="LEC73"/>
      <c r="LED73"/>
      <c r="LEE73"/>
      <c r="LEF73"/>
      <c r="LEG73"/>
      <c r="LEH73"/>
      <c r="LEI73"/>
      <c r="LEJ73"/>
      <c r="LEK73"/>
      <c r="LEL73"/>
      <c r="LEM73"/>
      <c r="LEN73"/>
      <c r="LEO73"/>
      <c r="LEP73"/>
      <c r="LEQ73"/>
      <c r="LER73"/>
      <c r="LES73"/>
      <c r="LET73"/>
      <c r="LEU73"/>
      <c r="LEV73"/>
      <c r="LEW73"/>
      <c r="LEX73"/>
      <c r="LEY73"/>
      <c r="LEZ73"/>
      <c r="LFA73"/>
      <c r="LFB73"/>
      <c r="LFC73"/>
      <c r="LFD73"/>
      <c r="LFE73"/>
      <c r="LFF73"/>
      <c r="LFG73"/>
      <c r="LFH73"/>
      <c r="LFI73"/>
      <c r="LFJ73"/>
      <c r="LFK73"/>
      <c r="LFL73"/>
      <c r="LFM73"/>
      <c r="LFN73"/>
      <c r="LFO73"/>
      <c r="LFP73"/>
      <c r="LFQ73"/>
      <c r="LFR73"/>
      <c r="LFS73"/>
      <c r="LFT73"/>
      <c r="LFU73"/>
      <c r="LFV73"/>
      <c r="LFW73"/>
      <c r="LFX73"/>
      <c r="LFY73"/>
      <c r="LFZ73"/>
      <c r="LGA73"/>
      <c r="LGB73"/>
      <c r="LGC73"/>
      <c r="LGD73"/>
      <c r="LGE73"/>
      <c r="LGF73"/>
      <c r="LGG73"/>
      <c r="LGH73"/>
      <c r="LGI73"/>
      <c r="LGJ73"/>
      <c r="LGK73"/>
      <c r="LGL73"/>
      <c r="LGM73"/>
      <c r="LGN73"/>
      <c r="LGO73"/>
      <c r="LGP73"/>
      <c r="LGQ73"/>
      <c r="LGR73"/>
      <c r="LGS73"/>
      <c r="LGT73"/>
      <c r="LGU73"/>
      <c r="LGV73"/>
      <c r="LGW73"/>
      <c r="LGX73"/>
      <c r="LGY73"/>
      <c r="LGZ73"/>
      <c r="LHA73"/>
      <c r="LHB73"/>
      <c r="LHC73"/>
      <c r="LHD73"/>
      <c r="LHE73"/>
      <c r="LHF73"/>
      <c r="LHG73"/>
      <c r="LHH73"/>
      <c r="LHI73"/>
      <c r="LHJ73"/>
      <c r="LHK73"/>
      <c r="LHL73"/>
      <c r="LHM73"/>
      <c r="LHN73"/>
      <c r="LHO73"/>
      <c r="LHP73"/>
      <c r="LHQ73"/>
      <c r="LHR73"/>
      <c r="LHS73"/>
      <c r="LHT73"/>
      <c r="LHU73"/>
      <c r="LHV73"/>
      <c r="LHW73"/>
      <c r="LHX73"/>
      <c r="LHY73"/>
      <c r="LHZ73"/>
      <c r="LIA73"/>
      <c r="LIB73"/>
      <c r="LIC73"/>
      <c r="LID73"/>
      <c r="LIE73"/>
      <c r="LIF73"/>
      <c r="LIG73"/>
      <c r="LIH73"/>
      <c r="LII73"/>
      <c r="LIJ73"/>
      <c r="LIK73"/>
      <c r="LIL73"/>
      <c r="LIM73"/>
      <c r="LIN73"/>
      <c r="LIO73"/>
      <c r="LIP73"/>
      <c r="LIQ73"/>
      <c r="LIR73"/>
      <c r="LIS73"/>
      <c r="LIT73"/>
      <c r="LIU73"/>
      <c r="LIV73"/>
      <c r="LIW73"/>
      <c r="LIX73"/>
      <c r="LIY73"/>
      <c r="LIZ73"/>
      <c r="LJA73"/>
      <c r="LJB73"/>
      <c r="LJC73"/>
      <c r="LJD73"/>
      <c r="LJE73"/>
      <c r="LJF73"/>
      <c r="LJG73"/>
      <c r="LJH73"/>
      <c r="LJI73"/>
      <c r="LJJ73"/>
      <c r="LJK73"/>
      <c r="LJL73"/>
      <c r="LJM73"/>
      <c r="LJN73"/>
      <c r="LJO73"/>
      <c r="LJP73"/>
      <c r="LJQ73"/>
      <c r="LJR73"/>
      <c r="LJS73"/>
      <c r="LJT73"/>
      <c r="LJU73"/>
      <c r="LJV73"/>
      <c r="LJW73"/>
      <c r="LJX73"/>
      <c r="LJY73"/>
      <c r="LJZ73"/>
      <c r="LKA73"/>
      <c r="LKB73"/>
      <c r="LKC73"/>
      <c r="LKD73"/>
      <c r="LKE73"/>
      <c r="LKF73"/>
      <c r="LKG73"/>
      <c r="LKH73"/>
      <c r="LKI73"/>
      <c r="LKJ73"/>
      <c r="LKK73"/>
      <c r="LKL73"/>
      <c r="LKM73"/>
      <c r="LKN73"/>
      <c r="LKO73"/>
      <c r="LKP73"/>
      <c r="LKQ73"/>
      <c r="LKR73"/>
      <c r="LKS73"/>
      <c r="LKT73"/>
      <c r="LKU73"/>
      <c r="LKV73"/>
      <c r="LKW73"/>
      <c r="LKX73"/>
      <c r="LKY73"/>
      <c r="LKZ73"/>
      <c r="LLA73"/>
      <c r="LLB73"/>
      <c r="LLC73"/>
      <c r="LLD73"/>
      <c r="LLE73"/>
      <c r="LLF73"/>
      <c r="LLG73"/>
      <c r="LLH73"/>
      <c r="LLI73"/>
      <c r="LLJ73"/>
      <c r="LLK73"/>
      <c r="LLL73"/>
      <c r="LLM73"/>
      <c r="LLN73"/>
      <c r="LLO73"/>
      <c r="LLP73"/>
      <c r="LLQ73"/>
      <c r="LLR73"/>
      <c r="LLS73"/>
      <c r="LLT73"/>
      <c r="LLU73"/>
      <c r="LLV73"/>
      <c r="LLW73"/>
      <c r="LLX73"/>
      <c r="LLY73"/>
      <c r="LLZ73"/>
      <c r="LMA73"/>
      <c r="LMB73"/>
      <c r="LMC73"/>
      <c r="LMD73"/>
      <c r="LME73"/>
      <c r="LMF73"/>
      <c r="LMG73"/>
      <c r="LMH73"/>
      <c r="LMI73"/>
      <c r="LMJ73"/>
      <c r="LMK73"/>
      <c r="LML73"/>
      <c r="LMM73"/>
      <c r="LMN73"/>
      <c r="LMO73"/>
      <c r="LMP73"/>
      <c r="LMQ73"/>
      <c r="LMR73"/>
      <c r="LMS73"/>
      <c r="LMT73"/>
      <c r="LMU73"/>
      <c r="LMV73"/>
      <c r="LMW73"/>
      <c r="LMX73"/>
      <c r="LMY73"/>
      <c r="LMZ73"/>
      <c r="LNA73"/>
      <c r="LNB73"/>
      <c r="LNC73"/>
      <c r="LND73"/>
      <c r="LNE73"/>
      <c r="LNF73"/>
      <c r="LNG73"/>
      <c r="LNH73"/>
      <c r="LNI73"/>
      <c r="LNJ73"/>
      <c r="LNK73"/>
      <c r="LNL73"/>
      <c r="LNM73"/>
      <c r="LNN73"/>
      <c r="LNO73"/>
      <c r="LNP73"/>
      <c r="LNQ73"/>
      <c r="LNR73"/>
      <c r="LNS73"/>
      <c r="LNT73"/>
      <c r="LNU73"/>
      <c r="LNV73"/>
      <c r="LNW73"/>
      <c r="LNX73"/>
      <c r="LNY73"/>
      <c r="LNZ73"/>
      <c r="LOA73"/>
      <c r="LOB73"/>
      <c r="LOC73"/>
      <c r="LOD73"/>
      <c r="LOE73"/>
      <c r="LOF73"/>
      <c r="LOG73"/>
      <c r="LOH73"/>
      <c r="LOI73"/>
      <c r="LOJ73"/>
      <c r="LOK73"/>
      <c r="LOL73"/>
      <c r="LOM73"/>
      <c r="LON73"/>
      <c r="LOO73"/>
      <c r="LOP73"/>
      <c r="LOQ73"/>
      <c r="LOR73"/>
      <c r="LOS73"/>
      <c r="LOT73"/>
      <c r="LOU73"/>
      <c r="LOV73"/>
      <c r="LOW73"/>
      <c r="LOX73"/>
      <c r="LOY73"/>
      <c r="LOZ73"/>
      <c r="LPA73"/>
      <c r="LPB73"/>
      <c r="LPC73"/>
      <c r="LPD73"/>
      <c r="LPE73"/>
      <c r="LPF73"/>
      <c r="LPG73"/>
      <c r="LPH73"/>
      <c r="LPI73"/>
      <c r="LPJ73"/>
      <c r="LPK73"/>
      <c r="LPL73"/>
      <c r="LPM73"/>
      <c r="LPN73"/>
      <c r="LPO73"/>
      <c r="LPP73"/>
      <c r="LPQ73"/>
      <c r="LPR73"/>
      <c r="LPS73"/>
      <c r="LPT73"/>
      <c r="LPU73"/>
      <c r="LPV73"/>
      <c r="LPW73"/>
      <c r="LPX73"/>
      <c r="LPY73"/>
      <c r="LPZ73"/>
      <c r="LQA73"/>
      <c r="LQB73"/>
      <c r="LQC73"/>
      <c r="LQD73"/>
      <c r="LQE73"/>
      <c r="LQF73"/>
      <c r="LQG73"/>
      <c r="LQH73"/>
      <c r="LQI73"/>
      <c r="LQJ73"/>
      <c r="LQK73"/>
      <c r="LQL73"/>
      <c r="LQM73"/>
      <c r="LQN73"/>
      <c r="LQO73"/>
      <c r="LQP73"/>
      <c r="LQQ73"/>
      <c r="LQR73"/>
      <c r="LQS73"/>
      <c r="LQT73"/>
      <c r="LQU73"/>
      <c r="LQV73"/>
      <c r="LQW73"/>
      <c r="LQX73"/>
      <c r="LQY73"/>
      <c r="LQZ73"/>
      <c r="LRA73"/>
      <c r="LRB73"/>
      <c r="LRC73"/>
      <c r="LRD73"/>
      <c r="LRE73"/>
      <c r="LRF73"/>
      <c r="LRG73"/>
      <c r="LRH73"/>
      <c r="LRI73"/>
      <c r="LRJ73"/>
      <c r="LRK73"/>
      <c r="LRL73"/>
      <c r="LRM73"/>
      <c r="LRN73"/>
      <c r="LRO73"/>
      <c r="LRP73"/>
      <c r="LRQ73"/>
      <c r="LRR73"/>
      <c r="LRS73"/>
      <c r="LRT73"/>
      <c r="LRU73"/>
      <c r="LRV73"/>
      <c r="LRW73"/>
      <c r="LRX73"/>
      <c r="LRY73"/>
      <c r="LRZ73"/>
      <c r="LSA73"/>
      <c r="LSB73"/>
      <c r="LSC73"/>
      <c r="LSD73"/>
      <c r="LSE73"/>
      <c r="LSF73"/>
      <c r="LSG73"/>
      <c r="LSH73"/>
      <c r="LSI73"/>
      <c r="LSJ73"/>
      <c r="LSK73"/>
      <c r="LSL73"/>
      <c r="LSM73"/>
      <c r="LSN73"/>
      <c r="LSO73"/>
      <c r="LSP73"/>
      <c r="LSQ73"/>
      <c r="LSR73"/>
      <c r="LSS73"/>
      <c r="LST73"/>
      <c r="LSU73"/>
      <c r="LSV73"/>
      <c r="LSW73"/>
      <c r="LSX73"/>
      <c r="LSY73"/>
      <c r="LSZ73"/>
      <c r="LTA73"/>
      <c r="LTB73"/>
      <c r="LTC73"/>
      <c r="LTD73"/>
      <c r="LTE73"/>
      <c r="LTF73"/>
      <c r="LTG73"/>
      <c r="LTH73"/>
      <c r="LTI73"/>
      <c r="LTJ73"/>
      <c r="LTK73"/>
      <c r="LTL73"/>
      <c r="LTM73"/>
      <c r="LTN73"/>
      <c r="LTO73"/>
      <c r="LTP73"/>
      <c r="LTQ73"/>
      <c r="LTR73"/>
      <c r="LTS73"/>
      <c r="LTT73"/>
      <c r="LTU73"/>
      <c r="LTV73"/>
      <c r="LTW73"/>
      <c r="LTX73"/>
      <c r="LTY73"/>
      <c r="LTZ73"/>
      <c r="LUA73"/>
      <c r="LUB73"/>
      <c r="LUC73"/>
      <c r="LUD73"/>
      <c r="LUE73"/>
      <c r="LUF73"/>
      <c r="LUG73"/>
      <c r="LUH73"/>
      <c r="LUI73"/>
      <c r="LUJ73"/>
      <c r="LUK73"/>
      <c r="LUL73"/>
      <c r="LUM73"/>
      <c r="LUN73"/>
      <c r="LUO73"/>
      <c r="LUP73"/>
      <c r="LUQ73"/>
      <c r="LUR73"/>
      <c r="LUS73"/>
      <c r="LUT73"/>
      <c r="LUU73"/>
      <c r="LUV73"/>
      <c r="LUW73"/>
      <c r="LUX73"/>
      <c r="LUY73"/>
      <c r="LUZ73"/>
      <c r="LVA73"/>
      <c r="LVB73"/>
      <c r="LVC73"/>
      <c r="LVD73"/>
      <c r="LVE73"/>
      <c r="LVF73"/>
      <c r="LVG73"/>
      <c r="LVH73"/>
      <c r="LVI73"/>
      <c r="LVJ73"/>
      <c r="LVK73"/>
      <c r="LVL73"/>
      <c r="LVM73"/>
      <c r="LVN73"/>
      <c r="LVO73"/>
      <c r="LVP73"/>
      <c r="LVQ73"/>
      <c r="LVR73"/>
      <c r="LVS73"/>
      <c r="LVT73"/>
      <c r="LVU73"/>
      <c r="LVV73"/>
      <c r="LVW73"/>
      <c r="LVX73"/>
      <c r="LVY73"/>
      <c r="LVZ73"/>
      <c r="LWA73"/>
      <c r="LWB73"/>
      <c r="LWC73"/>
      <c r="LWD73"/>
      <c r="LWE73"/>
      <c r="LWF73"/>
      <c r="LWG73"/>
      <c r="LWH73"/>
      <c r="LWI73"/>
      <c r="LWJ73"/>
      <c r="LWK73"/>
      <c r="LWL73"/>
      <c r="LWM73"/>
      <c r="LWN73"/>
      <c r="LWO73"/>
      <c r="LWP73"/>
      <c r="LWQ73"/>
      <c r="LWR73"/>
      <c r="LWS73"/>
      <c r="LWT73"/>
      <c r="LWU73"/>
      <c r="LWV73"/>
      <c r="LWW73"/>
      <c r="LWX73"/>
      <c r="LWY73"/>
      <c r="LWZ73"/>
      <c r="LXA73"/>
      <c r="LXB73"/>
      <c r="LXC73"/>
      <c r="LXD73"/>
      <c r="LXE73"/>
      <c r="LXF73"/>
      <c r="LXG73"/>
      <c r="LXH73"/>
      <c r="LXI73"/>
      <c r="LXJ73"/>
      <c r="LXK73"/>
      <c r="LXL73"/>
      <c r="LXM73"/>
      <c r="LXN73"/>
      <c r="LXO73"/>
      <c r="LXP73"/>
      <c r="LXQ73"/>
      <c r="LXR73"/>
      <c r="LXS73"/>
      <c r="LXT73"/>
      <c r="LXU73"/>
      <c r="LXV73"/>
      <c r="LXW73"/>
      <c r="LXX73"/>
      <c r="LXY73"/>
      <c r="LXZ73"/>
      <c r="LYA73"/>
      <c r="LYB73"/>
      <c r="LYC73"/>
      <c r="LYD73"/>
      <c r="LYE73"/>
      <c r="LYF73"/>
      <c r="LYG73"/>
      <c r="LYH73"/>
      <c r="LYI73"/>
      <c r="LYJ73"/>
      <c r="LYK73"/>
      <c r="LYL73"/>
      <c r="LYM73"/>
      <c r="LYN73"/>
      <c r="LYO73"/>
      <c r="LYP73"/>
      <c r="LYQ73"/>
      <c r="LYR73"/>
      <c r="LYS73"/>
      <c r="LYT73"/>
      <c r="LYU73"/>
      <c r="LYV73"/>
      <c r="LYW73"/>
      <c r="LYX73"/>
      <c r="LYY73"/>
      <c r="LYZ73"/>
      <c r="LZA73"/>
      <c r="LZB73"/>
      <c r="LZC73"/>
      <c r="LZD73"/>
      <c r="LZE73"/>
      <c r="LZF73"/>
      <c r="LZG73"/>
      <c r="LZH73"/>
      <c r="LZI73"/>
      <c r="LZJ73"/>
      <c r="LZK73"/>
      <c r="LZL73"/>
      <c r="LZM73"/>
      <c r="LZN73"/>
      <c r="LZO73"/>
      <c r="LZP73"/>
      <c r="LZQ73"/>
      <c r="LZR73"/>
      <c r="LZS73"/>
      <c r="LZT73"/>
      <c r="LZU73"/>
      <c r="LZV73"/>
      <c r="LZW73"/>
      <c r="LZX73"/>
      <c r="LZY73"/>
      <c r="LZZ73"/>
      <c r="MAA73"/>
      <c r="MAB73"/>
      <c r="MAC73"/>
      <c r="MAD73"/>
      <c r="MAE73"/>
      <c r="MAF73"/>
      <c r="MAG73"/>
      <c r="MAH73"/>
      <c r="MAI73"/>
      <c r="MAJ73"/>
      <c r="MAK73"/>
      <c r="MAL73"/>
      <c r="MAM73"/>
      <c r="MAN73"/>
      <c r="MAO73"/>
      <c r="MAP73"/>
      <c r="MAQ73"/>
      <c r="MAR73"/>
      <c r="MAS73"/>
      <c r="MAT73"/>
      <c r="MAU73"/>
      <c r="MAV73"/>
      <c r="MAW73"/>
      <c r="MAX73"/>
      <c r="MAY73"/>
      <c r="MAZ73"/>
      <c r="MBA73"/>
      <c r="MBB73"/>
      <c r="MBC73"/>
      <c r="MBD73"/>
      <c r="MBE73"/>
      <c r="MBF73"/>
      <c r="MBG73"/>
      <c r="MBH73"/>
      <c r="MBI73"/>
      <c r="MBJ73"/>
      <c r="MBK73"/>
      <c r="MBL73"/>
      <c r="MBM73"/>
      <c r="MBN73"/>
      <c r="MBO73"/>
      <c r="MBP73"/>
      <c r="MBQ73"/>
      <c r="MBR73"/>
      <c r="MBS73"/>
      <c r="MBT73"/>
      <c r="MBU73"/>
      <c r="MBV73"/>
      <c r="MBW73"/>
      <c r="MBX73"/>
      <c r="MBY73"/>
      <c r="MBZ73"/>
      <c r="MCA73"/>
      <c r="MCB73"/>
      <c r="MCC73"/>
      <c r="MCD73"/>
      <c r="MCE73"/>
      <c r="MCF73"/>
      <c r="MCG73"/>
      <c r="MCH73"/>
      <c r="MCI73"/>
      <c r="MCJ73"/>
      <c r="MCK73"/>
      <c r="MCL73"/>
      <c r="MCM73"/>
      <c r="MCN73"/>
      <c r="MCO73"/>
      <c r="MCP73"/>
      <c r="MCQ73"/>
      <c r="MCR73"/>
      <c r="MCS73"/>
      <c r="MCT73"/>
      <c r="MCU73"/>
      <c r="MCV73"/>
      <c r="MCW73"/>
      <c r="MCX73"/>
      <c r="MCY73"/>
      <c r="MCZ73"/>
      <c r="MDA73"/>
      <c r="MDB73"/>
      <c r="MDC73"/>
      <c r="MDD73"/>
      <c r="MDE73"/>
      <c r="MDF73"/>
      <c r="MDG73"/>
      <c r="MDH73"/>
      <c r="MDI73"/>
      <c r="MDJ73"/>
      <c r="MDK73"/>
      <c r="MDL73"/>
      <c r="MDM73"/>
      <c r="MDN73"/>
      <c r="MDO73"/>
      <c r="MDP73"/>
      <c r="MDQ73"/>
      <c r="MDR73"/>
      <c r="MDS73"/>
      <c r="MDT73"/>
      <c r="MDU73"/>
      <c r="MDV73"/>
      <c r="MDW73"/>
      <c r="MDX73"/>
      <c r="MDY73"/>
      <c r="MDZ73"/>
      <c r="MEA73"/>
      <c r="MEB73"/>
      <c r="MEC73"/>
      <c r="MED73"/>
      <c r="MEE73"/>
      <c r="MEF73"/>
      <c r="MEG73"/>
      <c r="MEH73"/>
      <c r="MEI73"/>
      <c r="MEJ73"/>
      <c r="MEK73"/>
      <c r="MEL73"/>
      <c r="MEM73"/>
      <c r="MEN73"/>
      <c r="MEO73"/>
      <c r="MEP73"/>
      <c r="MEQ73"/>
      <c r="MER73"/>
      <c r="MES73"/>
      <c r="MET73"/>
      <c r="MEU73"/>
      <c r="MEV73"/>
      <c r="MEW73"/>
      <c r="MEX73"/>
      <c r="MEY73"/>
      <c r="MEZ73"/>
      <c r="MFA73"/>
      <c r="MFB73"/>
      <c r="MFC73"/>
      <c r="MFD73"/>
      <c r="MFE73"/>
      <c r="MFF73"/>
      <c r="MFG73"/>
      <c r="MFH73"/>
      <c r="MFI73"/>
      <c r="MFJ73"/>
      <c r="MFK73"/>
      <c r="MFL73"/>
      <c r="MFM73"/>
      <c r="MFN73"/>
      <c r="MFO73"/>
      <c r="MFP73"/>
      <c r="MFQ73"/>
      <c r="MFR73"/>
      <c r="MFS73"/>
      <c r="MFT73"/>
      <c r="MFU73"/>
      <c r="MFV73"/>
      <c r="MFW73"/>
      <c r="MFX73"/>
      <c r="MFY73"/>
      <c r="MFZ73"/>
      <c r="MGA73"/>
      <c r="MGB73"/>
      <c r="MGC73"/>
      <c r="MGD73"/>
      <c r="MGE73"/>
      <c r="MGF73"/>
      <c r="MGG73"/>
      <c r="MGH73"/>
      <c r="MGI73"/>
      <c r="MGJ73"/>
      <c r="MGK73"/>
      <c r="MGL73"/>
      <c r="MGM73"/>
      <c r="MGN73"/>
      <c r="MGO73"/>
      <c r="MGP73"/>
      <c r="MGQ73"/>
      <c r="MGR73"/>
      <c r="MGS73"/>
      <c r="MGT73"/>
      <c r="MGU73"/>
      <c r="MGV73"/>
      <c r="MGW73"/>
      <c r="MGX73"/>
      <c r="MGY73"/>
      <c r="MGZ73"/>
      <c r="MHA73"/>
      <c r="MHB73"/>
      <c r="MHC73"/>
      <c r="MHD73"/>
      <c r="MHE73"/>
      <c r="MHF73"/>
      <c r="MHG73"/>
      <c r="MHH73"/>
      <c r="MHI73"/>
      <c r="MHJ73"/>
      <c r="MHK73"/>
      <c r="MHL73"/>
      <c r="MHM73"/>
      <c r="MHN73"/>
      <c r="MHO73"/>
      <c r="MHP73"/>
      <c r="MHQ73"/>
      <c r="MHR73"/>
      <c r="MHS73"/>
      <c r="MHT73"/>
      <c r="MHU73"/>
      <c r="MHV73"/>
      <c r="MHW73"/>
      <c r="MHX73"/>
      <c r="MHY73"/>
      <c r="MHZ73"/>
      <c r="MIA73"/>
      <c r="MIB73"/>
      <c r="MIC73"/>
      <c r="MID73"/>
      <c r="MIE73"/>
      <c r="MIF73"/>
      <c r="MIG73"/>
      <c r="MIH73"/>
      <c r="MII73"/>
      <c r="MIJ73"/>
      <c r="MIK73"/>
      <c r="MIL73"/>
      <c r="MIM73"/>
      <c r="MIN73"/>
      <c r="MIO73"/>
      <c r="MIP73"/>
      <c r="MIQ73"/>
      <c r="MIR73"/>
      <c r="MIS73"/>
      <c r="MIT73"/>
      <c r="MIU73"/>
      <c r="MIV73"/>
      <c r="MIW73"/>
      <c r="MIX73"/>
      <c r="MIY73"/>
      <c r="MIZ73"/>
      <c r="MJA73"/>
      <c r="MJB73"/>
      <c r="MJC73"/>
      <c r="MJD73"/>
      <c r="MJE73"/>
      <c r="MJF73"/>
      <c r="MJG73"/>
      <c r="MJH73"/>
      <c r="MJI73"/>
      <c r="MJJ73"/>
      <c r="MJK73"/>
      <c r="MJL73"/>
      <c r="MJM73"/>
      <c r="MJN73"/>
      <c r="MJO73"/>
      <c r="MJP73"/>
      <c r="MJQ73"/>
      <c r="MJR73"/>
      <c r="MJS73"/>
      <c r="MJT73"/>
      <c r="MJU73"/>
      <c r="MJV73"/>
      <c r="MJW73"/>
      <c r="MJX73"/>
      <c r="MJY73"/>
      <c r="MJZ73"/>
      <c r="MKA73"/>
      <c r="MKB73"/>
      <c r="MKC73"/>
      <c r="MKD73"/>
      <c r="MKE73"/>
      <c r="MKF73"/>
      <c r="MKG73"/>
      <c r="MKH73"/>
      <c r="MKI73"/>
      <c r="MKJ73"/>
      <c r="MKK73"/>
      <c r="MKL73"/>
      <c r="MKM73"/>
      <c r="MKN73"/>
      <c r="MKO73"/>
      <c r="MKP73"/>
      <c r="MKQ73"/>
      <c r="MKR73"/>
      <c r="MKS73"/>
      <c r="MKT73"/>
      <c r="MKU73"/>
      <c r="MKV73"/>
      <c r="MKW73"/>
      <c r="MKX73"/>
      <c r="MKY73"/>
      <c r="MKZ73"/>
      <c r="MLA73"/>
      <c r="MLB73"/>
      <c r="MLC73"/>
      <c r="MLD73"/>
      <c r="MLE73"/>
      <c r="MLF73"/>
      <c r="MLG73"/>
      <c r="MLH73"/>
      <c r="MLI73"/>
      <c r="MLJ73"/>
      <c r="MLK73"/>
      <c r="MLL73"/>
      <c r="MLM73"/>
      <c r="MLN73"/>
      <c r="MLO73"/>
      <c r="MLP73"/>
      <c r="MLQ73"/>
      <c r="MLR73"/>
      <c r="MLS73"/>
      <c r="MLT73"/>
      <c r="MLU73"/>
      <c r="MLV73"/>
      <c r="MLW73"/>
      <c r="MLX73"/>
      <c r="MLY73"/>
      <c r="MLZ73"/>
      <c r="MMA73"/>
      <c r="MMB73"/>
      <c r="MMC73"/>
      <c r="MMD73"/>
      <c r="MME73"/>
      <c r="MMF73"/>
      <c r="MMG73"/>
      <c r="MMH73"/>
      <c r="MMI73"/>
      <c r="MMJ73"/>
      <c r="MMK73"/>
      <c r="MML73"/>
      <c r="MMM73"/>
      <c r="MMN73"/>
      <c r="MMO73"/>
      <c r="MMP73"/>
      <c r="MMQ73"/>
      <c r="MMR73"/>
      <c r="MMS73"/>
      <c r="MMT73"/>
      <c r="MMU73"/>
      <c r="MMV73"/>
      <c r="MMW73"/>
      <c r="MMX73"/>
      <c r="MMY73"/>
      <c r="MMZ73"/>
      <c r="MNA73"/>
      <c r="MNB73"/>
      <c r="MNC73"/>
      <c r="MND73"/>
      <c r="MNE73"/>
      <c r="MNF73"/>
      <c r="MNG73"/>
      <c r="MNH73"/>
      <c r="MNI73"/>
      <c r="MNJ73"/>
      <c r="MNK73"/>
      <c r="MNL73"/>
      <c r="MNM73"/>
      <c r="MNN73"/>
      <c r="MNO73"/>
      <c r="MNP73"/>
      <c r="MNQ73"/>
      <c r="MNR73"/>
      <c r="MNS73"/>
      <c r="MNT73"/>
      <c r="MNU73"/>
      <c r="MNV73"/>
      <c r="MNW73"/>
      <c r="MNX73"/>
      <c r="MNY73"/>
      <c r="MNZ73"/>
      <c r="MOA73"/>
      <c r="MOB73"/>
      <c r="MOC73"/>
      <c r="MOD73"/>
      <c r="MOE73"/>
      <c r="MOF73"/>
      <c r="MOG73"/>
      <c r="MOH73"/>
      <c r="MOI73"/>
      <c r="MOJ73"/>
      <c r="MOK73"/>
      <c r="MOL73"/>
      <c r="MOM73"/>
      <c r="MON73"/>
      <c r="MOO73"/>
      <c r="MOP73"/>
      <c r="MOQ73"/>
      <c r="MOR73"/>
      <c r="MOS73"/>
      <c r="MOT73"/>
      <c r="MOU73"/>
      <c r="MOV73"/>
      <c r="MOW73"/>
      <c r="MOX73"/>
      <c r="MOY73"/>
      <c r="MOZ73"/>
      <c r="MPA73"/>
      <c r="MPB73"/>
      <c r="MPC73"/>
      <c r="MPD73"/>
      <c r="MPE73"/>
      <c r="MPF73"/>
      <c r="MPG73"/>
      <c r="MPH73"/>
      <c r="MPI73"/>
      <c r="MPJ73"/>
      <c r="MPK73"/>
      <c r="MPL73"/>
      <c r="MPM73"/>
      <c r="MPN73"/>
      <c r="MPO73"/>
      <c r="MPP73"/>
      <c r="MPQ73"/>
      <c r="MPR73"/>
      <c r="MPS73"/>
      <c r="MPT73"/>
      <c r="MPU73"/>
      <c r="MPV73"/>
      <c r="MPW73"/>
      <c r="MPX73"/>
      <c r="MPY73"/>
      <c r="MPZ73"/>
      <c r="MQA73"/>
      <c r="MQB73"/>
      <c r="MQC73"/>
      <c r="MQD73"/>
      <c r="MQE73"/>
      <c r="MQF73"/>
      <c r="MQG73"/>
      <c r="MQH73"/>
      <c r="MQI73"/>
      <c r="MQJ73"/>
      <c r="MQK73"/>
      <c r="MQL73"/>
      <c r="MQM73"/>
      <c r="MQN73"/>
      <c r="MQO73"/>
      <c r="MQP73"/>
      <c r="MQQ73"/>
      <c r="MQR73"/>
      <c r="MQS73"/>
      <c r="MQT73"/>
      <c r="MQU73"/>
      <c r="MQV73"/>
      <c r="MQW73"/>
      <c r="MQX73"/>
      <c r="MQY73"/>
      <c r="MQZ73"/>
      <c r="MRA73"/>
      <c r="MRB73"/>
      <c r="MRC73"/>
      <c r="MRD73"/>
      <c r="MRE73"/>
      <c r="MRF73"/>
      <c r="MRG73"/>
      <c r="MRH73"/>
      <c r="MRI73"/>
      <c r="MRJ73"/>
      <c r="MRK73"/>
      <c r="MRL73"/>
      <c r="MRM73"/>
      <c r="MRN73"/>
      <c r="MRO73"/>
      <c r="MRP73"/>
      <c r="MRQ73"/>
      <c r="MRR73"/>
      <c r="MRS73"/>
      <c r="MRT73"/>
      <c r="MRU73"/>
      <c r="MRV73"/>
      <c r="MRW73"/>
      <c r="MRX73"/>
      <c r="MRY73"/>
      <c r="MRZ73"/>
      <c r="MSA73"/>
      <c r="MSB73"/>
      <c r="MSC73"/>
      <c r="MSD73"/>
      <c r="MSE73"/>
      <c r="MSF73"/>
      <c r="MSG73"/>
      <c r="MSH73"/>
      <c r="MSI73"/>
      <c r="MSJ73"/>
      <c r="MSK73"/>
      <c r="MSL73"/>
      <c r="MSM73"/>
      <c r="MSN73"/>
      <c r="MSO73"/>
      <c r="MSP73"/>
      <c r="MSQ73"/>
      <c r="MSR73"/>
      <c r="MSS73"/>
      <c r="MST73"/>
      <c r="MSU73"/>
      <c r="MSV73"/>
      <c r="MSW73"/>
      <c r="MSX73"/>
      <c r="MSY73"/>
      <c r="MSZ73"/>
      <c r="MTA73"/>
      <c r="MTB73"/>
      <c r="MTC73"/>
      <c r="MTD73"/>
      <c r="MTE73"/>
      <c r="MTF73"/>
      <c r="MTG73"/>
      <c r="MTH73"/>
      <c r="MTI73"/>
      <c r="MTJ73"/>
      <c r="MTK73"/>
      <c r="MTL73"/>
      <c r="MTM73"/>
      <c r="MTN73"/>
      <c r="MTO73"/>
      <c r="MTP73"/>
      <c r="MTQ73"/>
      <c r="MTR73"/>
      <c r="MTS73"/>
      <c r="MTT73"/>
      <c r="MTU73"/>
      <c r="MTV73"/>
      <c r="MTW73"/>
      <c r="MTX73"/>
      <c r="MTY73"/>
      <c r="MTZ73"/>
      <c r="MUA73"/>
      <c r="MUB73"/>
      <c r="MUC73"/>
      <c r="MUD73"/>
      <c r="MUE73"/>
      <c r="MUF73"/>
      <c r="MUG73"/>
      <c r="MUH73"/>
      <c r="MUI73"/>
      <c r="MUJ73"/>
      <c r="MUK73"/>
      <c r="MUL73"/>
      <c r="MUM73"/>
      <c r="MUN73"/>
      <c r="MUO73"/>
      <c r="MUP73"/>
      <c r="MUQ73"/>
      <c r="MUR73"/>
      <c r="MUS73"/>
      <c r="MUT73"/>
      <c r="MUU73"/>
      <c r="MUV73"/>
      <c r="MUW73"/>
      <c r="MUX73"/>
      <c r="MUY73"/>
      <c r="MUZ73"/>
      <c r="MVA73"/>
      <c r="MVB73"/>
      <c r="MVC73"/>
      <c r="MVD73"/>
      <c r="MVE73"/>
      <c r="MVF73"/>
      <c r="MVG73"/>
      <c r="MVH73"/>
      <c r="MVI73"/>
      <c r="MVJ73"/>
      <c r="MVK73"/>
      <c r="MVL73"/>
      <c r="MVM73"/>
      <c r="MVN73"/>
      <c r="MVO73"/>
      <c r="MVP73"/>
      <c r="MVQ73"/>
      <c r="MVR73"/>
      <c r="MVS73"/>
      <c r="MVT73"/>
      <c r="MVU73"/>
      <c r="MVV73"/>
      <c r="MVW73"/>
      <c r="MVX73"/>
      <c r="MVY73"/>
      <c r="MVZ73"/>
      <c r="MWA73"/>
      <c r="MWB73"/>
      <c r="MWC73"/>
      <c r="MWD73"/>
      <c r="MWE73"/>
      <c r="MWF73"/>
      <c r="MWG73"/>
      <c r="MWH73"/>
      <c r="MWI73"/>
      <c r="MWJ73"/>
      <c r="MWK73"/>
      <c r="MWL73"/>
      <c r="MWM73"/>
      <c r="MWN73"/>
      <c r="MWO73"/>
      <c r="MWP73"/>
      <c r="MWQ73"/>
      <c r="MWR73"/>
      <c r="MWS73"/>
      <c r="MWT73"/>
      <c r="MWU73"/>
      <c r="MWV73"/>
      <c r="MWW73"/>
      <c r="MWX73"/>
      <c r="MWY73"/>
      <c r="MWZ73"/>
      <c r="MXA73"/>
      <c r="MXB73"/>
      <c r="MXC73"/>
      <c r="MXD73"/>
      <c r="MXE73"/>
      <c r="MXF73"/>
      <c r="MXG73"/>
      <c r="MXH73"/>
      <c r="MXI73"/>
      <c r="MXJ73"/>
      <c r="MXK73"/>
      <c r="MXL73"/>
      <c r="MXM73"/>
      <c r="MXN73"/>
      <c r="MXO73"/>
      <c r="MXP73"/>
      <c r="MXQ73"/>
      <c r="MXR73"/>
      <c r="MXS73"/>
      <c r="MXT73"/>
      <c r="MXU73"/>
      <c r="MXV73"/>
      <c r="MXW73"/>
      <c r="MXX73"/>
      <c r="MXY73"/>
      <c r="MXZ73"/>
      <c r="MYA73"/>
      <c r="MYB73"/>
      <c r="MYC73"/>
      <c r="MYD73"/>
      <c r="MYE73"/>
      <c r="MYF73"/>
      <c r="MYG73"/>
      <c r="MYH73"/>
      <c r="MYI73"/>
      <c r="MYJ73"/>
      <c r="MYK73"/>
      <c r="MYL73"/>
      <c r="MYM73"/>
      <c r="MYN73"/>
      <c r="MYO73"/>
      <c r="MYP73"/>
      <c r="MYQ73"/>
      <c r="MYR73"/>
      <c r="MYS73"/>
      <c r="MYT73"/>
      <c r="MYU73"/>
      <c r="MYV73"/>
      <c r="MYW73"/>
      <c r="MYX73"/>
      <c r="MYY73"/>
      <c r="MYZ73"/>
      <c r="MZA73"/>
      <c r="MZB73"/>
      <c r="MZC73"/>
      <c r="MZD73"/>
      <c r="MZE73"/>
      <c r="MZF73"/>
      <c r="MZG73"/>
      <c r="MZH73"/>
      <c r="MZI73"/>
      <c r="MZJ73"/>
      <c r="MZK73"/>
      <c r="MZL73"/>
      <c r="MZM73"/>
      <c r="MZN73"/>
      <c r="MZO73"/>
      <c r="MZP73"/>
      <c r="MZQ73"/>
      <c r="MZR73"/>
      <c r="MZS73"/>
      <c r="MZT73"/>
      <c r="MZU73"/>
      <c r="MZV73"/>
      <c r="MZW73"/>
      <c r="MZX73"/>
      <c r="MZY73"/>
      <c r="MZZ73"/>
      <c r="NAA73"/>
      <c r="NAB73"/>
      <c r="NAC73"/>
      <c r="NAD73"/>
      <c r="NAE73"/>
      <c r="NAF73"/>
      <c r="NAG73"/>
      <c r="NAH73"/>
      <c r="NAI73"/>
      <c r="NAJ73"/>
      <c r="NAK73"/>
      <c r="NAL73"/>
      <c r="NAM73"/>
      <c r="NAN73"/>
      <c r="NAO73"/>
      <c r="NAP73"/>
      <c r="NAQ73"/>
      <c r="NAR73"/>
      <c r="NAS73"/>
      <c r="NAT73"/>
      <c r="NAU73"/>
      <c r="NAV73"/>
      <c r="NAW73"/>
      <c r="NAX73"/>
      <c r="NAY73"/>
      <c r="NAZ73"/>
      <c r="NBA73"/>
      <c r="NBB73"/>
      <c r="NBC73"/>
      <c r="NBD73"/>
      <c r="NBE73"/>
      <c r="NBF73"/>
      <c r="NBG73"/>
      <c r="NBH73"/>
      <c r="NBI73"/>
      <c r="NBJ73"/>
      <c r="NBK73"/>
      <c r="NBL73"/>
      <c r="NBM73"/>
      <c r="NBN73"/>
      <c r="NBO73"/>
      <c r="NBP73"/>
      <c r="NBQ73"/>
      <c r="NBR73"/>
      <c r="NBS73"/>
      <c r="NBT73"/>
      <c r="NBU73"/>
      <c r="NBV73"/>
      <c r="NBW73"/>
      <c r="NBX73"/>
      <c r="NBY73"/>
      <c r="NBZ73"/>
      <c r="NCA73"/>
      <c r="NCB73"/>
      <c r="NCC73"/>
      <c r="NCD73"/>
      <c r="NCE73"/>
      <c r="NCF73"/>
      <c r="NCG73"/>
      <c r="NCH73"/>
      <c r="NCI73"/>
      <c r="NCJ73"/>
      <c r="NCK73"/>
      <c r="NCL73"/>
      <c r="NCM73"/>
      <c r="NCN73"/>
      <c r="NCO73"/>
      <c r="NCP73"/>
      <c r="NCQ73"/>
      <c r="NCR73"/>
      <c r="NCS73"/>
      <c r="NCT73"/>
      <c r="NCU73"/>
      <c r="NCV73"/>
      <c r="NCW73"/>
      <c r="NCX73"/>
      <c r="NCY73"/>
      <c r="NCZ73"/>
      <c r="NDA73"/>
      <c r="NDB73"/>
      <c r="NDC73"/>
      <c r="NDD73"/>
      <c r="NDE73"/>
      <c r="NDF73"/>
      <c r="NDG73"/>
      <c r="NDH73"/>
      <c r="NDI73"/>
      <c r="NDJ73"/>
      <c r="NDK73"/>
      <c r="NDL73"/>
      <c r="NDM73"/>
      <c r="NDN73"/>
      <c r="NDO73"/>
      <c r="NDP73"/>
      <c r="NDQ73"/>
      <c r="NDR73"/>
      <c r="NDS73"/>
      <c r="NDT73"/>
      <c r="NDU73"/>
      <c r="NDV73"/>
      <c r="NDW73"/>
      <c r="NDX73"/>
      <c r="NDY73"/>
      <c r="NDZ73"/>
      <c r="NEA73"/>
      <c r="NEB73"/>
      <c r="NEC73"/>
      <c r="NED73"/>
      <c r="NEE73"/>
      <c r="NEF73"/>
      <c r="NEG73"/>
      <c r="NEH73"/>
      <c r="NEI73"/>
      <c r="NEJ73"/>
      <c r="NEK73"/>
      <c r="NEL73"/>
      <c r="NEM73"/>
      <c r="NEN73"/>
      <c r="NEO73"/>
      <c r="NEP73"/>
      <c r="NEQ73"/>
      <c r="NER73"/>
      <c r="NES73"/>
      <c r="NET73"/>
      <c r="NEU73"/>
      <c r="NEV73"/>
      <c r="NEW73"/>
      <c r="NEX73"/>
      <c r="NEY73"/>
      <c r="NEZ73"/>
      <c r="NFA73"/>
      <c r="NFB73"/>
      <c r="NFC73"/>
      <c r="NFD73"/>
      <c r="NFE73"/>
      <c r="NFF73"/>
      <c r="NFG73"/>
      <c r="NFH73"/>
      <c r="NFI73"/>
      <c r="NFJ73"/>
      <c r="NFK73"/>
      <c r="NFL73"/>
      <c r="NFM73"/>
      <c r="NFN73"/>
      <c r="NFO73"/>
      <c r="NFP73"/>
      <c r="NFQ73"/>
      <c r="NFR73"/>
      <c r="NFS73"/>
      <c r="NFT73"/>
      <c r="NFU73"/>
      <c r="NFV73"/>
      <c r="NFW73"/>
      <c r="NFX73"/>
      <c r="NFY73"/>
      <c r="NFZ73"/>
      <c r="NGA73"/>
      <c r="NGB73"/>
      <c r="NGC73"/>
      <c r="NGD73"/>
      <c r="NGE73"/>
      <c r="NGF73"/>
      <c r="NGG73"/>
      <c r="NGH73"/>
      <c r="NGI73"/>
      <c r="NGJ73"/>
      <c r="NGK73"/>
      <c r="NGL73"/>
      <c r="NGM73"/>
      <c r="NGN73"/>
      <c r="NGO73"/>
      <c r="NGP73"/>
      <c r="NGQ73"/>
      <c r="NGR73"/>
      <c r="NGS73"/>
      <c r="NGT73"/>
      <c r="NGU73"/>
      <c r="NGV73"/>
      <c r="NGW73"/>
      <c r="NGX73"/>
      <c r="NGY73"/>
      <c r="NGZ73"/>
      <c r="NHA73"/>
      <c r="NHB73"/>
      <c r="NHC73"/>
      <c r="NHD73"/>
      <c r="NHE73"/>
      <c r="NHF73"/>
      <c r="NHG73"/>
      <c r="NHH73"/>
      <c r="NHI73"/>
      <c r="NHJ73"/>
      <c r="NHK73"/>
      <c r="NHL73"/>
      <c r="NHM73"/>
      <c r="NHN73"/>
      <c r="NHO73"/>
      <c r="NHP73"/>
      <c r="NHQ73"/>
      <c r="NHR73"/>
      <c r="NHS73"/>
      <c r="NHT73"/>
      <c r="NHU73"/>
      <c r="NHV73"/>
      <c r="NHW73"/>
      <c r="NHX73"/>
      <c r="NHY73"/>
      <c r="NHZ73"/>
      <c r="NIA73"/>
      <c r="NIB73"/>
      <c r="NIC73"/>
      <c r="NID73"/>
      <c r="NIE73"/>
      <c r="NIF73"/>
      <c r="NIG73"/>
      <c r="NIH73"/>
      <c r="NII73"/>
      <c r="NIJ73"/>
      <c r="NIK73"/>
      <c r="NIL73"/>
      <c r="NIM73"/>
      <c r="NIN73"/>
      <c r="NIO73"/>
      <c r="NIP73"/>
      <c r="NIQ73"/>
      <c r="NIR73"/>
      <c r="NIS73"/>
      <c r="NIT73"/>
      <c r="NIU73"/>
      <c r="NIV73"/>
      <c r="NIW73"/>
      <c r="NIX73"/>
      <c r="NIY73"/>
      <c r="NIZ73"/>
      <c r="NJA73"/>
      <c r="NJB73"/>
      <c r="NJC73"/>
      <c r="NJD73"/>
      <c r="NJE73"/>
      <c r="NJF73"/>
      <c r="NJG73"/>
      <c r="NJH73"/>
      <c r="NJI73"/>
      <c r="NJJ73"/>
      <c r="NJK73"/>
      <c r="NJL73"/>
      <c r="NJM73"/>
      <c r="NJN73"/>
      <c r="NJO73"/>
      <c r="NJP73"/>
      <c r="NJQ73"/>
      <c r="NJR73"/>
      <c r="NJS73"/>
      <c r="NJT73"/>
      <c r="NJU73"/>
      <c r="NJV73"/>
      <c r="NJW73"/>
      <c r="NJX73"/>
      <c r="NJY73"/>
      <c r="NJZ73"/>
      <c r="NKA73"/>
      <c r="NKB73"/>
      <c r="NKC73"/>
      <c r="NKD73"/>
      <c r="NKE73"/>
      <c r="NKF73"/>
      <c r="NKG73"/>
      <c r="NKH73"/>
      <c r="NKI73"/>
      <c r="NKJ73"/>
      <c r="NKK73"/>
      <c r="NKL73"/>
      <c r="NKM73"/>
      <c r="NKN73"/>
      <c r="NKO73"/>
      <c r="NKP73"/>
      <c r="NKQ73"/>
      <c r="NKR73"/>
      <c r="NKS73"/>
      <c r="NKT73"/>
      <c r="NKU73"/>
      <c r="NKV73"/>
      <c r="NKW73"/>
      <c r="NKX73"/>
      <c r="NKY73"/>
      <c r="NKZ73"/>
      <c r="NLA73"/>
      <c r="NLB73"/>
      <c r="NLC73"/>
      <c r="NLD73"/>
      <c r="NLE73"/>
      <c r="NLF73"/>
      <c r="NLG73"/>
      <c r="NLH73"/>
      <c r="NLI73"/>
      <c r="NLJ73"/>
      <c r="NLK73"/>
      <c r="NLL73"/>
      <c r="NLM73"/>
      <c r="NLN73"/>
      <c r="NLO73"/>
      <c r="NLP73"/>
      <c r="NLQ73"/>
      <c r="NLR73"/>
      <c r="NLS73"/>
      <c r="NLT73"/>
      <c r="NLU73"/>
      <c r="NLV73"/>
      <c r="NLW73"/>
      <c r="NLX73"/>
      <c r="NLY73"/>
      <c r="NLZ73"/>
      <c r="NMA73"/>
      <c r="NMB73"/>
      <c r="NMC73"/>
      <c r="NMD73"/>
      <c r="NME73"/>
      <c r="NMF73"/>
      <c r="NMG73"/>
      <c r="NMH73"/>
      <c r="NMI73"/>
      <c r="NMJ73"/>
      <c r="NMK73"/>
      <c r="NML73"/>
      <c r="NMM73"/>
      <c r="NMN73"/>
      <c r="NMO73"/>
      <c r="NMP73"/>
      <c r="NMQ73"/>
      <c r="NMR73"/>
      <c r="NMS73"/>
      <c r="NMT73"/>
      <c r="NMU73"/>
      <c r="NMV73"/>
      <c r="NMW73"/>
      <c r="NMX73"/>
      <c r="NMY73"/>
      <c r="NMZ73"/>
      <c r="NNA73"/>
      <c r="NNB73"/>
      <c r="NNC73"/>
      <c r="NND73"/>
      <c r="NNE73"/>
      <c r="NNF73"/>
      <c r="NNG73"/>
      <c r="NNH73"/>
      <c r="NNI73"/>
      <c r="NNJ73"/>
      <c r="NNK73"/>
      <c r="NNL73"/>
      <c r="NNM73"/>
      <c r="NNN73"/>
      <c r="NNO73"/>
      <c r="NNP73"/>
      <c r="NNQ73"/>
      <c r="NNR73"/>
      <c r="NNS73"/>
      <c r="NNT73"/>
      <c r="NNU73"/>
      <c r="NNV73"/>
      <c r="NNW73"/>
      <c r="NNX73"/>
      <c r="NNY73"/>
      <c r="NNZ73"/>
      <c r="NOA73"/>
      <c r="NOB73"/>
      <c r="NOC73"/>
      <c r="NOD73"/>
      <c r="NOE73"/>
      <c r="NOF73"/>
      <c r="NOG73"/>
      <c r="NOH73"/>
      <c r="NOI73"/>
      <c r="NOJ73"/>
      <c r="NOK73"/>
      <c r="NOL73"/>
      <c r="NOM73"/>
      <c r="NON73"/>
      <c r="NOO73"/>
      <c r="NOP73"/>
      <c r="NOQ73"/>
      <c r="NOR73"/>
      <c r="NOS73"/>
      <c r="NOT73"/>
      <c r="NOU73"/>
      <c r="NOV73"/>
      <c r="NOW73"/>
      <c r="NOX73"/>
      <c r="NOY73"/>
      <c r="NOZ73"/>
      <c r="NPA73"/>
      <c r="NPB73"/>
      <c r="NPC73"/>
      <c r="NPD73"/>
      <c r="NPE73"/>
      <c r="NPF73"/>
      <c r="NPG73"/>
      <c r="NPH73"/>
      <c r="NPI73"/>
      <c r="NPJ73"/>
      <c r="NPK73"/>
      <c r="NPL73"/>
      <c r="NPM73"/>
      <c r="NPN73"/>
      <c r="NPO73"/>
      <c r="NPP73"/>
      <c r="NPQ73"/>
      <c r="NPR73"/>
      <c r="NPS73"/>
      <c r="NPT73"/>
      <c r="NPU73"/>
      <c r="NPV73"/>
      <c r="NPW73"/>
      <c r="NPX73"/>
      <c r="NPY73"/>
      <c r="NPZ73"/>
      <c r="NQA73"/>
      <c r="NQB73"/>
      <c r="NQC73"/>
      <c r="NQD73"/>
      <c r="NQE73"/>
      <c r="NQF73"/>
      <c r="NQG73"/>
      <c r="NQH73"/>
      <c r="NQI73"/>
      <c r="NQJ73"/>
      <c r="NQK73"/>
      <c r="NQL73"/>
      <c r="NQM73"/>
      <c r="NQN73"/>
      <c r="NQO73"/>
      <c r="NQP73"/>
      <c r="NQQ73"/>
      <c r="NQR73"/>
      <c r="NQS73"/>
      <c r="NQT73"/>
      <c r="NQU73"/>
      <c r="NQV73"/>
      <c r="NQW73"/>
      <c r="NQX73"/>
      <c r="NQY73"/>
      <c r="NQZ73"/>
      <c r="NRA73"/>
      <c r="NRB73"/>
      <c r="NRC73"/>
      <c r="NRD73"/>
      <c r="NRE73"/>
      <c r="NRF73"/>
      <c r="NRG73"/>
      <c r="NRH73"/>
      <c r="NRI73"/>
      <c r="NRJ73"/>
      <c r="NRK73"/>
      <c r="NRL73"/>
      <c r="NRM73"/>
      <c r="NRN73"/>
      <c r="NRO73"/>
      <c r="NRP73"/>
      <c r="NRQ73"/>
      <c r="NRR73"/>
      <c r="NRS73"/>
      <c r="NRT73"/>
      <c r="NRU73"/>
      <c r="NRV73"/>
      <c r="NRW73"/>
      <c r="NRX73"/>
      <c r="NRY73"/>
      <c r="NRZ73"/>
      <c r="NSA73"/>
      <c r="NSB73"/>
      <c r="NSC73"/>
      <c r="NSD73"/>
      <c r="NSE73"/>
      <c r="NSF73"/>
      <c r="NSG73"/>
      <c r="NSH73"/>
      <c r="NSI73"/>
      <c r="NSJ73"/>
      <c r="NSK73"/>
      <c r="NSL73"/>
      <c r="NSM73"/>
      <c r="NSN73"/>
      <c r="NSO73"/>
      <c r="NSP73"/>
      <c r="NSQ73"/>
      <c r="NSR73"/>
      <c r="NSS73"/>
      <c r="NST73"/>
      <c r="NSU73"/>
      <c r="NSV73"/>
      <c r="NSW73"/>
      <c r="NSX73"/>
      <c r="NSY73"/>
      <c r="NSZ73"/>
      <c r="NTA73"/>
      <c r="NTB73"/>
      <c r="NTC73"/>
      <c r="NTD73"/>
      <c r="NTE73"/>
      <c r="NTF73"/>
      <c r="NTG73"/>
      <c r="NTH73"/>
      <c r="NTI73"/>
      <c r="NTJ73"/>
      <c r="NTK73"/>
      <c r="NTL73"/>
      <c r="NTM73"/>
      <c r="NTN73"/>
      <c r="NTO73"/>
      <c r="NTP73"/>
      <c r="NTQ73"/>
      <c r="NTR73"/>
      <c r="NTS73"/>
      <c r="NTT73"/>
      <c r="NTU73"/>
      <c r="NTV73"/>
      <c r="NTW73"/>
      <c r="NTX73"/>
      <c r="NTY73"/>
      <c r="NTZ73"/>
      <c r="NUA73"/>
      <c r="NUB73"/>
      <c r="NUC73"/>
      <c r="NUD73"/>
      <c r="NUE73"/>
      <c r="NUF73"/>
      <c r="NUG73"/>
      <c r="NUH73"/>
      <c r="NUI73"/>
      <c r="NUJ73"/>
      <c r="NUK73"/>
      <c r="NUL73"/>
      <c r="NUM73"/>
      <c r="NUN73"/>
      <c r="NUO73"/>
      <c r="NUP73"/>
      <c r="NUQ73"/>
      <c r="NUR73"/>
      <c r="NUS73"/>
      <c r="NUT73"/>
      <c r="NUU73"/>
      <c r="NUV73"/>
      <c r="NUW73"/>
      <c r="NUX73"/>
      <c r="NUY73"/>
      <c r="NUZ73"/>
      <c r="NVA73"/>
      <c r="NVB73"/>
      <c r="NVC73"/>
      <c r="NVD73"/>
      <c r="NVE73"/>
      <c r="NVF73"/>
      <c r="NVG73"/>
      <c r="NVH73"/>
      <c r="NVI73"/>
      <c r="NVJ73"/>
      <c r="NVK73"/>
      <c r="NVL73"/>
      <c r="NVM73"/>
      <c r="NVN73"/>
      <c r="NVO73"/>
      <c r="NVP73"/>
      <c r="NVQ73"/>
      <c r="NVR73"/>
      <c r="NVS73"/>
      <c r="NVT73"/>
      <c r="NVU73"/>
      <c r="NVV73"/>
      <c r="NVW73"/>
      <c r="NVX73"/>
      <c r="NVY73"/>
      <c r="NVZ73"/>
      <c r="NWA73"/>
      <c r="NWB73"/>
      <c r="NWC73"/>
      <c r="NWD73"/>
      <c r="NWE73"/>
      <c r="NWF73"/>
      <c r="NWG73"/>
      <c r="NWH73"/>
      <c r="NWI73"/>
      <c r="NWJ73"/>
      <c r="NWK73"/>
      <c r="NWL73"/>
      <c r="NWM73"/>
      <c r="NWN73"/>
      <c r="NWO73"/>
      <c r="NWP73"/>
      <c r="NWQ73"/>
      <c r="NWR73"/>
      <c r="NWS73"/>
      <c r="NWT73"/>
      <c r="NWU73"/>
      <c r="NWV73"/>
      <c r="NWW73"/>
      <c r="NWX73"/>
      <c r="NWY73"/>
      <c r="NWZ73"/>
      <c r="NXA73"/>
      <c r="NXB73"/>
      <c r="NXC73"/>
      <c r="NXD73"/>
      <c r="NXE73"/>
      <c r="NXF73"/>
      <c r="NXG73"/>
      <c r="NXH73"/>
      <c r="NXI73"/>
      <c r="NXJ73"/>
      <c r="NXK73"/>
      <c r="NXL73"/>
      <c r="NXM73"/>
      <c r="NXN73"/>
      <c r="NXO73"/>
      <c r="NXP73"/>
      <c r="NXQ73"/>
      <c r="NXR73"/>
      <c r="NXS73"/>
      <c r="NXT73"/>
      <c r="NXU73"/>
      <c r="NXV73"/>
      <c r="NXW73"/>
      <c r="NXX73"/>
      <c r="NXY73"/>
      <c r="NXZ73"/>
      <c r="NYA73"/>
      <c r="NYB73"/>
      <c r="NYC73"/>
      <c r="NYD73"/>
      <c r="NYE73"/>
      <c r="NYF73"/>
      <c r="NYG73"/>
      <c r="NYH73"/>
      <c r="NYI73"/>
      <c r="NYJ73"/>
      <c r="NYK73"/>
      <c r="NYL73"/>
      <c r="NYM73"/>
      <c r="NYN73"/>
      <c r="NYO73"/>
      <c r="NYP73"/>
      <c r="NYQ73"/>
      <c r="NYR73"/>
      <c r="NYS73"/>
      <c r="NYT73"/>
      <c r="NYU73"/>
      <c r="NYV73"/>
      <c r="NYW73"/>
      <c r="NYX73"/>
      <c r="NYY73"/>
      <c r="NYZ73"/>
      <c r="NZA73"/>
      <c r="NZB73"/>
      <c r="NZC73"/>
      <c r="NZD73"/>
      <c r="NZE73"/>
      <c r="NZF73"/>
      <c r="NZG73"/>
      <c r="NZH73"/>
      <c r="NZI73"/>
      <c r="NZJ73"/>
      <c r="NZK73"/>
      <c r="NZL73"/>
      <c r="NZM73"/>
      <c r="NZN73"/>
      <c r="NZO73"/>
      <c r="NZP73"/>
      <c r="NZQ73"/>
      <c r="NZR73"/>
      <c r="NZS73"/>
      <c r="NZT73"/>
      <c r="NZU73"/>
      <c r="NZV73"/>
      <c r="NZW73"/>
      <c r="NZX73"/>
      <c r="NZY73"/>
      <c r="NZZ73"/>
      <c r="OAA73"/>
      <c r="OAB73"/>
      <c r="OAC73"/>
      <c r="OAD73"/>
      <c r="OAE73"/>
      <c r="OAF73"/>
      <c r="OAG73"/>
      <c r="OAH73"/>
      <c r="OAI73"/>
      <c r="OAJ73"/>
      <c r="OAK73"/>
      <c r="OAL73"/>
      <c r="OAM73"/>
      <c r="OAN73"/>
      <c r="OAO73"/>
      <c r="OAP73"/>
      <c r="OAQ73"/>
      <c r="OAR73"/>
      <c r="OAS73"/>
      <c r="OAT73"/>
      <c r="OAU73"/>
      <c r="OAV73"/>
      <c r="OAW73"/>
      <c r="OAX73"/>
      <c r="OAY73"/>
      <c r="OAZ73"/>
      <c r="OBA73"/>
      <c r="OBB73"/>
      <c r="OBC73"/>
      <c r="OBD73"/>
      <c r="OBE73"/>
      <c r="OBF73"/>
      <c r="OBG73"/>
      <c r="OBH73"/>
      <c r="OBI73"/>
      <c r="OBJ73"/>
      <c r="OBK73"/>
      <c r="OBL73"/>
      <c r="OBM73"/>
      <c r="OBN73"/>
      <c r="OBO73"/>
      <c r="OBP73"/>
      <c r="OBQ73"/>
      <c r="OBR73"/>
      <c r="OBS73"/>
      <c r="OBT73"/>
      <c r="OBU73"/>
      <c r="OBV73"/>
      <c r="OBW73"/>
      <c r="OBX73"/>
      <c r="OBY73"/>
      <c r="OBZ73"/>
      <c r="OCA73"/>
      <c r="OCB73"/>
      <c r="OCC73"/>
      <c r="OCD73"/>
      <c r="OCE73"/>
      <c r="OCF73"/>
      <c r="OCG73"/>
      <c r="OCH73"/>
      <c r="OCI73"/>
      <c r="OCJ73"/>
      <c r="OCK73"/>
      <c r="OCL73"/>
      <c r="OCM73"/>
      <c r="OCN73"/>
      <c r="OCO73"/>
      <c r="OCP73"/>
      <c r="OCQ73"/>
      <c r="OCR73"/>
      <c r="OCS73"/>
      <c r="OCT73"/>
      <c r="OCU73"/>
      <c r="OCV73"/>
      <c r="OCW73"/>
      <c r="OCX73"/>
      <c r="OCY73"/>
      <c r="OCZ73"/>
      <c r="ODA73"/>
      <c r="ODB73"/>
      <c r="ODC73"/>
      <c r="ODD73"/>
      <c r="ODE73"/>
      <c r="ODF73"/>
      <c r="ODG73"/>
      <c r="ODH73"/>
      <c r="ODI73"/>
      <c r="ODJ73"/>
      <c r="ODK73"/>
      <c r="ODL73"/>
      <c r="ODM73"/>
      <c r="ODN73"/>
      <c r="ODO73"/>
      <c r="ODP73"/>
      <c r="ODQ73"/>
      <c r="ODR73"/>
      <c r="ODS73"/>
      <c r="ODT73"/>
      <c r="ODU73"/>
      <c r="ODV73"/>
      <c r="ODW73"/>
      <c r="ODX73"/>
      <c r="ODY73"/>
      <c r="ODZ73"/>
      <c r="OEA73"/>
      <c r="OEB73"/>
      <c r="OEC73"/>
      <c r="OED73"/>
      <c r="OEE73"/>
      <c r="OEF73"/>
      <c r="OEG73"/>
      <c r="OEH73"/>
      <c r="OEI73"/>
      <c r="OEJ73"/>
      <c r="OEK73"/>
      <c r="OEL73"/>
      <c r="OEM73"/>
      <c r="OEN73"/>
      <c r="OEO73"/>
      <c r="OEP73"/>
      <c r="OEQ73"/>
      <c r="OER73"/>
      <c r="OES73"/>
      <c r="OET73"/>
      <c r="OEU73"/>
      <c r="OEV73"/>
      <c r="OEW73"/>
      <c r="OEX73"/>
      <c r="OEY73"/>
      <c r="OEZ73"/>
      <c r="OFA73"/>
      <c r="OFB73"/>
      <c r="OFC73"/>
      <c r="OFD73"/>
      <c r="OFE73"/>
      <c r="OFF73"/>
      <c r="OFG73"/>
      <c r="OFH73"/>
      <c r="OFI73"/>
      <c r="OFJ73"/>
      <c r="OFK73"/>
      <c r="OFL73"/>
      <c r="OFM73"/>
      <c r="OFN73"/>
      <c r="OFO73"/>
      <c r="OFP73"/>
      <c r="OFQ73"/>
      <c r="OFR73"/>
      <c r="OFS73"/>
      <c r="OFT73"/>
      <c r="OFU73"/>
      <c r="OFV73"/>
      <c r="OFW73"/>
      <c r="OFX73"/>
      <c r="OFY73"/>
      <c r="OFZ73"/>
      <c r="OGA73"/>
      <c r="OGB73"/>
      <c r="OGC73"/>
      <c r="OGD73"/>
      <c r="OGE73"/>
      <c r="OGF73"/>
      <c r="OGG73"/>
      <c r="OGH73"/>
      <c r="OGI73"/>
      <c r="OGJ73"/>
      <c r="OGK73"/>
      <c r="OGL73"/>
      <c r="OGM73"/>
      <c r="OGN73"/>
      <c r="OGO73"/>
      <c r="OGP73"/>
      <c r="OGQ73"/>
      <c r="OGR73"/>
      <c r="OGS73"/>
      <c r="OGT73"/>
      <c r="OGU73"/>
      <c r="OGV73"/>
      <c r="OGW73"/>
      <c r="OGX73"/>
      <c r="OGY73"/>
      <c r="OGZ73"/>
      <c r="OHA73"/>
      <c r="OHB73"/>
      <c r="OHC73"/>
      <c r="OHD73"/>
      <c r="OHE73"/>
      <c r="OHF73"/>
      <c r="OHG73"/>
      <c r="OHH73"/>
      <c r="OHI73"/>
      <c r="OHJ73"/>
      <c r="OHK73"/>
      <c r="OHL73"/>
      <c r="OHM73"/>
      <c r="OHN73"/>
      <c r="OHO73"/>
      <c r="OHP73"/>
      <c r="OHQ73"/>
      <c r="OHR73"/>
      <c r="OHS73"/>
      <c r="OHT73"/>
      <c r="OHU73"/>
      <c r="OHV73"/>
      <c r="OHW73"/>
      <c r="OHX73"/>
      <c r="OHY73"/>
      <c r="OHZ73"/>
      <c r="OIA73"/>
      <c r="OIB73"/>
      <c r="OIC73"/>
      <c r="OID73"/>
      <c r="OIE73"/>
      <c r="OIF73"/>
      <c r="OIG73"/>
      <c r="OIH73"/>
      <c r="OII73"/>
      <c r="OIJ73"/>
      <c r="OIK73"/>
      <c r="OIL73"/>
      <c r="OIM73"/>
      <c r="OIN73"/>
      <c r="OIO73"/>
      <c r="OIP73"/>
      <c r="OIQ73"/>
      <c r="OIR73"/>
      <c r="OIS73"/>
      <c r="OIT73"/>
      <c r="OIU73"/>
      <c r="OIV73"/>
      <c r="OIW73"/>
      <c r="OIX73"/>
      <c r="OIY73"/>
      <c r="OIZ73"/>
      <c r="OJA73"/>
      <c r="OJB73"/>
      <c r="OJC73"/>
      <c r="OJD73"/>
      <c r="OJE73"/>
      <c r="OJF73"/>
      <c r="OJG73"/>
      <c r="OJH73"/>
      <c r="OJI73"/>
      <c r="OJJ73"/>
      <c r="OJK73"/>
      <c r="OJL73"/>
      <c r="OJM73"/>
      <c r="OJN73"/>
      <c r="OJO73"/>
      <c r="OJP73"/>
      <c r="OJQ73"/>
      <c r="OJR73"/>
      <c r="OJS73"/>
      <c r="OJT73"/>
      <c r="OJU73"/>
      <c r="OJV73"/>
      <c r="OJW73"/>
      <c r="OJX73"/>
      <c r="OJY73"/>
      <c r="OJZ73"/>
      <c r="OKA73"/>
      <c r="OKB73"/>
      <c r="OKC73"/>
      <c r="OKD73"/>
      <c r="OKE73"/>
      <c r="OKF73"/>
      <c r="OKG73"/>
      <c r="OKH73"/>
      <c r="OKI73"/>
      <c r="OKJ73"/>
      <c r="OKK73"/>
      <c r="OKL73"/>
      <c r="OKM73"/>
      <c r="OKN73"/>
      <c r="OKO73"/>
      <c r="OKP73"/>
      <c r="OKQ73"/>
      <c r="OKR73"/>
      <c r="OKS73"/>
      <c r="OKT73"/>
      <c r="OKU73"/>
      <c r="OKV73"/>
      <c r="OKW73"/>
      <c r="OKX73"/>
      <c r="OKY73"/>
      <c r="OKZ73"/>
      <c r="OLA73"/>
      <c r="OLB73"/>
      <c r="OLC73"/>
      <c r="OLD73"/>
      <c r="OLE73"/>
      <c r="OLF73"/>
      <c r="OLG73"/>
      <c r="OLH73"/>
      <c r="OLI73"/>
      <c r="OLJ73"/>
      <c r="OLK73"/>
      <c r="OLL73"/>
      <c r="OLM73"/>
      <c r="OLN73"/>
      <c r="OLO73"/>
      <c r="OLP73"/>
      <c r="OLQ73"/>
      <c r="OLR73"/>
      <c r="OLS73"/>
      <c r="OLT73"/>
      <c r="OLU73"/>
      <c r="OLV73"/>
      <c r="OLW73"/>
      <c r="OLX73"/>
      <c r="OLY73"/>
      <c r="OLZ73"/>
      <c r="OMA73"/>
      <c r="OMB73"/>
      <c r="OMC73"/>
      <c r="OMD73"/>
      <c r="OME73"/>
      <c r="OMF73"/>
      <c r="OMG73"/>
      <c r="OMH73"/>
      <c r="OMI73"/>
      <c r="OMJ73"/>
      <c r="OMK73"/>
      <c r="OML73"/>
      <c r="OMM73"/>
      <c r="OMN73"/>
      <c r="OMO73"/>
      <c r="OMP73"/>
      <c r="OMQ73"/>
      <c r="OMR73"/>
      <c r="OMS73"/>
      <c r="OMT73"/>
      <c r="OMU73"/>
      <c r="OMV73"/>
      <c r="OMW73"/>
      <c r="OMX73"/>
      <c r="OMY73"/>
      <c r="OMZ73"/>
      <c r="ONA73"/>
      <c r="ONB73"/>
      <c r="ONC73"/>
      <c r="OND73"/>
      <c r="ONE73"/>
      <c r="ONF73"/>
      <c r="ONG73"/>
      <c r="ONH73"/>
      <c r="ONI73"/>
      <c r="ONJ73"/>
      <c r="ONK73"/>
      <c r="ONL73"/>
      <c r="ONM73"/>
      <c r="ONN73"/>
      <c r="ONO73"/>
      <c r="ONP73"/>
      <c r="ONQ73"/>
      <c r="ONR73"/>
      <c r="ONS73"/>
      <c r="ONT73"/>
      <c r="ONU73"/>
      <c r="ONV73"/>
      <c r="ONW73"/>
      <c r="ONX73"/>
      <c r="ONY73"/>
      <c r="ONZ73"/>
      <c r="OOA73"/>
      <c r="OOB73"/>
      <c r="OOC73"/>
      <c r="OOD73"/>
      <c r="OOE73"/>
      <c r="OOF73"/>
      <c r="OOG73"/>
      <c r="OOH73"/>
      <c r="OOI73"/>
      <c r="OOJ73"/>
      <c r="OOK73"/>
      <c r="OOL73"/>
      <c r="OOM73"/>
      <c r="OON73"/>
      <c r="OOO73"/>
      <c r="OOP73"/>
      <c r="OOQ73"/>
      <c r="OOR73"/>
      <c r="OOS73"/>
      <c r="OOT73"/>
      <c r="OOU73"/>
      <c r="OOV73"/>
      <c r="OOW73"/>
      <c r="OOX73"/>
      <c r="OOY73"/>
      <c r="OOZ73"/>
      <c r="OPA73"/>
      <c r="OPB73"/>
      <c r="OPC73"/>
      <c r="OPD73"/>
      <c r="OPE73"/>
      <c r="OPF73"/>
      <c r="OPG73"/>
      <c r="OPH73"/>
      <c r="OPI73"/>
      <c r="OPJ73"/>
      <c r="OPK73"/>
      <c r="OPL73"/>
      <c r="OPM73"/>
      <c r="OPN73"/>
      <c r="OPO73"/>
      <c r="OPP73"/>
      <c r="OPQ73"/>
      <c r="OPR73"/>
      <c r="OPS73"/>
      <c r="OPT73"/>
      <c r="OPU73"/>
      <c r="OPV73"/>
      <c r="OPW73"/>
      <c r="OPX73"/>
      <c r="OPY73"/>
      <c r="OPZ73"/>
      <c r="OQA73"/>
      <c r="OQB73"/>
      <c r="OQC73"/>
      <c r="OQD73"/>
      <c r="OQE73"/>
      <c r="OQF73"/>
      <c r="OQG73"/>
      <c r="OQH73"/>
      <c r="OQI73"/>
      <c r="OQJ73"/>
      <c r="OQK73"/>
      <c r="OQL73"/>
      <c r="OQM73"/>
      <c r="OQN73"/>
      <c r="OQO73"/>
      <c r="OQP73"/>
      <c r="OQQ73"/>
      <c r="OQR73"/>
      <c r="OQS73"/>
      <c r="OQT73"/>
      <c r="OQU73"/>
      <c r="OQV73"/>
      <c r="OQW73"/>
      <c r="OQX73"/>
      <c r="OQY73"/>
      <c r="OQZ73"/>
      <c r="ORA73"/>
      <c r="ORB73"/>
      <c r="ORC73"/>
      <c r="ORD73"/>
      <c r="ORE73"/>
      <c r="ORF73"/>
      <c r="ORG73"/>
      <c r="ORH73"/>
      <c r="ORI73"/>
      <c r="ORJ73"/>
      <c r="ORK73"/>
      <c r="ORL73"/>
      <c r="ORM73"/>
      <c r="ORN73"/>
      <c r="ORO73"/>
      <c r="ORP73"/>
      <c r="ORQ73"/>
      <c r="ORR73"/>
      <c r="ORS73"/>
      <c r="ORT73"/>
      <c r="ORU73"/>
      <c r="ORV73"/>
      <c r="ORW73"/>
      <c r="ORX73"/>
      <c r="ORY73"/>
      <c r="ORZ73"/>
      <c r="OSA73"/>
      <c r="OSB73"/>
      <c r="OSC73"/>
      <c r="OSD73"/>
      <c r="OSE73"/>
      <c r="OSF73"/>
      <c r="OSG73"/>
      <c r="OSH73"/>
      <c r="OSI73"/>
      <c r="OSJ73"/>
      <c r="OSK73"/>
      <c r="OSL73"/>
      <c r="OSM73"/>
      <c r="OSN73"/>
      <c r="OSO73"/>
      <c r="OSP73"/>
      <c r="OSQ73"/>
      <c r="OSR73"/>
      <c r="OSS73"/>
      <c r="OST73"/>
      <c r="OSU73"/>
      <c r="OSV73"/>
      <c r="OSW73"/>
      <c r="OSX73"/>
      <c r="OSY73"/>
      <c r="OSZ73"/>
      <c r="OTA73"/>
      <c r="OTB73"/>
      <c r="OTC73"/>
      <c r="OTD73"/>
      <c r="OTE73"/>
      <c r="OTF73"/>
      <c r="OTG73"/>
      <c r="OTH73"/>
      <c r="OTI73"/>
      <c r="OTJ73"/>
      <c r="OTK73"/>
      <c r="OTL73"/>
      <c r="OTM73"/>
      <c r="OTN73"/>
      <c r="OTO73"/>
      <c r="OTP73"/>
      <c r="OTQ73"/>
      <c r="OTR73"/>
      <c r="OTS73"/>
      <c r="OTT73"/>
      <c r="OTU73"/>
      <c r="OTV73"/>
      <c r="OTW73"/>
      <c r="OTX73"/>
      <c r="OTY73"/>
      <c r="OTZ73"/>
      <c r="OUA73"/>
      <c r="OUB73"/>
      <c r="OUC73"/>
      <c r="OUD73"/>
      <c r="OUE73"/>
      <c r="OUF73"/>
      <c r="OUG73"/>
      <c r="OUH73"/>
      <c r="OUI73"/>
      <c r="OUJ73"/>
      <c r="OUK73"/>
      <c r="OUL73"/>
      <c r="OUM73"/>
      <c r="OUN73"/>
      <c r="OUO73"/>
      <c r="OUP73"/>
      <c r="OUQ73"/>
      <c r="OUR73"/>
      <c r="OUS73"/>
      <c r="OUT73"/>
      <c r="OUU73"/>
      <c r="OUV73"/>
      <c r="OUW73"/>
      <c r="OUX73"/>
      <c r="OUY73"/>
      <c r="OUZ73"/>
      <c r="OVA73"/>
      <c r="OVB73"/>
      <c r="OVC73"/>
      <c r="OVD73"/>
      <c r="OVE73"/>
      <c r="OVF73"/>
      <c r="OVG73"/>
      <c r="OVH73"/>
      <c r="OVI73"/>
      <c r="OVJ73"/>
      <c r="OVK73"/>
      <c r="OVL73"/>
      <c r="OVM73"/>
      <c r="OVN73"/>
      <c r="OVO73"/>
      <c r="OVP73"/>
      <c r="OVQ73"/>
      <c r="OVR73"/>
      <c r="OVS73"/>
      <c r="OVT73"/>
      <c r="OVU73"/>
      <c r="OVV73"/>
      <c r="OVW73"/>
      <c r="OVX73"/>
      <c r="OVY73"/>
      <c r="OVZ73"/>
      <c r="OWA73"/>
      <c r="OWB73"/>
      <c r="OWC73"/>
      <c r="OWD73"/>
      <c r="OWE73"/>
      <c r="OWF73"/>
      <c r="OWG73"/>
      <c r="OWH73"/>
      <c r="OWI73"/>
      <c r="OWJ73"/>
      <c r="OWK73"/>
      <c r="OWL73"/>
      <c r="OWM73"/>
      <c r="OWN73"/>
      <c r="OWO73"/>
      <c r="OWP73"/>
      <c r="OWQ73"/>
      <c r="OWR73"/>
      <c r="OWS73"/>
      <c r="OWT73"/>
      <c r="OWU73"/>
      <c r="OWV73"/>
      <c r="OWW73"/>
      <c r="OWX73"/>
      <c r="OWY73"/>
      <c r="OWZ73"/>
      <c r="OXA73"/>
      <c r="OXB73"/>
      <c r="OXC73"/>
      <c r="OXD73"/>
      <c r="OXE73"/>
      <c r="OXF73"/>
      <c r="OXG73"/>
      <c r="OXH73"/>
      <c r="OXI73"/>
      <c r="OXJ73"/>
      <c r="OXK73"/>
      <c r="OXL73"/>
      <c r="OXM73"/>
      <c r="OXN73"/>
      <c r="OXO73"/>
      <c r="OXP73"/>
      <c r="OXQ73"/>
      <c r="OXR73"/>
      <c r="OXS73"/>
      <c r="OXT73"/>
      <c r="OXU73"/>
      <c r="OXV73"/>
      <c r="OXW73"/>
      <c r="OXX73"/>
      <c r="OXY73"/>
      <c r="OXZ73"/>
      <c r="OYA73"/>
      <c r="OYB73"/>
      <c r="OYC73"/>
      <c r="OYD73"/>
      <c r="OYE73"/>
      <c r="OYF73"/>
      <c r="OYG73"/>
      <c r="OYH73"/>
      <c r="OYI73"/>
      <c r="OYJ73"/>
      <c r="OYK73"/>
      <c r="OYL73"/>
      <c r="OYM73"/>
      <c r="OYN73"/>
      <c r="OYO73"/>
      <c r="OYP73"/>
      <c r="OYQ73"/>
      <c r="OYR73"/>
      <c r="OYS73"/>
      <c r="OYT73"/>
      <c r="OYU73"/>
      <c r="OYV73"/>
      <c r="OYW73"/>
      <c r="OYX73"/>
      <c r="OYY73"/>
      <c r="OYZ73"/>
      <c r="OZA73"/>
      <c r="OZB73"/>
      <c r="OZC73"/>
      <c r="OZD73"/>
      <c r="OZE73"/>
      <c r="OZF73"/>
      <c r="OZG73"/>
      <c r="OZH73"/>
      <c r="OZI73"/>
      <c r="OZJ73"/>
      <c r="OZK73"/>
      <c r="OZL73"/>
      <c r="OZM73"/>
      <c r="OZN73"/>
      <c r="OZO73"/>
      <c r="OZP73"/>
      <c r="OZQ73"/>
      <c r="OZR73"/>
      <c r="OZS73"/>
      <c r="OZT73"/>
      <c r="OZU73"/>
      <c r="OZV73"/>
      <c r="OZW73"/>
      <c r="OZX73"/>
      <c r="OZY73"/>
      <c r="OZZ73"/>
      <c r="PAA73"/>
      <c r="PAB73"/>
      <c r="PAC73"/>
      <c r="PAD73"/>
      <c r="PAE73"/>
      <c r="PAF73"/>
      <c r="PAG73"/>
      <c r="PAH73"/>
      <c r="PAI73"/>
      <c r="PAJ73"/>
      <c r="PAK73"/>
      <c r="PAL73"/>
      <c r="PAM73"/>
      <c r="PAN73"/>
      <c r="PAO73"/>
      <c r="PAP73"/>
      <c r="PAQ73"/>
      <c r="PAR73"/>
      <c r="PAS73"/>
      <c r="PAT73"/>
      <c r="PAU73"/>
      <c r="PAV73"/>
      <c r="PAW73"/>
      <c r="PAX73"/>
      <c r="PAY73"/>
      <c r="PAZ73"/>
      <c r="PBA73"/>
      <c r="PBB73"/>
      <c r="PBC73"/>
      <c r="PBD73"/>
      <c r="PBE73"/>
      <c r="PBF73"/>
      <c r="PBG73"/>
      <c r="PBH73"/>
      <c r="PBI73"/>
      <c r="PBJ73"/>
      <c r="PBK73"/>
      <c r="PBL73"/>
      <c r="PBM73"/>
      <c r="PBN73"/>
      <c r="PBO73"/>
      <c r="PBP73"/>
      <c r="PBQ73"/>
      <c r="PBR73"/>
      <c r="PBS73"/>
      <c r="PBT73"/>
      <c r="PBU73"/>
      <c r="PBV73"/>
      <c r="PBW73"/>
      <c r="PBX73"/>
      <c r="PBY73"/>
      <c r="PBZ73"/>
      <c r="PCA73"/>
      <c r="PCB73"/>
      <c r="PCC73"/>
      <c r="PCD73"/>
      <c r="PCE73"/>
      <c r="PCF73"/>
      <c r="PCG73"/>
      <c r="PCH73"/>
      <c r="PCI73"/>
      <c r="PCJ73"/>
      <c r="PCK73"/>
      <c r="PCL73"/>
      <c r="PCM73"/>
      <c r="PCN73"/>
      <c r="PCO73"/>
      <c r="PCP73"/>
      <c r="PCQ73"/>
      <c r="PCR73"/>
      <c r="PCS73"/>
      <c r="PCT73"/>
      <c r="PCU73"/>
      <c r="PCV73"/>
      <c r="PCW73"/>
      <c r="PCX73"/>
      <c r="PCY73"/>
      <c r="PCZ73"/>
      <c r="PDA73"/>
      <c r="PDB73"/>
      <c r="PDC73"/>
      <c r="PDD73"/>
      <c r="PDE73"/>
      <c r="PDF73"/>
      <c r="PDG73"/>
      <c r="PDH73"/>
      <c r="PDI73"/>
      <c r="PDJ73"/>
      <c r="PDK73"/>
      <c r="PDL73"/>
      <c r="PDM73"/>
      <c r="PDN73"/>
      <c r="PDO73"/>
      <c r="PDP73"/>
      <c r="PDQ73"/>
      <c r="PDR73"/>
      <c r="PDS73"/>
      <c r="PDT73"/>
      <c r="PDU73"/>
      <c r="PDV73"/>
      <c r="PDW73"/>
      <c r="PDX73"/>
      <c r="PDY73"/>
      <c r="PDZ73"/>
      <c r="PEA73"/>
      <c r="PEB73"/>
      <c r="PEC73"/>
      <c r="PED73"/>
      <c r="PEE73"/>
      <c r="PEF73"/>
      <c r="PEG73"/>
      <c r="PEH73"/>
      <c r="PEI73"/>
      <c r="PEJ73"/>
      <c r="PEK73"/>
      <c r="PEL73"/>
      <c r="PEM73"/>
      <c r="PEN73"/>
      <c r="PEO73"/>
      <c r="PEP73"/>
      <c r="PEQ73"/>
      <c r="PER73"/>
      <c r="PES73"/>
      <c r="PET73"/>
      <c r="PEU73"/>
      <c r="PEV73"/>
      <c r="PEW73"/>
      <c r="PEX73"/>
      <c r="PEY73"/>
      <c r="PEZ73"/>
      <c r="PFA73"/>
      <c r="PFB73"/>
      <c r="PFC73"/>
      <c r="PFD73"/>
      <c r="PFE73"/>
      <c r="PFF73"/>
      <c r="PFG73"/>
      <c r="PFH73"/>
      <c r="PFI73"/>
      <c r="PFJ73"/>
      <c r="PFK73"/>
      <c r="PFL73"/>
      <c r="PFM73"/>
      <c r="PFN73"/>
      <c r="PFO73"/>
      <c r="PFP73"/>
      <c r="PFQ73"/>
      <c r="PFR73"/>
      <c r="PFS73"/>
      <c r="PFT73"/>
      <c r="PFU73"/>
      <c r="PFV73"/>
      <c r="PFW73"/>
      <c r="PFX73"/>
      <c r="PFY73"/>
      <c r="PFZ73"/>
      <c r="PGA73"/>
      <c r="PGB73"/>
      <c r="PGC73"/>
      <c r="PGD73"/>
      <c r="PGE73"/>
      <c r="PGF73"/>
      <c r="PGG73"/>
      <c r="PGH73"/>
      <c r="PGI73"/>
      <c r="PGJ73"/>
      <c r="PGK73"/>
      <c r="PGL73"/>
      <c r="PGM73"/>
      <c r="PGN73"/>
      <c r="PGO73"/>
      <c r="PGP73"/>
      <c r="PGQ73"/>
      <c r="PGR73"/>
      <c r="PGS73"/>
      <c r="PGT73"/>
      <c r="PGU73"/>
      <c r="PGV73"/>
      <c r="PGW73"/>
      <c r="PGX73"/>
      <c r="PGY73"/>
      <c r="PGZ73"/>
      <c r="PHA73"/>
      <c r="PHB73"/>
      <c r="PHC73"/>
      <c r="PHD73"/>
      <c r="PHE73"/>
      <c r="PHF73"/>
      <c r="PHG73"/>
      <c r="PHH73"/>
      <c r="PHI73"/>
      <c r="PHJ73"/>
      <c r="PHK73"/>
      <c r="PHL73"/>
      <c r="PHM73"/>
      <c r="PHN73"/>
      <c r="PHO73"/>
      <c r="PHP73"/>
      <c r="PHQ73"/>
      <c r="PHR73"/>
      <c r="PHS73"/>
      <c r="PHT73"/>
      <c r="PHU73"/>
      <c r="PHV73"/>
      <c r="PHW73"/>
      <c r="PHX73"/>
      <c r="PHY73"/>
      <c r="PHZ73"/>
      <c r="PIA73"/>
      <c r="PIB73"/>
      <c r="PIC73"/>
      <c r="PID73"/>
      <c r="PIE73"/>
      <c r="PIF73"/>
      <c r="PIG73"/>
      <c r="PIH73"/>
      <c r="PII73"/>
      <c r="PIJ73"/>
      <c r="PIK73"/>
      <c r="PIL73"/>
      <c r="PIM73"/>
      <c r="PIN73"/>
      <c r="PIO73"/>
      <c r="PIP73"/>
      <c r="PIQ73"/>
      <c r="PIR73"/>
      <c r="PIS73"/>
      <c r="PIT73"/>
      <c r="PIU73"/>
      <c r="PIV73"/>
      <c r="PIW73"/>
      <c r="PIX73"/>
      <c r="PIY73"/>
      <c r="PIZ73"/>
      <c r="PJA73"/>
      <c r="PJB73"/>
      <c r="PJC73"/>
      <c r="PJD73"/>
      <c r="PJE73"/>
      <c r="PJF73"/>
      <c r="PJG73"/>
      <c r="PJH73"/>
      <c r="PJI73"/>
      <c r="PJJ73"/>
      <c r="PJK73"/>
      <c r="PJL73"/>
      <c r="PJM73"/>
      <c r="PJN73"/>
      <c r="PJO73"/>
      <c r="PJP73"/>
      <c r="PJQ73"/>
      <c r="PJR73"/>
      <c r="PJS73"/>
      <c r="PJT73"/>
      <c r="PJU73"/>
      <c r="PJV73"/>
      <c r="PJW73"/>
      <c r="PJX73"/>
      <c r="PJY73"/>
      <c r="PJZ73"/>
      <c r="PKA73"/>
      <c r="PKB73"/>
      <c r="PKC73"/>
      <c r="PKD73"/>
      <c r="PKE73"/>
      <c r="PKF73"/>
      <c r="PKG73"/>
      <c r="PKH73"/>
      <c r="PKI73"/>
      <c r="PKJ73"/>
      <c r="PKK73"/>
      <c r="PKL73"/>
      <c r="PKM73"/>
      <c r="PKN73"/>
      <c r="PKO73"/>
      <c r="PKP73"/>
      <c r="PKQ73"/>
      <c r="PKR73"/>
      <c r="PKS73"/>
      <c r="PKT73"/>
      <c r="PKU73"/>
      <c r="PKV73"/>
      <c r="PKW73"/>
      <c r="PKX73"/>
      <c r="PKY73"/>
      <c r="PKZ73"/>
      <c r="PLA73"/>
      <c r="PLB73"/>
      <c r="PLC73"/>
      <c r="PLD73"/>
      <c r="PLE73"/>
      <c r="PLF73"/>
      <c r="PLG73"/>
      <c r="PLH73"/>
      <c r="PLI73"/>
      <c r="PLJ73"/>
      <c r="PLK73"/>
      <c r="PLL73"/>
      <c r="PLM73"/>
      <c r="PLN73"/>
      <c r="PLO73"/>
      <c r="PLP73"/>
      <c r="PLQ73"/>
      <c r="PLR73"/>
      <c r="PLS73"/>
      <c r="PLT73"/>
      <c r="PLU73"/>
      <c r="PLV73"/>
      <c r="PLW73"/>
      <c r="PLX73"/>
      <c r="PLY73"/>
      <c r="PLZ73"/>
      <c r="PMA73"/>
      <c r="PMB73"/>
      <c r="PMC73"/>
      <c r="PMD73"/>
      <c r="PME73"/>
      <c r="PMF73"/>
      <c r="PMG73"/>
      <c r="PMH73"/>
      <c r="PMI73"/>
      <c r="PMJ73"/>
      <c r="PMK73"/>
      <c r="PML73"/>
      <c r="PMM73"/>
      <c r="PMN73"/>
      <c r="PMO73"/>
      <c r="PMP73"/>
      <c r="PMQ73"/>
      <c r="PMR73"/>
      <c r="PMS73"/>
      <c r="PMT73"/>
      <c r="PMU73"/>
      <c r="PMV73"/>
      <c r="PMW73"/>
      <c r="PMX73"/>
      <c r="PMY73"/>
      <c r="PMZ73"/>
      <c r="PNA73"/>
      <c r="PNB73"/>
      <c r="PNC73"/>
      <c r="PND73"/>
      <c r="PNE73"/>
      <c r="PNF73"/>
      <c r="PNG73"/>
      <c r="PNH73"/>
      <c r="PNI73"/>
      <c r="PNJ73"/>
      <c r="PNK73"/>
      <c r="PNL73"/>
      <c r="PNM73"/>
      <c r="PNN73"/>
      <c r="PNO73"/>
      <c r="PNP73"/>
      <c r="PNQ73"/>
      <c r="PNR73"/>
      <c r="PNS73"/>
      <c r="PNT73"/>
      <c r="PNU73"/>
      <c r="PNV73"/>
      <c r="PNW73"/>
      <c r="PNX73"/>
      <c r="PNY73"/>
      <c r="PNZ73"/>
      <c r="POA73"/>
      <c r="POB73"/>
      <c r="POC73"/>
      <c r="POD73"/>
      <c r="POE73"/>
      <c r="POF73"/>
      <c r="POG73"/>
      <c r="POH73"/>
      <c r="POI73"/>
      <c r="POJ73"/>
      <c r="POK73"/>
      <c r="POL73"/>
      <c r="POM73"/>
      <c r="PON73"/>
      <c r="POO73"/>
      <c r="POP73"/>
      <c r="POQ73"/>
      <c r="POR73"/>
      <c r="POS73"/>
      <c r="POT73"/>
      <c r="POU73"/>
      <c r="POV73"/>
      <c r="POW73"/>
      <c r="POX73"/>
      <c r="POY73"/>
      <c r="POZ73"/>
      <c r="PPA73"/>
      <c r="PPB73"/>
      <c r="PPC73"/>
      <c r="PPD73"/>
      <c r="PPE73"/>
      <c r="PPF73"/>
      <c r="PPG73"/>
      <c r="PPH73"/>
      <c r="PPI73"/>
      <c r="PPJ73"/>
      <c r="PPK73"/>
      <c r="PPL73"/>
      <c r="PPM73"/>
      <c r="PPN73"/>
      <c r="PPO73"/>
      <c r="PPP73"/>
      <c r="PPQ73"/>
      <c r="PPR73"/>
      <c r="PPS73"/>
      <c r="PPT73"/>
      <c r="PPU73"/>
      <c r="PPV73"/>
      <c r="PPW73"/>
      <c r="PPX73"/>
      <c r="PPY73"/>
      <c r="PPZ73"/>
      <c r="PQA73"/>
      <c r="PQB73"/>
      <c r="PQC73"/>
      <c r="PQD73"/>
      <c r="PQE73"/>
      <c r="PQF73"/>
      <c r="PQG73"/>
      <c r="PQH73"/>
      <c r="PQI73"/>
      <c r="PQJ73"/>
      <c r="PQK73"/>
      <c r="PQL73"/>
      <c r="PQM73"/>
      <c r="PQN73"/>
      <c r="PQO73"/>
      <c r="PQP73"/>
      <c r="PQQ73"/>
      <c r="PQR73"/>
      <c r="PQS73"/>
      <c r="PQT73"/>
      <c r="PQU73"/>
      <c r="PQV73"/>
      <c r="PQW73"/>
      <c r="PQX73"/>
      <c r="PQY73"/>
      <c r="PQZ73"/>
      <c r="PRA73"/>
      <c r="PRB73"/>
      <c r="PRC73"/>
      <c r="PRD73"/>
      <c r="PRE73"/>
      <c r="PRF73"/>
      <c r="PRG73"/>
      <c r="PRH73"/>
      <c r="PRI73"/>
      <c r="PRJ73"/>
      <c r="PRK73"/>
      <c r="PRL73"/>
      <c r="PRM73"/>
      <c r="PRN73"/>
      <c r="PRO73"/>
      <c r="PRP73"/>
      <c r="PRQ73"/>
      <c r="PRR73"/>
      <c r="PRS73"/>
      <c r="PRT73"/>
      <c r="PRU73"/>
      <c r="PRV73"/>
      <c r="PRW73"/>
      <c r="PRX73"/>
      <c r="PRY73"/>
      <c r="PRZ73"/>
      <c r="PSA73"/>
      <c r="PSB73"/>
      <c r="PSC73"/>
      <c r="PSD73"/>
      <c r="PSE73"/>
      <c r="PSF73"/>
      <c r="PSG73"/>
      <c r="PSH73"/>
      <c r="PSI73"/>
      <c r="PSJ73"/>
      <c r="PSK73"/>
      <c r="PSL73"/>
      <c r="PSM73"/>
      <c r="PSN73"/>
      <c r="PSO73"/>
      <c r="PSP73"/>
      <c r="PSQ73"/>
      <c r="PSR73"/>
      <c r="PSS73"/>
      <c r="PST73"/>
      <c r="PSU73"/>
      <c r="PSV73"/>
      <c r="PSW73"/>
      <c r="PSX73"/>
      <c r="PSY73"/>
      <c r="PSZ73"/>
      <c r="PTA73"/>
      <c r="PTB73"/>
      <c r="PTC73"/>
      <c r="PTD73"/>
      <c r="PTE73"/>
      <c r="PTF73"/>
      <c r="PTG73"/>
      <c r="PTH73"/>
      <c r="PTI73"/>
      <c r="PTJ73"/>
      <c r="PTK73"/>
      <c r="PTL73"/>
      <c r="PTM73"/>
      <c r="PTN73"/>
      <c r="PTO73"/>
      <c r="PTP73"/>
      <c r="PTQ73"/>
      <c r="PTR73"/>
      <c r="PTS73"/>
      <c r="PTT73"/>
      <c r="PTU73"/>
      <c r="PTV73"/>
      <c r="PTW73"/>
      <c r="PTX73"/>
      <c r="PTY73"/>
      <c r="PTZ73"/>
      <c r="PUA73"/>
      <c r="PUB73"/>
      <c r="PUC73"/>
      <c r="PUD73"/>
      <c r="PUE73"/>
      <c r="PUF73"/>
      <c r="PUG73"/>
      <c r="PUH73"/>
      <c r="PUI73"/>
      <c r="PUJ73"/>
      <c r="PUK73"/>
      <c r="PUL73"/>
      <c r="PUM73"/>
      <c r="PUN73"/>
      <c r="PUO73"/>
      <c r="PUP73"/>
      <c r="PUQ73"/>
      <c r="PUR73"/>
      <c r="PUS73"/>
      <c r="PUT73"/>
      <c r="PUU73"/>
      <c r="PUV73"/>
      <c r="PUW73"/>
      <c r="PUX73"/>
      <c r="PUY73"/>
      <c r="PUZ73"/>
      <c r="PVA73"/>
      <c r="PVB73"/>
      <c r="PVC73"/>
      <c r="PVD73"/>
      <c r="PVE73"/>
      <c r="PVF73"/>
      <c r="PVG73"/>
      <c r="PVH73"/>
      <c r="PVI73"/>
      <c r="PVJ73"/>
      <c r="PVK73"/>
      <c r="PVL73"/>
      <c r="PVM73"/>
      <c r="PVN73"/>
      <c r="PVO73"/>
      <c r="PVP73"/>
      <c r="PVQ73"/>
      <c r="PVR73"/>
      <c r="PVS73"/>
      <c r="PVT73"/>
      <c r="PVU73"/>
      <c r="PVV73"/>
      <c r="PVW73"/>
      <c r="PVX73"/>
      <c r="PVY73"/>
      <c r="PVZ73"/>
      <c r="PWA73"/>
      <c r="PWB73"/>
      <c r="PWC73"/>
      <c r="PWD73"/>
      <c r="PWE73"/>
      <c r="PWF73"/>
      <c r="PWG73"/>
      <c r="PWH73"/>
      <c r="PWI73"/>
      <c r="PWJ73"/>
      <c r="PWK73"/>
      <c r="PWL73"/>
      <c r="PWM73"/>
      <c r="PWN73"/>
      <c r="PWO73"/>
      <c r="PWP73"/>
      <c r="PWQ73"/>
      <c r="PWR73"/>
      <c r="PWS73"/>
      <c r="PWT73"/>
      <c r="PWU73"/>
      <c r="PWV73"/>
      <c r="PWW73"/>
      <c r="PWX73"/>
      <c r="PWY73"/>
      <c r="PWZ73"/>
      <c r="PXA73"/>
      <c r="PXB73"/>
      <c r="PXC73"/>
      <c r="PXD73"/>
      <c r="PXE73"/>
      <c r="PXF73"/>
      <c r="PXG73"/>
      <c r="PXH73"/>
      <c r="PXI73"/>
      <c r="PXJ73"/>
      <c r="PXK73"/>
      <c r="PXL73"/>
      <c r="PXM73"/>
      <c r="PXN73"/>
      <c r="PXO73"/>
      <c r="PXP73"/>
      <c r="PXQ73"/>
      <c r="PXR73"/>
      <c r="PXS73"/>
      <c r="PXT73"/>
      <c r="PXU73"/>
      <c r="PXV73"/>
      <c r="PXW73"/>
      <c r="PXX73"/>
      <c r="PXY73"/>
      <c r="PXZ73"/>
      <c r="PYA73"/>
      <c r="PYB73"/>
      <c r="PYC73"/>
      <c r="PYD73"/>
      <c r="PYE73"/>
      <c r="PYF73"/>
      <c r="PYG73"/>
      <c r="PYH73"/>
      <c r="PYI73"/>
      <c r="PYJ73"/>
      <c r="PYK73"/>
      <c r="PYL73"/>
      <c r="PYM73"/>
      <c r="PYN73"/>
      <c r="PYO73"/>
      <c r="PYP73"/>
      <c r="PYQ73"/>
      <c r="PYR73"/>
      <c r="PYS73"/>
      <c r="PYT73"/>
      <c r="PYU73"/>
      <c r="PYV73"/>
      <c r="PYW73"/>
      <c r="PYX73"/>
      <c r="PYY73"/>
      <c r="PYZ73"/>
      <c r="PZA73"/>
      <c r="PZB73"/>
      <c r="PZC73"/>
      <c r="PZD73"/>
      <c r="PZE73"/>
      <c r="PZF73"/>
      <c r="PZG73"/>
      <c r="PZH73"/>
      <c r="PZI73"/>
      <c r="PZJ73"/>
      <c r="PZK73"/>
      <c r="PZL73"/>
      <c r="PZM73"/>
      <c r="PZN73"/>
      <c r="PZO73"/>
      <c r="PZP73"/>
      <c r="PZQ73"/>
      <c r="PZR73"/>
      <c r="PZS73"/>
      <c r="PZT73"/>
      <c r="PZU73"/>
      <c r="PZV73"/>
      <c r="PZW73"/>
      <c r="PZX73"/>
      <c r="PZY73"/>
      <c r="PZZ73"/>
      <c r="QAA73"/>
      <c r="QAB73"/>
      <c r="QAC73"/>
      <c r="QAD73"/>
      <c r="QAE73"/>
      <c r="QAF73"/>
      <c r="QAG73"/>
      <c r="QAH73"/>
      <c r="QAI73"/>
      <c r="QAJ73"/>
      <c r="QAK73"/>
      <c r="QAL73"/>
      <c r="QAM73"/>
      <c r="QAN73"/>
      <c r="QAO73"/>
      <c r="QAP73"/>
      <c r="QAQ73"/>
      <c r="QAR73"/>
      <c r="QAS73"/>
      <c r="QAT73"/>
      <c r="QAU73"/>
      <c r="QAV73"/>
      <c r="QAW73"/>
      <c r="QAX73"/>
      <c r="QAY73"/>
      <c r="QAZ73"/>
      <c r="QBA73"/>
      <c r="QBB73"/>
      <c r="QBC73"/>
      <c r="QBD73"/>
      <c r="QBE73"/>
      <c r="QBF73"/>
      <c r="QBG73"/>
      <c r="QBH73"/>
      <c r="QBI73"/>
      <c r="QBJ73"/>
      <c r="QBK73"/>
      <c r="QBL73"/>
      <c r="QBM73"/>
      <c r="QBN73"/>
      <c r="QBO73"/>
      <c r="QBP73"/>
      <c r="QBQ73"/>
      <c r="QBR73"/>
      <c r="QBS73"/>
      <c r="QBT73"/>
      <c r="QBU73"/>
      <c r="QBV73"/>
      <c r="QBW73"/>
      <c r="QBX73"/>
      <c r="QBY73"/>
      <c r="QBZ73"/>
      <c r="QCA73"/>
      <c r="QCB73"/>
      <c r="QCC73"/>
      <c r="QCD73"/>
      <c r="QCE73"/>
      <c r="QCF73"/>
      <c r="QCG73"/>
      <c r="QCH73"/>
      <c r="QCI73"/>
      <c r="QCJ73"/>
      <c r="QCK73"/>
      <c r="QCL73"/>
      <c r="QCM73"/>
      <c r="QCN73"/>
      <c r="QCO73"/>
      <c r="QCP73"/>
      <c r="QCQ73"/>
      <c r="QCR73"/>
      <c r="QCS73"/>
      <c r="QCT73"/>
      <c r="QCU73"/>
      <c r="QCV73"/>
      <c r="QCW73"/>
      <c r="QCX73"/>
      <c r="QCY73"/>
      <c r="QCZ73"/>
      <c r="QDA73"/>
      <c r="QDB73"/>
      <c r="QDC73"/>
      <c r="QDD73"/>
      <c r="QDE73"/>
      <c r="QDF73"/>
      <c r="QDG73"/>
      <c r="QDH73"/>
      <c r="QDI73"/>
      <c r="QDJ73"/>
      <c r="QDK73"/>
      <c r="QDL73"/>
      <c r="QDM73"/>
      <c r="QDN73"/>
      <c r="QDO73"/>
      <c r="QDP73"/>
      <c r="QDQ73"/>
      <c r="QDR73"/>
      <c r="QDS73"/>
      <c r="QDT73"/>
      <c r="QDU73"/>
      <c r="QDV73"/>
      <c r="QDW73"/>
      <c r="QDX73"/>
      <c r="QDY73"/>
      <c r="QDZ73"/>
      <c r="QEA73"/>
      <c r="QEB73"/>
      <c r="QEC73"/>
      <c r="QED73"/>
      <c r="QEE73"/>
      <c r="QEF73"/>
      <c r="QEG73"/>
      <c r="QEH73"/>
      <c r="QEI73"/>
      <c r="QEJ73"/>
      <c r="QEK73"/>
      <c r="QEL73"/>
      <c r="QEM73"/>
      <c r="QEN73"/>
      <c r="QEO73"/>
      <c r="QEP73"/>
      <c r="QEQ73"/>
      <c r="QER73"/>
      <c r="QES73"/>
      <c r="QET73"/>
      <c r="QEU73"/>
      <c r="QEV73"/>
      <c r="QEW73"/>
      <c r="QEX73"/>
      <c r="QEY73"/>
      <c r="QEZ73"/>
      <c r="QFA73"/>
      <c r="QFB73"/>
      <c r="QFC73"/>
      <c r="QFD73"/>
      <c r="QFE73"/>
      <c r="QFF73"/>
      <c r="QFG73"/>
      <c r="QFH73"/>
      <c r="QFI73"/>
      <c r="QFJ73"/>
      <c r="QFK73"/>
      <c r="QFL73"/>
      <c r="QFM73"/>
      <c r="QFN73"/>
      <c r="QFO73"/>
      <c r="QFP73"/>
      <c r="QFQ73"/>
      <c r="QFR73"/>
      <c r="QFS73"/>
      <c r="QFT73"/>
      <c r="QFU73"/>
      <c r="QFV73"/>
      <c r="QFW73"/>
      <c r="QFX73"/>
      <c r="QFY73"/>
      <c r="QFZ73"/>
      <c r="QGA73"/>
      <c r="QGB73"/>
      <c r="QGC73"/>
      <c r="QGD73"/>
      <c r="QGE73"/>
      <c r="QGF73"/>
      <c r="QGG73"/>
      <c r="QGH73"/>
      <c r="QGI73"/>
      <c r="QGJ73"/>
      <c r="QGK73"/>
      <c r="QGL73"/>
      <c r="QGM73"/>
      <c r="QGN73"/>
      <c r="QGO73"/>
      <c r="QGP73"/>
      <c r="QGQ73"/>
      <c r="QGR73"/>
      <c r="QGS73"/>
      <c r="QGT73"/>
      <c r="QGU73"/>
      <c r="QGV73"/>
      <c r="QGW73"/>
      <c r="QGX73"/>
      <c r="QGY73"/>
      <c r="QGZ73"/>
      <c r="QHA73"/>
      <c r="QHB73"/>
      <c r="QHC73"/>
      <c r="QHD73"/>
      <c r="QHE73"/>
      <c r="QHF73"/>
      <c r="QHG73"/>
      <c r="QHH73"/>
      <c r="QHI73"/>
      <c r="QHJ73"/>
      <c r="QHK73"/>
      <c r="QHL73"/>
      <c r="QHM73"/>
      <c r="QHN73"/>
      <c r="QHO73"/>
      <c r="QHP73"/>
      <c r="QHQ73"/>
      <c r="QHR73"/>
      <c r="QHS73"/>
      <c r="QHT73"/>
      <c r="QHU73"/>
      <c r="QHV73"/>
      <c r="QHW73"/>
      <c r="QHX73"/>
      <c r="QHY73"/>
      <c r="QHZ73"/>
      <c r="QIA73"/>
      <c r="QIB73"/>
      <c r="QIC73"/>
      <c r="QID73"/>
      <c r="QIE73"/>
      <c r="QIF73"/>
      <c r="QIG73"/>
      <c r="QIH73"/>
      <c r="QII73"/>
      <c r="QIJ73"/>
      <c r="QIK73"/>
      <c r="QIL73"/>
      <c r="QIM73"/>
      <c r="QIN73"/>
      <c r="QIO73"/>
      <c r="QIP73"/>
      <c r="QIQ73"/>
      <c r="QIR73"/>
      <c r="QIS73"/>
      <c r="QIT73"/>
      <c r="QIU73"/>
      <c r="QIV73"/>
      <c r="QIW73"/>
      <c r="QIX73"/>
      <c r="QIY73"/>
      <c r="QIZ73"/>
      <c r="QJA73"/>
      <c r="QJB73"/>
      <c r="QJC73"/>
      <c r="QJD73"/>
      <c r="QJE73"/>
      <c r="QJF73"/>
      <c r="QJG73"/>
      <c r="QJH73"/>
      <c r="QJI73"/>
      <c r="QJJ73"/>
      <c r="QJK73"/>
      <c r="QJL73"/>
      <c r="QJM73"/>
      <c r="QJN73"/>
      <c r="QJO73"/>
      <c r="QJP73"/>
      <c r="QJQ73"/>
      <c r="QJR73"/>
      <c r="QJS73"/>
      <c r="QJT73"/>
      <c r="QJU73"/>
      <c r="QJV73"/>
      <c r="QJW73"/>
      <c r="QJX73"/>
      <c r="QJY73"/>
      <c r="QJZ73"/>
      <c r="QKA73"/>
      <c r="QKB73"/>
      <c r="QKC73"/>
      <c r="QKD73"/>
      <c r="QKE73"/>
      <c r="QKF73"/>
      <c r="QKG73"/>
      <c r="QKH73"/>
      <c r="QKI73"/>
      <c r="QKJ73"/>
      <c r="QKK73"/>
      <c r="QKL73"/>
      <c r="QKM73"/>
      <c r="QKN73"/>
      <c r="QKO73"/>
      <c r="QKP73"/>
      <c r="QKQ73"/>
      <c r="QKR73"/>
      <c r="QKS73"/>
      <c r="QKT73"/>
      <c r="QKU73"/>
      <c r="QKV73"/>
      <c r="QKW73"/>
      <c r="QKX73"/>
      <c r="QKY73"/>
      <c r="QKZ73"/>
      <c r="QLA73"/>
      <c r="QLB73"/>
      <c r="QLC73"/>
      <c r="QLD73"/>
      <c r="QLE73"/>
      <c r="QLF73"/>
      <c r="QLG73"/>
      <c r="QLH73"/>
      <c r="QLI73"/>
      <c r="QLJ73"/>
      <c r="QLK73"/>
      <c r="QLL73"/>
      <c r="QLM73"/>
      <c r="QLN73"/>
      <c r="QLO73"/>
      <c r="QLP73"/>
      <c r="QLQ73"/>
      <c r="QLR73"/>
      <c r="QLS73"/>
      <c r="QLT73"/>
      <c r="QLU73"/>
      <c r="QLV73"/>
      <c r="QLW73"/>
      <c r="QLX73"/>
      <c r="QLY73"/>
      <c r="QLZ73"/>
      <c r="QMA73"/>
      <c r="QMB73"/>
      <c r="QMC73"/>
      <c r="QMD73"/>
      <c r="QME73"/>
      <c r="QMF73"/>
      <c r="QMG73"/>
      <c r="QMH73"/>
      <c r="QMI73"/>
      <c r="QMJ73"/>
      <c r="QMK73"/>
      <c r="QML73"/>
      <c r="QMM73"/>
      <c r="QMN73"/>
      <c r="QMO73"/>
      <c r="QMP73"/>
      <c r="QMQ73"/>
      <c r="QMR73"/>
      <c r="QMS73"/>
      <c r="QMT73"/>
      <c r="QMU73"/>
      <c r="QMV73"/>
      <c r="QMW73"/>
      <c r="QMX73"/>
      <c r="QMY73"/>
      <c r="QMZ73"/>
      <c r="QNA73"/>
      <c r="QNB73"/>
      <c r="QNC73"/>
      <c r="QND73"/>
      <c r="QNE73"/>
      <c r="QNF73"/>
      <c r="QNG73"/>
      <c r="QNH73"/>
      <c r="QNI73"/>
      <c r="QNJ73"/>
      <c r="QNK73"/>
      <c r="QNL73"/>
      <c r="QNM73"/>
      <c r="QNN73"/>
      <c r="QNO73"/>
      <c r="QNP73"/>
      <c r="QNQ73"/>
      <c r="QNR73"/>
      <c r="QNS73"/>
      <c r="QNT73"/>
      <c r="QNU73"/>
      <c r="QNV73"/>
      <c r="QNW73"/>
      <c r="QNX73"/>
      <c r="QNY73"/>
      <c r="QNZ73"/>
      <c r="QOA73"/>
      <c r="QOB73"/>
      <c r="QOC73"/>
      <c r="QOD73"/>
      <c r="QOE73"/>
      <c r="QOF73"/>
      <c r="QOG73"/>
      <c r="QOH73"/>
      <c r="QOI73"/>
      <c r="QOJ73"/>
      <c r="QOK73"/>
      <c r="QOL73"/>
      <c r="QOM73"/>
      <c r="QON73"/>
      <c r="QOO73"/>
      <c r="QOP73"/>
      <c r="QOQ73"/>
      <c r="QOR73"/>
      <c r="QOS73"/>
      <c r="QOT73"/>
      <c r="QOU73"/>
      <c r="QOV73"/>
      <c r="QOW73"/>
      <c r="QOX73"/>
      <c r="QOY73"/>
      <c r="QOZ73"/>
      <c r="QPA73"/>
      <c r="QPB73"/>
      <c r="QPC73"/>
      <c r="QPD73"/>
      <c r="QPE73"/>
      <c r="QPF73"/>
      <c r="QPG73"/>
      <c r="QPH73"/>
      <c r="QPI73"/>
      <c r="QPJ73"/>
      <c r="QPK73"/>
      <c r="QPL73"/>
      <c r="QPM73"/>
      <c r="QPN73"/>
      <c r="QPO73"/>
      <c r="QPP73"/>
      <c r="QPQ73"/>
      <c r="QPR73"/>
      <c r="QPS73"/>
      <c r="QPT73"/>
      <c r="QPU73"/>
      <c r="QPV73"/>
      <c r="QPW73"/>
      <c r="QPX73"/>
      <c r="QPY73"/>
      <c r="QPZ73"/>
      <c r="QQA73"/>
      <c r="QQB73"/>
      <c r="QQC73"/>
      <c r="QQD73"/>
      <c r="QQE73"/>
      <c r="QQF73"/>
      <c r="QQG73"/>
      <c r="QQH73"/>
      <c r="QQI73"/>
      <c r="QQJ73"/>
      <c r="QQK73"/>
      <c r="QQL73"/>
      <c r="QQM73"/>
      <c r="QQN73"/>
      <c r="QQO73"/>
      <c r="QQP73"/>
      <c r="QQQ73"/>
      <c r="QQR73"/>
      <c r="QQS73"/>
      <c r="QQT73"/>
      <c r="QQU73"/>
      <c r="QQV73"/>
      <c r="QQW73"/>
      <c r="QQX73"/>
      <c r="QQY73"/>
      <c r="QQZ73"/>
      <c r="QRA73"/>
      <c r="QRB73"/>
      <c r="QRC73"/>
      <c r="QRD73"/>
      <c r="QRE73"/>
      <c r="QRF73"/>
      <c r="QRG73"/>
      <c r="QRH73"/>
      <c r="QRI73"/>
      <c r="QRJ73"/>
      <c r="QRK73"/>
      <c r="QRL73"/>
      <c r="QRM73"/>
      <c r="QRN73"/>
      <c r="QRO73"/>
      <c r="QRP73"/>
      <c r="QRQ73"/>
      <c r="QRR73"/>
      <c r="QRS73"/>
      <c r="QRT73"/>
      <c r="QRU73"/>
      <c r="QRV73"/>
      <c r="QRW73"/>
      <c r="QRX73"/>
      <c r="QRY73"/>
      <c r="QRZ73"/>
      <c r="QSA73"/>
      <c r="QSB73"/>
      <c r="QSC73"/>
      <c r="QSD73"/>
      <c r="QSE73"/>
      <c r="QSF73"/>
      <c r="QSG73"/>
      <c r="QSH73"/>
      <c r="QSI73"/>
      <c r="QSJ73"/>
      <c r="QSK73"/>
      <c r="QSL73"/>
      <c r="QSM73"/>
      <c r="QSN73"/>
      <c r="QSO73"/>
      <c r="QSP73"/>
      <c r="QSQ73"/>
      <c r="QSR73"/>
      <c r="QSS73"/>
      <c r="QST73"/>
      <c r="QSU73"/>
      <c r="QSV73"/>
      <c r="QSW73"/>
      <c r="QSX73"/>
      <c r="QSY73"/>
      <c r="QSZ73"/>
      <c r="QTA73"/>
      <c r="QTB73"/>
      <c r="QTC73"/>
      <c r="QTD73"/>
      <c r="QTE73"/>
      <c r="QTF73"/>
      <c r="QTG73"/>
      <c r="QTH73"/>
      <c r="QTI73"/>
      <c r="QTJ73"/>
      <c r="QTK73"/>
      <c r="QTL73"/>
      <c r="QTM73"/>
      <c r="QTN73"/>
      <c r="QTO73"/>
      <c r="QTP73"/>
      <c r="QTQ73"/>
      <c r="QTR73"/>
      <c r="QTS73"/>
      <c r="QTT73"/>
      <c r="QTU73"/>
      <c r="QTV73"/>
      <c r="QTW73"/>
      <c r="QTX73"/>
      <c r="QTY73"/>
      <c r="QTZ73"/>
      <c r="QUA73"/>
      <c r="QUB73"/>
      <c r="QUC73"/>
      <c r="QUD73"/>
      <c r="QUE73"/>
      <c r="QUF73"/>
      <c r="QUG73"/>
      <c r="QUH73"/>
      <c r="QUI73"/>
      <c r="QUJ73"/>
      <c r="QUK73"/>
      <c r="QUL73"/>
      <c r="QUM73"/>
      <c r="QUN73"/>
      <c r="QUO73"/>
      <c r="QUP73"/>
      <c r="QUQ73"/>
      <c r="QUR73"/>
      <c r="QUS73"/>
      <c r="QUT73"/>
      <c r="QUU73"/>
      <c r="QUV73"/>
      <c r="QUW73"/>
      <c r="QUX73"/>
      <c r="QUY73"/>
      <c r="QUZ73"/>
      <c r="QVA73"/>
      <c r="QVB73"/>
      <c r="QVC73"/>
      <c r="QVD73"/>
      <c r="QVE73"/>
      <c r="QVF73"/>
      <c r="QVG73"/>
      <c r="QVH73"/>
      <c r="QVI73"/>
      <c r="QVJ73"/>
      <c r="QVK73"/>
      <c r="QVL73"/>
      <c r="QVM73"/>
      <c r="QVN73"/>
      <c r="QVO73"/>
      <c r="QVP73"/>
      <c r="QVQ73"/>
      <c r="QVR73"/>
      <c r="QVS73"/>
      <c r="QVT73"/>
      <c r="QVU73"/>
      <c r="QVV73"/>
      <c r="QVW73"/>
      <c r="QVX73"/>
      <c r="QVY73"/>
      <c r="QVZ73"/>
      <c r="QWA73"/>
      <c r="QWB73"/>
      <c r="QWC73"/>
      <c r="QWD73"/>
      <c r="QWE73"/>
      <c r="QWF73"/>
      <c r="QWG73"/>
      <c r="QWH73"/>
      <c r="QWI73"/>
      <c r="QWJ73"/>
      <c r="QWK73"/>
      <c r="QWL73"/>
      <c r="QWM73"/>
      <c r="QWN73"/>
      <c r="QWO73"/>
      <c r="QWP73"/>
      <c r="QWQ73"/>
      <c r="QWR73"/>
      <c r="QWS73"/>
      <c r="QWT73"/>
      <c r="QWU73"/>
      <c r="QWV73"/>
      <c r="QWW73"/>
      <c r="QWX73"/>
      <c r="QWY73"/>
      <c r="QWZ73"/>
      <c r="QXA73"/>
      <c r="QXB73"/>
      <c r="QXC73"/>
      <c r="QXD73"/>
      <c r="QXE73"/>
      <c r="QXF73"/>
      <c r="QXG73"/>
      <c r="QXH73"/>
      <c r="QXI73"/>
      <c r="QXJ73"/>
      <c r="QXK73"/>
      <c r="QXL73"/>
      <c r="QXM73"/>
      <c r="QXN73"/>
      <c r="QXO73"/>
      <c r="QXP73"/>
      <c r="QXQ73"/>
      <c r="QXR73"/>
      <c r="QXS73"/>
      <c r="QXT73"/>
      <c r="QXU73"/>
      <c r="QXV73"/>
      <c r="QXW73"/>
      <c r="QXX73"/>
      <c r="QXY73"/>
      <c r="QXZ73"/>
      <c r="QYA73"/>
      <c r="QYB73"/>
      <c r="QYC73"/>
      <c r="QYD73"/>
      <c r="QYE73"/>
      <c r="QYF73"/>
      <c r="QYG73"/>
      <c r="QYH73"/>
      <c r="QYI73"/>
      <c r="QYJ73"/>
      <c r="QYK73"/>
      <c r="QYL73"/>
      <c r="QYM73"/>
      <c r="QYN73"/>
      <c r="QYO73"/>
      <c r="QYP73"/>
      <c r="QYQ73"/>
      <c r="QYR73"/>
      <c r="QYS73"/>
      <c r="QYT73"/>
      <c r="QYU73"/>
      <c r="QYV73"/>
      <c r="QYW73"/>
      <c r="QYX73"/>
      <c r="QYY73"/>
      <c r="QYZ73"/>
      <c r="QZA73"/>
      <c r="QZB73"/>
      <c r="QZC73"/>
      <c r="QZD73"/>
      <c r="QZE73"/>
      <c r="QZF73"/>
      <c r="QZG73"/>
      <c r="QZH73"/>
      <c r="QZI73"/>
      <c r="QZJ73"/>
      <c r="QZK73"/>
      <c r="QZL73"/>
      <c r="QZM73"/>
      <c r="QZN73"/>
      <c r="QZO73"/>
      <c r="QZP73"/>
      <c r="QZQ73"/>
      <c r="QZR73"/>
      <c r="QZS73"/>
      <c r="QZT73"/>
      <c r="QZU73"/>
      <c r="QZV73"/>
      <c r="QZW73"/>
      <c r="QZX73"/>
      <c r="QZY73"/>
      <c r="QZZ73"/>
      <c r="RAA73"/>
      <c r="RAB73"/>
      <c r="RAC73"/>
      <c r="RAD73"/>
      <c r="RAE73"/>
      <c r="RAF73"/>
      <c r="RAG73"/>
      <c r="RAH73"/>
      <c r="RAI73"/>
      <c r="RAJ73"/>
      <c r="RAK73"/>
      <c r="RAL73"/>
      <c r="RAM73"/>
      <c r="RAN73"/>
      <c r="RAO73"/>
      <c r="RAP73"/>
      <c r="RAQ73"/>
      <c r="RAR73"/>
      <c r="RAS73"/>
      <c r="RAT73"/>
      <c r="RAU73"/>
      <c r="RAV73"/>
      <c r="RAW73"/>
      <c r="RAX73"/>
      <c r="RAY73"/>
      <c r="RAZ73"/>
      <c r="RBA73"/>
      <c r="RBB73"/>
      <c r="RBC73"/>
      <c r="RBD73"/>
      <c r="RBE73"/>
      <c r="RBF73"/>
      <c r="RBG73"/>
      <c r="RBH73"/>
      <c r="RBI73"/>
      <c r="RBJ73"/>
      <c r="RBK73"/>
      <c r="RBL73"/>
      <c r="RBM73"/>
      <c r="RBN73"/>
      <c r="RBO73"/>
      <c r="RBP73"/>
      <c r="RBQ73"/>
      <c r="RBR73"/>
      <c r="RBS73"/>
      <c r="RBT73"/>
      <c r="RBU73"/>
      <c r="RBV73"/>
      <c r="RBW73"/>
      <c r="RBX73"/>
      <c r="RBY73"/>
      <c r="RBZ73"/>
      <c r="RCA73"/>
      <c r="RCB73"/>
      <c r="RCC73"/>
      <c r="RCD73"/>
      <c r="RCE73"/>
      <c r="RCF73"/>
      <c r="RCG73"/>
      <c r="RCH73"/>
      <c r="RCI73"/>
      <c r="RCJ73"/>
      <c r="RCK73"/>
      <c r="RCL73"/>
      <c r="RCM73"/>
      <c r="RCN73"/>
      <c r="RCO73"/>
      <c r="RCP73"/>
      <c r="RCQ73"/>
      <c r="RCR73"/>
      <c r="RCS73"/>
      <c r="RCT73"/>
      <c r="RCU73"/>
      <c r="RCV73"/>
      <c r="RCW73"/>
      <c r="RCX73"/>
      <c r="RCY73"/>
      <c r="RCZ73"/>
      <c r="RDA73"/>
      <c r="RDB73"/>
      <c r="RDC73"/>
      <c r="RDD73"/>
      <c r="RDE73"/>
      <c r="RDF73"/>
      <c r="RDG73"/>
      <c r="RDH73"/>
      <c r="RDI73"/>
      <c r="RDJ73"/>
      <c r="RDK73"/>
      <c r="RDL73"/>
      <c r="RDM73"/>
      <c r="RDN73"/>
      <c r="RDO73"/>
      <c r="RDP73"/>
      <c r="RDQ73"/>
      <c r="RDR73"/>
      <c r="RDS73"/>
      <c r="RDT73"/>
      <c r="RDU73"/>
      <c r="RDV73"/>
      <c r="RDW73"/>
      <c r="RDX73"/>
      <c r="RDY73"/>
      <c r="RDZ73"/>
      <c r="REA73"/>
      <c r="REB73"/>
      <c r="REC73"/>
      <c r="RED73"/>
      <c r="REE73"/>
      <c r="REF73"/>
      <c r="REG73"/>
      <c r="REH73"/>
      <c r="REI73"/>
      <c r="REJ73"/>
      <c r="REK73"/>
      <c r="REL73"/>
      <c r="REM73"/>
      <c r="REN73"/>
      <c r="REO73"/>
      <c r="REP73"/>
      <c r="REQ73"/>
      <c r="RER73"/>
      <c r="RES73"/>
      <c r="RET73"/>
      <c r="REU73"/>
      <c r="REV73"/>
      <c r="REW73"/>
      <c r="REX73"/>
      <c r="REY73"/>
      <c r="REZ73"/>
      <c r="RFA73"/>
      <c r="RFB73"/>
      <c r="RFC73"/>
      <c r="RFD73"/>
      <c r="RFE73"/>
      <c r="RFF73"/>
      <c r="RFG73"/>
      <c r="RFH73"/>
      <c r="RFI73"/>
      <c r="RFJ73"/>
      <c r="RFK73"/>
      <c r="RFL73"/>
      <c r="RFM73"/>
      <c r="RFN73"/>
      <c r="RFO73"/>
      <c r="RFP73"/>
      <c r="RFQ73"/>
      <c r="RFR73"/>
      <c r="RFS73"/>
      <c r="RFT73"/>
      <c r="RFU73"/>
      <c r="RFV73"/>
      <c r="RFW73"/>
      <c r="RFX73"/>
      <c r="RFY73"/>
      <c r="RFZ73"/>
      <c r="RGA73"/>
      <c r="RGB73"/>
      <c r="RGC73"/>
      <c r="RGD73"/>
      <c r="RGE73"/>
      <c r="RGF73"/>
      <c r="RGG73"/>
      <c r="RGH73"/>
      <c r="RGI73"/>
      <c r="RGJ73"/>
      <c r="RGK73"/>
      <c r="RGL73"/>
      <c r="RGM73"/>
      <c r="RGN73"/>
      <c r="RGO73"/>
      <c r="RGP73"/>
      <c r="RGQ73"/>
      <c r="RGR73"/>
      <c r="RGS73"/>
      <c r="RGT73"/>
      <c r="RGU73"/>
      <c r="RGV73"/>
      <c r="RGW73"/>
      <c r="RGX73"/>
      <c r="RGY73"/>
      <c r="RGZ73"/>
      <c r="RHA73"/>
      <c r="RHB73"/>
      <c r="RHC73"/>
      <c r="RHD73"/>
      <c r="RHE73"/>
      <c r="RHF73"/>
      <c r="RHG73"/>
      <c r="RHH73"/>
      <c r="RHI73"/>
      <c r="RHJ73"/>
      <c r="RHK73"/>
      <c r="RHL73"/>
      <c r="RHM73"/>
      <c r="RHN73"/>
      <c r="RHO73"/>
      <c r="RHP73"/>
      <c r="RHQ73"/>
      <c r="RHR73"/>
      <c r="RHS73"/>
      <c r="RHT73"/>
      <c r="RHU73"/>
      <c r="RHV73"/>
      <c r="RHW73"/>
      <c r="RHX73"/>
      <c r="RHY73"/>
      <c r="RHZ73"/>
      <c r="RIA73"/>
      <c r="RIB73"/>
      <c r="RIC73"/>
      <c r="RID73"/>
      <c r="RIE73"/>
      <c r="RIF73"/>
      <c r="RIG73"/>
      <c r="RIH73"/>
      <c r="RII73"/>
      <c r="RIJ73"/>
      <c r="RIK73"/>
      <c r="RIL73"/>
      <c r="RIM73"/>
      <c r="RIN73"/>
      <c r="RIO73"/>
      <c r="RIP73"/>
      <c r="RIQ73"/>
      <c r="RIR73"/>
      <c r="RIS73"/>
      <c r="RIT73"/>
      <c r="RIU73"/>
      <c r="RIV73"/>
      <c r="RIW73"/>
      <c r="RIX73"/>
      <c r="RIY73"/>
      <c r="RIZ73"/>
      <c r="RJA73"/>
      <c r="RJB73"/>
      <c r="RJC73"/>
      <c r="RJD73"/>
      <c r="RJE73"/>
      <c r="RJF73"/>
      <c r="RJG73"/>
      <c r="RJH73"/>
      <c r="RJI73"/>
      <c r="RJJ73"/>
      <c r="RJK73"/>
      <c r="RJL73"/>
      <c r="RJM73"/>
      <c r="RJN73"/>
      <c r="RJO73"/>
      <c r="RJP73"/>
      <c r="RJQ73"/>
      <c r="RJR73"/>
      <c r="RJS73"/>
      <c r="RJT73"/>
      <c r="RJU73"/>
      <c r="RJV73"/>
      <c r="RJW73"/>
      <c r="RJX73"/>
      <c r="RJY73"/>
      <c r="RJZ73"/>
      <c r="RKA73"/>
      <c r="RKB73"/>
      <c r="RKC73"/>
      <c r="RKD73"/>
      <c r="RKE73"/>
      <c r="RKF73"/>
      <c r="RKG73"/>
      <c r="RKH73"/>
      <c r="RKI73"/>
      <c r="RKJ73"/>
      <c r="RKK73"/>
      <c r="RKL73"/>
      <c r="RKM73"/>
      <c r="RKN73"/>
      <c r="RKO73"/>
      <c r="RKP73"/>
      <c r="RKQ73"/>
      <c r="RKR73"/>
      <c r="RKS73"/>
      <c r="RKT73"/>
      <c r="RKU73"/>
      <c r="RKV73"/>
      <c r="RKW73"/>
      <c r="RKX73"/>
      <c r="RKY73"/>
      <c r="RKZ73"/>
      <c r="RLA73"/>
      <c r="RLB73"/>
      <c r="RLC73"/>
      <c r="RLD73"/>
      <c r="RLE73"/>
      <c r="RLF73"/>
      <c r="RLG73"/>
      <c r="RLH73"/>
      <c r="RLI73"/>
      <c r="RLJ73"/>
      <c r="RLK73"/>
      <c r="RLL73"/>
      <c r="RLM73"/>
      <c r="RLN73"/>
      <c r="RLO73"/>
      <c r="RLP73"/>
      <c r="RLQ73"/>
      <c r="RLR73"/>
      <c r="RLS73"/>
      <c r="RLT73"/>
      <c r="RLU73"/>
      <c r="RLV73"/>
      <c r="RLW73"/>
      <c r="RLX73"/>
      <c r="RLY73"/>
      <c r="RLZ73"/>
      <c r="RMA73"/>
      <c r="RMB73"/>
      <c r="RMC73"/>
      <c r="RMD73"/>
      <c r="RME73"/>
      <c r="RMF73"/>
      <c r="RMG73"/>
      <c r="RMH73"/>
      <c r="RMI73"/>
      <c r="RMJ73"/>
      <c r="RMK73"/>
      <c r="RML73"/>
      <c r="RMM73"/>
      <c r="RMN73"/>
      <c r="RMO73"/>
      <c r="RMP73"/>
      <c r="RMQ73"/>
      <c r="RMR73"/>
      <c r="RMS73"/>
      <c r="RMT73"/>
      <c r="RMU73"/>
      <c r="RMV73"/>
      <c r="RMW73"/>
      <c r="RMX73"/>
      <c r="RMY73"/>
      <c r="RMZ73"/>
      <c r="RNA73"/>
      <c r="RNB73"/>
      <c r="RNC73"/>
      <c r="RND73"/>
      <c r="RNE73"/>
      <c r="RNF73"/>
      <c r="RNG73"/>
      <c r="RNH73"/>
      <c r="RNI73"/>
      <c r="RNJ73"/>
      <c r="RNK73"/>
      <c r="RNL73"/>
      <c r="RNM73"/>
      <c r="RNN73"/>
      <c r="RNO73"/>
      <c r="RNP73"/>
      <c r="RNQ73"/>
      <c r="RNR73"/>
      <c r="RNS73"/>
      <c r="RNT73"/>
      <c r="RNU73"/>
      <c r="RNV73"/>
      <c r="RNW73"/>
      <c r="RNX73"/>
      <c r="RNY73"/>
      <c r="RNZ73"/>
      <c r="ROA73"/>
      <c r="ROB73"/>
      <c r="ROC73"/>
      <c r="ROD73"/>
      <c r="ROE73"/>
      <c r="ROF73"/>
      <c r="ROG73"/>
      <c r="ROH73"/>
      <c r="ROI73"/>
      <c r="ROJ73"/>
      <c r="ROK73"/>
      <c r="ROL73"/>
      <c r="ROM73"/>
      <c r="RON73"/>
      <c r="ROO73"/>
      <c r="ROP73"/>
      <c r="ROQ73"/>
      <c r="ROR73"/>
      <c r="ROS73"/>
      <c r="ROT73"/>
      <c r="ROU73"/>
      <c r="ROV73"/>
      <c r="ROW73"/>
      <c r="ROX73"/>
      <c r="ROY73"/>
      <c r="ROZ73"/>
      <c r="RPA73"/>
      <c r="RPB73"/>
      <c r="RPC73"/>
      <c r="RPD73"/>
      <c r="RPE73"/>
      <c r="RPF73"/>
      <c r="RPG73"/>
      <c r="RPH73"/>
      <c r="RPI73"/>
      <c r="RPJ73"/>
      <c r="RPK73"/>
      <c r="RPL73"/>
      <c r="RPM73"/>
      <c r="RPN73"/>
      <c r="RPO73"/>
      <c r="RPP73"/>
      <c r="RPQ73"/>
      <c r="RPR73"/>
      <c r="RPS73"/>
      <c r="RPT73"/>
      <c r="RPU73"/>
      <c r="RPV73"/>
      <c r="RPW73"/>
      <c r="RPX73"/>
      <c r="RPY73"/>
      <c r="RPZ73"/>
      <c r="RQA73"/>
      <c r="RQB73"/>
      <c r="RQC73"/>
      <c r="RQD73"/>
      <c r="RQE73"/>
      <c r="RQF73"/>
      <c r="RQG73"/>
      <c r="RQH73"/>
      <c r="RQI73"/>
      <c r="RQJ73"/>
      <c r="RQK73"/>
      <c r="RQL73"/>
      <c r="RQM73"/>
      <c r="RQN73"/>
      <c r="RQO73"/>
      <c r="RQP73"/>
      <c r="RQQ73"/>
      <c r="RQR73"/>
      <c r="RQS73"/>
      <c r="RQT73"/>
      <c r="RQU73"/>
      <c r="RQV73"/>
      <c r="RQW73"/>
      <c r="RQX73"/>
      <c r="RQY73"/>
      <c r="RQZ73"/>
      <c r="RRA73"/>
      <c r="RRB73"/>
      <c r="RRC73"/>
      <c r="RRD73"/>
      <c r="RRE73"/>
      <c r="RRF73"/>
      <c r="RRG73"/>
      <c r="RRH73"/>
      <c r="RRI73"/>
      <c r="RRJ73"/>
      <c r="RRK73"/>
      <c r="RRL73"/>
      <c r="RRM73"/>
      <c r="RRN73"/>
      <c r="RRO73"/>
      <c r="RRP73"/>
      <c r="RRQ73"/>
      <c r="RRR73"/>
      <c r="RRS73"/>
      <c r="RRT73"/>
      <c r="RRU73"/>
      <c r="RRV73"/>
      <c r="RRW73"/>
      <c r="RRX73"/>
      <c r="RRY73"/>
      <c r="RRZ73"/>
      <c r="RSA73"/>
      <c r="RSB73"/>
      <c r="RSC73"/>
      <c r="RSD73"/>
      <c r="RSE73"/>
      <c r="RSF73"/>
      <c r="RSG73"/>
      <c r="RSH73"/>
      <c r="RSI73"/>
      <c r="RSJ73"/>
      <c r="RSK73"/>
      <c r="RSL73"/>
      <c r="RSM73"/>
      <c r="RSN73"/>
      <c r="RSO73"/>
      <c r="RSP73"/>
      <c r="RSQ73"/>
      <c r="RSR73"/>
      <c r="RSS73"/>
      <c r="RST73"/>
      <c r="RSU73"/>
      <c r="RSV73"/>
      <c r="RSW73"/>
      <c r="RSX73"/>
      <c r="RSY73"/>
      <c r="RSZ73"/>
      <c r="RTA73"/>
      <c r="RTB73"/>
      <c r="RTC73"/>
      <c r="RTD73"/>
      <c r="RTE73"/>
      <c r="RTF73"/>
      <c r="RTG73"/>
      <c r="RTH73"/>
      <c r="RTI73"/>
      <c r="RTJ73"/>
      <c r="RTK73"/>
      <c r="RTL73"/>
      <c r="RTM73"/>
      <c r="RTN73"/>
      <c r="RTO73"/>
      <c r="RTP73"/>
      <c r="RTQ73"/>
      <c r="RTR73"/>
      <c r="RTS73"/>
      <c r="RTT73"/>
      <c r="RTU73"/>
      <c r="RTV73"/>
      <c r="RTW73"/>
      <c r="RTX73"/>
      <c r="RTY73"/>
      <c r="RTZ73"/>
      <c r="RUA73"/>
      <c r="RUB73"/>
      <c r="RUC73"/>
      <c r="RUD73"/>
      <c r="RUE73"/>
      <c r="RUF73"/>
      <c r="RUG73"/>
      <c r="RUH73"/>
      <c r="RUI73"/>
      <c r="RUJ73"/>
      <c r="RUK73"/>
      <c r="RUL73"/>
      <c r="RUM73"/>
      <c r="RUN73"/>
      <c r="RUO73"/>
      <c r="RUP73"/>
      <c r="RUQ73"/>
      <c r="RUR73"/>
      <c r="RUS73"/>
      <c r="RUT73"/>
      <c r="RUU73"/>
      <c r="RUV73"/>
      <c r="RUW73"/>
      <c r="RUX73"/>
      <c r="RUY73"/>
      <c r="RUZ73"/>
      <c r="RVA73"/>
      <c r="RVB73"/>
      <c r="RVC73"/>
      <c r="RVD73"/>
      <c r="RVE73"/>
      <c r="RVF73"/>
      <c r="RVG73"/>
      <c r="RVH73"/>
      <c r="RVI73"/>
      <c r="RVJ73"/>
      <c r="RVK73"/>
      <c r="RVL73"/>
      <c r="RVM73"/>
      <c r="RVN73"/>
      <c r="RVO73"/>
      <c r="RVP73"/>
      <c r="RVQ73"/>
      <c r="RVR73"/>
      <c r="RVS73"/>
      <c r="RVT73"/>
      <c r="RVU73"/>
      <c r="RVV73"/>
      <c r="RVW73"/>
      <c r="RVX73"/>
      <c r="RVY73"/>
      <c r="RVZ73"/>
      <c r="RWA73"/>
      <c r="RWB73"/>
      <c r="RWC73"/>
      <c r="RWD73"/>
      <c r="RWE73"/>
      <c r="RWF73"/>
      <c r="RWG73"/>
      <c r="RWH73"/>
      <c r="RWI73"/>
      <c r="RWJ73"/>
      <c r="RWK73"/>
      <c r="RWL73"/>
      <c r="RWM73"/>
      <c r="RWN73"/>
      <c r="RWO73"/>
      <c r="RWP73"/>
      <c r="RWQ73"/>
      <c r="RWR73"/>
      <c r="RWS73"/>
      <c r="RWT73"/>
      <c r="RWU73"/>
      <c r="RWV73"/>
      <c r="RWW73"/>
      <c r="RWX73"/>
      <c r="RWY73"/>
      <c r="RWZ73"/>
      <c r="RXA73"/>
      <c r="RXB73"/>
      <c r="RXC73"/>
      <c r="RXD73"/>
      <c r="RXE73"/>
      <c r="RXF73"/>
      <c r="RXG73"/>
      <c r="RXH73"/>
      <c r="RXI73"/>
      <c r="RXJ73"/>
      <c r="RXK73"/>
      <c r="RXL73"/>
      <c r="RXM73"/>
      <c r="RXN73"/>
      <c r="RXO73"/>
      <c r="RXP73"/>
      <c r="RXQ73"/>
      <c r="RXR73"/>
      <c r="RXS73"/>
      <c r="RXT73"/>
      <c r="RXU73"/>
      <c r="RXV73"/>
      <c r="RXW73"/>
      <c r="RXX73"/>
      <c r="RXY73"/>
      <c r="RXZ73"/>
      <c r="RYA73"/>
      <c r="RYB73"/>
      <c r="RYC73"/>
      <c r="RYD73"/>
      <c r="RYE73"/>
      <c r="RYF73"/>
      <c r="RYG73"/>
      <c r="RYH73"/>
      <c r="RYI73"/>
      <c r="RYJ73"/>
      <c r="RYK73"/>
      <c r="RYL73"/>
      <c r="RYM73"/>
      <c r="RYN73"/>
      <c r="RYO73"/>
      <c r="RYP73"/>
      <c r="RYQ73"/>
      <c r="RYR73"/>
      <c r="RYS73"/>
      <c r="RYT73"/>
      <c r="RYU73"/>
      <c r="RYV73"/>
      <c r="RYW73"/>
      <c r="RYX73"/>
      <c r="RYY73"/>
      <c r="RYZ73"/>
      <c r="RZA73"/>
      <c r="RZB73"/>
      <c r="RZC73"/>
      <c r="RZD73"/>
      <c r="RZE73"/>
      <c r="RZF73"/>
      <c r="RZG73"/>
      <c r="RZH73"/>
      <c r="RZI73"/>
      <c r="RZJ73"/>
      <c r="RZK73"/>
      <c r="RZL73"/>
      <c r="RZM73"/>
      <c r="RZN73"/>
      <c r="RZO73"/>
      <c r="RZP73"/>
      <c r="RZQ73"/>
      <c r="RZR73"/>
      <c r="RZS73"/>
      <c r="RZT73"/>
      <c r="RZU73"/>
      <c r="RZV73"/>
      <c r="RZW73"/>
      <c r="RZX73"/>
      <c r="RZY73"/>
      <c r="RZZ73"/>
      <c r="SAA73"/>
      <c r="SAB73"/>
      <c r="SAC73"/>
      <c r="SAD73"/>
      <c r="SAE73"/>
      <c r="SAF73"/>
      <c r="SAG73"/>
      <c r="SAH73"/>
      <c r="SAI73"/>
      <c r="SAJ73"/>
      <c r="SAK73"/>
      <c r="SAL73"/>
      <c r="SAM73"/>
      <c r="SAN73"/>
      <c r="SAO73"/>
      <c r="SAP73"/>
      <c r="SAQ73"/>
      <c r="SAR73"/>
      <c r="SAS73"/>
      <c r="SAT73"/>
      <c r="SAU73"/>
      <c r="SAV73"/>
      <c r="SAW73"/>
      <c r="SAX73"/>
      <c r="SAY73"/>
      <c r="SAZ73"/>
      <c r="SBA73"/>
      <c r="SBB73"/>
      <c r="SBC73"/>
      <c r="SBD73"/>
      <c r="SBE73"/>
      <c r="SBF73"/>
      <c r="SBG73"/>
      <c r="SBH73"/>
      <c r="SBI73"/>
      <c r="SBJ73"/>
      <c r="SBK73"/>
      <c r="SBL73"/>
      <c r="SBM73"/>
      <c r="SBN73"/>
      <c r="SBO73"/>
      <c r="SBP73"/>
      <c r="SBQ73"/>
      <c r="SBR73"/>
      <c r="SBS73"/>
      <c r="SBT73"/>
      <c r="SBU73"/>
      <c r="SBV73"/>
      <c r="SBW73"/>
      <c r="SBX73"/>
      <c r="SBY73"/>
      <c r="SBZ73"/>
      <c r="SCA73"/>
      <c r="SCB73"/>
      <c r="SCC73"/>
      <c r="SCD73"/>
      <c r="SCE73"/>
      <c r="SCF73"/>
      <c r="SCG73"/>
      <c r="SCH73"/>
      <c r="SCI73"/>
      <c r="SCJ73"/>
      <c r="SCK73"/>
      <c r="SCL73"/>
      <c r="SCM73"/>
      <c r="SCN73"/>
      <c r="SCO73"/>
      <c r="SCP73"/>
      <c r="SCQ73"/>
      <c r="SCR73"/>
      <c r="SCS73"/>
      <c r="SCT73"/>
      <c r="SCU73"/>
      <c r="SCV73"/>
      <c r="SCW73"/>
      <c r="SCX73"/>
      <c r="SCY73"/>
      <c r="SCZ73"/>
      <c r="SDA73"/>
      <c r="SDB73"/>
      <c r="SDC73"/>
      <c r="SDD73"/>
      <c r="SDE73"/>
      <c r="SDF73"/>
      <c r="SDG73"/>
      <c r="SDH73"/>
      <c r="SDI73"/>
      <c r="SDJ73"/>
      <c r="SDK73"/>
      <c r="SDL73"/>
      <c r="SDM73"/>
      <c r="SDN73"/>
      <c r="SDO73"/>
      <c r="SDP73"/>
      <c r="SDQ73"/>
      <c r="SDR73"/>
      <c r="SDS73"/>
      <c r="SDT73"/>
      <c r="SDU73"/>
      <c r="SDV73"/>
      <c r="SDW73"/>
      <c r="SDX73"/>
      <c r="SDY73"/>
      <c r="SDZ73"/>
      <c r="SEA73"/>
      <c r="SEB73"/>
      <c r="SEC73"/>
      <c r="SED73"/>
      <c r="SEE73"/>
      <c r="SEF73"/>
      <c r="SEG73"/>
      <c r="SEH73"/>
      <c r="SEI73"/>
      <c r="SEJ73"/>
      <c r="SEK73"/>
      <c r="SEL73"/>
      <c r="SEM73"/>
      <c r="SEN73"/>
      <c r="SEO73"/>
      <c r="SEP73"/>
      <c r="SEQ73"/>
      <c r="SER73"/>
      <c r="SES73"/>
      <c r="SET73"/>
      <c r="SEU73"/>
      <c r="SEV73"/>
      <c r="SEW73"/>
      <c r="SEX73"/>
      <c r="SEY73"/>
      <c r="SEZ73"/>
      <c r="SFA73"/>
      <c r="SFB73"/>
      <c r="SFC73"/>
      <c r="SFD73"/>
      <c r="SFE73"/>
      <c r="SFF73"/>
      <c r="SFG73"/>
      <c r="SFH73"/>
      <c r="SFI73"/>
      <c r="SFJ73"/>
      <c r="SFK73"/>
      <c r="SFL73"/>
      <c r="SFM73"/>
      <c r="SFN73"/>
      <c r="SFO73"/>
      <c r="SFP73"/>
      <c r="SFQ73"/>
      <c r="SFR73"/>
      <c r="SFS73"/>
      <c r="SFT73"/>
      <c r="SFU73"/>
      <c r="SFV73"/>
      <c r="SFW73"/>
      <c r="SFX73"/>
      <c r="SFY73"/>
      <c r="SFZ73"/>
      <c r="SGA73"/>
      <c r="SGB73"/>
      <c r="SGC73"/>
      <c r="SGD73"/>
      <c r="SGE73"/>
      <c r="SGF73"/>
      <c r="SGG73"/>
      <c r="SGH73"/>
      <c r="SGI73"/>
      <c r="SGJ73"/>
      <c r="SGK73"/>
      <c r="SGL73"/>
      <c r="SGM73"/>
      <c r="SGN73"/>
      <c r="SGO73"/>
      <c r="SGP73"/>
      <c r="SGQ73"/>
      <c r="SGR73"/>
      <c r="SGS73"/>
      <c r="SGT73"/>
      <c r="SGU73"/>
      <c r="SGV73"/>
      <c r="SGW73"/>
      <c r="SGX73"/>
      <c r="SGY73"/>
      <c r="SGZ73"/>
      <c r="SHA73"/>
      <c r="SHB73"/>
      <c r="SHC73"/>
      <c r="SHD73"/>
      <c r="SHE73"/>
      <c r="SHF73"/>
      <c r="SHG73"/>
      <c r="SHH73"/>
      <c r="SHI73"/>
      <c r="SHJ73"/>
      <c r="SHK73"/>
      <c r="SHL73"/>
      <c r="SHM73"/>
      <c r="SHN73"/>
      <c r="SHO73"/>
      <c r="SHP73"/>
      <c r="SHQ73"/>
      <c r="SHR73"/>
      <c r="SHS73"/>
      <c r="SHT73"/>
      <c r="SHU73"/>
      <c r="SHV73"/>
      <c r="SHW73"/>
      <c r="SHX73"/>
      <c r="SHY73"/>
      <c r="SHZ73"/>
      <c r="SIA73"/>
      <c r="SIB73"/>
      <c r="SIC73"/>
      <c r="SID73"/>
      <c r="SIE73"/>
      <c r="SIF73"/>
      <c r="SIG73"/>
      <c r="SIH73"/>
      <c r="SII73"/>
      <c r="SIJ73"/>
      <c r="SIK73"/>
      <c r="SIL73"/>
      <c r="SIM73"/>
      <c r="SIN73"/>
      <c r="SIO73"/>
      <c r="SIP73"/>
      <c r="SIQ73"/>
      <c r="SIR73"/>
      <c r="SIS73"/>
      <c r="SIT73"/>
      <c r="SIU73"/>
      <c r="SIV73"/>
      <c r="SIW73"/>
      <c r="SIX73"/>
      <c r="SIY73"/>
      <c r="SIZ73"/>
      <c r="SJA73"/>
      <c r="SJB73"/>
      <c r="SJC73"/>
      <c r="SJD73"/>
      <c r="SJE73"/>
      <c r="SJF73"/>
      <c r="SJG73"/>
      <c r="SJH73"/>
      <c r="SJI73"/>
      <c r="SJJ73"/>
      <c r="SJK73"/>
      <c r="SJL73"/>
      <c r="SJM73"/>
      <c r="SJN73"/>
      <c r="SJO73"/>
      <c r="SJP73"/>
      <c r="SJQ73"/>
      <c r="SJR73"/>
      <c r="SJS73"/>
      <c r="SJT73"/>
      <c r="SJU73"/>
      <c r="SJV73"/>
      <c r="SJW73"/>
      <c r="SJX73"/>
      <c r="SJY73"/>
      <c r="SJZ73"/>
      <c r="SKA73"/>
      <c r="SKB73"/>
      <c r="SKC73"/>
      <c r="SKD73"/>
      <c r="SKE73"/>
      <c r="SKF73"/>
      <c r="SKG73"/>
      <c r="SKH73"/>
      <c r="SKI73"/>
      <c r="SKJ73"/>
      <c r="SKK73"/>
      <c r="SKL73"/>
      <c r="SKM73"/>
      <c r="SKN73"/>
      <c r="SKO73"/>
      <c r="SKP73"/>
      <c r="SKQ73"/>
      <c r="SKR73"/>
      <c r="SKS73"/>
      <c r="SKT73"/>
      <c r="SKU73"/>
      <c r="SKV73"/>
      <c r="SKW73"/>
      <c r="SKX73"/>
      <c r="SKY73"/>
      <c r="SKZ73"/>
      <c r="SLA73"/>
      <c r="SLB73"/>
      <c r="SLC73"/>
      <c r="SLD73"/>
      <c r="SLE73"/>
      <c r="SLF73"/>
      <c r="SLG73"/>
      <c r="SLH73"/>
      <c r="SLI73"/>
      <c r="SLJ73"/>
      <c r="SLK73"/>
      <c r="SLL73"/>
      <c r="SLM73"/>
      <c r="SLN73"/>
      <c r="SLO73"/>
      <c r="SLP73"/>
      <c r="SLQ73"/>
      <c r="SLR73"/>
      <c r="SLS73"/>
      <c r="SLT73"/>
      <c r="SLU73"/>
      <c r="SLV73"/>
      <c r="SLW73"/>
      <c r="SLX73"/>
      <c r="SLY73"/>
      <c r="SLZ73"/>
      <c r="SMA73"/>
      <c r="SMB73"/>
      <c r="SMC73"/>
      <c r="SMD73"/>
      <c r="SME73"/>
      <c r="SMF73"/>
      <c r="SMG73"/>
      <c r="SMH73"/>
      <c r="SMI73"/>
      <c r="SMJ73"/>
      <c r="SMK73"/>
      <c r="SML73"/>
      <c r="SMM73"/>
      <c r="SMN73"/>
      <c r="SMO73"/>
      <c r="SMP73"/>
      <c r="SMQ73"/>
      <c r="SMR73"/>
      <c r="SMS73"/>
      <c r="SMT73"/>
      <c r="SMU73"/>
      <c r="SMV73"/>
      <c r="SMW73"/>
      <c r="SMX73"/>
      <c r="SMY73"/>
      <c r="SMZ73"/>
      <c r="SNA73"/>
      <c r="SNB73"/>
      <c r="SNC73"/>
      <c r="SND73"/>
      <c r="SNE73"/>
      <c r="SNF73"/>
      <c r="SNG73"/>
      <c r="SNH73"/>
      <c r="SNI73"/>
      <c r="SNJ73"/>
      <c r="SNK73"/>
      <c r="SNL73"/>
      <c r="SNM73"/>
      <c r="SNN73"/>
      <c r="SNO73"/>
      <c r="SNP73"/>
      <c r="SNQ73"/>
      <c r="SNR73"/>
      <c r="SNS73"/>
      <c r="SNT73"/>
      <c r="SNU73"/>
      <c r="SNV73"/>
      <c r="SNW73"/>
      <c r="SNX73"/>
      <c r="SNY73"/>
      <c r="SNZ73"/>
      <c r="SOA73"/>
      <c r="SOB73"/>
      <c r="SOC73"/>
      <c r="SOD73"/>
      <c r="SOE73"/>
      <c r="SOF73"/>
      <c r="SOG73"/>
      <c r="SOH73"/>
      <c r="SOI73"/>
      <c r="SOJ73"/>
      <c r="SOK73"/>
      <c r="SOL73"/>
      <c r="SOM73"/>
      <c r="SON73"/>
      <c r="SOO73"/>
      <c r="SOP73"/>
      <c r="SOQ73"/>
      <c r="SOR73"/>
      <c r="SOS73"/>
      <c r="SOT73"/>
      <c r="SOU73"/>
      <c r="SOV73"/>
      <c r="SOW73"/>
      <c r="SOX73"/>
      <c r="SOY73"/>
      <c r="SOZ73"/>
      <c r="SPA73"/>
      <c r="SPB73"/>
      <c r="SPC73"/>
      <c r="SPD73"/>
      <c r="SPE73"/>
      <c r="SPF73"/>
      <c r="SPG73"/>
      <c r="SPH73"/>
      <c r="SPI73"/>
      <c r="SPJ73"/>
      <c r="SPK73"/>
      <c r="SPL73"/>
      <c r="SPM73"/>
      <c r="SPN73"/>
      <c r="SPO73"/>
      <c r="SPP73"/>
      <c r="SPQ73"/>
      <c r="SPR73"/>
      <c r="SPS73"/>
      <c r="SPT73"/>
      <c r="SPU73"/>
      <c r="SPV73"/>
      <c r="SPW73"/>
      <c r="SPX73"/>
      <c r="SPY73"/>
      <c r="SPZ73"/>
      <c r="SQA73"/>
      <c r="SQB73"/>
      <c r="SQC73"/>
      <c r="SQD73"/>
      <c r="SQE73"/>
      <c r="SQF73"/>
      <c r="SQG73"/>
      <c r="SQH73"/>
      <c r="SQI73"/>
      <c r="SQJ73"/>
      <c r="SQK73"/>
      <c r="SQL73"/>
      <c r="SQM73"/>
      <c r="SQN73"/>
      <c r="SQO73"/>
      <c r="SQP73"/>
      <c r="SQQ73"/>
      <c r="SQR73"/>
      <c r="SQS73"/>
      <c r="SQT73"/>
      <c r="SQU73"/>
      <c r="SQV73"/>
      <c r="SQW73"/>
      <c r="SQX73"/>
      <c r="SQY73"/>
      <c r="SQZ73"/>
      <c r="SRA73"/>
      <c r="SRB73"/>
      <c r="SRC73"/>
      <c r="SRD73"/>
      <c r="SRE73"/>
      <c r="SRF73"/>
      <c r="SRG73"/>
      <c r="SRH73"/>
      <c r="SRI73"/>
      <c r="SRJ73"/>
      <c r="SRK73"/>
      <c r="SRL73"/>
      <c r="SRM73"/>
      <c r="SRN73"/>
      <c r="SRO73"/>
      <c r="SRP73"/>
      <c r="SRQ73"/>
      <c r="SRR73"/>
      <c r="SRS73"/>
      <c r="SRT73"/>
      <c r="SRU73"/>
      <c r="SRV73"/>
      <c r="SRW73"/>
      <c r="SRX73"/>
      <c r="SRY73"/>
      <c r="SRZ73"/>
      <c r="SSA73"/>
      <c r="SSB73"/>
      <c r="SSC73"/>
      <c r="SSD73"/>
      <c r="SSE73"/>
      <c r="SSF73"/>
      <c r="SSG73"/>
      <c r="SSH73"/>
      <c r="SSI73"/>
      <c r="SSJ73"/>
      <c r="SSK73"/>
      <c r="SSL73"/>
      <c r="SSM73"/>
      <c r="SSN73"/>
      <c r="SSO73"/>
      <c r="SSP73"/>
      <c r="SSQ73"/>
      <c r="SSR73"/>
      <c r="SSS73"/>
      <c r="SST73"/>
      <c r="SSU73"/>
      <c r="SSV73"/>
      <c r="SSW73"/>
      <c r="SSX73"/>
      <c r="SSY73"/>
      <c r="SSZ73"/>
      <c r="STA73"/>
      <c r="STB73"/>
      <c r="STC73"/>
      <c r="STD73"/>
      <c r="STE73"/>
      <c r="STF73"/>
      <c r="STG73"/>
      <c r="STH73"/>
      <c r="STI73"/>
      <c r="STJ73"/>
      <c r="STK73"/>
      <c r="STL73"/>
      <c r="STM73"/>
      <c r="STN73"/>
      <c r="STO73"/>
      <c r="STP73"/>
      <c r="STQ73"/>
      <c r="STR73"/>
      <c r="STS73"/>
      <c r="STT73"/>
      <c r="STU73"/>
      <c r="STV73"/>
      <c r="STW73"/>
      <c r="STX73"/>
      <c r="STY73"/>
      <c r="STZ73"/>
      <c r="SUA73"/>
      <c r="SUB73"/>
      <c r="SUC73"/>
      <c r="SUD73"/>
      <c r="SUE73"/>
      <c r="SUF73"/>
      <c r="SUG73"/>
      <c r="SUH73"/>
      <c r="SUI73"/>
      <c r="SUJ73"/>
      <c r="SUK73"/>
      <c r="SUL73"/>
      <c r="SUM73"/>
      <c r="SUN73"/>
      <c r="SUO73"/>
      <c r="SUP73"/>
      <c r="SUQ73"/>
      <c r="SUR73"/>
      <c r="SUS73"/>
      <c r="SUT73"/>
      <c r="SUU73"/>
      <c r="SUV73"/>
      <c r="SUW73"/>
      <c r="SUX73"/>
      <c r="SUY73"/>
      <c r="SUZ73"/>
      <c r="SVA73"/>
      <c r="SVB73"/>
      <c r="SVC73"/>
      <c r="SVD73"/>
      <c r="SVE73"/>
      <c r="SVF73"/>
      <c r="SVG73"/>
      <c r="SVH73"/>
      <c r="SVI73"/>
      <c r="SVJ73"/>
      <c r="SVK73"/>
      <c r="SVL73"/>
      <c r="SVM73"/>
      <c r="SVN73"/>
      <c r="SVO73"/>
      <c r="SVP73"/>
      <c r="SVQ73"/>
      <c r="SVR73"/>
      <c r="SVS73"/>
      <c r="SVT73"/>
      <c r="SVU73"/>
      <c r="SVV73"/>
      <c r="SVW73"/>
      <c r="SVX73"/>
      <c r="SVY73"/>
      <c r="SVZ73"/>
      <c r="SWA73"/>
      <c r="SWB73"/>
      <c r="SWC73"/>
      <c r="SWD73"/>
      <c r="SWE73"/>
      <c r="SWF73"/>
      <c r="SWG73"/>
      <c r="SWH73"/>
      <c r="SWI73"/>
      <c r="SWJ73"/>
      <c r="SWK73"/>
      <c r="SWL73"/>
      <c r="SWM73"/>
      <c r="SWN73"/>
      <c r="SWO73"/>
      <c r="SWP73"/>
      <c r="SWQ73"/>
      <c r="SWR73"/>
      <c r="SWS73"/>
      <c r="SWT73"/>
      <c r="SWU73"/>
      <c r="SWV73"/>
      <c r="SWW73"/>
      <c r="SWX73"/>
      <c r="SWY73"/>
      <c r="SWZ73"/>
      <c r="SXA73"/>
      <c r="SXB73"/>
      <c r="SXC73"/>
      <c r="SXD73"/>
      <c r="SXE73"/>
      <c r="SXF73"/>
      <c r="SXG73"/>
      <c r="SXH73"/>
      <c r="SXI73"/>
      <c r="SXJ73"/>
      <c r="SXK73"/>
      <c r="SXL73"/>
      <c r="SXM73"/>
      <c r="SXN73"/>
      <c r="SXO73"/>
      <c r="SXP73"/>
      <c r="SXQ73"/>
      <c r="SXR73"/>
      <c r="SXS73"/>
      <c r="SXT73"/>
      <c r="SXU73"/>
      <c r="SXV73"/>
      <c r="SXW73"/>
      <c r="SXX73"/>
      <c r="SXY73"/>
      <c r="SXZ73"/>
      <c r="SYA73"/>
      <c r="SYB73"/>
      <c r="SYC73"/>
      <c r="SYD73"/>
      <c r="SYE73"/>
      <c r="SYF73"/>
      <c r="SYG73"/>
      <c r="SYH73"/>
      <c r="SYI73"/>
      <c r="SYJ73"/>
      <c r="SYK73"/>
      <c r="SYL73"/>
      <c r="SYM73"/>
      <c r="SYN73"/>
      <c r="SYO73"/>
      <c r="SYP73"/>
      <c r="SYQ73"/>
      <c r="SYR73"/>
      <c r="SYS73"/>
      <c r="SYT73"/>
      <c r="SYU73"/>
      <c r="SYV73"/>
      <c r="SYW73"/>
      <c r="SYX73"/>
      <c r="SYY73"/>
      <c r="SYZ73"/>
      <c r="SZA73"/>
      <c r="SZB73"/>
      <c r="SZC73"/>
      <c r="SZD73"/>
      <c r="SZE73"/>
      <c r="SZF73"/>
      <c r="SZG73"/>
      <c r="SZH73"/>
      <c r="SZI73"/>
      <c r="SZJ73"/>
      <c r="SZK73"/>
      <c r="SZL73"/>
      <c r="SZM73"/>
      <c r="SZN73"/>
      <c r="SZO73"/>
      <c r="SZP73"/>
      <c r="SZQ73"/>
      <c r="SZR73"/>
      <c r="SZS73"/>
      <c r="SZT73"/>
      <c r="SZU73"/>
      <c r="SZV73"/>
      <c r="SZW73"/>
      <c r="SZX73"/>
      <c r="SZY73"/>
      <c r="SZZ73"/>
      <c r="TAA73"/>
      <c r="TAB73"/>
      <c r="TAC73"/>
      <c r="TAD73"/>
      <c r="TAE73"/>
      <c r="TAF73"/>
      <c r="TAG73"/>
      <c r="TAH73"/>
      <c r="TAI73"/>
      <c r="TAJ73"/>
      <c r="TAK73"/>
      <c r="TAL73"/>
      <c r="TAM73"/>
      <c r="TAN73"/>
      <c r="TAO73"/>
      <c r="TAP73"/>
      <c r="TAQ73"/>
      <c r="TAR73"/>
      <c r="TAS73"/>
      <c r="TAT73"/>
      <c r="TAU73"/>
      <c r="TAV73"/>
      <c r="TAW73"/>
      <c r="TAX73"/>
      <c r="TAY73"/>
      <c r="TAZ73"/>
      <c r="TBA73"/>
      <c r="TBB73"/>
      <c r="TBC73"/>
      <c r="TBD73"/>
      <c r="TBE73"/>
      <c r="TBF73"/>
      <c r="TBG73"/>
      <c r="TBH73"/>
      <c r="TBI73"/>
      <c r="TBJ73"/>
      <c r="TBK73"/>
      <c r="TBL73"/>
      <c r="TBM73"/>
      <c r="TBN73"/>
      <c r="TBO73"/>
      <c r="TBP73"/>
      <c r="TBQ73"/>
      <c r="TBR73"/>
      <c r="TBS73"/>
      <c r="TBT73"/>
      <c r="TBU73"/>
      <c r="TBV73"/>
      <c r="TBW73"/>
      <c r="TBX73"/>
      <c r="TBY73"/>
      <c r="TBZ73"/>
      <c r="TCA73"/>
      <c r="TCB73"/>
      <c r="TCC73"/>
      <c r="TCD73"/>
      <c r="TCE73"/>
      <c r="TCF73"/>
      <c r="TCG73"/>
      <c r="TCH73"/>
      <c r="TCI73"/>
      <c r="TCJ73"/>
      <c r="TCK73"/>
      <c r="TCL73"/>
      <c r="TCM73"/>
      <c r="TCN73"/>
      <c r="TCO73"/>
      <c r="TCP73"/>
      <c r="TCQ73"/>
      <c r="TCR73"/>
      <c r="TCS73"/>
      <c r="TCT73"/>
      <c r="TCU73"/>
      <c r="TCV73"/>
      <c r="TCW73"/>
      <c r="TCX73"/>
      <c r="TCY73"/>
      <c r="TCZ73"/>
      <c r="TDA73"/>
      <c r="TDB73"/>
      <c r="TDC73"/>
      <c r="TDD73"/>
      <c r="TDE73"/>
      <c r="TDF73"/>
      <c r="TDG73"/>
      <c r="TDH73"/>
      <c r="TDI73"/>
      <c r="TDJ73"/>
      <c r="TDK73"/>
      <c r="TDL73"/>
      <c r="TDM73"/>
      <c r="TDN73"/>
      <c r="TDO73"/>
      <c r="TDP73"/>
      <c r="TDQ73"/>
      <c r="TDR73"/>
      <c r="TDS73"/>
      <c r="TDT73"/>
      <c r="TDU73"/>
      <c r="TDV73"/>
      <c r="TDW73"/>
      <c r="TDX73"/>
      <c r="TDY73"/>
      <c r="TDZ73"/>
      <c r="TEA73"/>
      <c r="TEB73"/>
      <c r="TEC73"/>
      <c r="TED73"/>
      <c r="TEE73"/>
      <c r="TEF73"/>
      <c r="TEG73"/>
      <c r="TEH73"/>
      <c r="TEI73"/>
      <c r="TEJ73"/>
      <c r="TEK73"/>
      <c r="TEL73"/>
      <c r="TEM73"/>
      <c r="TEN73"/>
      <c r="TEO73"/>
      <c r="TEP73"/>
      <c r="TEQ73"/>
      <c r="TER73"/>
      <c r="TES73"/>
      <c r="TET73"/>
      <c r="TEU73"/>
      <c r="TEV73"/>
      <c r="TEW73"/>
      <c r="TEX73"/>
      <c r="TEY73"/>
      <c r="TEZ73"/>
      <c r="TFA73"/>
      <c r="TFB73"/>
      <c r="TFC73"/>
      <c r="TFD73"/>
      <c r="TFE73"/>
      <c r="TFF73"/>
      <c r="TFG73"/>
      <c r="TFH73"/>
      <c r="TFI73"/>
      <c r="TFJ73"/>
      <c r="TFK73"/>
      <c r="TFL73"/>
      <c r="TFM73"/>
      <c r="TFN73"/>
      <c r="TFO73"/>
      <c r="TFP73"/>
      <c r="TFQ73"/>
      <c r="TFR73"/>
      <c r="TFS73"/>
      <c r="TFT73"/>
      <c r="TFU73"/>
      <c r="TFV73"/>
      <c r="TFW73"/>
      <c r="TFX73"/>
      <c r="TFY73"/>
      <c r="TFZ73"/>
      <c r="TGA73"/>
      <c r="TGB73"/>
      <c r="TGC73"/>
      <c r="TGD73"/>
      <c r="TGE73"/>
      <c r="TGF73"/>
      <c r="TGG73"/>
      <c r="TGH73"/>
      <c r="TGI73"/>
      <c r="TGJ73"/>
      <c r="TGK73"/>
      <c r="TGL73"/>
      <c r="TGM73"/>
      <c r="TGN73"/>
      <c r="TGO73"/>
      <c r="TGP73"/>
      <c r="TGQ73"/>
      <c r="TGR73"/>
      <c r="TGS73"/>
      <c r="TGT73"/>
      <c r="TGU73"/>
      <c r="TGV73"/>
      <c r="TGW73"/>
      <c r="TGX73"/>
      <c r="TGY73"/>
      <c r="TGZ73"/>
      <c r="THA73"/>
      <c r="THB73"/>
      <c r="THC73"/>
      <c r="THD73"/>
      <c r="THE73"/>
      <c r="THF73"/>
      <c r="THG73"/>
      <c r="THH73"/>
      <c r="THI73"/>
      <c r="THJ73"/>
      <c r="THK73"/>
      <c r="THL73"/>
      <c r="THM73"/>
      <c r="THN73"/>
      <c r="THO73"/>
      <c r="THP73"/>
      <c r="THQ73"/>
      <c r="THR73"/>
      <c r="THS73"/>
      <c r="THT73"/>
      <c r="THU73"/>
      <c r="THV73"/>
      <c r="THW73"/>
      <c r="THX73"/>
      <c r="THY73"/>
      <c r="THZ73"/>
      <c r="TIA73"/>
      <c r="TIB73"/>
      <c r="TIC73"/>
      <c r="TID73"/>
      <c r="TIE73"/>
      <c r="TIF73"/>
      <c r="TIG73"/>
      <c r="TIH73"/>
      <c r="TII73"/>
      <c r="TIJ73"/>
      <c r="TIK73"/>
      <c r="TIL73"/>
      <c r="TIM73"/>
      <c r="TIN73"/>
      <c r="TIO73"/>
      <c r="TIP73"/>
      <c r="TIQ73"/>
      <c r="TIR73"/>
      <c r="TIS73"/>
      <c r="TIT73"/>
      <c r="TIU73"/>
      <c r="TIV73"/>
      <c r="TIW73"/>
      <c r="TIX73"/>
      <c r="TIY73"/>
      <c r="TIZ73"/>
      <c r="TJA73"/>
      <c r="TJB73"/>
      <c r="TJC73"/>
      <c r="TJD73"/>
      <c r="TJE73"/>
      <c r="TJF73"/>
      <c r="TJG73"/>
      <c r="TJH73"/>
      <c r="TJI73"/>
      <c r="TJJ73"/>
      <c r="TJK73"/>
      <c r="TJL73"/>
      <c r="TJM73"/>
      <c r="TJN73"/>
      <c r="TJO73"/>
      <c r="TJP73"/>
      <c r="TJQ73"/>
      <c r="TJR73"/>
      <c r="TJS73"/>
      <c r="TJT73"/>
      <c r="TJU73"/>
      <c r="TJV73"/>
      <c r="TJW73"/>
      <c r="TJX73"/>
      <c r="TJY73"/>
      <c r="TJZ73"/>
      <c r="TKA73"/>
      <c r="TKB73"/>
      <c r="TKC73"/>
      <c r="TKD73"/>
      <c r="TKE73"/>
      <c r="TKF73"/>
      <c r="TKG73"/>
      <c r="TKH73"/>
      <c r="TKI73"/>
      <c r="TKJ73"/>
      <c r="TKK73"/>
      <c r="TKL73"/>
      <c r="TKM73"/>
      <c r="TKN73"/>
      <c r="TKO73"/>
      <c r="TKP73"/>
      <c r="TKQ73"/>
      <c r="TKR73"/>
      <c r="TKS73"/>
      <c r="TKT73"/>
      <c r="TKU73"/>
      <c r="TKV73"/>
      <c r="TKW73"/>
      <c r="TKX73"/>
      <c r="TKY73"/>
      <c r="TKZ73"/>
      <c r="TLA73"/>
      <c r="TLB73"/>
      <c r="TLC73"/>
      <c r="TLD73"/>
      <c r="TLE73"/>
      <c r="TLF73"/>
      <c r="TLG73"/>
      <c r="TLH73"/>
      <c r="TLI73"/>
      <c r="TLJ73"/>
      <c r="TLK73"/>
      <c r="TLL73"/>
      <c r="TLM73"/>
      <c r="TLN73"/>
      <c r="TLO73"/>
      <c r="TLP73"/>
      <c r="TLQ73"/>
      <c r="TLR73"/>
      <c r="TLS73"/>
      <c r="TLT73"/>
      <c r="TLU73"/>
      <c r="TLV73"/>
      <c r="TLW73"/>
      <c r="TLX73"/>
      <c r="TLY73"/>
      <c r="TLZ73"/>
      <c r="TMA73"/>
      <c r="TMB73"/>
      <c r="TMC73"/>
      <c r="TMD73"/>
      <c r="TME73"/>
      <c r="TMF73"/>
      <c r="TMG73"/>
      <c r="TMH73"/>
      <c r="TMI73"/>
      <c r="TMJ73"/>
      <c r="TMK73"/>
      <c r="TML73"/>
      <c r="TMM73"/>
      <c r="TMN73"/>
      <c r="TMO73"/>
      <c r="TMP73"/>
      <c r="TMQ73"/>
      <c r="TMR73"/>
      <c r="TMS73"/>
      <c r="TMT73"/>
      <c r="TMU73"/>
      <c r="TMV73"/>
      <c r="TMW73"/>
      <c r="TMX73"/>
      <c r="TMY73"/>
      <c r="TMZ73"/>
      <c r="TNA73"/>
      <c r="TNB73"/>
      <c r="TNC73"/>
      <c r="TND73"/>
      <c r="TNE73"/>
      <c r="TNF73"/>
      <c r="TNG73"/>
      <c r="TNH73"/>
      <c r="TNI73"/>
      <c r="TNJ73"/>
      <c r="TNK73"/>
      <c r="TNL73"/>
      <c r="TNM73"/>
      <c r="TNN73"/>
      <c r="TNO73"/>
      <c r="TNP73"/>
      <c r="TNQ73"/>
      <c r="TNR73"/>
      <c r="TNS73"/>
      <c r="TNT73"/>
      <c r="TNU73"/>
      <c r="TNV73"/>
      <c r="TNW73"/>
      <c r="TNX73"/>
      <c r="TNY73"/>
      <c r="TNZ73"/>
      <c r="TOA73"/>
      <c r="TOB73"/>
      <c r="TOC73"/>
      <c r="TOD73"/>
      <c r="TOE73"/>
      <c r="TOF73"/>
      <c r="TOG73"/>
      <c r="TOH73"/>
      <c r="TOI73"/>
      <c r="TOJ73"/>
      <c r="TOK73"/>
      <c r="TOL73"/>
      <c r="TOM73"/>
      <c r="TON73"/>
      <c r="TOO73"/>
      <c r="TOP73"/>
      <c r="TOQ73"/>
      <c r="TOR73"/>
      <c r="TOS73"/>
      <c r="TOT73"/>
      <c r="TOU73"/>
      <c r="TOV73"/>
      <c r="TOW73"/>
      <c r="TOX73"/>
      <c r="TOY73"/>
      <c r="TOZ73"/>
      <c r="TPA73"/>
      <c r="TPB73"/>
      <c r="TPC73"/>
      <c r="TPD73"/>
      <c r="TPE73"/>
      <c r="TPF73"/>
      <c r="TPG73"/>
      <c r="TPH73"/>
      <c r="TPI73"/>
      <c r="TPJ73"/>
      <c r="TPK73"/>
      <c r="TPL73"/>
      <c r="TPM73"/>
      <c r="TPN73"/>
      <c r="TPO73"/>
      <c r="TPP73"/>
      <c r="TPQ73"/>
      <c r="TPR73"/>
      <c r="TPS73"/>
      <c r="TPT73"/>
      <c r="TPU73"/>
      <c r="TPV73"/>
      <c r="TPW73"/>
      <c r="TPX73"/>
      <c r="TPY73"/>
      <c r="TPZ73"/>
      <c r="TQA73"/>
      <c r="TQB73"/>
      <c r="TQC73"/>
      <c r="TQD73"/>
      <c r="TQE73"/>
      <c r="TQF73"/>
      <c r="TQG73"/>
      <c r="TQH73"/>
      <c r="TQI73"/>
      <c r="TQJ73"/>
      <c r="TQK73"/>
      <c r="TQL73"/>
      <c r="TQM73"/>
      <c r="TQN73"/>
      <c r="TQO73"/>
      <c r="TQP73"/>
      <c r="TQQ73"/>
      <c r="TQR73"/>
      <c r="TQS73"/>
      <c r="TQT73"/>
      <c r="TQU73"/>
      <c r="TQV73"/>
      <c r="TQW73"/>
      <c r="TQX73"/>
      <c r="TQY73"/>
      <c r="TQZ73"/>
      <c r="TRA73"/>
      <c r="TRB73"/>
      <c r="TRC73"/>
      <c r="TRD73"/>
      <c r="TRE73"/>
      <c r="TRF73"/>
      <c r="TRG73"/>
      <c r="TRH73"/>
      <c r="TRI73"/>
      <c r="TRJ73"/>
      <c r="TRK73"/>
      <c r="TRL73"/>
      <c r="TRM73"/>
      <c r="TRN73"/>
      <c r="TRO73"/>
      <c r="TRP73"/>
      <c r="TRQ73"/>
      <c r="TRR73"/>
      <c r="TRS73"/>
      <c r="TRT73"/>
      <c r="TRU73"/>
      <c r="TRV73"/>
      <c r="TRW73"/>
      <c r="TRX73"/>
      <c r="TRY73"/>
      <c r="TRZ73"/>
      <c r="TSA73"/>
      <c r="TSB73"/>
      <c r="TSC73"/>
      <c r="TSD73"/>
      <c r="TSE73"/>
      <c r="TSF73"/>
      <c r="TSG73"/>
      <c r="TSH73"/>
      <c r="TSI73"/>
      <c r="TSJ73"/>
      <c r="TSK73"/>
      <c r="TSL73"/>
      <c r="TSM73"/>
      <c r="TSN73"/>
      <c r="TSO73"/>
      <c r="TSP73"/>
      <c r="TSQ73"/>
      <c r="TSR73"/>
      <c r="TSS73"/>
      <c r="TST73"/>
      <c r="TSU73"/>
      <c r="TSV73"/>
      <c r="TSW73"/>
      <c r="TSX73"/>
      <c r="TSY73"/>
      <c r="TSZ73"/>
      <c r="TTA73"/>
      <c r="TTB73"/>
      <c r="TTC73"/>
      <c r="TTD73"/>
      <c r="TTE73"/>
      <c r="TTF73"/>
      <c r="TTG73"/>
      <c r="TTH73"/>
      <c r="TTI73"/>
      <c r="TTJ73"/>
      <c r="TTK73"/>
      <c r="TTL73"/>
      <c r="TTM73"/>
      <c r="TTN73"/>
      <c r="TTO73"/>
      <c r="TTP73"/>
      <c r="TTQ73"/>
      <c r="TTR73"/>
      <c r="TTS73"/>
      <c r="TTT73"/>
      <c r="TTU73"/>
      <c r="TTV73"/>
      <c r="TTW73"/>
      <c r="TTX73"/>
      <c r="TTY73"/>
      <c r="TTZ73"/>
      <c r="TUA73"/>
      <c r="TUB73"/>
      <c r="TUC73"/>
      <c r="TUD73"/>
      <c r="TUE73"/>
      <c r="TUF73"/>
      <c r="TUG73"/>
      <c r="TUH73"/>
      <c r="TUI73"/>
      <c r="TUJ73"/>
      <c r="TUK73"/>
      <c r="TUL73"/>
      <c r="TUM73"/>
      <c r="TUN73"/>
      <c r="TUO73"/>
      <c r="TUP73"/>
      <c r="TUQ73"/>
      <c r="TUR73"/>
      <c r="TUS73"/>
      <c r="TUT73"/>
      <c r="TUU73"/>
      <c r="TUV73"/>
      <c r="TUW73"/>
      <c r="TUX73"/>
      <c r="TUY73"/>
      <c r="TUZ73"/>
      <c r="TVA73"/>
      <c r="TVB73"/>
      <c r="TVC73"/>
      <c r="TVD73"/>
      <c r="TVE73"/>
      <c r="TVF73"/>
      <c r="TVG73"/>
      <c r="TVH73"/>
      <c r="TVI73"/>
      <c r="TVJ73"/>
      <c r="TVK73"/>
      <c r="TVL73"/>
      <c r="TVM73"/>
      <c r="TVN73"/>
      <c r="TVO73"/>
      <c r="TVP73"/>
      <c r="TVQ73"/>
      <c r="TVR73"/>
      <c r="TVS73"/>
      <c r="TVT73"/>
      <c r="TVU73"/>
      <c r="TVV73"/>
      <c r="TVW73"/>
      <c r="TVX73"/>
      <c r="TVY73"/>
      <c r="TVZ73"/>
      <c r="TWA73"/>
      <c r="TWB73"/>
      <c r="TWC73"/>
      <c r="TWD73"/>
      <c r="TWE73"/>
      <c r="TWF73"/>
      <c r="TWG73"/>
      <c r="TWH73"/>
      <c r="TWI73"/>
      <c r="TWJ73"/>
      <c r="TWK73"/>
      <c r="TWL73"/>
      <c r="TWM73"/>
      <c r="TWN73"/>
      <c r="TWO73"/>
      <c r="TWP73"/>
      <c r="TWQ73"/>
      <c r="TWR73"/>
      <c r="TWS73"/>
      <c r="TWT73"/>
      <c r="TWU73"/>
      <c r="TWV73"/>
      <c r="TWW73"/>
      <c r="TWX73"/>
      <c r="TWY73"/>
      <c r="TWZ73"/>
      <c r="TXA73"/>
      <c r="TXB73"/>
      <c r="TXC73"/>
      <c r="TXD73"/>
      <c r="TXE73"/>
      <c r="TXF73"/>
      <c r="TXG73"/>
      <c r="TXH73"/>
      <c r="TXI73"/>
      <c r="TXJ73"/>
      <c r="TXK73"/>
      <c r="TXL73"/>
      <c r="TXM73"/>
      <c r="TXN73"/>
      <c r="TXO73"/>
      <c r="TXP73"/>
      <c r="TXQ73"/>
      <c r="TXR73"/>
      <c r="TXS73"/>
      <c r="TXT73"/>
      <c r="TXU73"/>
      <c r="TXV73"/>
      <c r="TXW73"/>
      <c r="TXX73"/>
      <c r="TXY73"/>
      <c r="TXZ73"/>
      <c r="TYA73"/>
      <c r="TYB73"/>
      <c r="TYC73"/>
      <c r="TYD73"/>
      <c r="TYE73"/>
      <c r="TYF73"/>
      <c r="TYG73"/>
      <c r="TYH73"/>
      <c r="TYI73"/>
      <c r="TYJ73"/>
      <c r="TYK73"/>
      <c r="TYL73"/>
      <c r="TYM73"/>
      <c r="TYN73"/>
      <c r="TYO73"/>
      <c r="TYP73"/>
      <c r="TYQ73"/>
      <c r="TYR73"/>
      <c r="TYS73"/>
      <c r="TYT73"/>
      <c r="TYU73"/>
      <c r="TYV73"/>
      <c r="TYW73"/>
      <c r="TYX73"/>
      <c r="TYY73"/>
      <c r="TYZ73"/>
      <c r="TZA73"/>
      <c r="TZB73"/>
      <c r="TZC73"/>
      <c r="TZD73"/>
      <c r="TZE73"/>
      <c r="TZF73"/>
      <c r="TZG73"/>
      <c r="TZH73"/>
      <c r="TZI73"/>
      <c r="TZJ73"/>
      <c r="TZK73"/>
      <c r="TZL73"/>
      <c r="TZM73"/>
      <c r="TZN73"/>
      <c r="TZO73"/>
      <c r="TZP73"/>
      <c r="TZQ73"/>
      <c r="TZR73"/>
      <c r="TZS73"/>
      <c r="TZT73"/>
      <c r="TZU73"/>
      <c r="TZV73"/>
      <c r="TZW73"/>
      <c r="TZX73"/>
      <c r="TZY73"/>
      <c r="TZZ73"/>
      <c r="UAA73"/>
      <c r="UAB73"/>
      <c r="UAC73"/>
      <c r="UAD73"/>
      <c r="UAE73"/>
      <c r="UAF73"/>
      <c r="UAG73"/>
      <c r="UAH73"/>
      <c r="UAI73"/>
      <c r="UAJ73"/>
      <c r="UAK73"/>
      <c r="UAL73"/>
      <c r="UAM73"/>
      <c r="UAN73"/>
      <c r="UAO73"/>
      <c r="UAP73"/>
      <c r="UAQ73"/>
      <c r="UAR73"/>
      <c r="UAS73"/>
      <c r="UAT73"/>
      <c r="UAU73"/>
      <c r="UAV73"/>
      <c r="UAW73"/>
      <c r="UAX73"/>
      <c r="UAY73"/>
      <c r="UAZ73"/>
      <c r="UBA73"/>
      <c r="UBB73"/>
      <c r="UBC73"/>
      <c r="UBD73"/>
      <c r="UBE73"/>
      <c r="UBF73"/>
      <c r="UBG73"/>
      <c r="UBH73"/>
      <c r="UBI73"/>
      <c r="UBJ73"/>
      <c r="UBK73"/>
      <c r="UBL73"/>
      <c r="UBM73"/>
      <c r="UBN73"/>
      <c r="UBO73"/>
      <c r="UBP73"/>
      <c r="UBQ73"/>
      <c r="UBR73"/>
      <c r="UBS73"/>
      <c r="UBT73"/>
      <c r="UBU73"/>
      <c r="UBV73"/>
      <c r="UBW73"/>
      <c r="UBX73"/>
      <c r="UBY73"/>
      <c r="UBZ73"/>
      <c r="UCA73"/>
      <c r="UCB73"/>
      <c r="UCC73"/>
      <c r="UCD73"/>
      <c r="UCE73"/>
      <c r="UCF73"/>
      <c r="UCG73"/>
      <c r="UCH73"/>
      <c r="UCI73"/>
      <c r="UCJ73"/>
      <c r="UCK73"/>
      <c r="UCL73"/>
      <c r="UCM73"/>
      <c r="UCN73"/>
      <c r="UCO73"/>
      <c r="UCP73"/>
      <c r="UCQ73"/>
      <c r="UCR73"/>
      <c r="UCS73"/>
      <c r="UCT73"/>
      <c r="UCU73"/>
      <c r="UCV73"/>
      <c r="UCW73"/>
      <c r="UCX73"/>
      <c r="UCY73"/>
      <c r="UCZ73"/>
      <c r="UDA73"/>
      <c r="UDB73"/>
      <c r="UDC73"/>
      <c r="UDD73"/>
      <c r="UDE73"/>
      <c r="UDF73"/>
      <c r="UDG73"/>
      <c r="UDH73"/>
      <c r="UDI73"/>
      <c r="UDJ73"/>
      <c r="UDK73"/>
      <c r="UDL73"/>
      <c r="UDM73"/>
      <c r="UDN73"/>
      <c r="UDO73"/>
      <c r="UDP73"/>
      <c r="UDQ73"/>
      <c r="UDR73"/>
      <c r="UDS73"/>
      <c r="UDT73"/>
      <c r="UDU73"/>
      <c r="UDV73"/>
      <c r="UDW73"/>
      <c r="UDX73"/>
      <c r="UDY73"/>
      <c r="UDZ73"/>
      <c r="UEA73"/>
      <c r="UEB73"/>
      <c r="UEC73"/>
      <c r="UED73"/>
      <c r="UEE73"/>
      <c r="UEF73"/>
      <c r="UEG73"/>
      <c r="UEH73"/>
      <c r="UEI73"/>
      <c r="UEJ73"/>
      <c r="UEK73"/>
      <c r="UEL73"/>
      <c r="UEM73"/>
      <c r="UEN73"/>
      <c r="UEO73"/>
      <c r="UEP73"/>
      <c r="UEQ73"/>
      <c r="UER73"/>
      <c r="UES73"/>
      <c r="UET73"/>
      <c r="UEU73"/>
      <c r="UEV73"/>
      <c r="UEW73"/>
      <c r="UEX73"/>
      <c r="UEY73"/>
      <c r="UEZ73"/>
      <c r="UFA73"/>
      <c r="UFB73"/>
      <c r="UFC73"/>
      <c r="UFD73"/>
      <c r="UFE73"/>
      <c r="UFF73"/>
      <c r="UFG73"/>
      <c r="UFH73"/>
      <c r="UFI73"/>
      <c r="UFJ73"/>
      <c r="UFK73"/>
      <c r="UFL73"/>
      <c r="UFM73"/>
      <c r="UFN73"/>
      <c r="UFO73"/>
      <c r="UFP73"/>
      <c r="UFQ73"/>
      <c r="UFR73"/>
      <c r="UFS73"/>
      <c r="UFT73"/>
      <c r="UFU73"/>
      <c r="UFV73"/>
      <c r="UFW73"/>
      <c r="UFX73"/>
      <c r="UFY73"/>
      <c r="UFZ73"/>
      <c r="UGA73"/>
      <c r="UGB73"/>
      <c r="UGC73"/>
      <c r="UGD73"/>
      <c r="UGE73"/>
      <c r="UGF73"/>
      <c r="UGG73"/>
      <c r="UGH73"/>
      <c r="UGI73"/>
      <c r="UGJ73"/>
      <c r="UGK73"/>
      <c r="UGL73"/>
      <c r="UGM73"/>
      <c r="UGN73"/>
      <c r="UGO73"/>
      <c r="UGP73"/>
      <c r="UGQ73"/>
      <c r="UGR73"/>
      <c r="UGS73"/>
      <c r="UGT73"/>
      <c r="UGU73"/>
      <c r="UGV73"/>
      <c r="UGW73"/>
      <c r="UGX73"/>
      <c r="UGY73"/>
      <c r="UGZ73"/>
      <c r="UHA73"/>
      <c r="UHB73"/>
      <c r="UHC73"/>
      <c r="UHD73"/>
      <c r="UHE73"/>
      <c r="UHF73"/>
      <c r="UHG73"/>
      <c r="UHH73"/>
      <c r="UHI73"/>
      <c r="UHJ73"/>
      <c r="UHK73"/>
      <c r="UHL73"/>
      <c r="UHM73"/>
      <c r="UHN73"/>
      <c r="UHO73"/>
      <c r="UHP73"/>
      <c r="UHQ73"/>
      <c r="UHR73"/>
      <c r="UHS73"/>
      <c r="UHT73"/>
      <c r="UHU73"/>
      <c r="UHV73"/>
      <c r="UHW73"/>
      <c r="UHX73"/>
      <c r="UHY73"/>
      <c r="UHZ73"/>
      <c r="UIA73"/>
      <c r="UIB73"/>
      <c r="UIC73"/>
      <c r="UID73"/>
      <c r="UIE73"/>
      <c r="UIF73"/>
      <c r="UIG73"/>
      <c r="UIH73"/>
      <c r="UII73"/>
      <c r="UIJ73"/>
      <c r="UIK73"/>
      <c r="UIL73"/>
      <c r="UIM73"/>
      <c r="UIN73"/>
      <c r="UIO73"/>
      <c r="UIP73"/>
      <c r="UIQ73"/>
      <c r="UIR73"/>
      <c r="UIS73"/>
      <c r="UIT73"/>
      <c r="UIU73"/>
      <c r="UIV73"/>
      <c r="UIW73"/>
      <c r="UIX73"/>
      <c r="UIY73"/>
      <c r="UIZ73"/>
      <c r="UJA73"/>
      <c r="UJB73"/>
      <c r="UJC73"/>
      <c r="UJD73"/>
      <c r="UJE73"/>
      <c r="UJF73"/>
      <c r="UJG73"/>
      <c r="UJH73"/>
      <c r="UJI73"/>
      <c r="UJJ73"/>
      <c r="UJK73"/>
      <c r="UJL73"/>
      <c r="UJM73"/>
      <c r="UJN73"/>
      <c r="UJO73"/>
      <c r="UJP73"/>
      <c r="UJQ73"/>
      <c r="UJR73"/>
      <c r="UJS73"/>
      <c r="UJT73"/>
      <c r="UJU73"/>
      <c r="UJV73"/>
      <c r="UJW73"/>
      <c r="UJX73"/>
      <c r="UJY73"/>
      <c r="UJZ73"/>
      <c r="UKA73"/>
      <c r="UKB73"/>
      <c r="UKC73"/>
      <c r="UKD73"/>
      <c r="UKE73"/>
      <c r="UKF73"/>
      <c r="UKG73"/>
      <c r="UKH73"/>
      <c r="UKI73"/>
      <c r="UKJ73"/>
      <c r="UKK73"/>
      <c r="UKL73"/>
      <c r="UKM73"/>
      <c r="UKN73"/>
      <c r="UKO73"/>
      <c r="UKP73"/>
      <c r="UKQ73"/>
      <c r="UKR73"/>
      <c r="UKS73"/>
      <c r="UKT73"/>
      <c r="UKU73"/>
      <c r="UKV73"/>
      <c r="UKW73"/>
      <c r="UKX73"/>
      <c r="UKY73"/>
      <c r="UKZ73"/>
      <c r="ULA73"/>
      <c r="ULB73"/>
      <c r="ULC73"/>
      <c r="ULD73"/>
      <c r="ULE73"/>
      <c r="ULF73"/>
      <c r="ULG73"/>
      <c r="ULH73"/>
      <c r="ULI73"/>
      <c r="ULJ73"/>
      <c r="ULK73"/>
      <c r="ULL73"/>
      <c r="ULM73"/>
      <c r="ULN73"/>
      <c r="ULO73"/>
      <c r="ULP73"/>
      <c r="ULQ73"/>
      <c r="ULR73"/>
      <c r="ULS73"/>
      <c r="ULT73"/>
      <c r="ULU73"/>
      <c r="ULV73"/>
      <c r="ULW73"/>
      <c r="ULX73"/>
      <c r="ULY73"/>
      <c r="ULZ73"/>
      <c r="UMA73"/>
      <c r="UMB73"/>
      <c r="UMC73"/>
      <c r="UMD73"/>
      <c r="UME73"/>
      <c r="UMF73"/>
      <c r="UMG73"/>
      <c r="UMH73"/>
      <c r="UMI73"/>
      <c r="UMJ73"/>
      <c r="UMK73"/>
      <c r="UML73"/>
      <c r="UMM73"/>
      <c r="UMN73"/>
      <c r="UMO73"/>
      <c r="UMP73"/>
      <c r="UMQ73"/>
      <c r="UMR73"/>
      <c r="UMS73"/>
      <c r="UMT73"/>
      <c r="UMU73"/>
      <c r="UMV73"/>
      <c r="UMW73"/>
      <c r="UMX73"/>
      <c r="UMY73"/>
      <c r="UMZ73"/>
      <c r="UNA73"/>
      <c r="UNB73"/>
      <c r="UNC73"/>
      <c r="UND73"/>
      <c r="UNE73"/>
      <c r="UNF73"/>
      <c r="UNG73"/>
      <c r="UNH73"/>
      <c r="UNI73"/>
      <c r="UNJ73"/>
      <c r="UNK73"/>
      <c r="UNL73"/>
      <c r="UNM73"/>
      <c r="UNN73"/>
      <c r="UNO73"/>
      <c r="UNP73"/>
      <c r="UNQ73"/>
      <c r="UNR73"/>
      <c r="UNS73"/>
      <c r="UNT73"/>
      <c r="UNU73"/>
      <c r="UNV73"/>
      <c r="UNW73"/>
      <c r="UNX73"/>
      <c r="UNY73"/>
      <c r="UNZ73"/>
      <c r="UOA73"/>
      <c r="UOB73"/>
      <c r="UOC73"/>
      <c r="UOD73"/>
      <c r="UOE73"/>
      <c r="UOF73"/>
      <c r="UOG73"/>
      <c r="UOH73"/>
      <c r="UOI73"/>
      <c r="UOJ73"/>
      <c r="UOK73"/>
      <c r="UOL73"/>
      <c r="UOM73"/>
      <c r="UON73"/>
      <c r="UOO73"/>
      <c r="UOP73"/>
      <c r="UOQ73"/>
      <c r="UOR73"/>
      <c r="UOS73"/>
      <c r="UOT73"/>
      <c r="UOU73"/>
      <c r="UOV73"/>
      <c r="UOW73"/>
      <c r="UOX73"/>
      <c r="UOY73"/>
      <c r="UOZ73"/>
      <c r="UPA73"/>
      <c r="UPB73"/>
      <c r="UPC73"/>
      <c r="UPD73"/>
      <c r="UPE73"/>
      <c r="UPF73"/>
      <c r="UPG73"/>
      <c r="UPH73"/>
      <c r="UPI73"/>
      <c r="UPJ73"/>
      <c r="UPK73"/>
      <c r="UPL73"/>
      <c r="UPM73"/>
      <c r="UPN73"/>
      <c r="UPO73"/>
      <c r="UPP73"/>
      <c r="UPQ73"/>
      <c r="UPR73"/>
      <c r="UPS73"/>
      <c r="UPT73"/>
      <c r="UPU73"/>
      <c r="UPV73"/>
      <c r="UPW73"/>
      <c r="UPX73"/>
      <c r="UPY73"/>
      <c r="UPZ73"/>
      <c r="UQA73"/>
      <c r="UQB73"/>
      <c r="UQC73"/>
      <c r="UQD73"/>
      <c r="UQE73"/>
      <c r="UQF73"/>
      <c r="UQG73"/>
      <c r="UQH73"/>
      <c r="UQI73"/>
      <c r="UQJ73"/>
      <c r="UQK73"/>
      <c r="UQL73"/>
      <c r="UQM73"/>
      <c r="UQN73"/>
      <c r="UQO73"/>
      <c r="UQP73"/>
      <c r="UQQ73"/>
      <c r="UQR73"/>
      <c r="UQS73"/>
      <c r="UQT73"/>
      <c r="UQU73"/>
      <c r="UQV73"/>
      <c r="UQW73"/>
      <c r="UQX73"/>
      <c r="UQY73"/>
      <c r="UQZ73"/>
      <c r="URA73"/>
      <c r="URB73"/>
      <c r="URC73"/>
      <c r="URD73"/>
      <c r="URE73"/>
      <c r="URF73"/>
      <c r="URG73"/>
      <c r="URH73"/>
      <c r="URI73"/>
      <c r="URJ73"/>
      <c r="URK73"/>
      <c r="URL73"/>
      <c r="URM73"/>
      <c r="URN73"/>
      <c r="URO73"/>
      <c r="URP73"/>
      <c r="URQ73"/>
      <c r="URR73"/>
      <c r="URS73"/>
      <c r="URT73"/>
      <c r="URU73"/>
      <c r="URV73"/>
      <c r="URW73"/>
      <c r="URX73"/>
      <c r="URY73"/>
      <c r="URZ73"/>
      <c r="USA73"/>
      <c r="USB73"/>
      <c r="USC73"/>
      <c r="USD73"/>
      <c r="USE73"/>
      <c r="USF73"/>
      <c r="USG73"/>
      <c r="USH73"/>
      <c r="USI73"/>
      <c r="USJ73"/>
      <c r="USK73"/>
      <c r="USL73"/>
      <c r="USM73"/>
      <c r="USN73"/>
      <c r="USO73"/>
      <c r="USP73"/>
      <c r="USQ73"/>
      <c r="USR73"/>
      <c r="USS73"/>
      <c r="UST73"/>
      <c r="USU73"/>
      <c r="USV73"/>
      <c r="USW73"/>
      <c r="USX73"/>
      <c r="USY73"/>
      <c r="USZ73"/>
      <c r="UTA73"/>
      <c r="UTB73"/>
      <c r="UTC73"/>
      <c r="UTD73"/>
      <c r="UTE73"/>
      <c r="UTF73"/>
      <c r="UTG73"/>
      <c r="UTH73"/>
      <c r="UTI73"/>
      <c r="UTJ73"/>
      <c r="UTK73"/>
      <c r="UTL73"/>
      <c r="UTM73"/>
      <c r="UTN73"/>
      <c r="UTO73"/>
      <c r="UTP73"/>
      <c r="UTQ73"/>
      <c r="UTR73"/>
      <c r="UTS73"/>
      <c r="UTT73"/>
      <c r="UTU73"/>
      <c r="UTV73"/>
      <c r="UTW73"/>
      <c r="UTX73"/>
      <c r="UTY73"/>
      <c r="UTZ73"/>
      <c r="UUA73"/>
      <c r="UUB73"/>
      <c r="UUC73"/>
      <c r="UUD73"/>
      <c r="UUE73"/>
      <c r="UUF73"/>
      <c r="UUG73"/>
      <c r="UUH73"/>
      <c r="UUI73"/>
      <c r="UUJ73"/>
      <c r="UUK73"/>
      <c r="UUL73"/>
      <c r="UUM73"/>
      <c r="UUN73"/>
      <c r="UUO73"/>
      <c r="UUP73"/>
      <c r="UUQ73"/>
      <c r="UUR73"/>
      <c r="UUS73"/>
      <c r="UUT73"/>
      <c r="UUU73"/>
      <c r="UUV73"/>
      <c r="UUW73"/>
      <c r="UUX73"/>
      <c r="UUY73"/>
      <c r="UUZ73"/>
      <c r="UVA73"/>
      <c r="UVB73"/>
      <c r="UVC73"/>
      <c r="UVD73"/>
      <c r="UVE73"/>
      <c r="UVF73"/>
      <c r="UVG73"/>
      <c r="UVH73"/>
      <c r="UVI73"/>
      <c r="UVJ73"/>
      <c r="UVK73"/>
      <c r="UVL73"/>
      <c r="UVM73"/>
      <c r="UVN73"/>
      <c r="UVO73"/>
      <c r="UVP73"/>
      <c r="UVQ73"/>
      <c r="UVR73"/>
      <c r="UVS73"/>
      <c r="UVT73"/>
      <c r="UVU73"/>
      <c r="UVV73"/>
      <c r="UVW73"/>
      <c r="UVX73"/>
      <c r="UVY73"/>
      <c r="UVZ73"/>
      <c r="UWA73"/>
      <c r="UWB73"/>
      <c r="UWC73"/>
      <c r="UWD73"/>
      <c r="UWE73"/>
      <c r="UWF73"/>
      <c r="UWG73"/>
      <c r="UWH73"/>
      <c r="UWI73"/>
      <c r="UWJ73"/>
      <c r="UWK73"/>
      <c r="UWL73"/>
      <c r="UWM73"/>
      <c r="UWN73"/>
      <c r="UWO73"/>
      <c r="UWP73"/>
      <c r="UWQ73"/>
      <c r="UWR73"/>
      <c r="UWS73"/>
      <c r="UWT73"/>
      <c r="UWU73"/>
      <c r="UWV73"/>
      <c r="UWW73"/>
      <c r="UWX73"/>
      <c r="UWY73"/>
      <c r="UWZ73"/>
      <c r="UXA73"/>
      <c r="UXB73"/>
      <c r="UXC73"/>
      <c r="UXD73"/>
      <c r="UXE73"/>
      <c r="UXF73"/>
      <c r="UXG73"/>
      <c r="UXH73"/>
      <c r="UXI73"/>
      <c r="UXJ73"/>
      <c r="UXK73"/>
      <c r="UXL73"/>
      <c r="UXM73"/>
      <c r="UXN73"/>
      <c r="UXO73"/>
      <c r="UXP73"/>
      <c r="UXQ73"/>
      <c r="UXR73"/>
      <c r="UXS73"/>
      <c r="UXT73"/>
      <c r="UXU73"/>
      <c r="UXV73"/>
      <c r="UXW73"/>
      <c r="UXX73"/>
      <c r="UXY73"/>
      <c r="UXZ73"/>
      <c r="UYA73"/>
      <c r="UYB73"/>
      <c r="UYC73"/>
      <c r="UYD73"/>
      <c r="UYE73"/>
      <c r="UYF73"/>
      <c r="UYG73"/>
      <c r="UYH73"/>
      <c r="UYI73"/>
      <c r="UYJ73"/>
      <c r="UYK73"/>
      <c r="UYL73"/>
      <c r="UYM73"/>
      <c r="UYN73"/>
      <c r="UYO73"/>
      <c r="UYP73"/>
      <c r="UYQ73"/>
      <c r="UYR73"/>
      <c r="UYS73"/>
      <c r="UYT73"/>
      <c r="UYU73"/>
      <c r="UYV73"/>
      <c r="UYW73"/>
      <c r="UYX73"/>
      <c r="UYY73"/>
      <c r="UYZ73"/>
      <c r="UZA73"/>
      <c r="UZB73"/>
      <c r="UZC73"/>
      <c r="UZD73"/>
      <c r="UZE73"/>
      <c r="UZF73"/>
      <c r="UZG73"/>
      <c r="UZH73"/>
      <c r="UZI73"/>
      <c r="UZJ73"/>
      <c r="UZK73"/>
      <c r="UZL73"/>
      <c r="UZM73"/>
      <c r="UZN73"/>
      <c r="UZO73"/>
      <c r="UZP73"/>
      <c r="UZQ73"/>
      <c r="UZR73"/>
      <c r="UZS73"/>
      <c r="UZT73"/>
      <c r="UZU73"/>
      <c r="UZV73"/>
      <c r="UZW73"/>
      <c r="UZX73"/>
      <c r="UZY73"/>
      <c r="UZZ73"/>
      <c r="VAA73"/>
      <c r="VAB73"/>
      <c r="VAC73"/>
      <c r="VAD73"/>
      <c r="VAE73"/>
      <c r="VAF73"/>
      <c r="VAG73"/>
      <c r="VAH73"/>
      <c r="VAI73"/>
      <c r="VAJ73"/>
      <c r="VAK73"/>
      <c r="VAL73"/>
      <c r="VAM73"/>
      <c r="VAN73"/>
      <c r="VAO73"/>
      <c r="VAP73"/>
      <c r="VAQ73"/>
      <c r="VAR73"/>
      <c r="VAS73"/>
      <c r="VAT73"/>
      <c r="VAU73"/>
      <c r="VAV73"/>
      <c r="VAW73"/>
      <c r="VAX73"/>
      <c r="VAY73"/>
      <c r="VAZ73"/>
      <c r="VBA73"/>
      <c r="VBB73"/>
      <c r="VBC73"/>
      <c r="VBD73"/>
      <c r="VBE73"/>
      <c r="VBF73"/>
      <c r="VBG73"/>
      <c r="VBH73"/>
      <c r="VBI73"/>
      <c r="VBJ73"/>
      <c r="VBK73"/>
      <c r="VBL73"/>
      <c r="VBM73"/>
      <c r="VBN73"/>
      <c r="VBO73"/>
      <c r="VBP73"/>
      <c r="VBQ73"/>
      <c r="VBR73"/>
      <c r="VBS73"/>
      <c r="VBT73"/>
      <c r="VBU73"/>
      <c r="VBV73"/>
      <c r="VBW73"/>
      <c r="VBX73"/>
      <c r="VBY73"/>
      <c r="VBZ73"/>
      <c r="VCA73"/>
      <c r="VCB73"/>
      <c r="VCC73"/>
      <c r="VCD73"/>
      <c r="VCE73"/>
      <c r="VCF73"/>
      <c r="VCG73"/>
      <c r="VCH73"/>
      <c r="VCI73"/>
      <c r="VCJ73"/>
      <c r="VCK73"/>
      <c r="VCL73"/>
      <c r="VCM73"/>
      <c r="VCN73"/>
      <c r="VCO73"/>
      <c r="VCP73"/>
      <c r="VCQ73"/>
      <c r="VCR73"/>
      <c r="VCS73"/>
      <c r="VCT73"/>
      <c r="VCU73"/>
      <c r="VCV73"/>
      <c r="VCW73"/>
      <c r="VCX73"/>
      <c r="VCY73"/>
      <c r="VCZ73"/>
      <c r="VDA73"/>
      <c r="VDB73"/>
      <c r="VDC73"/>
      <c r="VDD73"/>
      <c r="VDE73"/>
      <c r="VDF73"/>
      <c r="VDG73"/>
      <c r="VDH73"/>
      <c r="VDI73"/>
      <c r="VDJ73"/>
      <c r="VDK73"/>
      <c r="VDL73"/>
      <c r="VDM73"/>
      <c r="VDN73"/>
      <c r="VDO73"/>
      <c r="VDP73"/>
      <c r="VDQ73"/>
      <c r="VDR73"/>
      <c r="VDS73"/>
      <c r="VDT73"/>
      <c r="VDU73"/>
      <c r="VDV73"/>
      <c r="VDW73"/>
      <c r="VDX73"/>
      <c r="VDY73"/>
      <c r="VDZ73"/>
      <c r="VEA73"/>
      <c r="VEB73"/>
      <c r="VEC73"/>
      <c r="VED73"/>
      <c r="VEE73"/>
      <c r="VEF73"/>
      <c r="VEG73"/>
      <c r="VEH73"/>
      <c r="VEI73"/>
      <c r="VEJ73"/>
      <c r="VEK73"/>
      <c r="VEL73"/>
      <c r="VEM73"/>
      <c r="VEN73"/>
      <c r="VEO73"/>
      <c r="VEP73"/>
      <c r="VEQ73"/>
      <c r="VER73"/>
      <c r="VES73"/>
      <c r="VET73"/>
      <c r="VEU73"/>
      <c r="VEV73"/>
      <c r="VEW73"/>
      <c r="VEX73"/>
      <c r="VEY73"/>
      <c r="VEZ73"/>
      <c r="VFA73"/>
      <c r="VFB73"/>
      <c r="VFC73"/>
      <c r="VFD73"/>
      <c r="VFE73"/>
      <c r="VFF73"/>
      <c r="VFG73"/>
      <c r="VFH73"/>
      <c r="VFI73"/>
      <c r="VFJ73"/>
      <c r="VFK73"/>
      <c r="VFL73"/>
      <c r="VFM73"/>
      <c r="VFN73"/>
      <c r="VFO73"/>
      <c r="VFP73"/>
      <c r="VFQ73"/>
      <c r="VFR73"/>
      <c r="VFS73"/>
      <c r="VFT73"/>
      <c r="VFU73"/>
      <c r="VFV73"/>
      <c r="VFW73"/>
      <c r="VFX73"/>
      <c r="VFY73"/>
      <c r="VFZ73"/>
      <c r="VGA73"/>
      <c r="VGB73"/>
      <c r="VGC73"/>
      <c r="VGD73"/>
      <c r="VGE73"/>
      <c r="VGF73"/>
      <c r="VGG73"/>
      <c r="VGH73"/>
      <c r="VGI73"/>
      <c r="VGJ73"/>
      <c r="VGK73"/>
      <c r="VGL73"/>
      <c r="VGM73"/>
      <c r="VGN73"/>
      <c r="VGO73"/>
      <c r="VGP73"/>
      <c r="VGQ73"/>
      <c r="VGR73"/>
      <c r="VGS73"/>
      <c r="VGT73"/>
      <c r="VGU73"/>
      <c r="VGV73"/>
      <c r="VGW73"/>
      <c r="VGX73"/>
      <c r="VGY73"/>
      <c r="VGZ73"/>
      <c r="VHA73"/>
      <c r="VHB73"/>
      <c r="VHC73"/>
      <c r="VHD73"/>
      <c r="VHE73"/>
      <c r="VHF73"/>
      <c r="VHG73"/>
      <c r="VHH73"/>
      <c r="VHI73"/>
      <c r="VHJ73"/>
      <c r="VHK73"/>
      <c r="VHL73"/>
      <c r="VHM73"/>
      <c r="VHN73"/>
      <c r="VHO73"/>
      <c r="VHP73"/>
      <c r="VHQ73"/>
      <c r="VHR73"/>
      <c r="VHS73"/>
      <c r="VHT73"/>
      <c r="VHU73"/>
      <c r="VHV73"/>
      <c r="VHW73"/>
      <c r="VHX73"/>
      <c r="VHY73"/>
      <c r="VHZ73"/>
      <c r="VIA73"/>
      <c r="VIB73"/>
      <c r="VIC73"/>
      <c r="VID73"/>
      <c r="VIE73"/>
      <c r="VIF73"/>
      <c r="VIG73"/>
      <c r="VIH73"/>
      <c r="VII73"/>
      <c r="VIJ73"/>
      <c r="VIK73"/>
      <c r="VIL73"/>
      <c r="VIM73"/>
      <c r="VIN73"/>
      <c r="VIO73"/>
      <c r="VIP73"/>
      <c r="VIQ73"/>
      <c r="VIR73"/>
      <c r="VIS73"/>
      <c r="VIT73"/>
      <c r="VIU73"/>
      <c r="VIV73"/>
      <c r="VIW73"/>
      <c r="VIX73"/>
      <c r="VIY73"/>
      <c r="VIZ73"/>
      <c r="VJA73"/>
      <c r="VJB73"/>
      <c r="VJC73"/>
      <c r="VJD73"/>
      <c r="VJE73"/>
      <c r="VJF73"/>
      <c r="VJG73"/>
      <c r="VJH73"/>
      <c r="VJI73"/>
      <c r="VJJ73"/>
      <c r="VJK73"/>
      <c r="VJL73"/>
      <c r="VJM73"/>
      <c r="VJN73"/>
      <c r="VJO73"/>
      <c r="VJP73"/>
      <c r="VJQ73"/>
      <c r="VJR73"/>
      <c r="VJS73"/>
      <c r="VJT73"/>
      <c r="VJU73"/>
      <c r="VJV73"/>
      <c r="VJW73"/>
      <c r="VJX73"/>
      <c r="VJY73"/>
      <c r="VJZ73"/>
      <c r="VKA73"/>
      <c r="VKB73"/>
      <c r="VKC73"/>
      <c r="VKD73"/>
      <c r="VKE73"/>
      <c r="VKF73"/>
      <c r="VKG73"/>
      <c r="VKH73"/>
      <c r="VKI73"/>
      <c r="VKJ73"/>
      <c r="VKK73"/>
      <c r="VKL73"/>
      <c r="VKM73"/>
      <c r="VKN73"/>
      <c r="VKO73"/>
      <c r="VKP73"/>
      <c r="VKQ73"/>
      <c r="VKR73"/>
      <c r="VKS73"/>
      <c r="VKT73"/>
      <c r="VKU73"/>
      <c r="VKV73"/>
      <c r="VKW73"/>
      <c r="VKX73"/>
      <c r="VKY73"/>
      <c r="VKZ73"/>
      <c r="VLA73"/>
      <c r="VLB73"/>
      <c r="VLC73"/>
      <c r="VLD73"/>
      <c r="VLE73"/>
      <c r="VLF73"/>
      <c r="VLG73"/>
      <c r="VLH73"/>
      <c r="VLI73"/>
      <c r="VLJ73"/>
      <c r="VLK73"/>
      <c r="VLL73"/>
      <c r="VLM73"/>
      <c r="VLN73"/>
      <c r="VLO73"/>
      <c r="VLP73"/>
      <c r="VLQ73"/>
      <c r="VLR73"/>
      <c r="VLS73"/>
      <c r="VLT73"/>
      <c r="VLU73"/>
      <c r="VLV73"/>
      <c r="VLW73"/>
      <c r="VLX73"/>
      <c r="VLY73"/>
      <c r="VLZ73"/>
      <c r="VMA73"/>
      <c r="VMB73"/>
      <c r="VMC73"/>
      <c r="VMD73"/>
      <c r="VME73"/>
      <c r="VMF73"/>
      <c r="VMG73"/>
      <c r="VMH73"/>
      <c r="VMI73"/>
      <c r="VMJ73"/>
      <c r="VMK73"/>
      <c r="VML73"/>
      <c r="VMM73"/>
      <c r="VMN73"/>
      <c r="VMO73"/>
      <c r="VMP73"/>
      <c r="VMQ73"/>
      <c r="VMR73"/>
      <c r="VMS73"/>
      <c r="VMT73"/>
      <c r="VMU73"/>
      <c r="VMV73"/>
      <c r="VMW73"/>
      <c r="VMX73"/>
      <c r="VMY73"/>
      <c r="VMZ73"/>
      <c r="VNA73"/>
      <c r="VNB73"/>
      <c r="VNC73"/>
      <c r="VND73"/>
      <c r="VNE73"/>
      <c r="VNF73"/>
      <c r="VNG73"/>
      <c r="VNH73"/>
      <c r="VNI73"/>
      <c r="VNJ73"/>
      <c r="VNK73"/>
      <c r="VNL73"/>
      <c r="VNM73"/>
      <c r="VNN73"/>
      <c r="VNO73"/>
      <c r="VNP73"/>
      <c r="VNQ73"/>
      <c r="VNR73"/>
      <c r="VNS73"/>
      <c r="VNT73"/>
      <c r="VNU73"/>
      <c r="VNV73"/>
      <c r="VNW73"/>
      <c r="VNX73"/>
      <c r="VNY73"/>
      <c r="VNZ73"/>
      <c r="VOA73"/>
      <c r="VOB73"/>
      <c r="VOC73"/>
      <c r="VOD73"/>
      <c r="VOE73"/>
      <c r="VOF73"/>
      <c r="VOG73"/>
      <c r="VOH73"/>
      <c r="VOI73"/>
      <c r="VOJ73"/>
      <c r="VOK73"/>
      <c r="VOL73"/>
      <c r="VOM73"/>
      <c r="VON73"/>
      <c r="VOO73"/>
      <c r="VOP73"/>
      <c r="VOQ73"/>
      <c r="VOR73"/>
      <c r="VOS73"/>
      <c r="VOT73"/>
      <c r="VOU73"/>
      <c r="VOV73"/>
      <c r="VOW73"/>
      <c r="VOX73"/>
      <c r="VOY73"/>
      <c r="VOZ73"/>
      <c r="VPA73"/>
      <c r="VPB73"/>
      <c r="VPC73"/>
      <c r="VPD73"/>
      <c r="VPE73"/>
      <c r="VPF73"/>
      <c r="VPG73"/>
      <c r="VPH73"/>
      <c r="VPI73"/>
      <c r="VPJ73"/>
      <c r="VPK73"/>
      <c r="VPL73"/>
      <c r="VPM73"/>
      <c r="VPN73"/>
      <c r="VPO73"/>
      <c r="VPP73"/>
      <c r="VPQ73"/>
      <c r="VPR73"/>
      <c r="VPS73"/>
      <c r="VPT73"/>
      <c r="VPU73"/>
      <c r="VPV73"/>
      <c r="VPW73"/>
      <c r="VPX73"/>
      <c r="VPY73"/>
      <c r="VPZ73"/>
      <c r="VQA73"/>
      <c r="VQB73"/>
      <c r="VQC73"/>
      <c r="VQD73"/>
      <c r="VQE73"/>
      <c r="VQF73"/>
      <c r="VQG73"/>
      <c r="VQH73"/>
      <c r="VQI73"/>
      <c r="VQJ73"/>
      <c r="VQK73"/>
      <c r="VQL73"/>
      <c r="VQM73"/>
      <c r="VQN73"/>
      <c r="VQO73"/>
      <c r="VQP73"/>
      <c r="VQQ73"/>
      <c r="VQR73"/>
      <c r="VQS73"/>
      <c r="VQT73"/>
      <c r="VQU73"/>
      <c r="VQV73"/>
      <c r="VQW73"/>
      <c r="VQX73"/>
      <c r="VQY73"/>
      <c r="VQZ73"/>
      <c r="VRA73"/>
      <c r="VRB73"/>
      <c r="VRC73"/>
      <c r="VRD73"/>
      <c r="VRE73"/>
      <c r="VRF73"/>
      <c r="VRG73"/>
      <c r="VRH73"/>
      <c r="VRI73"/>
      <c r="VRJ73"/>
      <c r="VRK73"/>
      <c r="VRL73"/>
      <c r="VRM73"/>
      <c r="VRN73"/>
      <c r="VRO73"/>
      <c r="VRP73"/>
      <c r="VRQ73"/>
      <c r="VRR73"/>
      <c r="VRS73"/>
      <c r="VRT73"/>
      <c r="VRU73"/>
      <c r="VRV73"/>
      <c r="VRW73"/>
      <c r="VRX73"/>
      <c r="VRY73"/>
      <c r="VRZ73"/>
      <c r="VSA73"/>
      <c r="VSB73"/>
      <c r="VSC73"/>
      <c r="VSD73"/>
      <c r="VSE73"/>
      <c r="VSF73"/>
      <c r="VSG73"/>
      <c r="VSH73"/>
      <c r="VSI73"/>
      <c r="VSJ73"/>
      <c r="VSK73"/>
      <c r="VSL73"/>
      <c r="VSM73"/>
      <c r="VSN73"/>
      <c r="VSO73"/>
      <c r="VSP73"/>
      <c r="VSQ73"/>
      <c r="VSR73"/>
      <c r="VSS73"/>
      <c r="VST73"/>
      <c r="VSU73"/>
      <c r="VSV73"/>
      <c r="VSW73"/>
      <c r="VSX73"/>
      <c r="VSY73"/>
      <c r="VSZ73"/>
      <c r="VTA73"/>
      <c r="VTB73"/>
      <c r="VTC73"/>
      <c r="VTD73"/>
      <c r="VTE73"/>
      <c r="VTF73"/>
      <c r="VTG73"/>
      <c r="VTH73"/>
      <c r="VTI73"/>
      <c r="VTJ73"/>
      <c r="VTK73"/>
      <c r="VTL73"/>
      <c r="VTM73"/>
      <c r="VTN73"/>
      <c r="VTO73"/>
      <c r="VTP73"/>
      <c r="VTQ73"/>
      <c r="VTR73"/>
      <c r="VTS73"/>
      <c r="VTT73"/>
      <c r="VTU73"/>
      <c r="VTV73"/>
      <c r="VTW73"/>
      <c r="VTX73"/>
      <c r="VTY73"/>
      <c r="VTZ73"/>
      <c r="VUA73"/>
      <c r="VUB73"/>
      <c r="VUC73"/>
      <c r="VUD73"/>
      <c r="VUE73"/>
      <c r="VUF73"/>
      <c r="VUG73"/>
      <c r="VUH73"/>
      <c r="VUI73"/>
      <c r="VUJ73"/>
      <c r="VUK73"/>
      <c r="VUL73"/>
      <c r="VUM73"/>
      <c r="VUN73"/>
      <c r="VUO73"/>
      <c r="VUP73"/>
      <c r="VUQ73"/>
      <c r="VUR73"/>
      <c r="VUS73"/>
      <c r="VUT73"/>
      <c r="VUU73"/>
      <c r="VUV73"/>
      <c r="VUW73"/>
      <c r="VUX73"/>
      <c r="VUY73"/>
      <c r="VUZ73"/>
      <c r="VVA73"/>
      <c r="VVB73"/>
      <c r="VVC73"/>
      <c r="VVD73"/>
      <c r="VVE73"/>
      <c r="VVF73"/>
      <c r="VVG73"/>
      <c r="VVH73"/>
      <c r="VVI73"/>
      <c r="VVJ73"/>
      <c r="VVK73"/>
      <c r="VVL73"/>
      <c r="VVM73"/>
      <c r="VVN73"/>
      <c r="VVO73"/>
      <c r="VVP73"/>
      <c r="VVQ73"/>
      <c r="VVR73"/>
      <c r="VVS73"/>
      <c r="VVT73"/>
      <c r="VVU73"/>
      <c r="VVV73"/>
      <c r="VVW73"/>
      <c r="VVX73"/>
      <c r="VVY73"/>
      <c r="VVZ73"/>
      <c r="VWA73"/>
      <c r="VWB73"/>
      <c r="VWC73"/>
      <c r="VWD73"/>
      <c r="VWE73"/>
      <c r="VWF73"/>
      <c r="VWG73"/>
      <c r="VWH73"/>
      <c r="VWI73"/>
      <c r="VWJ73"/>
      <c r="VWK73"/>
      <c r="VWL73"/>
      <c r="VWM73"/>
      <c r="VWN73"/>
      <c r="VWO73"/>
      <c r="VWP73"/>
      <c r="VWQ73"/>
      <c r="VWR73"/>
      <c r="VWS73"/>
      <c r="VWT73"/>
      <c r="VWU73"/>
      <c r="VWV73"/>
      <c r="VWW73"/>
      <c r="VWX73"/>
      <c r="VWY73"/>
      <c r="VWZ73"/>
      <c r="VXA73"/>
      <c r="VXB73"/>
      <c r="VXC73"/>
      <c r="VXD73"/>
      <c r="VXE73"/>
      <c r="VXF73"/>
      <c r="VXG73"/>
      <c r="VXH73"/>
      <c r="VXI73"/>
      <c r="VXJ73"/>
      <c r="VXK73"/>
      <c r="VXL73"/>
      <c r="VXM73"/>
      <c r="VXN73"/>
      <c r="VXO73"/>
      <c r="VXP73"/>
      <c r="VXQ73"/>
      <c r="VXR73"/>
      <c r="VXS73"/>
      <c r="VXT73"/>
      <c r="VXU73"/>
      <c r="VXV73"/>
      <c r="VXW73"/>
      <c r="VXX73"/>
      <c r="VXY73"/>
      <c r="VXZ73"/>
      <c r="VYA73"/>
      <c r="VYB73"/>
      <c r="VYC73"/>
      <c r="VYD73"/>
      <c r="VYE73"/>
      <c r="VYF73"/>
      <c r="VYG73"/>
      <c r="VYH73"/>
      <c r="VYI73"/>
      <c r="VYJ73"/>
      <c r="VYK73"/>
      <c r="VYL73"/>
      <c r="VYM73"/>
      <c r="VYN73"/>
      <c r="VYO73"/>
      <c r="VYP73"/>
      <c r="VYQ73"/>
      <c r="VYR73"/>
      <c r="VYS73"/>
      <c r="VYT73"/>
      <c r="VYU73"/>
      <c r="VYV73"/>
      <c r="VYW73"/>
      <c r="VYX73"/>
      <c r="VYY73"/>
      <c r="VYZ73"/>
      <c r="VZA73"/>
      <c r="VZB73"/>
      <c r="VZC73"/>
      <c r="VZD73"/>
      <c r="VZE73"/>
      <c r="VZF73"/>
      <c r="VZG73"/>
      <c r="VZH73"/>
      <c r="VZI73"/>
      <c r="VZJ73"/>
      <c r="VZK73"/>
      <c r="VZL73"/>
      <c r="VZM73"/>
      <c r="VZN73"/>
      <c r="VZO73"/>
      <c r="VZP73"/>
      <c r="VZQ73"/>
      <c r="VZR73"/>
      <c r="VZS73"/>
      <c r="VZT73"/>
      <c r="VZU73"/>
      <c r="VZV73"/>
      <c r="VZW73"/>
      <c r="VZX73"/>
      <c r="VZY73"/>
      <c r="VZZ73"/>
      <c r="WAA73"/>
      <c r="WAB73"/>
      <c r="WAC73"/>
      <c r="WAD73"/>
      <c r="WAE73"/>
      <c r="WAF73"/>
      <c r="WAG73"/>
      <c r="WAH73"/>
      <c r="WAI73"/>
      <c r="WAJ73"/>
      <c r="WAK73"/>
      <c r="WAL73"/>
      <c r="WAM73"/>
      <c r="WAN73"/>
      <c r="WAO73"/>
      <c r="WAP73"/>
      <c r="WAQ73"/>
      <c r="WAR73"/>
      <c r="WAS73"/>
      <c r="WAT73"/>
      <c r="WAU73"/>
      <c r="WAV73"/>
      <c r="WAW73"/>
      <c r="WAX73"/>
      <c r="WAY73"/>
      <c r="WAZ73"/>
      <c r="WBA73"/>
      <c r="WBB73"/>
      <c r="WBC73"/>
      <c r="WBD73"/>
      <c r="WBE73"/>
      <c r="WBF73"/>
      <c r="WBG73"/>
      <c r="WBH73"/>
      <c r="WBI73"/>
      <c r="WBJ73"/>
      <c r="WBK73"/>
      <c r="WBL73"/>
      <c r="WBM73"/>
      <c r="WBN73"/>
      <c r="WBO73"/>
      <c r="WBP73"/>
      <c r="WBQ73"/>
      <c r="WBR73"/>
      <c r="WBS73"/>
      <c r="WBT73"/>
      <c r="WBU73"/>
      <c r="WBV73"/>
      <c r="WBW73"/>
      <c r="WBX73"/>
      <c r="WBY73"/>
      <c r="WBZ73"/>
      <c r="WCA73"/>
      <c r="WCB73"/>
      <c r="WCC73"/>
      <c r="WCD73"/>
      <c r="WCE73"/>
      <c r="WCF73"/>
      <c r="WCG73"/>
      <c r="WCH73"/>
      <c r="WCI73"/>
      <c r="WCJ73"/>
      <c r="WCK73"/>
      <c r="WCL73"/>
      <c r="WCM73"/>
      <c r="WCN73"/>
      <c r="WCO73"/>
      <c r="WCP73"/>
      <c r="WCQ73"/>
      <c r="WCR73"/>
      <c r="WCS73"/>
      <c r="WCT73"/>
      <c r="WCU73"/>
      <c r="WCV73"/>
      <c r="WCW73"/>
      <c r="WCX73"/>
      <c r="WCY73"/>
      <c r="WCZ73"/>
      <c r="WDA73"/>
      <c r="WDB73"/>
      <c r="WDC73"/>
      <c r="WDD73"/>
      <c r="WDE73"/>
      <c r="WDF73"/>
      <c r="WDG73"/>
      <c r="WDH73"/>
      <c r="WDI73"/>
      <c r="WDJ73"/>
      <c r="WDK73"/>
      <c r="WDL73"/>
      <c r="WDM73"/>
      <c r="WDN73"/>
      <c r="WDO73"/>
      <c r="WDP73"/>
      <c r="WDQ73"/>
      <c r="WDR73"/>
      <c r="WDS73"/>
      <c r="WDT73"/>
      <c r="WDU73"/>
      <c r="WDV73"/>
      <c r="WDW73"/>
      <c r="WDX73"/>
      <c r="WDY73"/>
      <c r="WDZ73"/>
      <c r="WEA73"/>
      <c r="WEB73"/>
      <c r="WEC73"/>
      <c r="WED73"/>
      <c r="WEE73"/>
      <c r="WEF73"/>
      <c r="WEG73"/>
      <c r="WEH73"/>
      <c r="WEI73"/>
      <c r="WEJ73"/>
      <c r="WEK73"/>
      <c r="WEL73"/>
      <c r="WEM73"/>
      <c r="WEN73"/>
      <c r="WEO73"/>
      <c r="WEP73"/>
      <c r="WEQ73"/>
      <c r="WER73"/>
      <c r="WES73"/>
      <c r="WET73"/>
      <c r="WEU73"/>
      <c r="WEV73"/>
      <c r="WEW73"/>
      <c r="WEX73"/>
      <c r="WEY73"/>
      <c r="WEZ73"/>
      <c r="WFA73"/>
      <c r="WFB73"/>
      <c r="WFC73"/>
      <c r="WFD73"/>
      <c r="WFE73"/>
      <c r="WFF73"/>
      <c r="WFG73"/>
      <c r="WFH73"/>
      <c r="WFI73"/>
      <c r="WFJ73"/>
      <c r="WFK73"/>
      <c r="WFL73"/>
      <c r="WFM73"/>
      <c r="WFN73"/>
      <c r="WFO73"/>
      <c r="WFP73"/>
      <c r="WFQ73"/>
      <c r="WFR73"/>
      <c r="WFS73"/>
      <c r="WFT73"/>
      <c r="WFU73"/>
      <c r="WFV73"/>
      <c r="WFW73"/>
      <c r="WFX73"/>
      <c r="WFY73"/>
      <c r="WFZ73"/>
      <c r="WGA73"/>
      <c r="WGB73"/>
      <c r="WGC73"/>
      <c r="WGD73"/>
      <c r="WGE73"/>
      <c r="WGF73"/>
      <c r="WGG73"/>
      <c r="WGH73"/>
      <c r="WGI73"/>
      <c r="WGJ73"/>
      <c r="WGK73"/>
      <c r="WGL73"/>
      <c r="WGM73"/>
      <c r="WGN73"/>
      <c r="WGO73"/>
      <c r="WGP73"/>
      <c r="WGQ73"/>
      <c r="WGR73"/>
      <c r="WGS73"/>
      <c r="WGT73"/>
      <c r="WGU73"/>
      <c r="WGV73"/>
      <c r="WGW73"/>
      <c r="WGX73"/>
      <c r="WGY73"/>
      <c r="WGZ73"/>
      <c r="WHA73"/>
      <c r="WHB73"/>
      <c r="WHC73"/>
      <c r="WHD73"/>
      <c r="WHE73"/>
      <c r="WHF73"/>
      <c r="WHG73"/>
      <c r="WHH73"/>
      <c r="WHI73"/>
      <c r="WHJ73"/>
      <c r="WHK73"/>
      <c r="WHL73"/>
      <c r="WHM73"/>
      <c r="WHN73"/>
      <c r="WHO73"/>
      <c r="WHP73"/>
      <c r="WHQ73"/>
      <c r="WHR73"/>
      <c r="WHS73"/>
      <c r="WHT73"/>
      <c r="WHU73"/>
      <c r="WHV73"/>
      <c r="WHW73"/>
      <c r="WHX73"/>
      <c r="WHY73"/>
      <c r="WHZ73"/>
      <c r="WIA73"/>
      <c r="WIB73"/>
      <c r="WIC73"/>
      <c r="WID73"/>
      <c r="WIE73"/>
      <c r="WIF73"/>
      <c r="WIG73"/>
      <c r="WIH73"/>
      <c r="WII73"/>
      <c r="WIJ73"/>
      <c r="WIK73"/>
      <c r="WIL73"/>
      <c r="WIM73"/>
      <c r="WIN73"/>
      <c r="WIO73"/>
      <c r="WIP73"/>
      <c r="WIQ73"/>
      <c r="WIR73"/>
      <c r="WIS73"/>
      <c r="WIT73"/>
      <c r="WIU73"/>
      <c r="WIV73"/>
      <c r="WIW73"/>
      <c r="WIX73"/>
      <c r="WIY73"/>
      <c r="WIZ73"/>
      <c r="WJA73"/>
      <c r="WJB73"/>
      <c r="WJC73"/>
      <c r="WJD73"/>
      <c r="WJE73"/>
      <c r="WJF73"/>
      <c r="WJG73"/>
      <c r="WJH73"/>
      <c r="WJI73"/>
      <c r="WJJ73"/>
      <c r="WJK73"/>
      <c r="WJL73"/>
      <c r="WJM73"/>
      <c r="WJN73"/>
      <c r="WJO73"/>
      <c r="WJP73"/>
      <c r="WJQ73"/>
      <c r="WJR73"/>
      <c r="WJS73"/>
      <c r="WJT73"/>
      <c r="WJU73"/>
      <c r="WJV73"/>
      <c r="WJW73"/>
      <c r="WJX73"/>
      <c r="WJY73"/>
      <c r="WJZ73"/>
      <c r="WKA73"/>
      <c r="WKB73"/>
      <c r="WKC73"/>
      <c r="WKD73"/>
      <c r="WKE73"/>
      <c r="WKF73"/>
      <c r="WKG73"/>
      <c r="WKH73"/>
      <c r="WKI73"/>
      <c r="WKJ73"/>
      <c r="WKK73"/>
      <c r="WKL73"/>
      <c r="WKM73"/>
      <c r="WKN73"/>
      <c r="WKO73"/>
      <c r="WKP73"/>
      <c r="WKQ73"/>
      <c r="WKR73"/>
      <c r="WKS73"/>
      <c r="WKT73"/>
      <c r="WKU73"/>
      <c r="WKV73"/>
      <c r="WKW73"/>
      <c r="WKX73"/>
      <c r="WKY73"/>
      <c r="WKZ73"/>
      <c r="WLA73"/>
      <c r="WLB73"/>
      <c r="WLC73"/>
      <c r="WLD73"/>
      <c r="WLE73"/>
      <c r="WLF73"/>
      <c r="WLG73"/>
      <c r="WLH73"/>
      <c r="WLI73"/>
      <c r="WLJ73"/>
      <c r="WLK73"/>
      <c r="WLL73"/>
      <c r="WLM73"/>
      <c r="WLN73"/>
      <c r="WLO73"/>
      <c r="WLP73"/>
      <c r="WLQ73"/>
      <c r="WLR73"/>
      <c r="WLS73"/>
      <c r="WLT73"/>
      <c r="WLU73"/>
      <c r="WLV73"/>
      <c r="WLW73"/>
      <c r="WLX73"/>
      <c r="WLY73"/>
      <c r="WLZ73"/>
      <c r="WMA73"/>
      <c r="WMB73"/>
      <c r="WMC73"/>
      <c r="WMD73"/>
      <c r="WME73"/>
      <c r="WMF73"/>
      <c r="WMG73"/>
      <c r="WMH73"/>
      <c r="WMI73"/>
      <c r="WMJ73"/>
      <c r="WMK73"/>
      <c r="WML73"/>
      <c r="WMM73"/>
      <c r="WMN73"/>
      <c r="WMO73"/>
      <c r="WMP73"/>
      <c r="WMQ73"/>
      <c r="WMR73"/>
      <c r="WMS73"/>
      <c r="WMT73"/>
      <c r="WMU73"/>
      <c r="WMV73"/>
      <c r="WMW73"/>
      <c r="WMX73"/>
      <c r="WMY73"/>
      <c r="WMZ73"/>
      <c r="WNA73"/>
      <c r="WNB73"/>
      <c r="WNC73"/>
      <c r="WND73"/>
      <c r="WNE73"/>
      <c r="WNF73"/>
      <c r="WNG73"/>
      <c r="WNH73"/>
      <c r="WNI73"/>
      <c r="WNJ73"/>
      <c r="WNK73"/>
      <c r="WNL73"/>
      <c r="WNM73"/>
      <c r="WNN73"/>
      <c r="WNO73"/>
      <c r="WNP73"/>
      <c r="WNQ73"/>
      <c r="WNR73"/>
      <c r="WNS73"/>
      <c r="WNT73"/>
      <c r="WNU73"/>
      <c r="WNV73"/>
      <c r="WNW73"/>
      <c r="WNX73"/>
      <c r="WNY73"/>
      <c r="WNZ73"/>
      <c r="WOA73"/>
      <c r="WOB73"/>
      <c r="WOC73"/>
      <c r="WOD73"/>
      <c r="WOE73"/>
      <c r="WOF73"/>
      <c r="WOG73"/>
      <c r="WOH73"/>
      <c r="WOI73"/>
      <c r="WOJ73"/>
      <c r="WOK73"/>
      <c r="WOL73"/>
      <c r="WOM73"/>
      <c r="WON73"/>
      <c r="WOO73"/>
      <c r="WOP73"/>
      <c r="WOQ73"/>
      <c r="WOR73"/>
      <c r="WOS73"/>
      <c r="WOT73"/>
      <c r="WOU73"/>
      <c r="WOV73"/>
      <c r="WOW73"/>
      <c r="WOX73"/>
      <c r="WOY73"/>
      <c r="WOZ73"/>
      <c r="WPA73"/>
      <c r="WPB73"/>
      <c r="WPC73"/>
      <c r="WPD73"/>
      <c r="WPE73"/>
      <c r="WPF73"/>
      <c r="WPG73"/>
      <c r="WPH73"/>
      <c r="WPI73"/>
      <c r="WPJ73"/>
      <c r="WPK73"/>
      <c r="WPL73"/>
      <c r="WPM73"/>
      <c r="WPN73"/>
      <c r="WPO73"/>
      <c r="WPP73"/>
      <c r="WPQ73"/>
      <c r="WPR73"/>
      <c r="WPS73"/>
      <c r="WPT73"/>
      <c r="WPU73"/>
      <c r="WPV73"/>
      <c r="WPW73"/>
      <c r="WPX73"/>
      <c r="WPY73"/>
      <c r="WPZ73"/>
      <c r="WQA73"/>
      <c r="WQB73"/>
      <c r="WQC73"/>
      <c r="WQD73"/>
      <c r="WQE73"/>
      <c r="WQF73"/>
      <c r="WQG73"/>
      <c r="WQH73"/>
      <c r="WQI73"/>
      <c r="WQJ73"/>
      <c r="WQK73"/>
      <c r="WQL73"/>
      <c r="WQM73"/>
      <c r="WQN73"/>
      <c r="WQO73"/>
      <c r="WQP73"/>
      <c r="WQQ73"/>
      <c r="WQR73"/>
      <c r="WQS73"/>
      <c r="WQT73"/>
      <c r="WQU73"/>
      <c r="WQV73"/>
      <c r="WQW73"/>
      <c r="WQX73"/>
      <c r="WQY73"/>
      <c r="WQZ73"/>
      <c r="WRA73"/>
      <c r="WRB73"/>
      <c r="WRC73"/>
      <c r="WRD73"/>
      <c r="WRE73"/>
      <c r="WRF73"/>
      <c r="WRG73"/>
      <c r="WRH73"/>
      <c r="WRI73"/>
      <c r="WRJ73"/>
      <c r="WRK73"/>
      <c r="WRL73"/>
      <c r="WRM73"/>
      <c r="WRN73"/>
      <c r="WRO73"/>
      <c r="WRP73"/>
      <c r="WRQ73"/>
      <c r="WRR73"/>
      <c r="WRS73"/>
      <c r="WRT73"/>
      <c r="WRU73"/>
      <c r="WRV73"/>
      <c r="WRW73"/>
      <c r="WRX73"/>
      <c r="WRY73"/>
      <c r="WRZ73"/>
      <c r="WSA73"/>
      <c r="WSB73"/>
      <c r="WSC73"/>
      <c r="WSD73"/>
      <c r="WSE73"/>
      <c r="WSF73"/>
      <c r="WSG73"/>
      <c r="WSH73"/>
      <c r="WSI73"/>
      <c r="WSJ73"/>
      <c r="WSK73"/>
      <c r="WSL73"/>
      <c r="WSM73"/>
      <c r="WSN73"/>
      <c r="WSO73"/>
      <c r="WSP73"/>
      <c r="WSQ73"/>
      <c r="WSR73"/>
      <c r="WSS73"/>
      <c r="WST73"/>
      <c r="WSU73"/>
      <c r="WSV73"/>
      <c r="WSW73"/>
      <c r="WSX73"/>
      <c r="WSY73"/>
      <c r="WSZ73"/>
      <c r="WTA73"/>
      <c r="WTB73"/>
      <c r="WTC73"/>
      <c r="WTD73"/>
      <c r="WTE73"/>
      <c r="WTF73"/>
      <c r="WTG73"/>
      <c r="WTH73"/>
      <c r="WTI73"/>
      <c r="WTJ73"/>
      <c r="WTK73"/>
      <c r="WTL73"/>
      <c r="WTM73"/>
      <c r="WTN73"/>
      <c r="WTO73"/>
      <c r="WTP73"/>
      <c r="WTQ73"/>
      <c r="WTR73"/>
      <c r="WTS73"/>
      <c r="WTT73"/>
      <c r="WTU73"/>
      <c r="WTV73"/>
      <c r="WTW73"/>
      <c r="WTX73"/>
      <c r="WTY73"/>
      <c r="WTZ73"/>
      <c r="WUA73"/>
      <c r="WUB73"/>
      <c r="WUC73"/>
      <c r="WUD73"/>
      <c r="WUE73"/>
      <c r="WUF73"/>
      <c r="WUG73"/>
      <c r="WUH73"/>
      <c r="WUI73"/>
      <c r="WUJ73"/>
      <c r="WUK73"/>
      <c r="WUL73"/>
      <c r="WUM73"/>
      <c r="WUN73"/>
      <c r="WUO73"/>
      <c r="WUP73"/>
      <c r="WUQ73"/>
      <c r="WUR73"/>
      <c r="WUS73"/>
      <c r="WUT73"/>
      <c r="WUU73"/>
      <c r="WUV73"/>
      <c r="WUW73"/>
      <c r="WUX73"/>
      <c r="WUY73"/>
      <c r="WUZ73"/>
      <c r="WVA73"/>
      <c r="WVB73"/>
      <c r="WVC73"/>
      <c r="WVD73"/>
      <c r="WVE73"/>
      <c r="WVF73"/>
      <c r="WVG73"/>
      <c r="WVH73"/>
      <c r="WVI73"/>
      <c r="WVJ73"/>
      <c r="WVK73"/>
      <c r="WVL73"/>
      <c r="WVM73"/>
      <c r="WVN73"/>
      <c r="WVO73"/>
      <c r="WVP73"/>
      <c r="WVQ73"/>
      <c r="WVR73"/>
      <c r="WVS73"/>
      <c r="WVT73"/>
      <c r="WVU73"/>
      <c r="WVV73"/>
      <c r="WVW73"/>
      <c r="WVX73"/>
      <c r="WVY73"/>
      <c r="WVZ73"/>
      <c r="WWA73"/>
      <c r="WWB73"/>
      <c r="WWC73"/>
      <c r="WWD73"/>
      <c r="WWE73"/>
      <c r="WWF73"/>
      <c r="WWG73"/>
      <c r="WWH73"/>
      <c r="WWI73"/>
      <c r="WWJ73"/>
      <c r="WWK73"/>
      <c r="WWL73"/>
      <c r="WWM73"/>
      <c r="WWN73"/>
      <c r="WWO73"/>
      <c r="WWP73"/>
      <c r="WWQ73"/>
      <c r="WWR73"/>
      <c r="WWS73"/>
      <c r="WWT73"/>
      <c r="WWU73"/>
      <c r="WWV73"/>
      <c r="WWW73"/>
      <c r="WWX73"/>
      <c r="WWY73"/>
      <c r="WWZ73"/>
      <c r="WXA73"/>
      <c r="WXB73"/>
      <c r="WXC73"/>
      <c r="WXD73"/>
      <c r="WXE73"/>
      <c r="WXF73"/>
      <c r="WXG73"/>
      <c r="WXH73"/>
      <c r="WXI73"/>
      <c r="WXJ73"/>
      <c r="WXK73"/>
      <c r="WXL73"/>
      <c r="WXM73"/>
      <c r="WXN73"/>
      <c r="WXO73"/>
      <c r="WXP73"/>
      <c r="WXQ73"/>
      <c r="WXR73"/>
      <c r="WXS73"/>
      <c r="WXT73"/>
      <c r="WXU73"/>
      <c r="WXV73"/>
      <c r="WXW73"/>
      <c r="WXX73"/>
      <c r="WXY73"/>
      <c r="WXZ73"/>
      <c r="WYA73"/>
      <c r="WYB73"/>
      <c r="WYC73"/>
      <c r="WYD73"/>
      <c r="WYE73"/>
      <c r="WYF73"/>
      <c r="WYG73"/>
      <c r="WYH73"/>
      <c r="WYI73"/>
      <c r="WYJ73"/>
      <c r="WYK73"/>
      <c r="WYL73"/>
      <c r="WYM73"/>
      <c r="WYN73"/>
      <c r="WYO73"/>
      <c r="WYP73"/>
      <c r="WYQ73"/>
      <c r="WYR73"/>
      <c r="WYS73"/>
      <c r="WYT73"/>
      <c r="WYU73"/>
      <c r="WYV73"/>
      <c r="WYW73"/>
      <c r="WYX73"/>
      <c r="WYY73"/>
      <c r="WYZ73"/>
      <c r="WZA73"/>
      <c r="WZB73"/>
      <c r="WZC73"/>
      <c r="WZD73"/>
      <c r="WZE73"/>
      <c r="WZF73"/>
      <c r="WZG73"/>
      <c r="WZH73"/>
      <c r="WZI73"/>
      <c r="WZJ73"/>
      <c r="WZK73"/>
      <c r="WZL73"/>
      <c r="WZM73"/>
      <c r="WZN73"/>
      <c r="WZO73"/>
      <c r="WZP73"/>
      <c r="WZQ73"/>
      <c r="WZR73"/>
      <c r="WZS73"/>
      <c r="WZT73"/>
      <c r="WZU73"/>
      <c r="WZV73"/>
      <c r="WZW73"/>
      <c r="WZX73"/>
      <c r="WZY73"/>
      <c r="WZZ73"/>
      <c r="XAA73"/>
      <c r="XAB73"/>
      <c r="XAC73"/>
      <c r="XAD73"/>
      <c r="XAE73"/>
      <c r="XAF73"/>
      <c r="XAG73"/>
      <c r="XAH73"/>
      <c r="XAI73"/>
      <c r="XAJ73"/>
      <c r="XAK73"/>
      <c r="XAL73"/>
      <c r="XAM73"/>
      <c r="XAN73"/>
      <c r="XAO73"/>
      <c r="XAP73"/>
      <c r="XAQ73"/>
      <c r="XAR73"/>
      <c r="XAS73"/>
      <c r="XAT73"/>
      <c r="XAU73"/>
      <c r="XAV73"/>
      <c r="XAW73"/>
      <c r="XAX73"/>
      <c r="XAY73"/>
      <c r="XAZ73"/>
      <c r="XBA73"/>
      <c r="XBB73"/>
      <c r="XBC73"/>
      <c r="XBD73"/>
      <c r="XBE73"/>
      <c r="XBF73"/>
      <c r="XBG73"/>
      <c r="XBH73"/>
      <c r="XBI73"/>
      <c r="XBJ73"/>
      <c r="XBK73"/>
      <c r="XBL73"/>
      <c r="XBM73"/>
      <c r="XBN73"/>
      <c r="XBO73"/>
      <c r="XBP73"/>
      <c r="XBQ73"/>
      <c r="XBR73"/>
      <c r="XBS73"/>
      <c r="XBT73"/>
      <c r="XBU73"/>
      <c r="XBV73"/>
      <c r="XBW73"/>
      <c r="XBX73"/>
      <c r="XBY73"/>
      <c r="XBZ73"/>
      <c r="XCA73"/>
      <c r="XCB73"/>
      <c r="XCC73"/>
      <c r="XCD73"/>
      <c r="XCE73"/>
      <c r="XCF73"/>
      <c r="XCG73"/>
      <c r="XCH73"/>
      <c r="XCI73"/>
      <c r="XCJ73"/>
      <c r="XCK73"/>
      <c r="XCL73"/>
      <c r="XCM73"/>
      <c r="XCN73"/>
      <c r="XCO73"/>
      <c r="XCP73"/>
      <c r="XCQ73"/>
      <c r="XCR73"/>
      <c r="XCS73"/>
      <c r="XCT73"/>
      <c r="XCU73"/>
      <c r="XCV73"/>
      <c r="XCW73"/>
      <c r="XCX73"/>
      <c r="XCY73"/>
      <c r="XCZ73"/>
      <c r="XDA73"/>
      <c r="XDB73"/>
      <c r="XDC73"/>
      <c r="XDD73"/>
      <c r="XDE73"/>
      <c r="XDF73"/>
      <c r="XDG73"/>
      <c r="XDH73"/>
      <c r="XDI73"/>
      <c r="XDJ73"/>
      <c r="XDK73"/>
      <c r="XDL73"/>
      <c r="XDM73"/>
      <c r="XDN73"/>
      <c r="XDO73"/>
      <c r="XDP73"/>
      <c r="XDQ73"/>
      <c r="XDR73"/>
      <c r="XDS73"/>
      <c r="XDT73"/>
      <c r="XDU73"/>
      <c r="XDV73"/>
      <c r="XDW73"/>
      <c r="XDX73"/>
      <c r="XDY73"/>
      <c r="XDZ73"/>
      <c r="XEA73"/>
      <c r="XEB73"/>
      <c r="XEC73"/>
      <c r="XED73"/>
      <c r="XEE73"/>
      <c r="XEF73"/>
      <c r="XEG73"/>
      <c r="XEH73"/>
      <c r="XEI73"/>
      <c r="XEJ73"/>
      <c r="XEK73"/>
      <c r="XEL73"/>
      <c r="XEM73"/>
      <c r="XEN73"/>
      <c r="XEO73"/>
      <c r="XEP73"/>
      <c r="XEQ73"/>
      <c r="XER73"/>
      <c r="XES73"/>
      <c r="XET73"/>
      <c r="XEU73"/>
      <c r="XEV73"/>
      <c r="XEW73"/>
      <c r="XEX73"/>
      <c r="XEY73"/>
      <c r="XEZ73"/>
      <c r="XFA73"/>
      <c r="XFB73"/>
      <c r="XFC73"/>
      <c r="XFD73"/>
    </row>
    <row r="74" spans="3:16384" ht="31.5">
      <c r="C74" s="1226" t="s">
        <v>1847</v>
      </c>
      <c r="D74" s="1213"/>
      <c r="E74" s="1214"/>
      <c r="F74" s="1214"/>
      <c r="G74" s="1214"/>
      <c r="H74" s="1214"/>
      <c r="I74" s="1214"/>
      <c r="J74" s="1214"/>
      <c r="K74" s="1213"/>
      <c r="L74" s="1213"/>
      <c r="M74" s="1213"/>
      <c r="N74" s="1235"/>
      <c r="O74" s="1214"/>
      <c r="P74" s="1235"/>
      <c r="Q74" s="1214"/>
      <c r="R74" s="1246" t="s">
        <v>1663</v>
      </c>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c r="GO74"/>
      <c r="GP74"/>
      <c r="GQ74"/>
      <c r="GR74"/>
      <c r="GS74"/>
      <c r="GT74"/>
      <c r="GU74"/>
      <c r="GV74"/>
      <c r="GW74"/>
      <c r="GX74"/>
      <c r="GY74"/>
      <c r="GZ74"/>
      <c r="HA74"/>
      <c r="HB74"/>
      <c r="HC74"/>
      <c r="HD74"/>
      <c r="HE74"/>
      <c r="HF74"/>
      <c r="HG74"/>
      <c r="HH74"/>
      <c r="HI74"/>
      <c r="HJ74"/>
      <c r="HK74"/>
      <c r="HL74"/>
      <c r="HM74"/>
      <c r="HN74"/>
      <c r="HO74"/>
      <c r="HP74"/>
      <c r="HQ74"/>
      <c r="HR74"/>
      <c r="HS74"/>
      <c r="HT74"/>
      <c r="HU74"/>
      <c r="HV74"/>
      <c r="HW74"/>
      <c r="HX74"/>
      <c r="HY74"/>
      <c r="HZ74"/>
      <c r="IA74"/>
      <c r="IB74"/>
      <c r="IC74"/>
      <c r="ID74"/>
      <c r="IE74"/>
      <c r="IF74"/>
      <c r="IG74"/>
      <c r="IH74"/>
      <c r="II74"/>
      <c r="IJ74"/>
      <c r="IK74"/>
      <c r="IL74"/>
      <c r="IM74"/>
      <c r="IN74"/>
      <c r="IO74"/>
      <c r="IP74"/>
      <c r="IQ74"/>
      <c r="IR74"/>
      <c r="IS74"/>
      <c r="IT74"/>
      <c r="IU74"/>
      <c r="IV74"/>
      <c r="IW74"/>
      <c r="IX74"/>
      <c r="IY74"/>
      <c r="IZ74"/>
      <c r="JA74"/>
      <c r="JB74"/>
      <c r="JC74"/>
      <c r="JD74"/>
      <c r="JE74"/>
      <c r="JF74"/>
      <c r="JG74"/>
      <c r="JH74"/>
      <c r="JI74"/>
      <c r="JJ74"/>
      <c r="JK74"/>
      <c r="JL74"/>
      <c r="JM74"/>
      <c r="JN74"/>
      <c r="JO74"/>
      <c r="JP74"/>
      <c r="JQ74"/>
      <c r="JR74"/>
      <c r="JS74"/>
      <c r="JT74"/>
      <c r="JU74"/>
      <c r="JV74"/>
      <c r="JW74"/>
      <c r="JX74"/>
      <c r="JY74"/>
      <c r="JZ74"/>
      <c r="KA74"/>
      <c r="KB74"/>
      <c r="KC74"/>
      <c r="KD74"/>
      <c r="KE74"/>
      <c r="KF74"/>
      <c r="KG74"/>
      <c r="KH74"/>
      <c r="KI74"/>
      <c r="KJ74"/>
      <c r="KK74"/>
      <c r="KL74"/>
      <c r="KM74"/>
      <c r="KN74"/>
      <c r="KO74"/>
      <c r="KP74"/>
      <c r="KQ74"/>
      <c r="KR74"/>
      <c r="KS74"/>
      <c r="KT74"/>
      <c r="KU74"/>
      <c r="KV74"/>
      <c r="KW74"/>
      <c r="KX74"/>
      <c r="KY74"/>
      <c r="KZ74"/>
      <c r="LA74"/>
      <c r="LB74"/>
      <c r="LC74"/>
      <c r="LD74"/>
      <c r="LE74"/>
      <c r="LF74"/>
      <c r="LG74"/>
      <c r="LH74"/>
      <c r="LI74"/>
      <c r="LJ74"/>
      <c r="LK74"/>
      <c r="LL74"/>
      <c r="LM74"/>
      <c r="LN74"/>
      <c r="LO74"/>
      <c r="LP74"/>
      <c r="LQ74"/>
      <c r="LR74"/>
      <c r="LS74"/>
      <c r="LT74"/>
      <c r="LU74"/>
      <c r="LV74"/>
      <c r="LW74"/>
      <c r="LX74"/>
      <c r="LY74"/>
      <c r="LZ74"/>
      <c r="MA74"/>
      <c r="MB74"/>
      <c r="MC74"/>
      <c r="MD74"/>
      <c r="ME74"/>
      <c r="MF74"/>
      <c r="MG74"/>
      <c r="MH74"/>
      <c r="MI74"/>
      <c r="MJ74"/>
      <c r="MK74"/>
      <c r="ML74"/>
      <c r="MM74"/>
      <c r="MN74"/>
      <c r="MO74"/>
      <c r="MP74"/>
      <c r="MQ74"/>
      <c r="MR74"/>
      <c r="MS74"/>
      <c r="MT74"/>
      <c r="MU74"/>
      <c r="MV74"/>
      <c r="MW74"/>
      <c r="MX74"/>
      <c r="MY74"/>
      <c r="MZ74"/>
      <c r="NA74"/>
      <c r="NB74"/>
      <c r="NC74"/>
      <c r="ND74"/>
      <c r="NE74"/>
      <c r="NF74"/>
      <c r="NG74"/>
      <c r="NH74"/>
      <c r="NI74"/>
      <c r="NJ74"/>
      <c r="NK74"/>
      <c r="NL74"/>
      <c r="NM74"/>
      <c r="NN74"/>
      <c r="NO74"/>
      <c r="NP74"/>
      <c r="NQ74"/>
      <c r="NR74"/>
      <c r="NS74"/>
      <c r="NT74"/>
      <c r="NU74"/>
      <c r="NV74"/>
      <c r="NW74"/>
      <c r="NX74"/>
      <c r="NY74"/>
      <c r="NZ74"/>
      <c r="OA74"/>
      <c r="OB74"/>
      <c r="OC74"/>
      <c r="OD74"/>
      <c r="OE74"/>
      <c r="OF74"/>
      <c r="OG74"/>
      <c r="OH74"/>
      <c r="OI74"/>
      <c r="OJ74"/>
      <c r="OK74"/>
      <c r="OL74"/>
      <c r="OM74"/>
      <c r="ON74"/>
      <c r="OO74"/>
      <c r="OP74"/>
      <c r="OQ74"/>
      <c r="OR74"/>
      <c r="OS74"/>
      <c r="OT74"/>
      <c r="OU74"/>
      <c r="OV74"/>
      <c r="OW74"/>
      <c r="OX74"/>
      <c r="OY74"/>
      <c r="OZ74"/>
      <c r="PA74"/>
      <c r="PB74"/>
      <c r="PC74"/>
      <c r="PD74"/>
      <c r="PE74"/>
      <c r="PF74"/>
      <c r="PG74"/>
      <c r="PH74"/>
      <c r="PI74"/>
      <c r="PJ74"/>
      <c r="PK74"/>
      <c r="PL74"/>
      <c r="PM74"/>
      <c r="PN74"/>
      <c r="PO74"/>
      <c r="PP74"/>
      <c r="PQ74"/>
      <c r="PR74"/>
      <c r="PS74"/>
      <c r="PT74"/>
      <c r="PU74"/>
      <c r="PV74"/>
      <c r="PW74"/>
      <c r="PX74"/>
      <c r="PY74"/>
      <c r="PZ74"/>
      <c r="QA74"/>
      <c r="QB74"/>
      <c r="QC74"/>
      <c r="QD74"/>
      <c r="QE74"/>
      <c r="QF74"/>
      <c r="QG74"/>
      <c r="QH74"/>
      <c r="QI74"/>
      <c r="QJ74"/>
      <c r="QK74"/>
      <c r="QL74"/>
      <c r="QM74"/>
      <c r="QN74"/>
      <c r="QO74"/>
      <c r="QP74"/>
      <c r="QQ74"/>
      <c r="QR74"/>
      <c r="QS74"/>
      <c r="QT74"/>
      <c r="QU74"/>
      <c r="QV74"/>
      <c r="QW74"/>
      <c r="QX74"/>
      <c r="QY74"/>
      <c r="QZ74"/>
      <c r="RA74"/>
      <c r="RB74"/>
      <c r="RC74"/>
      <c r="RD74"/>
      <c r="RE74"/>
      <c r="RF74"/>
      <c r="RG74"/>
      <c r="RH74"/>
      <c r="RI74"/>
      <c r="RJ74"/>
      <c r="RK74"/>
      <c r="RL74"/>
      <c r="RM74"/>
      <c r="RN74"/>
      <c r="RO74"/>
      <c r="RP74"/>
      <c r="RQ74"/>
      <c r="RR74"/>
      <c r="RS74"/>
      <c r="RT74"/>
      <c r="RU74"/>
      <c r="RV74"/>
      <c r="RW74"/>
      <c r="RX74"/>
      <c r="RY74"/>
      <c r="RZ74"/>
      <c r="SA74"/>
      <c r="SB74"/>
      <c r="SC74"/>
      <c r="SD74"/>
      <c r="SE74"/>
      <c r="SF74"/>
      <c r="SG74"/>
      <c r="SH74"/>
      <c r="SI74"/>
      <c r="SJ74"/>
      <c r="SK74"/>
      <c r="SL74"/>
      <c r="SM74"/>
      <c r="SN74"/>
      <c r="SO74"/>
      <c r="SP74"/>
      <c r="SQ74"/>
      <c r="SR74"/>
      <c r="SS74"/>
      <c r="ST74"/>
      <c r="SU74"/>
      <c r="SV74"/>
      <c r="SW74"/>
      <c r="SX74"/>
      <c r="SY74"/>
      <c r="SZ74"/>
      <c r="TA74"/>
      <c r="TB74"/>
      <c r="TC74"/>
      <c r="TD74"/>
      <c r="TE74"/>
      <c r="TF74"/>
      <c r="TG74"/>
      <c r="TH74"/>
      <c r="TI74"/>
      <c r="TJ74"/>
      <c r="TK74"/>
      <c r="TL74"/>
      <c r="TM74"/>
      <c r="TN74"/>
      <c r="TO74"/>
      <c r="TP74"/>
      <c r="TQ74"/>
      <c r="TR74"/>
      <c r="TS74"/>
      <c r="TT74"/>
      <c r="TU74"/>
      <c r="TV74"/>
      <c r="TW74"/>
      <c r="TX74"/>
      <c r="TY74"/>
      <c r="TZ74"/>
      <c r="UA74"/>
      <c r="UB74"/>
      <c r="UC74"/>
      <c r="UD74"/>
      <c r="UE74"/>
      <c r="UF74"/>
      <c r="UG74"/>
      <c r="UH74"/>
      <c r="UI74"/>
      <c r="UJ74"/>
      <c r="UK74"/>
      <c r="UL74"/>
      <c r="UM74"/>
      <c r="UN74"/>
      <c r="UO74"/>
      <c r="UP74"/>
      <c r="UQ74"/>
      <c r="UR74"/>
      <c r="US74"/>
      <c r="UT74"/>
      <c r="UU74"/>
      <c r="UV74"/>
      <c r="UW74"/>
      <c r="UX74"/>
      <c r="UY74"/>
      <c r="UZ74"/>
      <c r="VA74"/>
      <c r="VB74"/>
      <c r="VC74"/>
      <c r="VD74"/>
      <c r="VE74"/>
      <c r="VF74"/>
      <c r="VG74"/>
      <c r="VH74"/>
      <c r="VI74"/>
      <c r="VJ74"/>
      <c r="VK74"/>
      <c r="VL74"/>
      <c r="VM74"/>
      <c r="VN74"/>
      <c r="VO74"/>
      <c r="VP74"/>
      <c r="VQ74"/>
      <c r="VR74"/>
      <c r="VS74"/>
      <c r="VT74"/>
      <c r="VU74"/>
      <c r="VV74"/>
      <c r="VW74"/>
      <c r="VX74"/>
      <c r="VY74"/>
      <c r="VZ74"/>
      <c r="WA74"/>
      <c r="WB74"/>
      <c r="WC74"/>
      <c r="WD74"/>
      <c r="WE74"/>
      <c r="WF74"/>
      <c r="WG74"/>
      <c r="WH74"/>
      <c r="WI74"/>
      <c r="WJ74"/>
      <c r="WK74"/>
      <c r="WL74"/>
      <c r="WM74"/>
      <c r="WN74"/>
      <c r="WO74"/>
      <c r="WP74"/>
      <c r="WQ74"/>
      <c r="WR74"/>
      <c r="WS74"/>
      <c r="WT74"/>
      <c r="WU74"/>
      <c r="WV74"/>
      <c r="WW74"/>
      <c r="WX74"/>
      <c r="WY74"/>
      <c r="WZ74"/>
      <c r="XA74"/>
      <c r="XB74"/>
      <c r="XC74"/>
      <c r="XD74"/>
      <c r="XE74"/>
      <c r="XF74"/>
      <c r="XG74"/>
      <c r="XH74"/>
      <c r="XI74"/>
      <c r="XJ74"/>
      <c r="XK74"/>
      <c r="XL74"/>
      <c r="XM74"/>
      <c r="XN74"/>
      <c r="XO74"/>
      <c r="XP74"/>
      <c r="XQ74"/>
      <c r="XR74"/>
      <c r="XS74"/>
      <c r="XT74"/>
      <c r="XU74"/>
      <c r="XV74"/>
      <c r="XW74"/>
      <c r="XX74"/>
      <c r="XY74"/>
      <c r="XZ74"/>
      <c r="YA74"/>
      <c r="YB74"/>
      <c r="YC74"/>
      <c r="YD74"/>
      <c r="YE74"/>
      <c r="YF74"/>
      <c r="YG74"/>
      <c r="YH74"/>
      <c r="YI74"/>
      <c r="YJ74"/>
      <c r="YK74"/>
      <c r="YL74"/>
      <c r="YM74"/>
      <c r="YN74"/>
      <c r="YO74"/>
      <c r="YP74"/>
      <c r="YQ74"/>
      <c r="YR74"/>
      <c r="YS74"/>
      <c r="YT74"/>
      <c r="YU74"/>
      <c r="YV74"/>
      <c r="YW74"/>
      <c r="YX74"/>
      <c r="YY74"/>
      <c r="YZ74"/>
      <c r="ZA74"/>
      <c r="ZB74"/>
      <c r="ZC74"/>
      <c r="ZD74"/>
      <c r="ZE74"/>
      <c r="ZF74"/>
      <c r="ZG74"/>
      <c r="ZH74"/>
      <c r="ZI74"/>
      <c r="ZJ74"/>
      <c r="ZK74"/>
      <c r="ZL74"/>
      <c r="ZM74"/>
      <c r="ZN74"/>
      <c r="ZO74"/>
      <c r="ZP74"/>
      <c r="ZQ74"/>
      <c r="ZR74"/>
      <c r="ZS74"/>
      <c r="ZT74"/>
      <c r="ZU74"/>
      <c r="ZV74"/>
      <c r="ZW74"/>
      <c r="ZX74"/>
      <c r="ZY74"/>
      <c r="ZZ74"/>
      <c r="AAA74"/>
      <c r="AAB74"/>
      <c r="AAC74"/>
      <c r="AAD74"/>
      <c r="AAE74"/>
      <c r="AAF74"/>
      <c r="AAG74"/>
      <c r="AAH74"/>
      <c r="AAI74"/>
      <c r="AAJ74"/>
      <c r="AAK74"/>
      <c r="AAL74"/>
      <c r="AAM74"/>
      <c r="AAN74"/>
      <c r="AAO74"/>
      <c r="AAP74"/>
      <c r="AAQ74"/>
      <c r="AAR74"/>
      <c r="AAS74"/>
      <c r="AAT74"/>
      <c r="AAU74"/>
      <c r="AAV74"/>
      <c r="AAW74"/>
      <c r="AAX74"/>
      <c r="AAY74"/>
      <c r="AAZ74"/>
      <c r="ABA74"/>
      <c r="ABB74"/>
      <c r="ABC74"/>
      <c r="ABD74"/>
      <c r="ABE74"/>
      <c r="ABF74"/>
      <c r="ABG74"/>
      <c r="ABH74"/>
      <c r="ABI74"/>
      <c r="ABJ74"/>
      <c r="ABK74"/>
      <c r="ABL74"/>
      <c r="ABM74"/>
      <c r="ABN74"/>
      <c r="ABO74"/>
      <c r="ABP74"/>
      <c r="ABQ74"/>
      <c r="ABR74"/>
      <c r="ABS74"/>
      <c r="ABT74"/>
      <c r="ABU74"/>
      <c r="ABV74"/>
      <c r="ABW74"/>
      <c r="ABX74"/>
      <c r="ABY74"/>
      <c r="ABZ74"/>
      <c r="ACA74"/>
      <c r="ACB74"/>
      <c r="ACC74"/>
      <c r="ACD74"/>
      <c r="ACE74"/>
      <c r="ACF74"/>
      <c r="ACG74"/>
      <c r="ACH74"/>
      <c r="ACI74"/>
      <c r="ACJ74"/>
      <c r="ACK74"/>
      <c r="ACL74"/>
      <c r="ACM74"/>
      <c r="ACN74"/>
      <c r="ACO74"/>
      <c r="ACP74"/>
      <c r="ACQ74"/>
      <c r="ACR74"/>
      <c r="ACS74"/>
      <c r="ACT74"/>
      <c r="ACU74"/>
      <c r="ACV74"/>
      <c r="ACW74"/>
      <c r="ACX74"/>
      <c r="ACY74"/>
      <c r="ACZ74"/>
      <c r="ADA74"/>
      <c r="ADB74"/>
      <c r="ADC74"/>
      <c r="ADD74"/>
      <c r="ADE74"/>
      <c r="ADF74"/>
      <c r="ADG74"/>
      <c r="ADH74"/>
      <c r="ADI74"/>
      <c r="ADJ74"/>
      <c r="ADK74"/>
      <c r="ADL74"/>
      <c r="ADM74"/>
      <c r="ADN74"/>
      <c r="ADO74"/>
      <c r="ADP74"/>
      <c r="ADQ74"/>
      <c r="ADR74"/>
      <c r="ADS74"/>
      <c r="ADT74"/>
      <c r="ADU74"/>
      <c r="ADV74"/>
      <c r="ADW74"/>
      <c r="ADX74"/>
      <c r="ADY74"/>
      <c r="ADZ74"/>
      <c r="AEA74"/>
      <c r="AEB74"/>
      <c r="AEC74"/>
      <c r="AED74"/>
      <c r="AEE74"/>
      <c r="AEF74"/>
      <c r="AEG74"/>
      <c r="AEH74"/>
      <c r="AEI74"/>
      <c r="AEJ74"/>
      <c r="AEK74"/>
      <c r="AEL74"/>
      <c r="AEM74"/>
      <c r="AEN74"/>
      <c r="AEO74"/>
      <c r="AEP74"/>
      <c r="AEQ74"/>
      <c r="AER74"/>
      <c r="AES74"/>
      <c r="AET74"/>
      <c r="AEU74"/>
      <c r="AEV74"/>
      <c r="AEW74"/>
      <c r="AEX74"/>
      <c r="AEY74"/>
      <c r="AEZ74"/>
      <c r="AFA74"/>
      <c r="AFB74"/>
      <c r="AFC74"/>
      <c r="AFD74"/>
      <c r="AFE74"/>
      <c r="AFF74"/>
      <c r="AFG74"/>
      <c r="AFH74"/>
      <c r="AFI74"/>
      <c r="AFJ74"/>
      <c r="AFK74"/>
      <c r="AFL74"/>
      <c r="AFM74"/>
      <c r="AFN74"/>
      <c r="AFO74"/>
      <c r="AFP74"/>
      <c r="AFQ74"/>
      <c r="AFR74"/>
      <c r="AFS74"/>
      <c r="AFT74"/>
      <c r="AFU74"/>
      <c r="AFV74"/>
      <c r="AFW74"/>
      <c r="AFX74"/>
      <c r="AFY74"/>
      <c r="AFZ74"/>
      <c r="AGA74"/>
      <c r="AGB74"/>
      <c r="AGC74"/>
      <c r="AGD74"/>
      <c r="AGE74"/>
      <c r="AGF74"/>
      <c r="AGG74"/>
      <c r="AGH74"/>
      <c r="AGI74"/>
      <c r="AGJ74"/>
      <c r="AGK74"/>
      <c r="AGL74"/>
      <c r="AGM74"/>
      <c r="AGN74"/>
      <c r="AGO74"/>
      <c r="AGP74"/>
      <c r="AGQ74"/>
      <c r="AGR74"/>
      <c r="AGS74"/>
      <c r="AGT74"/>
      <c r="AGU74"/>
      <c r="AGV74"/>
      <c r="AGW74"/>
      <c r="AGX74"/>
      <c r="AGY74"/>
      <c r="AGZ74"/>
      <c r="AHA74"/>
      <c r="AHB74"/>
      <c r="AHC74"/>
      <c r="AHD74"/>
      <c r="AHE74"/>
      <c r="AHF74"/>
      <c r="AHG74"/>
      <c r="AHH74"/>
      <c r="AHI74"/>
      <c r="AHJ74"/>
      <c r="AHK74"/>
      <c r="AHL74"/>
      <c r="AHM74"/>
      <c r="AHN74"/>
      <c r="AHO74"/>
      <c r="AHP74"/>
      <c r="AHQ74"/>
      <c r="AHR74"/>
      <c r="AHS74"/>
      <c r="AHT74"/>
      <c r="AHU74"/>
      <c r="AHV74"/>
      <c r="AHW74"/>
      <c r="AHX74"/>
      <c r="AHY74"/>
      <c r="AHZ74"/>
      <c r="AIA74"/>
      <c r="AIB74"/>
      <c r="AIC74"/>
      <c r="AID74"/>
      <c r="AIE74"/>
      <c r="AIF74"/>
      <c r="AIG74"/>
      <c r="AIH74"/>
      <c r="AII74"/>
      <c r="AIJ74"/>
      <c r="AIK74"/>
      <c r="AIL74"/>
      <c r="AIM74"/>
      <c r="AIN74"/>
      <c r="AIO74"/>
      <c r="AIP74"/>
      <c r="AIQ74"/>
      <c r="AIR74"/>
      <c r="AIS74"/>
      <c r="AIT74"/>
      <c r="AIU74"/>
      <c r="AIV74"/>
      <c r="AIW74"/>
      <c r="AIX74"/>
      <c r="AIY74"/>
      <c r="AIZ74"/>
      <c r="AJA74"/>
      <c r="AJB74"/>
      <c r="AJC74"/>
      <c r="AJD74"/>
      <c r="AJE74"/>
      <c r="AJF74"/>
      <c r="AJG74"/>
      <c r="AJH74"/>
      <c r="AJI74"/>
      <c r="AJJ74"/>
      <c r="AJK74"/>
      <c r="AJL74"/>
      <c r="AJM74"/>
      <c r="AJN74"/>
      <c r="AJO74"/>
      <c r="AJP74"/>
      <c r="AJQ74"/>
      <c r="AJR74"/>
      <c r="AJS74"/>
      <c r="AJT74"/>
      <c r="AJU74"/>
      <c r="AJV74"/>
      <c r="AJW74"/>
      <c r="AJX74"/>
      <c r="AJY74"/>
      <c r="AJZ74"/>
      <c r="AKA74"/>
      <c r="AKB74"/>
      <c r="AKC74"/>
      <c r="AKD74"/>
      <c r="AKE74"/>
      <c r="AKF74"/>
      <c r="AKG74"/>
      <c r="AKH74"/>
      <c r="AKI74"/>
      <c r="AKJ74"/>
      <c r="AKK74"/>
      <c r="AKL74"/>
      <c r="AKM74"/>
      <c r="AKN74"/>
      <c r="AKO74"/>
      <c r="AKP74"/>
      <c r="AKQ74"/>
      <c r="AKR74"/>
      <c r="AKS74"/>
      <c r="AKT74"/>
      <c r="AKU74"/>
      <c r="AKV74"/>
      <c r="AKW74"/>
      <c r="AKX74"/>
      <c r="AKY74"/>
      <c r="AKZ74"/>
      <c r="ALA74"/>
      <c r="ALB74"/>
      <c r="ALC74"/>
      <c r="ALD74"/>
      <c r="ALE74"/>
      <c r="ALF74"/>
      <c r="ALG74"/>
      <c r="ALH74"/>
      <c r="ALI74"/>
      <c r="ALJ74"/>
      <c r="ALK74"/>
      <c r="ALL74"/>
      <c r="ALM74"/>
      <c r="ALN74"/>
      <c r="ALO74"/>
      <c r="ALP74"/>
      <c r="ALQ74"/>
      <c r="ALR74"/>
      <c r="ALS74"/>
      <c r="ALT74"/>
      <c r="ALU74"/>
      <c r="ALV74"/>
      <c r="ALW74"/>
      <c r="ALX74"/>
      <c r="ALY74"/>
      <c r="ALZ74"/>
      <c r="AMA74"/>
      <c r="AMB74"/>
      <c r="AMC74"/>
      <c r="AMD74"/>
      <c r="AME74"/>
      <c r="AMF74"/>
      <c r="AMG74"/>
      <c r="AMH74"/>
      <c r="AMI74"/>
      <c r="AMJ74"/>
      <c r="AMK74"/>
      <c r="AML74"/>
      <c r="AMM74"/>
      <c r="AMN74"/>
      <c r="AMO74"/>
      <c r="AMP74"/>
      <c r="AMQ74"/>
      <c r="AMR74"/>
      <c r="AMS74"/>
      <c r="AMT74"/>
      <c r="AMU74"/>
      <c r="AMV74"/>
      <c r="AMW74"/>
      <c r="AMX74"/>
      <c r="AMY74"/>
      <c r="AMZ74"/>
      <c r="ANA74"/>
      <c r="ANB74"/>
      <c r="ANC74"/>
      <c r="AND74"/>
      <c r="ANE74"/>
      <c r="ANF74"/>
      <c r="ANG74"/>
      <c r="ANH74"/>
      <c r="ANI74"/>
      <c r="ANJ74"/>
      <c r="ANK74"/>
      <c r="ANL74"/>
      <c r="ANM74"/>
      <c r="ANN74"/>
      <c r="ANO74"/>
      <c r="ANP74"/>
      <c r="ANQ74"/>
      <c r="ANR74"/>
      <c r="ANS74"/>
      <c r="ANT74"/>
      <c r="ANU74"/>
      <c r="ANV74"/>
      <c r="ANW74"/>
      <c r="ANX74"/>
      <c r="ANY74"/>
      <c r="ANZ74"/>
      <c r="AOA74"/>
      <c r="AOB74"/>
      <c r="AOC74"/>
      <c r="AOD74"/>
      <c r="AOE74"/>
      <c r="AOF74"/>
      <c r="AOG74"/>
      <c r="AOH74"/>
      <c r="AOI74"/>
      <c r="AOJ74"/>
      <c r="AOK74"/>
      <c r="AOL74"/>
      <c r="AOM74"/>
      <c r="AON74"/>
      <c r="AOO74"/>
      <c r="AOP74"/>
      <c r="AOQ74"/>
      <c r="AOR74"/>
      <c r="AOS74"/>
      <c r="AOT74"/>
      <c r="AOU74"/>
      <c r="AOV74"/>
      <c r="AOW74"/>
      <c r="AOX74"/>
      <c r="AOY74"/>
      <c r="AOZ74"/>
      <c r="APA74"/>
      <c r="APB74"/>
      <c r="APC74"/>
      <c r="APD74"/>
      <c r="APE74"/>
      <c r="APF74"/>
      <c r="APG74"/>
      <c r="APH74"/>
      <c r="API74"/>
      <c r="APJ74"/>
      <c r="APK74"/>
      <c r="APL74"/>
      <c r="APM74"/>
      <c r="APN74"/>
      <c r="APO74"/>
      <c r="APP74"/>
      <c r="APQ74"/>
      <c r="APR74"/>
      <c r="APS74"/>
      <c r="APT74"/>
      <c r="APU74"/>
      <c r="APV74"/>
      <c r="APW74"/>
      <c r="APX74"/>
      <c r="APY74"/>
      <c r="APZ74"/>
      <c r="AQA74"/>
      <c r="AQB74"/>
      <c r="AQC74"/>
      <c r="AQD74"/>
      <c r="AQE74"/>
      <c r="AQF74"/>
      <c r="AQG74"/>
      <c r="AQH74"/>
      <c r="AQI74"/>
      <c r="AQJ74"/>
      <c r="AQK74"/>
      <c r="AQL74"/>
      <c r="AQM74"/>
      <c r="AQN74"/>
      <c r="AQO74"/>
      <c r="AQP74"/>
      <c r="AQQ74"/>
      <c r="AQR74"/>
      <c r="AQS74"/>
      <c r="AQT74"/>
      <c r="AQU74"/>
      <c r="AQV74"/>
      <c r="AQW74"/>
      <c r="AQX74"/>
      <c r="AQY74"/>
      <c r="AQZ74"/>
      <c r="ARA74"/>
      <c r="ARB74"/>
      <c r="ARC74"/>
      <c r="ARD74"/>
      <c r="ARE74"/>
      <c r="ARF74"/>
      <c r="ARG74"/>
      <c r="ARH74"/>
      <c r="ARI74"/>
      <c r="ARJ74"/>
      <c r="ARK74"/>
      <c r="ARL74"/>
      <c r="ARM74"/>
      <c r="ARN74"/>
      <c r="ARO74"/>
      <c r="ARP74"/>
      <c r="ARQ74"/>
      <c r="ARR74"/>
      <c r="ARS74"/>
      <c r="ART74"/>
      <c r="ARU74"/>
      <c r="ARV74"/>
      <c r="ARW74"/>
      <c r="ARX74"/>
      <c r="ARY74"/>
      <c r="ARZ74"/>
      <c r="ASA74"/>
      <c r="ASB74"/>
      <c r="ASC74"/>
      <c r="ASD74"/>
      <c r="ASE74"/>
      <c r="ASF74"/>
      <c r="ASG74"/>
      <c r="ASH74"/>
      <c r="ASI74"/>
      <c r="ASJ74"/>
      <c r="ASK74"/>
      <c r="ASL74"/>
      <c r="ASM74"/>
      <c r="ASN74"/>
      <c r="ASO74"/>
      <c r="ASP74"/>
      <c r="ASQ74"/>
      <c r="ASR74"/>
      <c r="ASS74"/>
      <c r="AST74"/>
      <c r="ASU74"/>
      <c r="ASV74"/>
      <c r="ASW74"/>
      <c r="ASX74"/>
      <c r="ASY74"/>
      <c r="ASZ74"/>
      <c r="ATA74"/>
      <c r="ATB74"/>
      <c r="ATC74"/>
      <c r="ATD74"/>
      <c r="ATE74"/>
      <c r="ATF74"/>
      <c r="ATG74"/>
      <c r="ATH74"/>
      <c r="ATI74"/>
      <c r="ATJ74"/>
      <c r="ATK74"/>
      <c r="ATL74"/>
      <c r="ATM74"/>
      <c r="ATN74"/>
      <c r="ATO74"/>
      <c r="ATP74"/>
      <c r="ATQ74"/>
      <c r="ATR74"/>
      <c r="ATS74"/>
      <c r="ATT74"/>
      <c r="ATU74"/>
      <c r="ATV74"/>
      <c r="ATW74"/>
      <c r="ATX74"/>
      <c r="ATY74"/>
      <c r="ATZ74"/>
      <c r="AUA74"/>
      <c r="AUB74"/>
      <c r="AUC74"/>
      <c r="AUD74"/>
      <c r="AUE74"/>
      <c r="AUF74"/>
      <c r="AUG74"/>
      <c r="AUH74"/>
      <c r="AUI74"/>
      <c r="AUJ74"/>
      <c r="AUK74"/>
      <c r="AUL74"/>
      <c r="AUM74"/>
      <c r="AUN74"/>
      <c r="AUO74"/>
      <c r="AUP74"/>
      <c r="AUQ74"/>
      <c r="AUR74"/>
      <c r="AUS74"/>
      <c r="AUT74"/>
      <c r="AUU74"/>
      <c r="AUV74"/>
      <c r="AUW74"/>
      <c r="AUX74"/>
      <c r="AUY74"/>
      <c r="AUZ74"/>
      <c r="AVA74"/>
      <c r="AVB74"/>
      <c r="AVC74"/>
      <c r="AVD74"/>
      <c r="AVE74"/>
      <c r="AVF74"/>
      <c r="AVG74"/>
      <c r="AVH74"/>
      <c r="AVI74"/>
      <c r="AVJ74"/>
      <c r="AVK74"/>
      <c r="AVL74"/>
      <c r="AVM74"/>
      <c r="AVN74"/>
      <c r="AVO74"/>
      <c r="AVP74"/>
      <c r="AVQ74"/>
      <c r="AVR74"/>
      <c r="AVS74"/>
      <c r="AVT74"/>
      <c r="AVU74"/>
      <c r="AVV74"/>
      <c r="AVW74"/>
      <c r="AVX74"/>
      <c r="AVY74"/>
      <c r="AVZ74"/>
      <c r="AWA74"/>
      <c r="AWB74"/>
      <c r="AWC74"/>
      <c r="AWD74"/>
      <c r="AWE74"/>
      <c r="AWF74"/>
      <c r="AWG74"/>
      <c r="AWH74"/>
      <c r="AWI74"/>
      <c r="AWJ74"/>
      <c r="AWK74"/>
      <c r="AWL74"/>
      <c r="AWM74"/>
      <c r="AWN74"/>
      <c r="AWO74"/>
      <c r="AWP74"/>
      <c r="AWQ74"/>
      <c r="AWR74"/>
      <c r="AWS74"/>
      <c r="AWT74"/>
      <c r="AWU74"/>
      <c r="AWV74"/>
      <c r="AWW74"/>
      <c r="AWX74"/>
      <c r="AWY74"/>
      <c r="AWZ74"/>
      <c r="AXA74"/>
      <c r="AXB74"/>
      <c r="AXC74"/>
      <c r="AXD74"/>
      <c r="AXE74"/>
      <c r="AXF74"/>
      <c r="AXG74"/>
      <c r="AXH74"/>
      <c r="AXI74"/>
      <c r="AXJ74"/>
      <c r="AXK74"/>
      <c r="AXL74"/>
      <c r="AXM74"/>
      <c r="AXN74"/>
      <c r="AXO74"/>
      <c r="AXP74"/>
      <c r="AXQ74"/>
      <c r="AXR74"/>
      <c r="AXS74"/>
      <c r="AXT74"/>
      <c r="AXU74"/>
      <c r="AXV74"/>
      <c r="AXW74"/>
      <c r="AXX74"/>
      <c r="AXY74"/>
      <c r="AXZ74"/>
      <c r="AYA74"/>
      <c r="AYB74"/>
      <c r="AYC74"/>
      <c r="AYD74"/>
      <c r="AYE74"/>
      <c r="AYF74"/>
      <c r="AYG74"/>
      <c r="AYH74"/>
      <c r="AYI74"/>
      <c r="AYJ74"/>
      <c r="AYK74"/>
      <c r="AYL74"/>
      <c r="AYM74"/>
      <c r="AYN74"/>
      <c r="AYO74"/>
      <c r="AYP74"/>
      <c r="AYQ74"/>
      <c r="AYR74"/>
      <c r="AYS74"/>
      <c r="AYT74"/>
      <c r="AYU74"/>
      <c r="AYV74"/>
      <c r="AYW74"/>
      <c r="AYX74"/>
      <c r="AYY74"/>
      <c r="AYZ74"/>
      <c r="AZA74"/>
      <c r="AZB74"/>
      <c r="AZC74"/>
      <c r="AZD74"/>
      <c r="AZE74"/>
      <c r="AZF74"/>
      <c r="AZG74"/>
      <c r="AZH74"/>
      <c r="AZI74"/>
      <c r="AZJ74"/>
      <c r="AZK74"/>
      <c r="AZL74"/>
      <c r="AZM74"/>
      <c r="AZN74"/>
      <c r="AZO74"/>
      <c r="AZP74"/>
      <c r="AZQ74"/>
      <c r="AZR74"/>
      <c r="AZS74"/>
      <c r="AZT74"/>
      <c r="AZU74"/>
      <c r="AZV74"/>
      <c r="AZW74"/>
      <c r="AZX74"/>
      <c r="AZY74"/>
      <c r="AZZ74"/>
      <c r="BAA74"/>
      <c r="BAB74"/>
      <c r="BAC74"/>
      <c r="BAD74"/>
      <c r="BAE74"/>
      <c r="BAF74"/>
      <c r="BAG74"/>
      <c r="BAH74"/>
      <c r="BAI74"/>
      <c r="BAJ74"/>
      <c r="BAK74"/>
      <c r="BAL74"/>
      <c r="BAM74"/>
      <c r="BAN74"/>
      <c r="BAO74"/>
      <c r="BAP74"/>
      <c r="BAQ74"/>
      <c r="BAR74"/>
      <c r="BAS74"/>
      <c r="BAT74"/>
      <c r="BAU74"/>
      <c r="BAV74"/>
      <c r="BAW74"/>
      <c r="BAX74"/>
      <c r="BAY74"/>
      <c r="BAZ74"/>
      <c r="BBA74"/>
      <c r="BBB74"/>
      <c r="BBC74"/>
      <c r="BBD74"/>
      <c r="BBE74"/>
      <c r="BBF74"/>
      <c r="BBG74"/>
      <c r="BBH74"/>
      <c r="BBI74"/>
      <c r="BBJ74"/>
      <c r="BBK74"/>
      <c r="BBL74"/>
      <c r="BBM74"/>
      <c r="BBN74"/>
      <c r="BBO74"/>
      <c r="BBP74"/>
      <c r="BBQ74"/>
      <c r="BBR74"/>
      <c r="BBS74"/>
      <c r="BBT74"/>
      <c r="BBU74"/>
      <c r="BBV74"/>
      <c r="BBW74"/>
      <c r="BBX74"/>
      <c r="BBY74"/>
      <c r="BBZ74"/>
      <c r="BCA74"/>
      <c r="BCB74"/>
      <c r="BCC74"/>
      <c r="BCD74"/>
      <c r="BCE74"/>
      <c r="BCF74"/>
      <c r="BCG74"/>
      <c r="BCH74"/>
      <c r="BCI74"/>
      <c r="BCJ74"/>
      <c r="BCK74"/>
      <c r="BCL74"/>
      <c r="BCM74"/>
      <c r="BCN74"/>
      <c r="BCO74"/>
      <c r="BCP74"/>
      <c r="BCQ74"/>
      <c r="BCR74"/>
      <c r="BCS74"/>
      <c r="BCT74"/>
      <c r="BCU74"/>
      <c r="BCV74"/>
      <c r="BCW74"/>
      <c r="BCX74"/>
      <c r="BCY74"/>
      <c r="BCZ74"/>
      <c r="BDA74"/>
      <c r="BDB74"/>
      <c r="BDC74"/>
      <c r="BDD74"/>
      <c r="BDE74"/>
      <c r="BDF74"/>
      <c r="BDG74"/>
      <c r="BDH74"/>
      <c r="BDI74"/>
      <c r="BDJ74"/>
      <c r="BDK74"/>
      <c r="BDL74"/>
      <c r="BDM74"/>
      <c r="BDN74"/>
      <c r="BDO74"/>
      <c r="BDP74"/>
      <c r="BDQ74"/>
      <c r="BDR74"/>
      <c r="BDS74"/>
      <c r="BDT74"/>
      <c r="BDU74"/>
      <c r="BDV74"/>
      <c r="BDW74"/>
      <c r="BDX74"/>
      <c r="BDY74"/>
      <c r="BDZ74"/>
      <c r="BEA74"/>
      <c r="BEB74"/>
      <c r="BEC74"/>
      <c r="BED74"/>
      <c r="BEE74"/>
      <c r="BEF74"/>
      <c r="BEG74"/>
      <c r="BEH74"/>
      <c r="BEI74"/>
      <c r="BEJ74"/>
      <c r="BEK74"/>
      <c r="BEL74"/>
      <c r="BEM74"/>
      <c r="BEN74"/>
      <c r="BEO74"/>
      <c r="BEP74"/>
      <c r="BEQ74"/>
      <c r="BER74"/>
      <c r="BES74"/>
      <c r="BET74"/>
      <c r="BEU74"/>
      <c r="BEV74"/>
      <c r="BEW74"/>
      <c r="BEX74"/>
      <c r="BEY74"/>
      <c r="BEZ74"/>
      <c r="BFA74"/>
      <c r="BFB74"/>
      <c r="BFC74"/>
      <c r="BFD74"/>
      <c r="BFE74"/>
      <c r="BFF74"/>
      <c r="BFG74"/>
      <c r="BFH74"/>
      <c r="BFI74"/>
      <c r="BFJ74"/>
      <c r="BFK74"/>
      <c r="BFL74"/>
      <c r="BFM74"/>
      <c r="BFN74"/>
      <c r="BFO74"/>
      <c r="BFP74"/>
      <c r="BFQ74"/>
      <c r="BFR74"/>
      <c r="BFS74"/>
      <c r="BFT74"/>
      <c r="BFU74"/>
      <c r="BFV74"/>
      <c r="BFW74"/>
      <c r="BFX74"/>
      <c r="BFY74"/>
      <c r="BFZ74"/>
      <c r="BGA74"/>
      <c r="BGB74"/>
      <c r="BGC74"/>
      <c r="BGD74"/>
      <c r="BGE74"/>
      <c r="BGF74"/>
      <c r="BGG74"/>
      <c r="BGH74"/>
      <c r="BGI74"/>
      <c r="BGJ74"/>
      <c r="BGK74"/>
      <c r="BGL74"/>
      <c r="BGM74"/>
      <c r="BGN74"/>
      <c r="BGO74"/>
      <c r="BGP74"/>
      <c r="BGQ74"/>
      <c r="BGR74"/>
      <c r="BGS74"/>
      <c r="BGT74"/>
      <c r="BGU74"/>
      <c r="BGV74"/>
      <c r="BGW74"/>
      <c r="BGX74"/>
      <c r="BGY74"/>
      <c r="BGZ74"/>
      <c r="BHA74"/>
      <c r="BHB74"/>
      <c r="BHC74"/>
      <c r="BHD74"/>
      <c r="BHE74"/>
      <c r="BHF74"/>
      <c r="BHG74"/>
      <c r="BHH74"/>
      <c r="BHI74"/>
      <c r="BHJ74"/>
      <c r="BHK74"/>
      <c r="BHL74"/>
      <c r="BHM74"/>
      <c r="BHN74"/>
      <c r="BHO74"/>
      <c r="BHP74"/>
      <c r="BHQ74"/>
      <c r="BHR74"/>
      <c r="BHS74"/>
      <c r="BHT74"/>
      <c r="BHU74"/>
      <c r="BHV74"/>
      <c r="BHW74"/>
      <c r="BHX74"/>
      <c r="BHY74"/>
      <c r="BHZ74"/>
      <c r="BIA74"/>
      <c r="BIB74"/>
      <c r="BIC74"/>
      <c r="BID74"/>
      <c r="BIE74"/>
      <c r="BIF74"/>
      <c r="BIG74"/>
      <c r="BIH74"/>
      <c r="BII74"/>
      <c r="BIJ74"/>
      <c r="BIK74"/>
      <c r="BIL74"/>
      <c r="BIM74"/>
      <c r="BIN74"/>
      <c r="BIO74"/>
      <c r="BIP74"/>
      <c r="BIQ74"/>
      <c r="BIR74"/>
      <c r="BIS74"/>
      <c r="BIT74"/>
      <c r="BIU74"/>
      <c r="BIV74"/>
      <c r="BIW74"/>
      <c r="BIX74"/>
      <c r="BIY74"/>
      <c r="BIZ74"/>
      <c r="BJA74"/>
      <c r="BJB74"/>
      <c r="BJC74"/>
      <c r="BJD74"/>
      <c r="BJE74"/>
      <c r="BJF74"/>
      <c r="BJG74"/>
      <c r="BJH74"/>
      <c r="BJI74"/>
      <c r="BJJ74"/>
      <c r="BJK74"/>
      <c r="BJL74"/>
      <c r="BJM74"/>
      <c r="BJN74"/>
      <c r="BJO74"/>
      <c r="BJP74"/>
      <c r="BJQ74"/>
      <c r="BJR74"/>
      <c r="BJS74"/>
      <c r="BJT74"/>
      <c r="BJU74"/>
      <c r="BJV74"/>
      <c r="BJW74"/>
      <c r="BJX74"/>
      <c r="BJY74"/>
      <c r="BJZ74"/>
      <c r="BKA74"/>
      <c r="BKB74"/>
      <c r="BKC74"/>
      <c r="BKD74"/>
      <c r="BKE74"/>
      <c r="BKF74"/>
      <c r="BKG74"/>
      <c r="BKH74"/>
      <c r="BKI74"/>
      <c r="BKJ74"/>
      <c r="BKK74"/>
      <c r="BKL74"/>
      <c r="BKM74"/>
      <c r="BKN74"/>
      <c r="BKO74"/>
      <c r="BKP74"/>
      <c r="BKQ74"/>
      <c r="BKR74"/>
      <c r="BKS74"/>
      <c r="BKT74"/>
      <c r="BKU74"/>
      <c r="BKV74"/>
      <c r="BKW74"/>
      <c r="BKX74"/>
      <c r="BKY74"/>
      <c r="BKZ74"/>
      <c r="BLA74"/>
      <c r="BLB74"/>
      <c r="BLC74"/>
      <c r="BLD74"/>
      <c r="BLE74"/>
      <c r="BLF74"/>
      <c r="BLG74"/>
      <c r="BLH74"/>
      <c r="BLI74"/>
      <c r="BLJ74"/>
      <c r="BLK74"/>
      <c r="BLL74"/>
      <c r="BLM74"/>
      <c r="BLN74"/>
      <c r="BLO74"/>
      <c r="BLP74"/>
      <c r="BLQ74"/>
      <c r="BLR74"/>
      <c r="BLS74"/>
      <c r="BLT74"/>
      <c r="BLU74"/>
      <c r="BLV74"/>
      <c r="BLW74"/>
      <c r="BLX74"/>
      <c r="BLY74"/>
      <c r="BLZ74"/>
      <c r="BMA74"/>
      <c r="BMB74"/>
      <c r="BMC74"/>
      <c r="BMD74"/>
      <c r="BME74"/>
      <c r="BMF74"/>
      <c r="BMG74"/>
      <c r="BMH74"/>
      <c r="BMI74"/>
      <c r="BMJ74"/>
      <c r="BMK74"/>
      <c r="BML74"/>
      <c r="BMM74"/>
      <c r="BMN74"/>
      <c r="BMO74"/>
      <c r="BMP74"/>
      <c r="BMQ74"/>
      <c r="BMR74"/>
      <c r="BMS74"/>
      <c r="BMT74"/>
      <c r="BMU74"/>
      <c r="BMV74"/>
      <c r="BMW74"/>
      <c r="BMX74"/>
      <c r="BMY74"/>
      <c r="BMZ74"/>
      <c r="BNA74"/>
      <c r="BNB74"/>
      <c r="BNC74"/>
      <c r="BND74"/>
      <c r="BNE74"/>
      <c r="BNF74"/>
      <c r="BNG74"/>
      <c r="BNH74"/>
      <c r="BNI74"/>
      <c r="BNJ74"/>
      <c r="BNK74"/>
      <c r="BNL74"/>
      <c r="BNM74"/>
      <c r="BNN74"/>
      <c r="BNO74"/>
      <c r="BNP74"/>
      <c r="BNQ74"/>
      <c r="BNR74"/>
      <c r="BNS74"/>
      <c r="BNT74"/>
      <c r="BNU74"/>
      <c r="BNV74"/>
      <c r="BNW74"/>
      <c r="BNX74"/>
      <c r="BNY74"/>
      <c r="BNZ74"/>
      <c r="BOA74"/>
      <c r="BOB74"/>
      <c r="BOC74"/>
      <c r="BOD74"/>
      <c r="BOE74"/>
      <c r="BOF74"/>
      <c r="BOG74"/>
      <c r="BOH74"/>
      <c r="BOI74"/>
      <c r="BOJ74"/>
      <c r="BOK74"/>
      <c r="BOL74"/>
      <c r="BOM74"/>
      <c r="BON74"/>
      <c r="BOO74"/>
      <c r="BOP74"/>
      <c r="BOQ74"/>
      <c r="BOR74"/>
      <c r="BOS74"/>
      <c r="BOT74"/>
      <c r="BOU74"/>
      <c r="BOV74"/>
      <c r="BOW74"/>
      <c r="BOX74"/>
      <c r="BOY74"/>
      <c r="BOZ74"/>
      <c r="BPA74"/>
      <c r="BPB74"/>
      <c r="BPC74"/>
      <c r="BPD74"/>
      <c r="BPE74"/>
      <c r="BPF74"/>
      <c r="BPG74"/>
      <c r="BPH74"/>
      <c r="BPI74"/>
      <c r="BPJ74"/>
      <c r="BPK74"/>
      <c r="BPL74"/>
      <c r="BPM74"/>
      <c r="BPN74"/>
      <c r="BPO74"/>
      <c r="BPP74"/>
      <c r="BPQ74"/>
      <c r="BPR74"/>
      <c r="BPS74"/>
      <c r="BPT74"/>
      <c r="BPU74"/>
      <c r="BPV74"/>
      <c r="BPW74"/>
      <c r="BPX74"/>
      <c r="BPY74"/>
      <c r="BPZ74"/>
      <c r="BQA74"/>
      <c r="BQB74"/>
      <c r="BQC74"/>
      <c r="BQD74"/>
      <c r="BQE74"/>
      <c r="BQF74"/>
      <c r="BQG74"/>
      <c r="BQH74"/>
      <c r="BQI74"/>
      <c r="BQJ74"/>
      <c r="BQK74"/>
      <c r="BQL74"/>
      <c r="BQM74"/>
      <c r="BQN74"/>
      <c r="BQO74"/>
      <c r="BQP74"/>
      <c r="BQQ74"/>
      <c r="BQR74"/>
      <c r="BQS74"/>
      <c r="BQT74"/>
      <c r="BQU74"/>
      <c r="BQV74"/>
      <c r="BQW74"/>
      <c r="BQX74"/>
      <c r="BQY74"/>
      <c r="BQZ74"/>
      <c r="BRA74"/>
      <c r="BRB74"/>
      <c r="BRC74"/>
      <c r="BRD74"/>
      <c r="BRE74"/>
      <c r="BRF74"/>
      <c r="BRG74"/>
      <c r="BRH74"/>
      <c r="BRI74"/>
      <c r="BRJ74"/>
      <c r="BRK74"/>
      <c r="BRL74"/>
      <c r="BRM74"/>
      <c r="BRN74"/>
      <c r="BRO74"/>
      <c r="BRP74"/>
      <c r="BRQ74"/>
      <c r="BRR74"/>
      <c r="BRS74"/>
      <c r="BRT74"/>
      <c r="BRU74"/>
      <c r="BRV74"/>
      <c r="BRW74"/>
      <c r="BRX74"/>
      <c r="BRY74"/>
      <c r="BRZ74"/>
      <c r="BSA74"/>
      <c r="BSB74"/>
      <c r="BSC74"/>
      <c r="BSD74"/>
      <c r="BSE74"/>
      <c r="BSF74"/>
      <c r="BSG74"/>
      <c r="BSH74"/>
      <c r="BSI74"/>
      <c r="BSJ74"/>
      <c r="BSK74"/>
      <c r="BSL74"/>
      <c r="BSM74"/>
      <c r="BSN74"/>
      <c r="BSO74"/>
      <c r="BSP74"/>
      <c r="BSQ74"/>
      <c r="BSR74"/>
      <c r="BSS74"/>
      <c r="BST74"/>
      <c r="BSU74"/>
      <c r="BSV74"/>
      <c r="BSW74"/>
      <c r="BSX74"/>
      <c r="BSY74"/>
      <c r="BSZ74"/>
      <c r="BTA74"/>
      <c r="BTB74"/>
      <c r="BTC74"/>
      <c r="BTD74"/>
      <c r="BTE74"/>
      <c r="BTF74"/>
      <c r="BTG74"/>
      <c r="BTH74"/>
      <c r="BTI74"/>
      <c r="BTJ74"/>
      <c r="BTK74"/>
      <c r="BTL74"/>
      <c r="BTM74"/>
      <c r="BTN74"/>
      <c r="BTO74"/>
      <c r="BTP74"/>
      <c r="BTQ74"/>
      <c r="BTR74"/>
      <c r="BTS74"/>
      <c r="BTT74"/>
      <c r="BTU74"/>
      <c r="BTV74"/>
      <c r="BTW74"/>
      <c r="BTX74"/>
      <c r="BTY74"/>
      <c r="BTZ74"/>
      <c r="BUA74"/>
      <c r="BUB74"/>
      <c r="BUC74"/>
      <c r="BUD74"/>
      <c r="BUE74"/>
      <c r="BUF74"/>
      <c r="BUG74"/>
      <c r="BUH74"/>
      <c r="BUI74"/>
      <c r="BUJ74"/>
      <c r="BUK74"/>
      <c r="BUL74"/>
      <c r="BUM74"/>
      <c r="BUN74"/>
      <c r="BUO74"/>
      <c r="BUP74"/>
      <c r="BUQ74"/>
      <c r="BUR74"/>
      <c r="BUS74"/>
      <c r="BUT74"/>
      <c r="BUU74"/>
      <c r="BUV74"/>
      <c r="BUW74"/>
      <c r="BUX74"/>
      <c r="BUY74"/>
      <c r="BUZ74"/>
      <c r="BVA74"/>
      <c r="BVB74"/>
      <c r="BVC74"/>
      <c r="BVD74"/>
      <c r="BVE74"/>
      <c r="BVF74"/>
      <c r="BVG74"/>
      <c r="BVH74"/>
      <c r="BVI74"/>
      <c r="BVJ74"/>
      <c r="BVK74"/>
      <c r="BVL74"/>
      <c r="BVM74"/>
      <c r="BVN74"/>
      <c r="BVO74"/>
      <c r="BVP74"/>
      <c r="BVQ74"/>
      <c r="BVR74"/>
      <c r="BVS74"/>
      <c r="BVT74"/>
      <c r="BVU74"/>
      <c r="BVV74"/>
      <c r="BVW74"/>
      <c r="BVX74"/>
      <c r="BVY74"/>
      <c r="BVZ74"/>
      <c r="BWA74"/>
      <c r="BWB74"/>
      <c r="BWC74"/>
      <c r="BWD74"/>
      <c r="BWE74"/>
      <c r="BWF74"/>
      <c r="BWG74"/>
      <c r="BWH74"/>
      <c r="BWI74"/>
      <c r="BWJ74"/>
      <c r="BWK74"/>
      <c r="BWL74"/>
      <c r="BWM74"/>
      <c r="BWN74"/>
      <c r="BWO74"/>
      <c r="BWP74"/>
      <c r="BWQ74"/>
      <c r="BWR74"/>
      <c r="BWS74"/>
      <c r="BWT74"/>
      <c r="BWU74"/>
      <c r="BWV74"/>
      <c r="BWW74"/>
      <c r="BWX74"/>
      <c r="BWY74"/>
      <c r="BWZ74"/>
      <c r="BXA74"/>
      <c r="BXB74"/>
      <c r="BXC74"/>
      <c r="BXD74"/>
      <c r="BXE74"/>
      <c r="BXF74"/>
      <c r="BXG74"/>
      <c r="BXH74"/>
      <c r="BXI74"/>
      <c r="BXJ74"/>
      <c r="BXK74"/>
      <c r="BXL74"/>
      <c r="BXM74"/>
      <c r="BXN74"/>
      <c r="BXO74"/>
      <c r="BXP74"/>
      <c r="BXQ74"/>
      <c r="BXR74"/>
      <c r="BXS74"/>
      <c r="BXT74"/>
      <c r="BXU74"/>
      <c r="BXV74"/>
      <c r="BXW74"/>
      <c r="BXX74"/>
      <c r="BXY74"/>
      <c r="BXZ74"/>
      <c r="BYA74"/>
      <c r="BYB74"/>
      <c r="BYC74"/>
      <c r="BYD74"/>
      <c r="BYE74"/>
      <c r="BYF74"/>
      <c r="BYG74"/>
      <c r="BYH74"/>
      <c r="BYI74"/>
      <c r="BYJ74"/>
      <c r="BYK74"/>
      <c r="BYL74"/>
      <c r="BYM74"/>
      <c r="BYN74"/>
      <c r="BYO74"/>
      <c r="BYP74"/>
      <c r="BYQ74"/>
      <c r="BYR74"/>
      <c r="BYS74"/>
      <c r="BYT74"/>
      <c r="BYU74"/>
      <c r="BYV74"/>
      <c r="BYW74"/>
      <c r="BYX74"/>
      <c r="BYY74"/>
      <c r="BYZ74"/>
      <c r="BZA74"/>
      <c r="BZB74"/>
      <c r="BZC74"/>
      <c r="BZD74"/>
      <c r="BZE74"/>
      <c r="BZF74"/>
      <c r="BZG74"/>
      <c r="BZH74"/>
      <c r="BZI74"/>
      <c r="BZJ74"/>
      <c r="BZK74"/>
      <c r="BZL74"/>
      <c r="BZM74"/>
      <c r="BZN74"/>
      <c r="BZO74"/>
      <c r="BZP74"/>
      <c r="BZQ74"/>
      <c r="BZR74"/>
      <c r="BZS74"/>
      <c r="BZT74"/>
      <c r="BZU74"/>
      <c r="BZV74"/>
      <c r="BZW74"/>
      <c r="BZX74"/>
      <c r="BZY74"/>
      <c r="BZZ74"/>
      <c r="CAA74"/>
      <c r="CAB74"/>
      <c r="CAC74"/>
      <c r="CAD74"/>
      <c r="CAE74"/>
      <c r="CAF74"/>
      <c r="CAG74"/>
      <c r="CAH74"/>
      <c r="CAI74"/>
      <c r="CAJ74"/>
      <c r="CAK74"/>
      <c r="CAL74"/>
      <c r="CAM74"/>
      <c r="CAN74"/>
      <c r="CAO74"/>
      <c r="CAP74"/>
      <c r="CAQ74"/>
      <c r="CAR74"/>
      <c r="CAS74"/>
      <c r="CAT74"/>
      <c r="CAU74"/>
      <c r="CAV74"/>
      <c r="CAW74"/>
      <c r="CAX74"/>
      <c r="CAY74"/>
      <c r="CAZ74"/>
      <c r="CBA74"/>
      <c r="CBB74"/>
      <c r="CBC74"/>
      <c r="CBD74"/>
      <c r="CBE74"/>
      <c r="CBF74"/>
      <c r="CBG74"/>
      <c r="CBH74"/>
      <c r="CBI74"/>
      <c r="CBJ74"/>
      <c r="CBK74"/>
      <c r="CBL74"/>
      <c r="CBM74"/>
      <c r="CBN74"/>
      <c r="CBO74"/>
      <c r="CBP74"/>
      <c r="CBQ74"/>
      <c r="CBR74"/>
      <c r="CBS74"/>
      <c r="CBT74"/>
      <c r="CBU74"/>
      <c r="CBV74"/>
      <c r="CBW74"/>
      <c r="CBX74"/>
      <c r="CBY74"/>
      <c r="CBZ74"/>
      <c r="CCA74"/>
      <c r="CCB74"/>
      <c r="CCC74"/>
      <c r="CCD74"/>
      <c r="CCE74"/>
      <c r="CCF74"/>
      <c r="CCG74"/>
      <c r="CCH74"/>
      <c r="CCI74"/>
      <c r="CCJ74"/>
      <c r="CCK74"/>
      <c r="CCL74"/>
      <c r="CCM74"/>
      <c r="CCN74"/>
      <c r="CCO74"/>
      <c r="CCP74"/>
      <c r="CCQ74"/>
      <c r="CCR74"/>
      <c r="CCS74"/>
      <c r="CCT74"/>
      <c r="CCU74"/>
      <c r="CCV74"/>
      <c r="CCW74"/>
      <c r="CCX74"/>
      <c r="CCY74"/>
      <c r="CCZ74"/>
      <c r="CDA74"/>
      <c r="CDB74"/>
      <c r="CDC74"/>
      <c r="CDD74"/>
      <c r="CDE74"/>
      <c r="CDF74"/>
      <c r="CDG74"/>
      <c r="CDH74"/>
      <c r="CDI74"/>
      <c r="CDJ74"/>
      <c r="CDK74"/>
      <c r="CDL74"/>
      <c r="CDM74"/>
      <c r="CDN74"/>
      <c r="CDO74"/>
      <c r="CDP74"/>
      <c r="CDQ74"/>
      <c r="CDR74"/>
      <c r="CDS74"/>
      <c r="CDT74"/>
      <c r="CDU74"/>
      <c r="CDV74"/>
      <c r="CDW74"/>
      <c r="CDX74"/>
      <c r="CDY74"/>
      <c r="CDZ74"/>
      <c r="CEA74"/>
      <c r="CEB74"/>
      <c r="CEC74"/>
      <c r="CED74"/>
      <c r="CEE74"/>
      <c r="CEF74"/>
      <c r="CEG74"/>
      <c r="CEH74"/>
      <c r="CEI74"/>
      <c r="CEJ74"/>
      <c r="CEK74"/>
      <c r="CEL74"/>
      <c r="CEM74"/>
      <c r="CEN74"/>
      <c r="CEO74"/>
      <c r="CEP74"/>
      <c r="CEQ74"/>
      <c r="CER74"/>
      <c r="CES74"/>
      <c r="CET74"/>
      <c r="CEU74"/>
      <c r="CEV74"/>
      <c r="CEW74"/>
      <c r="CEX74"/>
      <c r="CEY74"/>
      <c r="CEZ74"/>
      <c r="CFA74"/>
      <c r="CFB74"/>
      <c r="CFC74"/>
      <c r="CFD74"/>
      <c r="CFE74"/>
      <c r="CFF74"/>
      <c r="CFG74"/>
      <c r="CFH74"/>
      <c r="CFI74"/>
      <c r="CFJ74"/>
      <c r="CFK74"/>
      <c r="CFL74"/>
      <c r="CFM74"/>
      <c r="CFN74"/>
      <c r="CFO74"/>
      <c r="CFP74"/>
      <c r="CFQ74"/>
      <c r="CFR74"/>
      <c r="CFS74"/>
      <c r="CFT74"/>
      <c r="CFU74"/>
      <c r="CFV74"/>
      <c r="CFW74"/>
      <c r="CFX74"/>
      <c r="CFY74"/>
      <c r="CFZ74"/>
      <c r="CGA74"/>
      <c r="CGB74"/>
      <c r="CGC74"/>
      <c r="CGD74"/>
      <c r="CGE74"/>
      <c r="CGF74"/>
      <c r="CGG74"/>
      <c r="CGH74"/>
      <c r="CGI74"/>
      <c r="CGJ74"/>
      <c r="CGK74"/>
      <c r="CGL74"/>
      <c r="CGM74"/>
      <c r="CGN74"/>
      <c r="CGO74"/>
      <c r="CGP74"/>
      <c r="CGQ74"/>
      <c r="CGR74"/>
      <c r="CGS74"/>
      <c r="CGT74"/>
      <c r="CGU74"/>
      <c r="CGV74"/>
      <c r="CGW74"/>
      <c r="CGX74"/>
      <c r="CGY74"/>
      <c r="CGZ74"/>
      <c r="CHA74"/>
      <c r="CHB74"/>
      <c r="CHC74"/>
      <c r="CHD74"/>
      <c r="CHE74"/>
      <c r="CHF74"/>
      <c r="CHG74"/>
      <c r="CHH74"/>
      <c r="CHI74"/>
      <c r="CHJ74"/>
      <c r="CHK74"/>
      <c r="CHL74"/>
      <c r="CHM74"/>
      <c r="CHN74"/>
      <c r="CHO74"/>
      <c r="CHP74"/>
      <c r="CHQ74"/>
      <c r="CHR74"/>
      <c r="CHS74"/>
      <c r="CHT74"/>
      <c r="CHU74"/>
      <c r="CHV74"/>
      <c r="CHW74"/>
      <c r="CHX74"/>
      <c r="CHY74"/>
      <c r="CHZ74"/>
      <c r="CIA74"/>
      <c r="CIB74"/>
      <c r="CIC74"/>
      <c r="CID74"/>
      <c r="CIE74"/>
      <c r="CIF74"/>
      <c r="CIG74"/>
      <c r="CIH74"/>
      <c r="CII74"/>
      <c r="CIJ74"/>
      <c r="CIK74"/>
      <c r="CIL74"/>
      <c r="CIM74"/>
      <c r="CIN74"/>
      <c r="CIO74"/>
      <c r="CIP74"/>
      <c r="CIQ74"/>
      <c r="CIR74"/>
      <c r="CIS74"/>
      <c r="CIT74"/>
      <c r="CIU74"/>
      <c r="CIV74"/>
      <c r="CIW74"/>
      <c r="CIX74"/>
      <c r="CIY74"/>
      <c r="CIZ74"/>
      <c r="CJA74"/>
      <c r="CJB74"/>
      <c r="CJC74"/>
      <c r="CJD74"/>
      <c r="CJE74"/>
      <c r="CJF74"/>
      <c r="CJG74"/>
      <c r="CJH74"/>
      <c r="CJI74"/>
      <c r="CJJ74"/>
      <c r="CJK74"/>
      <c r="CJL74"/>
      <c r="CJM74"/>
      <c r="CJN74"/>
      <c r="CJO74"/>
      <c r="CJP74"/>
      <c r="CJQ74"/>
      <c r="CJR74"/>
      <c r="CJS74"/>
      <c r="CJT74"/>
      <c r="CJU74"/>
      <c r="CJV74"/>
      <c r="CJW74"/>
      <c r="CJX74"/>
      <c r="CJY74"/>
      <c r="CJZ74"/>
      <c r="CKA74"/>
      <c r="CKB74"/>
      <c r="CKC74"/>
      <c r="CKD74"/>
      <c r="CKE74"/>
      <c r="CKF74"/>
      <c r="CKG74"/>
      <c r="CKH74"/>
      <c r="CKI74"/>
      <c r="CKJ74"/>
      <c r="CKK74"/>
      <c r="CKL74"/>
      <c r="CKM74"/>
      <c r="CKN74"/>
      <c r="CKO74"/>
      <c r="CKP74"/>
      <c r="CKQ74"/>
      <c r="CKR74"/>
      <c r="CKS74"/>
      <c r="CKT74"/>
      <c r="CKU74"/>
      <c r="CKV74"/>
      <c r="CKW74"/>
      <c r="CKX74"/>
      <c r="CKY74"/>
      <c r="CKZ74"/>
      <c r="CLA74"/>
      <c r="CLB74"/>
      <c r="CLC74"/>
      <c r="CLD74"/>
      <c r="CLE74"/>
      <c r="CLF74"/>
      <c r="CLG74"/>
      <c r="CLH74"/>
      <c r="CLI74"/>
      <c r="CLJ74"/>
      <c r="CLK74"/>
      <c r="CLL74"/>
      <c r="CLM74"/>
      <c r="CLN74"/>
      <c r="CLO74"/>
      <c r="CLP74"/>
      <c r="CLQ74"/>
      <c r="CLR74"/>
      <c r="CLS74"/>
      <c r="CLT74"/>
      <c r="CLU74"/>
      <c r="CLV74"/>
      <c r="CLW74"/>
      <c r="CLX74"/>
      <c r="CLY74"/>
      <c r="CLZ74"/>
      <c r="CMA74"/>
      <c r="CMB74"/>
      <c r="CMC74"/>
      <c r="CMD74"/>
      <c r="CME74"/>
      <c r="CMF74"/>
      <c r="CMG74"/>
      <c r="CMH74"/>
      <c r="CMI74"/>
      <c r="CMJ74"/>
      <c r="CMK74"/>
      <c r="CML74"/>
      <c r="CMM74"/>
      <c r="CMN74"/>
      <c r="CMO74"/>
      <c r="CMP74"/>
      <c r="CMQ74"/>
      <c r="CMR74"/>
      <c r="CMS74"/>
      <c r="CMT74"/>
      <c r="CMU74"/>
      <c r="CMV74"/>
      <c r="CMW74"/>
      <c r="CMX74"/>
      <c r="CMY74"/>
      <c r="CMZ74"/>
      <c r="CNA74"/>
      <c r="CNB74"/>
      <c r="CNC74"/>
      <c r="CND74"/>
      <c r="CNE74"/>
      <c r="CNF74"/>
      <c r="CNG74"/>
      <c r="CNH74"/>
      <c r="CNI74"/>
      <c r="CNJ74"/>
      <c r="CNK74"/>
      <c r="CNL74"/>
      <c r="CNM74"/>
      <c r="CNN74"/>
      <c r="CNO74"/>
      <c r="CNP74"/>
      <c r="CNQ74"/>
      <c r="CNR74"/>
      <c r="CNS74"/>
      <c r="CNT74"/>
      <c r="CNU74"/>
      <c r="CNV74"/>
      <c r="CNW74"/>
      <c r="CNX74"/>
      <c r="CNY74"/>
      <c r="CNZ74"/>
      <c r="COA74"/>
      <c r="COB74"/>
      <c r="COC74"/>
      <c r="COD74"/>
      <c r="COE74"/>
      <c r="COF74"/>
      <c r="COG74"/>
      <c r="COH74"/>
      <c r="COI74"/>
      <c r="COJ74"/>
      <c r="COK74"/>
      <c r="COL74"/>
      <c r="COM74"/>
      <c r="CON74"/>
      <c r="COO74"/>
      <c r="COP74"/>
      <c r="COQ74"/>
      <c r="COR74"/>
      <c r="COS74"/>
      <c r="COT74"/>
      <c r="COU74"/>
      <c r="COV74"/>
      <c r="COW74"/>
      <c r="COX74"/>
      <c r="COY74"/>
      <c r="COZ74"/>
      <c r="CPA74"/>
      <c r="CPB74"/>
      <c r="CPC74"/>
      <c r="CPD74"/>
      <c r="CPE74"/>
      <c r="CPF74"/>
      <c r="CPG74"/>
      <c r="CPH74"/>
      <c r="CPI74"/>
      <c r="CPJ74"/>
      <c r="CPK74"/>
      <c r="CPL74"/>
      <c r="CPM74"/>
      <c r="CPN74"/>
      <c r="CPO74"/>
      <c r="CPP74"/>
      <c r="CPQ74"/>
      <c r="CPR74"/>
      <c r="CPS74"/>
      <c r="CPT74"/>
      <c r="CPU74"/>
      <c r="CPV74"/>
      <c r="CPW74"/>
      <c r="CPX74"/>
      <c r="CPY74"/>
      <c r="CPZ74"/>
      <c r="CQA74"/>
      <c r="CQB74"/>
      <c r="CQC74"/>
      <c r="CQD74"/>
      <c r="CQE74"/>
      <c r="CQF74"/>
      <c r="CQG74"/>
      <c r="CQH74"/>
      <c r="CQI74"/>
      <c r="CQJ74"/>
      <c r="CQK74"/>
      <c r="CQL74"/>
      <c r="CQM74"/>
      <c r="CQN74"/>
      <c r="CQO74"/>
      <c r="CQP74"/>
      <c r="CQQ74"/>
      <c r="CQR74"/>
      <c r="CQS74"/>
      <c r="CQT74"/>
      <c r="CQU74"/>
      <c r="CQV74"/>
      <c r="CQW74"/>
      <c r="CQX74"/>
      <c r="CQY74"/>
      <c r="CQZ74"/>
      <c r="CRA74"/>
      <c r="CRB74"/>
      <c r="CRC74"/>
      <c r="CRD74"/>
      <c r="CRE74"/>
      <c r="CRF74"/>
      <c r="CRG74"/>
      <c r="CRH74"/>
      <c r="CRI74"/>
      <c r="CRJ74"/>
      <c r="CRK74"/>
      <c r="CRL74"/>
      <c r="CRM74"/>
      <c r="CRN74"/>
      <c r="CRO74"/>
      <c r="CRP74"/>
      <c r="CRQ74"/>
      <c r="CRR74"/>
      <c r="CRS74"/>
      <c r="CRT74"/>
      <c r="CRU74"/>
      <c r="CRV74"/>
      <c r="CRW74"/>
      <c r="CRX74"/>
      <c r="CRY74"/>
      <c r="CRZ74"/>
      <c r="CSA74"/>
      <c r="CSB74"/>
      <c r="CSC74"/>
      <c r="CSD74"/>
      <c r="CSE74"/>
      <c r="CSF74"/>
      <c r="CSG74"/>
      <c r="CSH74"/>
      <c r="CSI74"/>
      <c r="CSJ74"/>
      <c r="CSK74"/>
      <c r="CSL74"/>
      <c r="CSM74"/>
      <c r="CSN74"/>
      <c r="CSO74"/>
      <c r="CSP74"/>
      <c r="CSQ74"/>
      <c r="CSR74"/>
      <c r="CSS74"/>
      <c r="CST74"/>
      <c r="CSU74"/>
      <c r="CSV74"/>
      <c r="CSW74"/>
      <c r="CSX74"/>
      <c r="CSY74"/>
      <c r="CSZ74"/>
      <c r="CTA74"/>
      <c r="CTB74"/>
      <c r="CTC74"/>
      <c r="CTD74"/>
      <c r="CTE74"/>
      <c r="CTF74"/>
      <c r="CTG74"/>
      <c r="CTH74"/>
      <c r="CTI74"/>
      <c r="CTJ74"/>
      <c r="CTK74"/>
      <c r="CTL74"/>
      <c r="CTM74"/>
      <c r="CTN74"/>
      <c r="CTO74"/>
      <c r="CTP74"/>
      <c r="CTQ74"/>
      <c r="CTR74"/>
      <c r="CTS74"/>
      <c r="CTT74"/>
      <c r="CTU74"/>
      <c r="CTV74"/>
      <c r="CTW74"/>
      <c r="CTX74"/>
      <c r="CTY74"/>
      <c r="CTZ74"/>
      <c r="CUA74"/>
      <c r="CUB74"/>
      <c r="CUC74"/>
      <c r="CUD74"/>
      <c r="CUE74"/>
      <c r="CUF74"/>
      <c r="CUG74"/>
      <c r="CUH74"/>
      <c r="CUI74"/>
      <c r="CUJ74"/>
      <c r="CUK74"/>
      <c r="CUL74"/>
      <c r="CUM74"/>
      <c r="CUN74"/>
      <c r="CUO74"/>
      <c r="CUP74"/>
      <c r="CUQ74"/>
      <c r="CUR74"/>
      <c r="CUS74"/>
      <c r="CUT74"/>
      <c r="CUU74"/>
      <c r="CUV74"/>
      <c r="CUW74"/>
      <c r="CUX74"/>
      <c r="CUY74"/>
      <c r="CUZ74"/>
      <c r="CVA74"/>
      <c r="CVB74"/>
      <c r="CVC74"/>
      <c r="CVD74"/>
      <c r="CVE74"/>
      <c r="CVF74"/>
      <c r="CVG74"/>
      <c r="CVH74"/>
      <c r="CVI74"/>
      <c r="CVJ74"/>
      <c r="CVK74"/>
      <c r="CVL74"/>
      <c r="CVM74"/>
      <c r="CVN74"/>
      <c r="CVO74"/>
      <c r="CVP74"/>
      <c r="CVQ74"/>
      <c r="CVR74"/>
      <c r="CVS74"/>
      <c r="CVT74"/>
      <c r="CVU74"/>
      <c r="CVV74"/>
      <c r="CVW74"/>
      <c r="CVX74"/>
      <c r="CVY74"/>
      <c r="CVZ74"/>
      <c r="CWA74"/>
      <c r="CWB74"/>
      <c r="CWC74"/>
      <c r="CWD74"/>
      <c r="CWE74"/>
      <c r="CWF74"/>
      <c r="CWG74"/>
      <c r="CWH74"/>
      <c r="CWI74"/>
      <c r="CWJ74"/>
      <c r="CWK74"/>
      <c r="CWL74"/>
      <c r="CWM74"/>
      <c r="CWN74"/>
      <c r="CWO74"/>
      <c r="CWP74"/>
      <c r="CWQ74"/>
      <c r="CWR74"/>
      <c r="CWS74"/>
      <c r="CWT74"/>
      <c r="CWU74"/>
      <c r="CWV74"/>
      <c r="CWW74"/>
      <c r="CWX74"/>
      <c r="CWY74"/>
      <c r="CWZ74"/>
      <c r="CXA74"/>
      <c r="CXB74"/>
      <c r="CXC74"/>
      <c r="CXD74"/>
      <c r="CXE74"/>
      <c r="CXF74"/>
      <c r="CXG74"/>
      <c r="CXH74"/>
      <c r="CXI74"/>
      <c r="CXJ74"/>
      <c r="CXK74"/>
      <c r="CXL74"/>
      <c r="CXM74"/>
      <c r="CXN74"/>
      <c r="CXO74"/>
      <c r="CXP74"/>
      <c r="CXQ74"/>
      <c r="CXR74"/>
      <c r="CXS74"/>
      <c r="CXT74"/>
      <c r="CXU74"/>
      <c r="CXV74"/>
      <c r="CXW74"/>
      <c r="CXX74"/>
      <c r="CXY74"/>
      <c r="CXZ74"/>
      <c r="CYA74"/>
      <c r="CYB74"/>
      <c r="CYC74"/>
      <c r="CYD74"/>
      <c r="CYE74"/>
      <c r="CYF74"/>
      <c r="CYG74"/>
      <c r="CYH74"/>
      <c r="CYI74"/>
      <c r="CYJ74"/>
      <c r="CYK74"/>
      <c r="CYL74"/>
      <c r="CYM74"/>
      <c r="CYN74"/>
      <c r="CYO74"/>
      <c r="CYP74"/>
      <c r="CYQ74"/>
      <c r="CYR74"/>
      <c r="CYS74"/>
      <c r="CYT74"/>
      <c r="CYU74"/>
      <c r="CYV74"/>
      <c r="CYW74"/>
      <c r="CYX74"/>
      <c r="CYY74"/>
      <c r="CYZ74"/>
      <c r="CZA74"/>
      <c r="CZB74"/>
      <c r="CZC74"/>
      <c r="CZD74"/>
      <c r="CZE74"/>
      <c r="CZF74"/>
      <c r="CZG74"/>
      <c r="CZH74"/>
      <c r="CZI74"/>
      <c r="CZJ74"/>
      <c r="CZK74"/>
      <c r="CZL74"/>
      <c r="CZM74"/>
      <c r="CZN74"/>
      <c r="CZO74"/>
      <c r="CZP74"/>
      <c r="CZQ74"/>
      <c r="CZR74"/>
      <c r="CZS74"/>
      <c r="CZT74"/>
      <c r="CZU74"/>
      <c r="CZV74"/>
      <c r="CZW74"/>
      <c r="CZX74"/>
      <c r="CZY74"/>
      <c r="CZZ74"/>
      <c r="DAA74"/>
      <c r="DAB74"/>
      <c r="DAC74"/>
      <c r="DAD74"/>
      <c r="DAE74"/>
      <c r="DAF74"/>
      <c r="DAG74"/>
      <c r="DAH74"/>
      <c r="DAI74"/>
      <c r="DAJ74"/>
      <c r="DAK74"/>
      <c r="DAL74"/>
      <c r="DAM74"/>
      <c r="DAN74"/>
      <c r="DAO74"/>
      <c r="DAP74"/>
      <c r="DAQ74"/>
      <c r="DAR74"/>
      <c r="DAS74"/>
      <c r="DAT74"/>
      <c r="DAU74"/>
      <c r="DAV74"/>
      <c r="DAW74"/>
      <c r="DAX74"/>
      <c r="DAY74"/>
      <c r="DAZ74"/>
      <c r="DBA74"/>
      <c r="DBB74"/>
      <c r="DBC74"/>
      <c r="DBD74"/>
      <c r="DBE74"/>
      <c r="DBF74"/>
      <c r="DBG74"/>
      <c r="DBH74"/>
      <c r="DBI74"/>
      <c r="DBJ74"/>
      <c r="DBK74"/>
      <c r="DBL74"/>
      <c r="DBM74"/>
      <c r="DBN74"/>
      <c r="DBO74"/>
      <c r="DBP74"/>
      <c r="DBQ74"/>
      <c r="DBR74"/>
      <c r="DBS74"/>
      <c r="DBT74"/>
      <c r="DBU74"/>
      <c r="DBV74"/>
      <c r="DBW74"/>
      <c r="DBX74"/>
      <c r="DBY74"/>
      <c r="DBZ74"/>
      <c r="DCA74"/>
      <c r="DCB74"/>
      <c r="DCC74"/>
      <c r="DCD74"/>
      <c r="DCE74"/>
      <c r="DCF74"/>
      <c r="DCG74"/>
      <c r="DCH74"/>
      <c r="DCI74"/>
      <c r="DCJ74"/>
      <c r="DCK74"/>
      <c r="DCL74"/>
      <c r="DCM74"/>
      <c r="DCN74"/>
      <c r="DCO74"/>
      <c r="DCP74"/>
      <c r="DCQ74"/>
      <c r="DCR74"/>
      <c r="DCS74"/>
      <c r="DCT74"/>
      <c r="DCU74"/>
      <c r="DCV74"/>
      <c r="DCW74"/>
      <c r="DCX74"/>
      <c r="DCY74"/>
      <c r="DCZ74"/>
      <c r="DDA74"/>
      <c r="DDB74"/>
      <c r="DDC74"/>
      <c r="DDD74"/>
      <c r="DDE74"/>
      <c r="DDF74"/>
      <c r="DDG74"/>
      <c r="DDH74"/>
      <c r="DDI74"/>
      <c r="DDJ74"/>
      <c r="DDK74"/>
      <c r="DDL74"/>
      <c r="DDM74"/>
      <c r="DDN74"/>
      <c r="DDO74"/>
      <c r="DDP74"/>
      <c r="DDQ74"/>
      <c r="DDR74"/>
      <c r="DDS74"/>
      <c r="DDT74"/>
      <c r="DDU74"/>
      <c r="DDV74"/>
      <c r="DDW74"/>
      <c r="DDX74"/>
      <c r="DDY74"/>
      <c r="DDZ74"/>
      <c r="DEA74"/>
      <c r="DEB74"/>
      <c r="DEC74"/>
      <c r="DED74"/>
      <c r="DEE74"/>
      <c r="DEF74"/>
      <c r="DEG74"/>
      <c r="DEH74"/>
      <c r="DEI74"/>
      <c r="DEJ74"/>
      <c r="DEK74"/>
      <c r="DEL74"/>
      <c r="DEM74"/>
      <c r="DEN74"/>
      <c r="DEO74"/>
      <c r="DEP74"/>
      <c r="DEQ74"/>
      <c r="DER74"/>
      <c r="DES74"/>
      <c r="DET74"/>
      <c r="DEU74"/>
      <c r="DEV74"/>
      <c r="DEW74"/>
      <c r="DEX74"/>
      <c r="DEY74"/>
      <c r="DEZ74"/>
      <c r="DFA74"/>
      <c r="DFB74"/>
      <c r="DFC74"/>
      <c r="DFD74"/>
      <c r="DFE74"/>
      <c r="DFF74"/>
      <c r="DFG74"/>
      <c r="DFH74"/>
      <c r="DFI74"/>
      <c r="DFJ74"/>
      <c r="DFK74"/>
      <c r="DFL74"/>
      <c r="DFM74"/>
      <c r="DFN74"/>
      <c r="DFO74"/>
      <c r="DFP74"/>
      <c r="DFQ74"/>
      <c r="DFR74"/>
      <c r="DFS74"/>
      <c r="DFT74"/>
      <c r="DFU74"/>
      <c r="DFV74"/>
      <c r="DFW74"/>
      <c r="DFX74"/>
      <c r="DFY74"/>
      <c r="DFZ74"/>
      <c r="DGA74"/>
      <c r="DGB74"/>
      <c r="DGC74"/>
      <c r="DGD74"/>
      <c r="DGE74"/>
      <c r="DGF74"/>
      <c r="DGG74"/>
      <c r="DGH74"/>
      <c r="DGI74"/>
      <c r="DGJ74"/>
      <c r="DGK74"/>
      <c r="DGL74"/>
      <c r="DGM74"/>
      <c r="DGN74"/>
      <c r="DGO74"/>
      <c r="DGP74"/>
      <c r="DGQ74"/>
      <c r="DGR74"/>
      <c r="DGS74"/>
      <c r="DGT74"/>
      <c r="DGU74"/>
      <c r="DGV74"/>
      <c r="DGW74"/>
      <c r="DGX74"/>
      <c r="DGY74"/>
      <c r="DGZ74"/>
      <c r="DHA74"/>
      <c r="DHB74"/>
      <c r="DHC74"/>
      <c r="DHD74"/>
      <c r="DHE74"/>
      <c r="DHF74"/>
      <c r="DHG74"/>
      <c r="DHH74"/>
      <c r="DHI74"/>
      <c r="DHJ74"/>
      <c r="DHK74"/>
      <c r="DHL74"/>
      <c r="DHM74"/>
      <c r="DHN74"/>
      <c r="DHO74"/>
      <c r="DHP74"/>
      <c r="DHQ74"/>
      <c r="DHR74"/>
      <c r="DHS74"/>
      <c r="DHT74"/>
      <c r="DHU74"/>
      <c r="DHV74"/>
      <c r="DHW74"/>
      <c r="DHX74"/>
      <c r="DHY74"/>
      <c r="DHZ74"/>
      <c r="DIA74"/>
      <c r="DIB74"/>
      <c r="DIC74"/>
      <c r="DID74"/>
      <c r="DIE74"/>
      <c r="DIF74"/>
      <c r="DIG74"/>
      <c r="DIH74"/>
      <c r="DII74"/>
      <c r="DIJ74"/>
      <c r="DIK74"/>
      <c r="DIL74"/>
      <c r="DIM74"/>
      <c r="DIN74"/>
      <c r="DIO74"/>
      <c r="DIP74"/>
      <c r="DIQ74"/>
      <c r="DIR74"/>
      <c r="DIS74"/>
      <c r="DIT74"/>
      <c r="DIU74"/>
      <c r="DIV74"/>
      <c r="DIW74"/>
      <c r="DIX74"/>
      <c r="DIY74"/>
      <c r="DIZ74"/>
      <c r="DJA74"/>
      <c r="DJB74"/>
      <c r="DJC74"/>
      <c r="DJD74"/>
      <c r="DJE74"/>
      <c r="DJF74"/>
      <c r="DJG74"/>
      <c r="DJH74"/>
      <c r="DJI74"/>
      <c r="DJJ74"/>
      <c r="DJK74"/>
      <c r="DJL74"/>
      <c r="DJM74"/>
      <c r="DJN74"/>
      <c r="DJO74"/>
      <c r="DJP74"/>
      <c r="DJQ74"/>
      <c r="DJR74"/>
      <c r="DJS74"/>
      <c r="DJT74"/>
      <c r="DJU74"/>
      <c r="DJV74"/>
      <c r="DJW74"/>
      <c r="DJX74"/>
      <c r="DJY74"/>
      <c r="DJZ74"/>
      <c r="DKA74"/>
      <c r="DKB74"/>
      <c r="DKC74"/>
      <c r="DKD74"/>
      <c r="DKE74"/>
      <c r="DKF74"/>
      <c r="DKG74"/>
      <c r="DKH74"/>
      <c r="DKI74"/>
      <c r="DKJ74"/>
      <c r="DKK74"/>
      <c r="DKL74"/>
      <c r="DKM74"/>
      <c r="DKN74"/>
      <c r="DKO74"/>
      <c r="DKP74"/>
      <c r="DKQ74"/>
      <c r="DKR74"/>
      <c r="DKS74"/>
      <c r="DKT74"/>
      <c r="DKU74"/>
      <c r="DKV74"/>
      <c r="DKW74"/>
      <c r="DKX74"/>
      <c r="DKY74"/>
      <c r="DKZ74"/>
      <c r="DLA74"/>
      <c r="DLB74"/>
      <c r="DLC74"/>
      <c r="DLD74"/>
      <c r="DLE74"/>
      <c r="DLF74"/>
      <c r="DLG74"/>
      <c r="DLH74"/>
      <c r="DLI74"/>
      <c r="DLJ74"/>
      <c r="DLK74"/>
      <c r="DLL74"/>
      <c r="DLM74"/>
      <c r="DLN74"/>
      <c r="DLO74"/>
      <c r="DLP74"/>
      <c r="DLQ74"/>
      <c r="DLR74"/>
      <c r="DLS74"/>
      <c r="DLT74"/>
      <c r="DLU74"/>
      <c r="DLV74"/>
      <c r="DLW74"/>
      <c r="DLX74"/>
      <c r="DLY74"/>
      <c r="DLZ74"/>
      <c r="DMA74"/>
      <c r="DMB74"/>
      <c r="DMC74"/>
      <c r="DMD74"/>
      <c r="DME74"/>
      <c r="DMF74"/>
      <c r="DMG74"/>
      <c r="DMH74"/>
      <c r="DMI74"/>
      <c r="DMJ74"/>
      <c r="DMK74"/>
      <c r="DML74"/>
      <c r="DMM74"/>
      <c r="DMN74"/>
      <c r="DMO74"/>
      <c r="DMP74"/>
      <c r="DMQ74"/>
      <c r="DMR74"/>
      <c r="DMS74"/>
      <c r="DMT74"/>
      <c r="DMU74"/>
      <c r="DMV74"/>
      <c r="DMW74"/>
      <c r="DMX74"/>
      <c r="DMY74"/>
      <c r="DMZ74"/>
      <c r="DNA74"/>
      <c r="DNB74"/>
      <c r="DNC74"/>
      <c r="DND74"/>
      <c r="DNE74"/>
      <c r="DNF74"/>
      <c r="DNG74"/>
      <c r="DNH74"/>
      <c r="DNI74"/>
      <c r="DNJ74"/>
      <c r="DNK74"/>
      <c r="DNL74"/>
      <c r="DNM74"/>
      <c r="DNN74"/>
      <c r="DNO74"/>
      <c r="DNP74"/>
      <c r="DNQ74"/>
      <c r="DNR74"/>
      <c r="DNS74"/>
      <c r="DNT74"/>
      <c r="DNU74"/>
      <c r="DNV74"/>
      <c r="DNW74"/>
      <c r="DNX74"/>
      <c r="DNY74"/>
      <c r="DNZ74"/>
      <c r="DOA74"/>
      <c r="DOB74"/>
      <c r="DOC74"/>
      <c r="DOD74"/>
      <c r="DOE74"/>
      <c r="DOF74"/>
      <c r="DOG74"/>
      <c r="DOH74"/>
      <c r="DOI74"/>
      <c r="DOJ74"/>
      <c r="DOK74"/>
      <c r="DOL74"/>
      <c r="DOM74"/>
      <c r="DON74"/>
      <c r="DOO74"/>
      <c r="DOP74"/>
      <c r="DOQ74"/>
      <c r="DOR74"/>
      <c r="DOS74"/>
      <c r="DOT74"/>
      <c r="DOU74"/>
      <c r="DOV74"/>
      <c r="DOW74"/>
      <c r="DOX74"/>
      <c r="DOY74"/>
      <c r="DOZ74"/>
      <c r="DPA74"/>
      <c r="DPB74"/>
      <c r="DPC74"/>
      <c r="DPD74"/>
      <c r="DPE74"/>
      <c r="DPF74"/>
      <c r="DPG74"/>
      <c r="DPH74"/>
      <c r="DPI74"/>
      <c r="DPJ74"/>
      <c r="DPK74"/>
      <c r="DPL74"/>
      <c r="DPM74"/>
      <c r="DPN74"/>
      <c r="DPO74"/>
      <c r="DPP74"/>
      <c r="DPQ74"/>
      <c r="DPR74"/>
      <c r="DPS74"/>
      <c r="DPT74"/>
      <c r="DPU74"/>
      <c r="DPV74"/>
      <c r="DPW74"/>
      <c r="DPX74"/>
      <c r="DPY74"/>
      <c r="DPZ74"/>
      <c r="DQA74"/>
      <c r="DQB74"/>
      <c r="DQC74"/>
      <c r="DQD74"/>
      <c r="DQE74"/>
      <c r="DQF74"/>
      <c r="DQG74"/>
      <c r="DQH74"/>
      <c r="DQI74"/>
      <c r="DQJ74"/>
      <c r="DQK74"/>
      <c r="DQL74"/>
      <c r="DQM74"/>
      <c r="DQN74"/>
      <c r="DQO74"/>
      <c r="DQP74"/>
      <c r="DQQ74"/>
      <c r="DQR74"/>
      <c r="DQS74"/>
      <c r="DQT74"/>
      <c r="DQU74"/>
      <c r="DQV74"/>
      <c r="DQW74"/>
      <c r="DQX74"/>
      <c r="DQY74"/>
      <c r="DQZ74"/>
      <c r="DRA74"/>
      <c r="DRB74"/>
      <c r="DRC74"/>
      <c r="DRD74"/>
      <c r="DRE74"/>
      <c r="DRF74"/>
      <c r="DRG74"/>
      <c r="DRH74"/>
      <c r="DRI74"/>
      <c r="DRJ74"/>
      <c r="DRK74"/>
      <c r="DRL74"/>
      <c r="DRM74"/>
      <c r="DRN74"/>
      <c r="DRO74"/>
      <c r="DRP74"/>
      <c r="DRQ74"/>
      <c r="DRR74"/>
      <c r="DRS74"/>
      <c r="DRT74"/>
      <c r="DRU74"/>
      <c r="DRV74"/>
      <c r="DRW74"/>
      <c r="DRX74"/>
      <c r="DRY74"/>
      <c r="DRZ74"/>
      <c r="DSA74"/>
      <c r="DSB74"/>
      <c r="DSC74"/>
      <c r="DSD74"/>
      <c r="DSE74"/>
      <c r="DSF74"/>
      <c r="DSG74"/>
      <c r="DSH74"/>
      <c r="DSI74"/>
      <c r="DSJ74"/>
      <c r="DSK74"/>
      <c r="DSL74"/>
      <c r="DSM74"/>
      <c r="DSN74"/>
      <c r="DSO74"/>
      <c r="DSP74"/>
      <c r="DSQ74"/>
      <c r="DSR74"/>
      <c r="DSS74"/>
      <c r="DST74"/>
      <c r="DSU74"/>
      <c r="DSV74"/>
      <c r="DSW74"/>
      <c r="DSX74"/>
      <c r="DSY74"/>
      <c r="DSZ74"/>
      <c r="DTA74"/>
      <c r="DTB74"/>
      <c r="DTC74"/>
      <c r="DTD74"/>
      <c r="DTE74"/>
      <c r="DTF74"/>
      <c r="DTG74"/>
      <c r="DTH74"/>
      <c r="DTI74"/>
      <c r="DTJ74"/>
      <c r="DTK74"/>
      <c r="DTL74"/>
      <c r="DTM74"/>
      <c r="DTN74"/>
      <c r="DTO74"/>
      <c r="DTP74"/>
      <c r="DTQ74"/>
      <c r="DTR74"/>
      <c r="DTS74"/>
      <c r="DTT74"/>
      <c r="DTU74"/>
      <c r="DTV74"/>
      <c r="DTW74"/>
      <c r="DTX74"/>
      <c r="DTY74"/>
      <c r="DTZ74"/>
      <c r="DUA74"/>
      <c r="DUB74"/>
      <c r="DUC74"/>
      <c r="DUD74"/>
      <c r="DUE74"/>
      <c r="DUF74"/>
      <c r="DUG74"/>
      <c r="DUH74"/>
      <c r="DUI74"/>
      <c r="DUJ74"/>
      <c r="DUK74"/>
      <c r="DUL74"/>
      <c r="DUM74"/>
      <c r="DUN74"/>
      <c r="DUO74"/>
      <c r="DUP74"/>
      <c r="DUQ74"/>
      <c r="DUR74"/>
      <c r="DUS74"/>
      <c r="DUT74"/>
      <c r="DUU74"/>
      <c r="DUV74"/>
      <c r="DUW74"/>
      <c r="DUX74"/>
      <c r="DUY74"/>
      <c r="DUZ74"/>
      <c r="DVA74"/>
      <c r="DVB74"/>
      <c r="DVC74"/>
      <c r="DVD74"/>
      <c r="DVE74"/>
      <c r="DVF74"/>
      <c r="DVG74"/>
      <c r="DVH74"/>
      <c r="DVI74"/>
      <c r="DVJ74"/>
      <c r="DVK74"/>
      <c r="DVL74"/>
      <c r="DVM74"/>
      <c r="DVN74"/>
      <c r="DVO74"/>
      <c r="DVP74"/>
      <c r="DVQ74"/>
      <c r="DVR74"/>
      <c r="DVS74"/>
      <c r="DVT74"/>
      <c r="DVU74"/>
      <c r="DVV74"/>
      <c r="DVW74"/>
      <c r="DVX74"/>
      <c r="DVY74"/>
      <c r="DVZ74"/>
      <c r="DWA74"/>
      <c r="DWB74"/>
      <c r="DWC74"/>
      <c r="DWD74"/>
      <c r="DWE74"/>
      <c r="DWF74"/>
      <c r="DWG74"/>
      <c r="DWH74"/>
      <c r="DWI74"/>
      <c r="DWJ74"/>
      <c r="DWK74"/>
      <c r="DWL74"/>
      <c r="DWM74"/>
      <c r="DWN74"/>
      <c r="DWO74"/>
      <c r="DWP74"/>
      <c r="DWQ74"/>
      <c r="DWR74"/>
      <c r="DWS74"/>
      <c r="DWT74"/>
      <c r="DWU74"/>
      <c r="DWV74"/>
      <c r="DWW74"/>
      <c r="DWX74"/>
      <c r="DWY74"/>
      <c r="DWZ74"/>
      <c r="DXA74"/>
      <c r="DXB74"/>
      <c r="DXC74"/>
      <c r="DXD74"/>
      <c r="DXE74"/>
      <c r="DXF74"/>
      <c r="DXG74"/>
      <c r="DXH74"/>
      <c r="DXI74"/>
      <c r="DXJ74"/>
      <c r="DXK74"/>
      <c r="DXL74"/>
      <c r="DXM74"/>
      <c r="DXN74"/>
      <c r="DXO74"/>
      <c r="DXP74"/>
      <c r="DXQ74"/>
      <c r="DXR74"/>
      <c r="DXS74"/>
      <c r="DXT74"/>
      <c r="DXU74"/>
      <c r="DXV74"/>
      <c r="DXW74"/>
      <c r="DXX74"/>
      <c r="DXY74"/>
      <c r="DXZ74"/>
      <c r="DYA74"/>
      <c r="DYB74"/>
      <c r="DYC74"/>
      <c r="DYD74"/>
      <c r="DYE74"/>
      <c r="DYF74"/>
      <c r="DYG74"/>
      <c r="DYH74"/>
      <c r="DYI74"/>
      <c r="DYJ74"/>
      <c r="DYK74"/>
      <c r="DYL74"/>
      <c r="DYM74"/>
      <c r="DYN74"/>
      <c r="DYO74"/>
      <c r="DYP74"/>
      <c r="DYQ74"/>
      <c r="DYR74"/>
      <c r="DYS74"/>
      <c r="DYT74"/>
      <c r="DYU74"/>
      <c r="DYV74"/>
      <c r="DYW74"/>
      <c r="DYX74"/>
      <c r="DYY74"/>
      <c r="DYZ74"/>
      <c r="DZA74"/>
      <c r="DZB74"/>
      <c r="DZC74"/>
      <c r="DZD74"/>
      <c r="DZE74"/>
      <c r="DZF74"/>
      <c r="DZG74"/>
      <c r="DZH74"/>
      <c r="DZI74"/>
      <c r="DZJ74"/>
      <c r="DZK74"/>
      <c r="DZL74"/>
      <c r="DZM74"/>
      <c r="DZN74"/>
      <c r="DZO74"/>
      <c r="DZP74"/>
      <c r="DZQ74"/>
      <c r="DZR74"/>
      <c r="DZS74"/>
      <c r="DZT74"/>
      <c r="DZU74"/>
      <c r="DZV74"/>
      <c r="DZW74"/>
      <c r="DZX74"/>
      <c r="DZY74"/>
      <c r="DZZ74"/>
      <c r="EAA74"/>
      <c r="EAB74"/>
      <c r="EAC74"/>
      <c r="EAD74"/>
      <c r="EAE74"/>
      <c r="EAF74"/>
      <c r="EAG74"/>
      <c r="EAH74"/>
      <c r="EAI74"/>
      <c r="EAJ74"/>
      <c r="EAK74"/>
      <c r="EAL74"/>
      <c r="EAM74"/>
      <c r="EAN74"/>
      <c r="EAO74"/>
      <c r="EAP74"/>
      <c r="EAQ74"/>
      <c r="EAR74"/>
      <c r="EAS74"/>
      <c r="EAT74"/>
      <c r="EAU74"/>
      <c r="EAV74"/>
      <c r="EAW74"/>
      <c r="EAX74"/>
      <c r="EAY74"/>
      <c r="EAZ74"/>
      <c r="EBA74"/>
      <c r="EBB74"/>
      <c r="EBC74"/>
      <c r="EBD74"/>
      <c r="EBE74"/>
      <c r="EBF74"/>
      <c r="EBG74"/>
      <c r="EBH74"/>
      <c r="EBI74"/>
      <c r="EBJ74"/>
      <c r="EBK74"/>
      <c r="EBL74"/>
      <c r="EBM74"/>
      <c r="EBN74"/>
      <c r="EBO74"/>
      <c r="EBP74"/>
      <c r="EBQ74"/>
      <c r="EBR74"/>
      <c r="EBS74"/>
      <c r="EBT74"/>
      <c r="EBU74"/>
      <c r="EBV74"/>
      <c r="EBW74"/>
      <c r="EBX74"/>
      <c r="EBY74"/>
      <c r="EBZ74"/>
      <c r="ECA74"/>
      <c r="ECB74"/>
      <c r="ECC74"/>
      <c r="ECD74"/>
      <c r="ECE74"/>
      <c r="ECF74"/>
      <c r="ECG74"/>
      <c r="ECH74"/>
      <c r="ECI74"/>
      <c r="ECJ74"/>
      <c r="ECK74"/>
      <c r="ECL74"/>
      <c r="ECM74"/>
      <c r="ECN74"/>
      <c r="ECO74"/>
      <c r="ECP74"/>
      <c r="ECQ74"/>
      <c r="ECR74"/>
      <c r="ECS74"/>
      <c r="ECT74"/>
      <c r="ECU74"/>
      <c r="ECV74"/>
      <c r="ECW74"/>
      <c r="ECX74"/>
      <c r="ECY74"/>
      <c r="ECZ74"/>
      <c r="EDA74"/>
      <c r="EDB74"/>
      <c r="EDC74"/>
      <c r="EDD74"/>
      <c r="EDE74"/>
      <c r="EDF74"/>
      <c r="EDG74"/>
      <c r="EDH74"/>
      <c r="EDI74"/>
      <c r="EDJ74"/>
      <c r="EDK74"/>
      <c r="EDL74"/>
      <c r="EDM74"/>
      <c r="EDN74"/>
      <c r="EDO74"/>
      <c r="EDP74"/>
      <c r="EDQ74"/>
      <c r="EDR74"/>
      <c r="EDS74"/>
      <c r="EDT74"/>
      <c r="EDU74"/>
      <c r="EDV74"/>
      <c r="EDW74"/>
      <c r="EDX74"/>
      <c r="EDY74"/>
      <c r="EDZ74"/>
      <c r="EEA74"/>
      <c r="EEB74"/>
      <c r="EEC74"/>
      <c r="EED74"/>
      <c r="EEE74"/>
      <c r="EEF74"/>
      <c r="EEG74"/>
      <c r="EEH74"/>
      <c r="EEI74"/>
      <c r="EEJ74"/>
      <c r="EEK74"/>
      <c r="EEL74"/>
      <c r="EEM74"/>
      <c r="EEN74"/>
      <c r="EEO74"/>
      <c r="EEP74"/>
      <c r="EEQ74"/>
      <c r="EER74"/>
      <c r="EES74"/>
      <c r="EET74"/>
      <c r="EEU74"/>
      <c r="EEV74"/>
      <c r="EEW74"/>
      <c r="EEX74"/>
      <c r="EEY74"/>
      <c r="EEZ74"/>
      <c r="EFA74"/>
      <c r="EFB74"/>
      <c r="EFC74"/>
      <c r="EFD74"/>
      <c r="EFE74"/>
      <c r="EFF74"/>
      <c r="EFG74"/>
      <c r="EFH74"/>
      <c r="EFI74"/>
      <c r="EFJ74"/>
      <c r="EFK74"/>
      <c r="EFL74"/>
      <c r="EFM74"/>
      <c r="EFN74"/>
      <c r="EFO74"/>
      <c r="EFP74"/>
      <c r="EFQ74"/>
      <c r="EFR74"/>
      <c r="EFS74"/>
      <c r="EFT74"/>
      <c r="EFU74"/>
      <c r="EFV74"/>
      <c r="EFW74"/>
      <c r="EFX74"/>
      <c r="EFY74"/>
      <c r="EFZ74"/>
      <c r="EGA74"/>
      <c r="EGB74"/>
      <c r="EGC74"/>
      <c r="EGD74"/>
      <c r="EGE74"/>
      <c r="EGF74"/>
      <c r="EGG74"/>
      <c r="EGH74"/>
      <c r="EGI74"/>
      <c r="EGJ74"/>
      <c r="EGK74"/>
      <c r="EGL74"/>
      <c r="EGM74"/>
      <c r="EGN74"/>
      <c r="EGO74"/>
      <c r="EGP74"/>
      <c r="EGQ74"/>
      <c r="EGR74"/>
      <c r="EGS74"/>
      <c r="EGT74"/>
      <c r="EGU74"/>
      <c r="EGV74"/>
      <c r="EGW74"/>
      <c r="EGX74"/>
      <c r="EGY74"/>
      <c r="EGZ74"/>
      <c r="EHA74"/>
      <c r="EHB74"/>
      <c r="EHC74"/>
      <c r="EHD74"/>
      <c r="EHE74"/>
      <c r="EHF74"/>
      <c r="EHG74"/>
      <c r="EHH74"/>
      <c r="EHI74"/>
      <c r="EHJ74"/>
      <c r="EHK74"/>
      <c r="EHL74"/>
      <c r="EHM74"/>
      <c r="EHN74"/>
      <c r="EHO74"/>
      <c r="EHP74"/>
      <c r="EHQ74"/>
      <c r="EHR74"/>
      <c r="EHS74"/>
      <c r="EHT74"/>
      <c r="EHU74"/>
      <c r="EHV74"/>
      <c r="EHW74"/>
      <c r="EHX74"/>
      <c r="EHY74"/>
      <c r="EHZ74"/>
      <c r="EIA74"/>
      <c r="EIB74"/>
      <c r="EIC74"/>
      <c r="EID74"/>
      <c r="EIE74"/>
      <c r="EIF74"/>
      <c r="EIG74"/>
      <c r="EIH74"/>
      <c r="EII74"/>
      <c r="EIJ74"/>
      <c r="EIK74"/>
      <c r="EIL74"/>
      <c r="EIM74"/>
      <c r="EIN74"/>
      <c r="EIO74"/>
      <c r="EIP74"/>
      <c r="EIQ74"/>
      <c r="EIR74"/>
      <c r="EIS74"/>
      <c r="EIT74"/>
      <c r="EIU74"/>
      <c r="EIV74"/>
      <c r="EIW74"/>
      <c r="EIX74"/>
      <c r="EIY74"/>
      <c r="EIZ74"/>
      <c r="EJA74"/>
      <c r="EJB74"/>
      <c r="EJC74"/>
      <c r="EJD74"/>
      <c r="EJE74"/>
      <c r="EJF74"/>
      <c r="EJG74"/>
      <c r="EJH74"/>
      <c r="EJI74"/>
      <c r="EJJ74"/>
      <c r="EJK74"/>
      <c r="EJL74"/>
      <c r="EJM74"/>
      <c r="EJN74"/>
      <c r="EJO74"/>
      <c r="EJP74"/>
      <c r="EJQ74"/>
      <c r="EJR74"/>
      <c r="EJS74"/>
      <c r="EJT74"/>
      <c r="EJU74"/>
      <c r="EJV74"/>
      <c r="EJW74"/>
      <c r="EJX74"/>
      <c r="EJY74"/>
      <c r="EJZ74"/>
      <c r="EKA74"/>
      <c r="EKB74"/>
      <c r="EKC74"/>
      <c r="EKD74"/>
      <c r="EKE74"/>
      <c r="EKF74"/>
      <c r="EKG74"/>
      <c r="EKH74"/>
      <c r="EKI74"/>
      <c r="EKJ74"/>
      <c r="EKK74"/>
      <c r="EKL74"/>
      <c r="EKM74"/>
      <c r="EKN74"/>
      <c r="EKO74"/>
      <c r="EKP74"/>
      <c r="EKQ74"/>
      <c r="EKR74"/>
      <c r="EKS74"/>
      <c r="EKT74"/>
      <c r="EKU74"/>
      <c r="EKV74"/>
      <c r="EKW74"/>
      <c r="EKX74"/>
      <c r="EKY74"/>
      <c r="EKZ74"/>
      <c r="ELA74"/>
      <c r="ELB74"/>
      <c r="ELC74"/>
      <c r="ELD74"/>
      <c r="ELE74"/>
      <c r="ELF74"/>
      <c r="ELG74"/>
      <c r="ELH74"/>
      <c r="ELI74"/>
      <c r="ELJ74"/>
      <c r="ELK74"/>
      <c r="ELL74"/>
      <c r="ELM74"/>
      <c r="ELN74"/>
      <c r="ELO74"/>
      <c r="ELP74"/>
      <c r="ELQ74"/>
      <c r="ELR74"/>
      <c r="ELS74"/>
      <c r="ELT74"/>
      <c r="ELU74"/>
      <c r="ELV74"/>
      <c r="ELW74"/>
      <c r="ELX74"/>
      <c r="ELY74"/>
      <c r="ELZ74"/>
      <c r="EMA74"/>
      <c r="EMB74"/>
      <c r="EMC74"/>
      <c r="EMD74"/>
      <c r="EME74"/>
      <c r="EMF74"/>
      <c r="EMG74"/>
      <c r="EMH74"/>
      <c r="EMI74"/>
      <c r="EMJ74"/>
      <c r="EMK74"/>
      <c r="EML74"/>
      <c r="EMM74"/>
      <c r="EMN74"/>
      <c r="EMO74"/>
      <c r="EMP74"/>
      <c r="EMQ74"/>
      <c r="EMR74"/>
      <c r="EMS74"/>
      <c r="EMT74"/>
      <c r="EMU74"/>
      <c r="EMV74"/>
      <c r="EMW74"/>
      <c r="EMX74"/>
      <c r="EMY74"/>
      <c r="EMZ74"/>
      <c r="ENA74"/>
      <c r="ENB74"/>
      <c r="ENC74"/>
      <c r="END74"/>
      <c r="ENE74"/>
      <c r="ENF74"/>
      <c r="ENG74"/>
      <c r="ENH74"/>
      <c r="ENI74"/>
      <c r="ENJ74"/>
      <c r="ENK74"/>
      <c r="ENL74"/>
      <c r="ENM74"/>
      <c r="ENN74"/>
      <c r="ENO74"/>
      <c r="ENP74"/>
      <c r="ENQ74"/>
      <c r="ENR74"/>
      <c r="ENS74"/>
      <c r="ENT74"/>
      <c r="ENU74"/>
      <c r="ENV74"/>
      <c r="ENW74"/>
      <c r="ENX74"/>
      <c r="ENY74"/>
      <c r="ENZ74"/>
      <c r="EOA74"/>
      <c r="EOB74"/>
      <c r="EOC74"/>
      <c r="EOD74"/>
      <c r="EOE74"/>
      <c r="EOF74"/>
      <c r="EOG74"/>
      <c r="EOH74"/>
      <c r="EOI74"/>
      <c r="EOJ74"/>
      <c r="EOK74"/>
      <c r="EOL74"/>
      <c r="EOM74"/>
      <c r="EON74"/>
      <c r="EOO74"/>
      <c r="EOP74"/>
      <c r="EOQ74"/>
      <c r="EOR74"/>
      <c r="EOS74"/>
      <c r="EOT74"/>
      <c r="EOU74"/>
      <c r="EOV74"/>
      <c r="EOW74"/>
      <c r="EOX74"/>
      <c r="EOY74"/>
      <c r="EOZ74"/>
      <c r="EPA74"/>
      <c r="EPB74"/>
      <c r="EPC74"/>
      <c r="EPD74"/>
      <c r="EPE74"/>
      <c r="EPF74"/>
      <c r="EPG74"/>
      <c r="EPH74"/>
      <c r="EPI74"/>
      <c r="EPJ74"/>
      <c r="EPK74"/>
      <c r="EPL74"/>
      <c r="EPM74"/>
      <c r="EPN74"/>
      <c r="EPO74"/>
      <c r="EPP74"/>
      <c r="EPQ74"/>
      <c r="EPR74"/>
      <c r="EPS74"/>
      <c r="EPT74"/>
      <c r="EPU74"/>
      <c r="EPV74"/>
      <c r="EPW74"/>
      <c r="EPX74"/>
      <c r="EPY74"/>
      <c r="EPZ74"/>
      <c r="EQA74"/>
      <c r="EQB74"/>
      <c r="EQC74"/>
      <c r="EQD74"/>
      <c r="EQE74"/>
      <c r="EQF74"/>
      <c r="EQG74"/>
      <c r="EQH74"/>
      <c r="EQI74"/>
      <c r="EQJ74"/>
      <c r="EQK74"/>
      <c r="EQL74"/>
      <c r="EQM74"/>
      <c r="EQN74"/>
      <c r="EQO74"/>
      <c r="EQP74"/>
      <c r="EQQ74"/>
      <c r="EQR74"/>
      <c r="EQS74"/>
      <c r="EQT74"/>
      <c r="EQU74"/>
      <c r="EQV74"/>
      <c r="EQW74"/>
      <c r="EQX74"/>
      <c r="EQY74"/>
      <c r="EQZ74"/>
      <c r="ERA74"/>
      <c r="ERB74"/>
      <c r="ERC74"/>
      <c r="ERD74"/>
      <c r="ERE74"/>
      <c r="ERF74"/>
      <c r="ERG74"/>
      <c r="ERH74"/>
      <c r="ERI74"/>
      <c r="ERJ74"/>
      <c r="ERK74"/>
      <c r="ERL74"/>
      <c r="ERM74"/>
      <c r="ERN74"/>
      <c r="ERO74"/>
      <c r="ERP74"/>
      <c r="ERQ74"/>
      <c r="ERR74"/>
      <c r="ERS74"/>
      <c r="ERT74"/>
      <c r="ERU74"/>
      <c r="ERV74"/>
      <c r="ERW74"/>
      <c r="ERX74"/>
      <c r="ERY74"/>
      <c r="ERZ74"/>
      <c r="ESA74"/>
      <c r="ESB74"/>
      <c r="ESC74"/>
      <c r="ESD74"/>
      <c r="ESE74"/>
      <c r="ESF74"/>
      <c r="ESG74"/>
      <c r="ESH74"/>
      <c r="ESI74"/>
      <c r="ESJ74"/>
      <c r="ESK74"/>
      <c r="ESL74"/>
      <c r="ESM74"/>
      <c r="ESN74"/>
      <c r="ESO74"/>
      <c r="ESP74"/>
      <c r="ESQ74"/>
      <c r="ESR74"/>
      <c r="ESS74"/>
      <c r="EST74"/>
      <c r="ESU74"/>
      <c r="ESV74"/>
      <c r="ESW74"/>
      <c r="ESX74"/>
      <c r="ESY74"/>
      <c r="ESZ74"/>
      <c r="ETA74"/>
      <c r="ETB74"/>
      <c r="ETC74"/>
      <c r="ETD74"/>
      <c r="ETE74"/>
      <c r="ETF74"/>
      <c r="ETG74"/>
      <c r="ETH74"/>
      <c r="ETI74"/>
      <c r="ETJ74"/>
      <c r="ETK74"/>
      <c r="ETL74"/>
      <c r="ETM74"/>
      <c r="ETN74"/>
      <c r="ETO74"/>
      <c r="ETP74"/>
      <c r="ETQ74"/>
      <c r="ETR74"/>
      <c r="ETS74"/>
      <c r="ETT74"/>
      <c r="ETU74"/>
      <c r="ETV74"/>
      <c r="ETW74"/>
      <c r="ETX74"/>
      <c r="ETY74"/>
      <c r="ETZ74"/>
      <c r="EUA74"/>
      <c r="EUB74"/>
      <c r="EUC74"/>
      <c r="EUD74"/>
      <c r="EUE74"/>
      <c r="EUF74"/>
      <c r="EUG74"/>
      <c r="EUH74"/>
      <c r="EUI74"/>
      <c r="EUJ74"/>
      <c r="EUK74"/>
      <c r="EUL74"/>
      <c r="EUM74"/>
      <c r="EUN74"/>
      <c r="EUO74"/>
      <c r="EUP74"/>
      <c r="EUQ74"/>
      <c r="EUR74"/>
      <c r="EUS74"/>
      <c r="EUT74"/>
      <c r="EUU74"/>
      <c r="EUV74"/>
      <c r="EUW74"/>
      <c r="EUX74"/>
      <c r="EUY74"/>
      <c r="EUZ74"/>
      <c r="EVA74"/>
      <c r="EVB74"/>
      <c r="EVC74"/>
      <c r="EVD74"/>
      <c r="EVE74"/>
      <c r="EVF74"/>
      <c r="EVG74"/>
      <c r="EVH74"/>
      <c r="EVI74"/>
      <c r="EVJ74"/>
      <c r="EVK74"/>
      <c r="EVL74"/>
      <c r="EVM74"/>
      <c r="EVN74"/>
      <c r="EVO74"/>
      <c r="EVP74"/>
      <c r="EVQ74"/>
      <c r="EVR74"/>
      <c r="EVS74"/>
      <c r="EVT74"/>
      <c r="EVU74"/>
      <c r="EVV74"/>
      <c r="EVW74"/>
      <c r="EVX74"/>
      <c r="EVY74"/>
      <c r="EVZ74"/>
      <c r="EWA74"/>
      <c r="EWB74"/>
      <c r="EWC74"/>
      <c r="EWD74"/>
      <c r="EWE74"/>
      <c r="EWF74"/>
      <c r="EWG74"/>
      <c r="EWH74"/>
      <c r="EWI74"/>
      <c r="EWJ74"/>
      <c r="EWK74"/>
      <c r="EWL74"/>
      <c r="EWM74"/>
      <c r="EWN74"/>
      <c r="EWO74"/>
      <c r="EWP74"/>
      <c r="EWQ74"/>
      <c r="EWR74"/>
      <c r="EWS74"/>
      <c r="EWT74"/>
      <c r="EWU74"/>
      <c r="EWV74"/>
      <c r="EWW74"/>
      <c r="EWX74"/>
      <c r="EWY74"/>
      <c r="EWZ74"/>
      <c r="EXA74"/>
      <c r="EXB74"/>
      <c r="EXC74"/>
      <c r="EXD74"/>
      <c r="EXE74"/>
      <c r="EXF74"/>
      <c r="EXG74"/>
      <c r="EXH74"/>
      <c r="EXI74"/>
      <c r="EXJ74"/>
      <c r="EXK74"/>
      <c r="EXL74"/>
      <c r="EXM74"/>
      <c r="EXN74"/>
      <c r="EXO74"/>
      <c r="EXP74"/>
      <c r="EXQ74"/>
      <c r="EXR74"/>
      <c r="EXS74"/>
      <c r="EXT74"/>
      <c r="EXU74"/>
      <c r="EXV74"/>
      <c r="EXW74"/>
      <c r="EXX74"/>
      <c r="EXY74"/>
      <c r="EXZ74"/>
      <c r="EYA74"/>
      <c r="EYB74"/>
      <c r="EYC74"/>
      <c r="EYD74"/>
      <c r="EYE74"/>
      <c r="EYF74"/>
      <c r="EYG74"/>
      <c r="EYH74"/>
      <c r="EYI74"/>
      <c r="EYJ74"/>
      <c r="EYK74"/>
      <c r="EYL74"/>
      <c r="EYM74"/>
      <c r="EYN74"/>
      <c r="EYO74"/>
      <c r="EYP74"/>
      <c r="EYQ74"/>
      <c r="EYR74"/>
      <c r="EYS74"/>
      <c r="EYT74"/>
      <c r="EYU74"/>
      <c r="EYV74"/>
      <c r="EYW74"/>
      <c r="EYX74"/>
      <c r="EYY74"/>
      <c r="EYZ74"/>
      <c r="EZA74"/>
      <c r="EZB74"/>
      <c r="EZC74"/>
      <c r="EZD74"/>
      <c r="EZE74"/>
      <c r="EZF74"/>
      <c r="EZG74"/>
      <c r="EZH74"/>
      <c r="EZI74"/>
      <c r="EZJ74"/>
      <c r="EZK74"/>
      <c r="EZL74"/>
      <c r="EZM74"/>
      <c r="EZN74"/>
      <c r="EZO74"/>
      <c r="EZP74"/>
      <c r="EZQ74"/>
      <c r="EZR74"/>
      <c r="EZS74"/>
      <c r="EZT74"/>
      <c r="EZU74"/>
      <c r="EZV74"/>
      <c r="EZW74"/>
      <c r="EZX74"/>
      <c r="EZY74"/>
      <c r="EZZ74"/>
      <c r="FAA74"/>
      <c r="FAB74"/>
      <c r="FAC74"/>
      <c r="FAD74"/>
      <c r="FAE74"/>
      <c r="FAF74"/>
      <c r="FAG74"/>
      <c r="FAH74"/>
      <c r="FAI74"/>
      <c r="FAJ74"/>
      <c r="FAK74"/>
      <c r="FAL74"/>
      <c r="FAM74"/>
      <c r="FAN74"/>
      <c r="FAO74"/>
      <c r="FAP74"/>
      <c r="FAQ74"/>
      <c r="FAR74"/>
      <c r="FAS74"/>
      <c r="FAT74"/>
      <c r="FAU74"/>
      <c r="FAV74"/>
      <c r="FAW74"/>
      <c r="FAX74"/>
      <c r="FAY74"/>
      <c r="FAZ74"/>
      <c r="FBA74"/>
      <c r="FBB74"/>
      <c r="FBC74"/>
      <c r="FBD74"/>
      <c r="FBE74"/>
      <c r="FBF74"/>
      <c r="FBG74"/>
      <c r="FBH74"/>
      <c r="FBI74"/>
      <c r="FBJ74"/>
      <c r="FBK74"/>
      <c r="FBL74"/>
      <c r="FBM74"/>
      <c r="FBN74"/>
      <c r="FBO74"/>
      <c r="FBP74"/>
      <c r="FBQ74"/>
      <c r="FBR74"/>
      <c r="FBS74"/>
      <c r="FBT74"/>
      <c r="FBU74"/>
      <c r="FBV74"/>
      <c r="FBW74"/>
      <c r="FBX74"/>
      <c r="FBY74"/>
      <c r="FBZ74"/>
      <c r="FCA74"/>
      <c r="FCB74"/>
      <c r="FCC74"/>
      <c r="FCD74"/>
      <c r="FCE74"/>
      <c r="FCF74"/>
      <c r="FCG74"/>
      <c r="FCH74"/>
      <c r="FCI74"/>
      <c r="FCJ74"/>
      <c r="FCK74"/>
      <c r="FCL74"/>
      <c r="FCM74"/>
      <c r="FCN74"/>
      <c r="FCO74"/>
      <c r="FCP74"/>
      <c r="FCQ74"/>
      <c r="FCR74"/>
      <c r="FCS74"/>
      <c r="FCT74"/>
      <c r="FCU74"/>
      <c r="FCV74"/>
      <c r="FCW74"/>
      <c r="FCX74"/>
      <c r="FCY74"/>
      <c r="FCZ74"/>
      <c r="FDA74"/>
      <c r="FDB74"/>
      <c r="FDC74"/>
      <c r="FDD74"/>
      <c r="FDE74"/>
      <c r="FDF74"/>
      <c r="FDG74"/>
      <c r="FDH74"/>
      <c r="FDI74"/>
      <c r="FDJ74"/>
      <c r="FDK74"/>
      <c r="FDL74"/>
      <c r="FDM74"/>
      <c r="FDN74"/>
      <c r="FDO74"/>
      <c r="FDP74"/>
      <c r="FDQ74"/>
      <c r="FDR74"/>
      <c r="FDS74"/>
      <c r="FDT74"/>
      <c r="FDU74"/>
      <c r="FDV74"/>
      <c r="FDW74"/>
      <c r="FDX74"/>
      <c r="FDY74"/>
      <c r="FDZ74"/>
      <c r="FEA74"/>
      <c r="FEB74"/>
      <c r="FEC74"/>
      <c r="FED74"/>
      <c r="FEE74"/>
      <c r="FEF74"/>
      <c r="FEG74"/>
      <c r="FEH74"/>
      <c r="FEI74"/>
      <c r="FEJ74"/>
      <c r="FEK74"/>
      <c r="FEL74"/>
      <c r="FEM74"/>
      <c r="FEN74"/>
      <c r="FEO74"/>
      <c r="FEP74"/>
      <c r="FEQ74"/>
      <c r="FER74"/>
      <c r="FES74"/>
      <c r="FET74"/>
      <c r="FEU74"/>
      <c r="FEV74"/>
      <c r="FEW74"/>
      <c r="FEX74"/>
      <c r="FEY74"/>
      <c r="FEZ74"/>
      <c r="FFA74"/>
      <c r="FFB74"/>
      <c r="FFC74"/>
      <c r="FFD74"/>
      <c r="FFE74"/>
      <c r="FFF74"/>
      <c r="FFG74"/>
      <c r="FFH74"/>
      <c r="FFI74"/>
      <c r="FFJ74"/>
      <c r="FFK74"/>
      <c r="FFL74"/>
      <c r="FFM74"/>
      <c r="FFN74"/>
      <c r="FFO74"/>
      <c r="FFP74"/>
      <c r="FFQ74"/>
      <c r="FFR74"/>
      <c r="FFS74"/>
      <c r="FFT74"/>
      <c r="FFU74"/>
      <c r="FFV74"/>
      <c r="FFW74"/>
      <c r="FFX74"/>
      <c r="FFY74"/>
      <c r="FFZ74"/>
      <c r="FGA74"/>
      <c r="FGB74"/>
      <c r="FGC74"/>
      <c r="FGD74"/>
      <c r="FGE74"/>
      <c r="FGF74"/>
      <c r="FGG74"/>
      <c r="FGH74"/>
      <c r="FGI74"/>
      <c r="FGJ74"/>
      <c r="FGK74"/>
      <c r="FGL74"/>
      <c r="FGM74"/>
      <c r="FGN74"/>
      <c r="FGO74"/>
      <c r="FGP74"/>
      <c r="FGQ74"/>
      <c r="FGR74"/>
      <c r="FGS74"/>
      <c r="FGT74"/>
      <c r="FGU74"/>
      <c r="FGV74"/>
      <c r="FGW74"/>
      <c r="FGX74"/>
      <c r="FGY74"/>
      <c r="FGZ74"/>
      <c r="FHA74"/>
      <c r="FHB74"/>
      <c r="FHC74"/>
      <c r="FHD74"/>
      <c r="FHE74"/>
      <c r="FHF74"/>
      <c r="FHG74"/>
      <c r="FHH74"/>
      <c r="FHI74"/>
      <c r="FHJ74"/>
      <c r="FHK74"/>
      <c r="FHL74"/>
      <c r="FHM74"/>
      <c r="FHN74"/>
      <c r="FHO74"/>
      <c r="FHP74"/>
      <c r="FHQ74"/>
      <c r="FHR74"/>
      <c r="FHS74"/>
      <c r="FHT74"/>
      <c r="FHU74"/>
      <c r="FHV74"/>
      <c r="FHW74"/>
      <c r="FHX74"/>
      <c r="FHY74"/>
      <c r="FHZ74"/>
      <c r="FIA74"/>
      <c r="FIB74"/>
      <c r="FIC74"/>
      <c r="FID74"/>
      <c r="FIE74"/>
      <c r="FIF74"/>
      <c r="FIG74"/>
      <c r="FIH74"/>
      <c r="FII74"/>
      <c r="FIJ74"/>
      <c r="FIK74"/>
      <c r="FIL74"/>
      <c r="FIM74"/>
      <c r="FIN74"/>
      <c r="FIO74"/>
      <c r="FIP74"/>
      <c r="FIQ74"/>
      <c r="FIR74"/>
      <c r="FIS74"/>
      <c r="FIT74"/>
      <c r="FIU74"/>
      <c r="FIV74"/>
      <c r="FIW74"/>
      <c r="FIX74"/>
      <c r="FIY74"/>
      <c r="FIZ74"/>
      <c r="FJA74"/>
      <c r="FJB74"/>
      <c r="FJC74"/>
      <c r="FJD74"/>
      <c r="FJE74"/>
      <c r="FJF74"/>
      <c r="FJG74"/>
      <c r="FJH74"/>
      <c r="FJI74"/>
      <c r="FJJ74"/>
      <c r="FJK74"/>
      <c r="FJL74"/>
      <c r="FJM74"/>
      <c r="FJN74"/>
      <c r="FJO74"/>
      <c r="FJP74"/>
      <c r="FJQ74"/>
      <c r="FJR74"/>
      <c r="FJS74"/>
      <c r="FJT74"/>
      <c r="FJU74"/>
      <c r="FJV74"/>
      <c r="FJW74"/>
      <c r="FJX74"/>
      <c r="FJY74"/>
      <c r="FJZ74"/>
      <c r="FKA74"/>
      <c r="FKB74"/>
      <c r="FKC74"/>
      <c r="FKD74"/>
      <c r="FKE74"/>
      <c r="FKF74"/>
      <c r="FKG74"/>
      <c r="FKH74"/>
      <c r="FKI74"/>
      <c r="FKJ74"/>
      <c r="FKK74"/>
      <c r="FKL74"/>
      <c r="FKM74"/>
      <c r="FKN74"/>
      <c r="FKO74"/>
      <c r="FKP74"/>
      <c r="FKQ74"/>
      <c r="FKR74"/>
      <c r="FKS74"/>
      <c r="FKT74"/>
      <c r="FKU74"/>
      <c r="FKV74"/>
      <c r="FKW74"/>
      <c r="FKX74"/>
      <c r="FKY74"/>
      <c r="FKZ74"/>
      <c r="FLA74"/>
      <c r="FLB74"/>
      <c r="FLC74"/>
      <c r="FLD74"/>
      <c r="FLE74"/>
      <c r="FLF74"/>
      <c r="FLG74"/>
      <c r="FLH74"/>
      <c r="FLI74"/>
      <c r="FLJ74"/>
      <c r="FLK74"/>
      <c r="FLL74"/>
      <c r="FLM74"/>
      <c r="FLN74"/>
      <c r="FLO74"/>
      <c r="FLP74"/>
      <c r="FLQ74"/>
      <c r="FLR74"/>
      <c r="FLS74"/>
      <c r="FLT74"/>
      <c r="FLU74"/>
      <c r="FLV74"/>
      <c r="FLW74"/>
      <c r="FLX74"/>
      <c r="FLY74"/>
      <c r="FLZ74"/>
      <c r="FMA74"/>
      <c r="FMB74"/>
      <c r="FMC74"/>
      <c r="FMD74"/>
      <c r="FME74"/>
      <c r="FMF74"/>
      <c r="FMG74"/>
      <c r="FMH74"/>
      <c r="FMI74"/>
      <c r="FMJ74"/>
      <c r="FMK74"/>
      <c r="FML74"/>
      <c r="FMM74"/>
      <c r="FMN74"/>
      <c r="FMO74"/>
      <c r="FMP74"/>
      <c r="FMQ74"/>
      <c r="FMR74"/>
      <c r="FMS74"/>
      <c r="FMT74"/>
      <c r="FMU74"/>
      <c r="FMV74"/>
      <c r="FMW74"/>
      <c r="FMX74"/>
      <c r="FMY74"/>
      <c r="FMZ74"/>
      <c r="FNA74"/>
      <c r="FNB74"/>
      <c r="FNC74"/>
      <c r="FND74"/>
      <c r="FNE74"/>
      <c r="FNF74"/>
      <c r="FNG74"/>
      <c r="FNH74"/>
      <c r="FNI74"/>
      <c r="FNJ74"/>
      <c r="FNK74"/>
      <c r="FNL74"/>
      <c r="FNM74"/>
      <c r="FNN74"/>
      <c r="FNO74"/>
      <c r="FNP74"/>
      <c r="FNQ74"/>
      <c r="FNR74"/>
      <c r="FNS74"/>
      <c r="FNT74"/>
      <c r="FNU74"/>
      <c r="FNV74"/>
      <c r="FNW74"/>
      <c r="FNX74"/>
      <c r="FNY74"/>
      <c r="FNZ74"/>
      <c r="FOA74"/>
      <c r="FOB74"/>
      <c r="FOC74"/>
      <c r="FOD74"/>
      <c r="FOE74"/>
      <c r="FOF74"/>
      <c r="FOG74"/>
      <c r="FOH74"/>
      <c r="FOI74"/>
      <c r="FOJ74"/>
      <c r="FOK74"/>
      <c r="FOL74"/>
      <c r="FOM74"/>
      <c r="FON74"/>
      <c r="FOO74"/>
      <c r="FOP74"/>
      <c r="FOQ74"/>
      <c r="FOR74"/>
      <c r="FOS74"/>
      <c r="FOT74"/>
      <c r="FOU74"/>
      <c r="FOV74"/>
      <c r="FOW74"/>
      <c r="FOX74"/>
      <c r="FOY74"/>
      <c r="FOZ74"/>
      <c r="FPA74"/>
      <c r="FPB74"/>
      <c r="FPC74"/>
      <c r="FPD74"/>
      <c r="FPE74"/>
      <c r="FPF74"/>
      <c r="FPG74"/>
      <c r="FPH74"/>
      <c r="FPI74"/>
      <c r="FPJ74"/>
      <c r="FPK74"/>
      <c r="FPL74"/>
      <c r="FPM74"/>
      <c r="FPN74"/>
      <c r="FPO74"/>
      <c r="FPP74"/>
      <c r="FPQ74"/>
      <c r="FPR74"/>
      <c r="FPS74"/>
      <c r="FPT74"/>
      <c r="FPU74"/>
      <c r="FPV74"/>
      <c r="FPW74"/>
      <c r="FPX74"/>
      <c r="FPY74"/>
      <c r="FPZ74"/>
      <c r="FQA74"/>
      <c r="FQB74"/>
      <c r="FQC74"/>
      <c r="FQD74"/>
      <c r="FQE74"/>
      <c r="FQF74"/>
      <c r="FQG74"/>
      <c r="FQH74"/>
      <c r="FQI74"/>
      <c r="FQJ74"/>
      <c r="FQK74"/>
      <c r="FQL74"/>
      <c r="FQM74"/>
      <c r="FQN74"/>
      <c r="FQO74"/>
      <c r="FQP74"/>
      <c r="FQQ74"/>
      <c r="FQR74"/>
      <c r="FQS74"/>
      <c r="FQT74"/>
      <c r="FQU74"/>
      <c r="FQV74"/>
      <c r="FQW74"/>
      <c r="FQX74"/>
      <c r="FQY74"/>
      <c r="FQZ74"/>
      <c r="FRA74"/>
      <c r="FRB74"/>
      <c r="FRC74"/>
      <c r="FRD74"/>
      <c r="FRE74"/>
      <c r="FRF74"/>
      <c r="FRG74"/>
      <c r="FRH74"/>
      <c r="FRI74"/>
      <c r="FRJ74"/>
      <c r="FRK74"/>
      <c r="FRL74"/>
      <c r="FRM74"/>
      <c r="FRN74"/>
      <c r="FRO74"/>
      <c r="FRP74"/>
      <c r="FRQ74"/>
      <c r="FRR74"/>
      <c r="FRS74"/>
      <c r="FRT74"/>
      <c r="FRU74"/>
      <c r="FRV74"/>
      <c r="FRW74"/>
      <c r="FRX74"/>
      <c r="FRY74"/>
      <c r="FRZ74"/>
      <c r="FSA74"/>
      <c r="FSB74"/>
      <c r="FSC74"/>
      <c r="FSD74"/>
      <c r="FSE74"/>
      <c r="FSF74"/>
      <c r="FSG74"/>
      <c r="FSH74"/>
      <c r="FSI74"/>
      <c r="FSJ74"/>
      <c r="FSK74"/>
      <c r="FSL74"/>
      <c r="FSM74"/>
      <c r="FSN74"/>
      <c r="FSO74"/>
      <c r="FSP74"/>
      <c r="FSQ74"/>
      <c r="FSR74"/>
      <c r="FSS74"/>
      <c r="FST74"/>
      <c r="FSU74"/>
      <c r="FSV74"/>
      <c r="FSW74"/>
      <c r="FSX74"/>
      <c r="FSY74"/>
      <c r="FSZ74"/>
      <c r="FTA74"/>
      <c r="FTB74"/>
      <c r="FTC74"/>
      <c r="FTD74"/>
      <c r="FTE74"/>
      <c r="FTF74"/>
      <c r="FTG74"/>
      <c r="FTH74"/>
      <c r="FTI74"/>
      <c r="FTJ74"/>
      <c r="FTK74"/>
      <c r="FTL74"/>
      <c r="FTM74"/>
      <c r="FTN74"/>
      <c r="FTO74"/>
      <c r="FTP74"/>
      <c r="FTQ74"/>
      <c r="FTR74"/>
      <c r="FTS74"/>
      <c r="FTT74"/>
      <c r="FTU74"/>
      <c r="FTV74"/>
      <c r="FTW74"/>
      <c r="FTX74"/>
      <c r="FTY74"/>
      <c r="FTZ74"/>
      <c r="FUA74"/>
      <c r="FUB74"/>
      <c r="FUC74"/>
      <c r="FUD74"/>
      <c r="FUE74"/>
      <c r="FUF74"/>
      <c r="FUG74"/>
      <c r="FUH74"/>
      <c r="FUI74"/>
      <c r="FUJ74"/>
      <c r="FUK74"/>
      <c r="FUL74"/>
      <c r="FUM74"/>
      <c r="FUN74"/>
      <c r="FUO74"/>
      <c r="FUP74"/>
      <c r="FUQ74"/>
      <c r="FUR74"/>
      <c r="FUS74"/>
      <c r="FUT74"/>
      <c r="FUU74"/>
      <c r="FUV74"/>
      <c r="FUW74"/>
      <c r="FUX74"/>
      <c r="FUY74"/>
      <c r="FUZ74"/>
      <c r="FVA74"/>
      <c r="FVB74"/>
      <c r="FVC74"/>
      <c r="FVD74"/>
      <c r="FVE74"/>
      <c r="FVF74"/>
      <c r="FVG74"/>
      <c r="FVH74"/>
      <c r="FVI74"/>
      <c r="FVJ74"/>
      <c r="FVK74"/>
      <c r="FVL74"/>
      <c r="FVM74"/>
      <c r="FVN74"/>
      <c r="FVO74"/>
      <c r="FVP74"/>
      <c r="FVQ74"/>
      <c r="FVR74"/>
      <c r="FVS74"/>
      <c r="FVT74"/>
      <c r="FVU74"/>
      <c r="FVV74"/>
      <c r="FVW74"/>
      <c r="FVX74"/>
      <c r="FVY74"/>
      <c r="FVZ74"/>
      <c r="FWA74"/>
      <c r="FWB74"/>
      <c r="FWC74"/>
      <c r="FWD74"/>
      <c r="FWE74"/>
      <c r="FWF74"/>
      <c r="FWG74"/>
      <c r="FWH74"/>
      <c r="FWI74"/>
      <c r="FWJ74"/>
      <c r="FWK74"/>
      <c r="FWL74"/>
      <c r="FWM74"/>
      <c r="FWN74"/>
      <c r="FWO74"/>
      <c r="FWP74"/>
      <c r="FWQ74"/>
      <c r="FWR74"/>
      <c r="FWS74"/>
      <c r="FWT74"/>
      <c r="FWU74"/>
      <c r="FWV74"/>
      <c r="FWW74"/>
      <c r="FWX74"/>
      <c r="FWY74"/>
      <c r="FWZ74"/>
      <c r="FXA74"/>
      <c r="FXB74"/>
      <c r="FXC74"/>
      <c r="FXD74"/>
      <c r="FXE74"/>
      <c r="FXF74"/>
      <c r="FXG74"/>
      <c r="FXH74"/>
      <c r="FXI74"/>
      <c r="FXJ74"/>
      <c r="FXK74"/>
      <c r="FXL74"/>
      <c r="FXM74"/>
      <c r="FXN74"/>
      <c r="FXO74"/>
      <c r="FXP74"/>
      <c r="FXQ74"/>
      <c r="FXR74"/>
      <c r="FXS74"/>
      <c r="FXT74"/>
      <c r="FXU74"/>
      <c r="FXV74"/>
      <c r="FXW74"/>
      <c r="FXX74"/>
      <c r="FXY74"/>
      <c r="FXZ74"/>
      <c r="FYA74"/>
      <c r="FYB74"/>
      <c r="FYC74"/>
      <c r="FYD74"/>
      <c r="FYE74"/>
      <c r="FYF74"/>
      <c r="FYG74"/>
      <c r="FYH74"/>
      <c r="FYI74"/>
      <c r="FYJ74"/>
      <c r="FYK74"/>
      <c r="FYL74"/>
      <c r="FYM74"/>
      <c r="FYN74"/>
      <c r="FYO74"/>
      <c r="FYP74"/>
      <c r="FYQ74"/>
      <c r="FYR74"/>
      <c r="FYS74"/>
      <c r="FYT74"/>
      <c r="FYU74"/>
      <c r="FYV74"/>
      <c r="FYW74"/>
      <c r="FYX74"/>
      <c r="FYY74"/>
      <c r="FYZ74"/>
      <c r="FZA74"/>
      <c r="FZB74"/>
      <c r="FZC74"/>
      <c r="FZD74"/>
      <c r="FZE74"/>
      <c r="FZF74"/>
      <c r="FZG74"/>
      <c r="FZH74"/>
      <c r="FZI74"/>
      <c r="FZJ74"/>
      <c r="FZK74"/>
      <c r="FZL74"/>
      <c r="FZM74"/>
      <c r="FZN74"/>
      <c r="FZO74"/>
      <c r="FZP74"/>
      <c r="FZQ74"/>
      <c r="FZR74"/>
      <c r="FZS74"/>
      <c r="FZT74"/>
      <c r="FZU74"/>
      <c r="FZV74"/>
      <c r="FZW74"/>
      <c r="FZX74"/>
      <c r="FZY74"/>
      <c r="FZZ74"/>
      <c r="GAA74"/>
      <c r="GAB74"/>
      <c r="GAC74"/>
      <c r="GAD74"/>
      <c r="GAE74"/>
      <c r="GAF74"/>
      <c r="GAG74"/>
      <c r="GAH74"/>
      <c r="GAI74"/>
      <c r="GAJ74"/>
      <c r="GAK74"/>
      <c r="GAL74"/>
      <c r="GAM74"/>
      <c r="GAN74"/>
      <c r="GAO74"/>
      <c r="GAP74"/>
      <c r="GAQ74"/>
      <c r="GAR74"/>
      <c r="GAS74"/>
      <c r="GAT74"/>
      <c r="GAU74"/>
      <c r="GAV74"/>
      <c r="GAW74"/>
      <c r="GAX74"/>
      <c r="GAY74"/>
      <c r="GAZ74"/>
      <c r="GBA74"/>
      <c r="GBB74"/>
      <c r="GBC74"/>
      <c r="GBD74"/>
      <c r="GBE74"/>
      <c r="GBF74"/>
      <c r="GBG74"/>
      <c r="GBH74"/>
      <c r="GBI74"/>
      <c r="GBJ74"/>
      <c r="GBK74"/>
      <c r="GBL74"/>
      <c r="GBM74"/>
      <c r="GBN74"/>
      <c r="GBO74"/>
      <c r="GBP74"/>
      <c r="GBQ74"/>
      <c r="GBR74"/>
      <c r="GBS74"/>
      <c r="GBT74"/>
      <c r="GBU74"/>
      <c r="GBV74"/>
      <c r="GBW74"/>
      <c r="GBX74"/>
      <c r="GBY74"/>
      <c r="GBZ74"/>
      <c r="GCA74"/>
      <c r="GCB74"/>
      <c r="GCC74"/>
      <c r="GCD74"/>
      <c r="GCE74"/>
      <c r="GCF74"/>
      <c r="GCG74"/>
      <c r="GCH74"/>
      <c r="GCI74"/>
      <c r="GCJ74"/>
      <c r="GCK74"/>
      <c r="GCL74"/>
      <c r="GCM74"/>
      <c r="GCN74"/>
      <c r="GCO74"/>
      <c r="GCP74"/>
      <c r="GCQ74"/>
      <c r="GCR74"/>
      <c r="GCS74"/>
      <c r="GCT74"/>
      <c r="GCU74"/>
      <c r="GCV74"/>
      <c r="GCW74"/>
      <c r="GCX74"/>
      <c r="GCY74"/>
      <c r="GCZ74"/>
      <c r="GDA74"/>
      <c r="GDB74"/>
      <c r="GDC74"/>
      <c r="GDD74"/>
      <c r="GDE74"/>
      <c r="GDF74"/>
      <c r="GDG74"/>
      <c r="GDH74"/>
      <c r="GDI74"/>
      <c r="GDJ74"/>
      <c r="GDK74"/>
      <c r="GDL74"/>
      <c r="GDM74"/>
      <c r="GDN74"/>
      <c r="GDO74"/>
      <c r="GDP74"/>
      <c r="GDQ74"/>
      <c r="GDR74"/>
      <c r="GDS74"/>
      <c r="GDT74"/>
      <c r="GDU74"/>
      <c r="GDV74"/>
      <c r="GDW74"/>
      <c r="GDX74"/>
      <c r="GDY74"/>
      <c r="GDZ74"/>
      <c r="GEA74"/>
      <c r="GEB74"/>
      <c r="GEC74"/>
      <c r="GED74"/>
      <c r="GEE74"/>
      <c r="GEF74"/>
      <c r="GEG74"/>
      <c r="GEH74"/>
      <c r="GEI74"/>
      <c r="GEJ74"/>
      <c r="GEK74"/>
      <c r="GEL74"/>
      <c r="GEM74"/>
      <c r="GEN74"/>
      <c r="GEO74"/>
      <c r="GEP74"/>
      <c r="GEQ74"/>
      <c r="GER74"/>
      <c r="GES74"/>
      <c r="GET74"/>
      <c r="GEU74"/>
      <c r="GEV74"/>
      <c r="GEW74"/>
      <c r="GEX74"/>
      <c r="GEY74"/>
      <c r="GEZ74"/>
      <c r="GFA74"/>
      <c r="GFB74"/>
      <c r="GFC74"/>
      <c r="GFD74"/>
      <c r="GFE74"/>
      <c r="GFF74"/>
      <c r="GFG74"/>
      <c r="GFH74"/>
      <c r="GFI74"/>
      <c r="GFJ74"/>
      <c r="GFK74"/>
      <c r="GFL74"/>
      <c r="GFM74"/>
      <c r="GFN74"/>
      <c r="GFO74"/>
      <c r="GFP74"/>
      <c r="GFQ74"/>
      <c r="GFR74"/>
      <c r="GFS74"/>
      <c r="GFT74"/>
      <c r="GFU74"/>
      <c r="GFV74"/>
      <c r="GFW74"/>
      <c r="GFX74"/>
      <c r="GFY74"/>
      <c r="GFZ74"/>
      <c r="GGA74"/>
      <c r="GGB74"/>
      <c r="GGC74"/>
      <c r="GGD74"/>
      <c r="GGE74"/>
      <c r="GGF74"/>
      <c r="GGG74"/>
      <c r="GGH74"/>
      <c r="GGI74"/>
      <c r="GGJ74"/>
      <c r="GGK74"/>
      <c r="GGL74"/>
      <c r="GGM74"/>
      <c r="GGN74"/>
      <c r="GGO74"/>
      <c r="GGP74"/>
      <c r="GGQ74"/>
      <c r="GGR74"/>
      <c r="GGS74"/>
      <c r="GGT74"/>
      <c r="GGU74"/>
      <c r="GGV74"/>
      <c r="GGW74"/>
      <c r="GGX74"/>
      <c r="GGY74"/>
      <c r="GGZ74"/>
      <c r="GHA74"/>
      <c r="GHB74"/>
      <c r="GHC74"/>
      <c r="GHD74"/>
      <c r="GHE74"/>
      <c r="GHF74"/>
      <c r="GHG74"/>
      <c r="GHH74"/>
      <c r="GHI74"/>
      <c r="GHJ74"/>
      <c r="GHK74"/>
      <c r="GHL74"/>
      <c r="GHM74"/>
      <c r="GHN74"/>
      <c r="GHO74"/>
      <c r="GHP74"/>
      <c r="GHQ74"/>
      <c r="GHR74"/>
      <c r="GHS74"/>
      <c r="GHT74"/>
      <c r="GHU74"/>
      <c r="GHV74"/>
      <c r="GHW74"/>
      <c r="GHX74"/>
      <c r="GHY74"/>
      <c r="GHZ74"/>
      <c r="GIA74"/>
      <c r="GIB74"/>
      <c r="GIC74"/>
      <c r="GID74"/>
      <c r="GIE74"/>
      <c r="GIF74"/>
      <c r="GIG74"/>
      <c r="GIH74"/>
      <c r="GII74"/>
      <c r="GIJ74"/>
      <c r="GIK74"/>
      <c r="GIL74"/>
      <c r="GIM74"/>
      <c r="GIN74"/>
      <c r="GIO74"/>
      <c r="GIP74"/>
      <c r="GIQ74"/>
      <c r="GIR74"/>
      <c r="GIS74"/>
      <c r="GIT74"/>
      <c r="GIU74"/>
      <c r="GIV74"/>
      <c r="GIW74"/>
      <c r="GIX74"/>
      <c r="GIY74"/>
      <c r="GIZ74"/>
      <c r="GJA74"/>
      <c r="GJB74"/>
      <c r="GJC74"/>
      <c r="GJD74"/>
      <c r="GJE74"/>
      <c r="GJF74"/>
      <c r="GJG74"/>
      <c r="GJH74"/>
      <c r="GJI74"/>
      <c r="GJJ74"/>
      <c r="GJK74"/>
      <c r="GJL74"/>
      <c r="GJM74"/>
      <c r="GJN74"/>
      <c r="GJO74"/>
      <c r="GJP74"/>
      <c r="GJQ74"/>
      <c r="GJR74"/>
      <c r="GJS74"/>
      <c r="GJT74"/>
      <c r="GJU74"/>
      <c r="GJV74"/>
      <c r="GJW74"/>
      <c r="GJX74"/>
      <c r="GJY74"/>
      <c r="GJZ74"/>
      <c r="GKA74"/>
      <c r="GKB74"/>
      <c r="GKC74"/>
      <c r="GKD74"/>
      <c r="GKE74"/>
      <c r="GKF74"/>
      <c r="GKG74"/>
      <c r="GKH74"/>
      <c r="GKI74"/>
      <c r="GKJ74"/>
      <c r="GKK74"/>
      <c r="GKL74"/>
      <c r="GKM74"/>
      <c r="GKN74"/>
      <c r="GKO74"/>
      <c r="GKP74"/>
      <c r="GKQ74"/>
      <c r="GKR74"/>
      <c r="GKS74"/>
      <c r="GKT74"/>
      <c r="GKU74"/>
      <c r="GKV74"/>
      <c r="GKW74"/>
      <c r="GKX74"/>
      <c r="GKY74"/>
      <c r="GKZ74"/>
      <c r="GLA74"/>
      <c r="GLB74"/>
      <c r="GLC74"/>
      <c r="GLD74"/>
      <c r="GLE74"/>
      <c r="GLF74"/>
      <c r="GLG74"/>
      <c r="GLH74"/>
      <c r="GLI74"/>
      <c r="GLJ74"/>
      <c r="GLK74"/>
      <c r="GLL74"/>
      <c r="GLM74"/>
      <c r="GLN74"/>
      <c r="GLO74"/>
      <c r="GLP74"/>
      <c r="GLQ74"/>
      <c r="GLR74"/>
      <c r="GLS74"/>
      <c r="GLT74"/>
      <c r="GLU74"/>
      <c r="GLV74"/>
      <c r="GLW74"/>
      <c r="GLX74"/>
      <c r="GLY74"/>
      <c r="GLZ74"/>
      <c r="GMA74"/>
      <c r="GMB74"/>
      <c r="GMC74"/>
      <c r="GMD74"/>
      <c r="GME74"/>
      <c r="GMF74"/>
      <c r="GMG74"/>
      <c r="GMH74"/>
      <c r="GMI74"/>
      <c r="GMJ74"/>
      <c r="GMK74"/>
      <c r="GML74"/>
      <c r="GMM74"/>
      <c r="GMN74"/>
      <c r="GMO74"/>
      <c r="GMP74"/>
      <c r="GMQ74"/>
      <c r="GMR74"/>
      <c r="GMS74"/>
      <c r="GMT74"/>
      <c r="GMU74"/>
      <c r="GMV74"/>
      <c r="GMW74"/>
      <c r="GMX74"/>
      <c r="GMY74"/>
      <c r="GMZ74"/>
      <c r="GNA74"/>
      <c r="GNB74"/>
      <c r="GNC74"/>
      <c r="GND74"/>
      <c r="GNE74"/>
      <c r="GNF74"/>
      <c r="GNG74"/>
      <c r="GNH74"/>
      <c r="GNI74"/>
      <c r="GNJ74"/>
      <c r="GNK74"/>
      <c r="GNL74"/>
      <c r="GNM74"/>
      <c r="GNN74"/>
      <c r="GNO74"/>
      <c r="GNP74"/>
      <c r="GNQ74"/>
      <c r="GNR74"/>
      <c r="GNS74"/>
      <c r="GNT74"/>
      <c r="GNU74"/>
      <c r="GNV74"/>
      <c r="GNW74"/>
      <c r="GNX74"/>
      <c r="GNY74"/>
      <c r="GNZ74"/>
      <c r="GOA74"/>
      <c r="GOB74"/>
      <c r="GOC74"/>
      <c r="GOD74"/>
      <c r="GOE74"/>
      <c r="GOF74"/>
      <c r="GOG74"/>
      <c r="GOH74"/>
      <c r="GOI74"/>
      <c r="GOJ74"/>
      <c r="GOK74"/>
      <c r="GOL74"/>
      <c r="GOM74"/>
      <c r="GON74"/>
      <c r="GOO74"/>
      <c r="GOP74"/>
      <c r="GOQ74"/>
      <c r="GOR74"/>
      <c r="GOS74"/>
      <c r="GOT74"/>
      <c r="GOU74"/>
      <c r="GOV74"/>
      <c r="GOW74"/>
      <c r="GOX74"/>
      <c r="GOY74"/>
      <c r="GOZ74"/>
      <c r="GPA74"/>
      <c r="GPB74"/>
      <c r="GPC74"/>
      <c r="GPD74"/>
      <c r="GPE74"/>
      <c r="GPF74"/>
      <c r="GPG74"/>
      <c r="GPH74"/>
      <c r="GPI74"/>
      <c r="GPJ74"/>
      <c r="GPK74"/>
      <c r="GPL74"/>
      <c r="GPM74"/>
      <c r="GPN74"/>
      <c r="GPO74"/>
      <c r="GPP74"/>
      <c r="GPQ74"/>
      <c r="GPR74"/>
      <c r="GPS74"/>
      <c r="GPT74"/>
      <c r="GPU74"/>
      <c r="GPV74"/>
      <c r="GPW74"/>
      <c r="GPX74"/>
      <c r="GPY74"/>
      <c r="GPZ74"/>
      <c r="GQA74"/>
      <c r="GQB74"/>
      <c r="GQC74"/>
      <c r="GQD74"/>
      <c r="GQE74"/>
      <c r="GQF74"/>
      <c r="GQG74"/>
      <c r="GQH74"/>
      <c r="GQI74"/>
      <c r="GQJ74"/>
      <c r="GQK74"/>
      <c r="GQL74"/>
      <c r="GQM74"/>
      <c r="GQN74"/>
      <c r="GQO74"/>
      <c r="GQP74"/>
      <c r="GQQ74"/>
      <c r="GQR74"/>
      <c r="GQS74"/>
      <c r="GQT74"/>
      <c r="GQU74"/>
      <c r="GQV74"/>
      <c r="GQW74"/>
      <c r="GQX74"/>
      <c r="GQY74"/>
      <c r="GQZ74"/>
      <c r="GRA74"/>
      <c r="GRB74"/>
      <c r="GRC74"/>
      <c r="GRD74"/>
      <c r="GRE74"/>
      <c r="GRF74"/>
      <c r="GRG74"/>
      <c r="GRH74"/>
      <c r="GRI74"/>
      <c r="GRJ74"/>
      <c r="GRK74"/>
      <c r="GRL74"/>
      <c r="GRM74"/>
      <c r="GRN74"/>
      <c r="GRO74"/>
      <c r="GRP74"/>
      <c r="GRQ74"/>
      <c r="GRR74"/>
      <c r="GRS74"/>
      <c r="GRT74"/>
      <c r="GRU74"/>
      <c r="GRV74"/>
      <c r="GRW74"/>
      <c r="GRX74"/>
      <c r="GRY74"/>
      <c r="GRZ74"/>
      <c r="GSA74"/>
      <c r="GSB74"/>
      <c r="GSC74"/>
      <c r="GSD74"/>
      <c r="GSE74"/>
      <c r="GSF74"/>
      <c r="GSG74"/>
      <c r="GSH74"/>
      <c r="GSI74"/>
      <c r="GSJ74"/>
      <c r="GSK74"/>
      <c r="GSL74"/>
      <c r="GSM74"/>
      <c r="GSN74"/>
      <c r="GSO74"/>
      <c r="GSP74"/>
      <c r="GSQ74"/>
      <c r="GSR74"/>
      <c r="GSS74"/>
      <c r="GST74"/>
      <c r="GSU74"/>
      <c r="GSV74"/>
      <c r="GSW74"/>
      <c r="GSX74"/>
      <c r="GSY74"/>
      <c r="GSZ74"/>
      <c r="GTA74"/>
      <c r="GTB74"/>
      <c r="GTC74"/>
      <c r="GTD74"/>
      <c r="GTE74"/>
      <c r="GTF74"/>
      <c r="GTG74"/>
      <c r="GTH74"/>
      <c r="GTI74"/>
      <c r="GTJ74"/>
      <c r="GTK74"/>
      <c r="GTL74"/>
      <c r="GTM74"/>
      <c r="GTN74"/>
      <c r="GTO74"/>
      <c r="GTP74"/>
      <c r="GTQ74"/>
      <c r="GTR74"/>
      <c r="GTS74"/>
      <c r="GTT74"/>
      <c r="GTU74"/>
      <c r="GTV74"/>
      <c r="GTW74"/>
      <c r="GTX74"/>
      <c r="GTY74"/>
      <c r="GTZ74"/>
      <c r="GUA74"/>
      <c r="GUB74"/>
      <c r="GUC74"/>
      <c r="GUD74"/>
      <c r="GUE74"/>
      <c r="GUF74"/>
      <c r="GUG74"/>
      <c r="GUH74"/>
      <c r="GUI74"/>
      <c r="GUJ74"/>
      <c r="GUK74"/>
      <c r="GUL74"/>
      <c r="GUM74"/>
      <c r="GUN74"/>
      <c r="GUO74"/>
      <c r="GUP74"/>
      <c r="GUQ74"/>
      <c r="GUR74"/>
      <c r="GUS74"/>
      <c r="GUT74"/>
      <c r="GUU74"/>
      <c r="GUV74"/>
      <c r="GUW74"/>
      <c r="GUX74"/>
      <c r="GUY74"/>
      <c r="GUZ74"/>
      <c r="GVA74"/>
      <c r="GVB74"/>
      <c r="GVC74"/>
      <c r="GVD74"/>
      <c r="GVE74"/>
      <c r="GVF74"/>
      <c r="GVG74"/>
      <c r="GVH74"/>
      <c r="GVI74"/>
      <c r="GVJ74"/>
      <c r="GVK74"/>
      <c r="GVL74"/>
      <c r="GVM74"/>
      <c r="GVN74"/>
      <c r="GVO74"/>
      <c r="GVP74"/>
      <c r="GVQ74"/>
      <c r="GVR74"/>
      <c r="GVS74"/>
      <c r="GVT74"/>
      <c r="GVU74"/>
      <c r="GVV74"/>
      <c r="GVW74"/>
      <c r="GVX74"/>
      <c r="GVY74"/>
      <c r="GVZ74"/>
      <c r="GWA74"/>
      <c r="GWB74"/>
      <c r="GWC74"/>
      <c r="GWD74"/>
      <c r="GWE74"/>
      <c r="GWF74"/>
      <c r="GWG74"/>
      <c r="GWH74"/>
      <c r="GWI74"/>
      <c r="GWJ74"/>
      <c r="GWK74"/>
      <c r="GWL74"/>
      <c r="GWM74"/>
      <c r="GWN74"/>
      <c r="GWO74"/>
      <c r="GWP74"/>
      <c r="GWQ74"/>
      <c r="GWR74"/>
      <c r="GWS74"/>
      <c r="GWT74"/>
      <c r="GWU74"/>
      <c r="GWV74"/>
      <c r="GWW74"/>
      <c r="GWX74"/>
      <c r="GWY74"/>
      <c r="GWZ74"/>
      <c r="GXA74"/>
      <c r="GXB74"/>
      <c r="GXC74"/>
      <c r="GXD74"/>
      <c r="GXE74"/>
      <c r="GXF74"/>
      <c r="GXG74"/>
      <c r="GXH74"/>
      <c r="GXI74"/>
      <c r="GXJ74"/>
      <c r="GXK74"/>
      <c r="GXL74"/>
      <c r="GXM74"/>
      <c r="GXN74"/>
      <c r="GXO74"/>
      <c r="GXP74"/>
      <c r="GXQ74"/>
      <c r="GXR74"/>
      <c r="GXS74"/>
      <c r="GXT74"/>
      <c r="GXU74"/>
      <c r="GXV74"/>
      <c r="GXW74"/>
      <c r="GXX74"/>
      <c r="GXY74"/>
      <c r="GXZ74"/>
      <c r="GYA74"/>
      <c r="GYB74"/>
      <c r="GYC74"/>
      <c r="GYD74"/>
      <c r="GYE74"/>
      <c r="GYF74"/>
      <c r="GYG74"/>
      <c r="GYH74"/>
      <c r="GYI74"/>
      <c r="GYJ74"/>
      <c r="GYK74"/>
      <c r="GYL74"/>
      <c r="GYM74"/>
      <c r="GYN74"/>
      <c r="GYO74"/>
      <c r="GYP74"/>
      <c r="GYQ74"/>
      <c r="GYR74"/>
      <c r="GYS74"/>
      <c r="GYT74"/>
      <c r="GYU74"/>
      <c r="GYV74"/>
      <c r="GYW74"/>
      <c r="GYX74"/>
      <c r="GYY74"/>
      <c r="GYZ74"/>
      <c r="GZA74"/>
      <c r="GZB74"/>
      <c r="GZC74"/>
      <c r="GZD74"/>
      <c r="GZE74"/>
      <c r="GZF74"/>
      <c r="GZG74"/>
      <c r="GZH74"/>
      <c r="GZI74"/>
      <c r="GZJ74"/>
      <c r="GZK74"/>
      <c r="GZL74"/>
      <c r="GZM74"/>
      <c r="GZN74"/>
      <c r="GZO74"/>
      <c r="GZP74"/>
      <c r="GZQ74"/>
      <c r="GZR74"/>
      <c r="GZS74"/>
      <c r="GZT74"/>
      <c r="GZU74"/>
      <c r="GZV74"/>
      <c r="GZW74"/>
      <c r="GZX74"/>
      <c r="GZY74"/>
      <c r="GZZ74"/>
      <c r="HAA74"/>
      <c r="HAB74"/>
      <c r="HAC74"/>
      <c r="HAD74"/>
      <c r="HAE74"/>
      <c r="HAF74"/>
      <c r="HAG74"/>
      <c r="HAH74"/>
      <c r="HAI74"/>
      <c r="HAJ74"/>
      <c r="HAK74"/>
      <c r="HAL74"/>
      <c r="HAM74"/>
      <c r="HAN74"/>
      <c r="HAO74"/>
      <c r="HAP74"/>
      <c r="HAQ74"/>
      <c r="HAR74"/>
      <c r="HAS74"/>
      <c r="HAT74"/>
      <c r="HAU74"/>
      <c r="HAV74"/>
      <c r="HAW74"/>
      <c r="HAX74"/>
      <c r="HAY74"/>
      <c r="HAZ74"/>
      <c r="HBA74"/>
      <c r="HBB74"/>
      <c r="HBC74"/>
      <c r="HBD74"/>
      <c r="HBE74"/>
      <c r="HBF74"/>
      <c r="HBG74"/>
      <c r="HBH74"/>
      <c r="HBI74"/>
      <c r="HBJ74"/>
      <c r="HBK74"/>
      <c r="HBL74"/>
      <c r="HBM74"/>
      <c r="HBN74"/>
      <c r="HBO74"/>
      <c r="HBP74"/>
      <c r="HBQ74"/>
      <c r="HBR74"/>
      <c r="HBS74"/>
      <c r="HBT74"/>
      <c r="HBU74"/>
      <c r="HBV74"/>
      <c r="HBW74"/>
      <c r="HBX74"/>
      <c r="HBY74"/>
      <c r="HBZ74"/>
      <c r="HCA74"/>
      <c r="HCB74"/>
      <c r="HCC74"/>
      <c r="HCD74"/>
      <c r="HCE74"/>
      <c r="HCF74"/>
      <c r="HCG74"/>
      <c r="HCH74"/>
      <c r="HCI74"/>
      <c r="HCJ74"/>
      <c r="HCK74"/>
      <c r="HCL74"/>
      <c r="HCM74"/>
      <c r="HCN74"/>
      <c r="HCO74"/>
      <c r="HCP74"/>
      <c r="HCQ74"/>
      <c r="HCR74"/>
      <c r="HCS74"/>
      <c r="HCT74"/>
      <c r="HCU74"/>
      <c r="HCV74"/>
      <c r="HCW74"/>
      <c r="HCX74"/>
      <c r="HCY74"/>
      <c r="HCZ74"/>
      <c r="HDA74"/>
      <c r="HDB74"/>
      <c r="HDC74"/>
      <c r="HDD74"/>
      <c r="HDE74"/>
      <c r="HDF74"/>
      <c r="HDG74"/>
      <c r="HDH74"/>
      <c r="HDI74"/>
      <c r="HDJ74"/>
      <c r="HDK74"/>
      <c r="HDL74"/>
      <c r="HDM74"/>
      <c r="HDN74"/>
      <c r="HDO74"/>
      <c r="HDP74"/>
      <c r="HDQ74"/>
      <c r="HDR74"/>
      <c r="HDS74"/>
      <c r="HDT74"/>
      <c r="HDU74"/>
      <c r="HDV74"/>
      <c r="HDW74"/>
      <c r="HDX74"/>
      <c r="HDY74"/>
      <c r="HDZ74"/>
      <c r="HEA74"/>
      <c r="HEB74"/>
      <c r="HEC74"/>
      <c r="HED74"/>
      <c r="HEE74"/>
      <c r="HEF74"/>
      <c r="HEG74"/>
      <c r="HEH74"/>
      <c r="HEI74"/>
      <c r="HEJ74"/>
      <c r="HEK74"/>
      <c r="HEL74"/>
      <c r="HEM74"/>
      <c r="HEN74"/>
      <c r="HEO74"/>
      <c r="HEP74"/>
      <c r="HEQ74"/>
      <c r="HER74"/>
      <c r="HES74"/>
      <c r="HET74"/>
      <c r="HEU74"/>
      <c r="HEV74"/>
      <c r="HEW74"/>
      <c r="HEX74"/>
      <c r="HEY74"/>
      <c r="HEZ74"/>
      <c r="HFA74"/>
      <c r="HFB74"/>
      <c r="HFC74"/>
      <c r="HFD74"/>
      <c r="HFE74"/>
      <c r="HFF74"/>
      <c r="HFG74"/>
      <c r="HFH74"/>
      <c r="HFI74"/>
      <c r="HFJ74"/>
      <c r="HFK74"/>
      <c r="HFL74"/>
      <c r="HFM74"/>
      <c r="HFN74"/>
      <c r="HFO74"/>
      <c r="HFP74"/>
      <c r="HFQ74"/>
      <c r="HFR74"/>
      <c r="HFS74"/>
      <c r="HFT74"/>
      <c r="HFU74"/>
      <c r="HFV74"/>
      <c r="HFW74"/>
      <c r="HFX74"/>
      <c r="HFY74"/>
      <c r="HFZ74"/>
      <c r="HGA74"/>
      <c r="HGB74"/>
      <c r="HGC74"/>
      <c r="HGD74"/>
      <c r="HGE74"/>
      <c r="HGF74"/>
      <c r="HGG74"/>
      <c r="HGH74"/>
      <c r="HGI74"/>
      <c r="HGJ74"/>
      <c r="HGK74"/>
      <c r="HGL74"/>
      <c r="HGM74"/>
      <c r="HGN74"/>
      <c r="HGO74"/>
      <c r="HGP74"/>
      <c r="HGQ74"/>
      <c r="HGR74"/>
      <c r="HGS74"/>
      <c r="HGT74"/>
      <c r="HGU74"/>
      <c r="HGV74"/>
      <c r="HGW74"/>
      <c r="HGX74"/>
      <c r="HGY74"/>
      <c r="HGZ74"/>
      <c r="HHA74"/>
      <c r="HHB74"/>
      <c r="HHC74"/>
      <c r="HHD74"/>
      <c r="HHE74"/>
      <c r="HHF74"/>
      <c r="HHG74"/>
      <c r="HHH74"/>
      <c r="HHI74"/>
      <c r="HHJ74"/>
      <c r="HHK74"/>
      <c r="HHL74"/>
      <c r="HHM74"/>
      <c r="HHN74"/>
      <c r="HHO74"/>
      <c r="HHP74"/>
      <c r="HHQ74"/>
      <c r="HHR74"/>
      <c r="HHS74"/>
      <c r="HHT74"/>
      <c r="HHU74"/>
      <c r="HHV74"/>
      <c r="HHW74"/>
      <c r="HHX74"/>
      <c r="HHY74"/>
      <c r="HHZ74"/>
      <c r="HIA74"/>
      <c r="HIB74"/>
      <c r="HIC74"/>
      <c r="HID74"/>
      <c r="HIE74"/>
      <c r="HIF74"/>
      <c r="HIG74"/>
      <c r="HIH74"/>
      <c r="HII74"/>
      <c r="HIJ74"/>
      <c r="HIK74"/>
      <c r="HIL74"/>
      <c r="HIM74"/>
      <c r="HIN74"/>
      <c r="HIO74"/>
      <c r="HIP74"/>
      <c r="HIQ74"/>
      <c r="HIR74"/>
      <c r="HIS74"/>
      <c r="HIT74"/>
      <c r="HIU74"/>
      <c r="HIV74"/>
      <c r="HIW74"/>
      <c r="HIX74"/>
      <c r="HIY74"/>
      <c r="HIZ74"/>
      <c r="HJA74"/>
      <c r="HJB74"/>
      <c r="HJC74"/>
      <c r="HJD74"/>
      <c r="HJE74"/>
      <c r="HJF74"/>
      <c r="HJG74"/>
      <c r="HJH74"/>
      <c r="HJI74"/>
      <c r="HJJ74"/>
      <c r="HJK74"/>
      <c r="HJL74"/>
      <c r="HJM74"/>
      <c r="HJN74"/>
      <c r="HJO74"/>
      <c r="HJP74"/>
      <c r="HJQ74"/>
      <c r="HJR74"/>
      <c r="HJS74"/>
      <c r="HJT74"/>
      <c r="HJU74"/>
      <c r="HJV74"/>
      <c r="HJW74"/>
      <c r="HJX74"/>
      <c r="HJY74"/>
      <c r="HJZ74"/>
      <c r="HKA74"/>
      <c r="HKB74"/>
      <c r="HKC74"/>
      <c r="HKD74"/>
      <c r="HKE74"/>
      <c r="HKF74"/>
      <c r="HKG74"/>
      <c r="HKH74"/>
      <c r="HKI74"/>
      <c r="HKJ74"/>
      <c r="HKK74"/>
      <c r="HKL74"/>
      <c r="HKM74"/>
      <c r="HKN74"/>
      <c r="HKO74"/>
      <c r="HKP74"/>
      <c r="HKQ74"/>
      <c r="HKR74"/>
      <c r="HKS74"/>
      <c r="HKT74"/>
      <c r="HKU74"/>
      <c r="HKV74"/>
      <c r="HKW74"/>
      <c r="HKX74"/>
      <c r="HKY74"/>
      <c r="HKZ74"/>
      <c r="HLA74"/>
      <c r="HLB74"/>
      <c r="HLC74"/>
      <c r="HLD74"/>
      <c r="HLE74"/>
      <c r="HLF74"/>
      <c r="HLG74"/>
      <c r="HLH74"/>
      <c r="HLI74"/>
      <c r="HLJ74"/>
      <c r="HLK74"/>
      <c r="HLL74"/>
      <c r="HLM74"/>
      <c r="HLN74"/>
      <c r="HLO74"/>
      <c r="HLP74"/>
      <c r="HLQ74"/>
      <c r="HLR74"/>
      <c r="HLS74"/>
      <c r="HLT74"/>
      <c r="HLU74"/>
      <c r="HLV74"/>
      <c r="HLW74"/>
      <c r="HLX74"/>
      <c r="HLY74"/>
      <c r="HLZ74"/>
      <c r="HMA74"/>
      <c r="HMB74"/>
      <c r="HMC74"/>
      <c r="HMD74"/>
      <c r="HME74"/>
      <c r="HMF74"/>
      <c r="HMG74"/>
      <c r="HMH74"/>
      <c r="HMI74"/>
      <c r="HMJ74"/>
      <c r="HMK74"/>
      <c r="HML74"/>
      <c r="HMM74"/>
      <c r="HMN74"/>
      <c r="HMO74"/>
      <c r="HMP74"/>
      <c r="HMQ74"/>
      <c r="HMR74"/>
      <c r="HMS74"/>
      <c r="HMT74"/>
      <c r="HMU74"/>
      <c r="HMV74"/>
      <c r="HMW74"/>
      <c r="HMX74"/>
      <c r="HMY74"/>
      <c r="HMZ74"/>
      <c r="HNA74"/>
      <c r="HNB74"/>
      <c r="HNC74"/>
      <c r="HND74"/>
      <c r="HNE74"/>
      <c r="HNF74"/>
      <c r="HNG74"/>
      <c r="HNH74"/>
      <c r="HNI74"/>
      <c r="HNJ74"/>
      <c r="HNK74"/>
      <c r="HNL74"/>
      <c r="HNM74"/>
      <c r="HNN74"/>
      <c r="HNO74"/>
      <c r="HNP74"/>
      <c r="HNQ74"/>
      <c r="HNR74"/>
      <c r="HNS74"/>
      <c r="HNT74"/>
      <c r="HNU74"/>
      <c r="HNV74"/>
      <c r="HNW74"/>
      <c r="HNX74"/>
      <c r="HNY74"/>
      <c r="HNZ74"/>
      <c r="HOA74"/>
      <c r="HOB74"/>
      <c r="HOC74"/>
      <c r="HOD74"/>
      <c r="HOE74"/>
      <c r="HOF74"/>
      <c r="HOG74"/>
      <c r="HOH74"/>
      <c r="HOI74"/>
      <c r="HOJ74"/>
      <c r="HOK74"/>
      <c r="HOL74"/>
      <c r="HOM74"/>
      <c r="HON74"/>
      <c r="HOO74"/>
      <c r="HOP74"/>
      <c r="HOQ74"/>
      <c r="HOR74"/>
      <c r="HOS74"/>
      <c r="HOT74"/>
      <c r="HOU74"/>
      <c r="HOV74"/>
      <c r="HOW74"/>
      <c r="HOX74"/>
      <c r="HOY74"/>
      <c r="HOZ74"/>
      <c r="HPA74"/>
      <c r="HPB74"/>
      <c r="HPC74"/>
      <c r="HPD74"/>
      <c r="HPE74"/>
      <c r="HPF74"/>
      <c r="HPG74"/>
      <c r="HPH74"/>
      <c r="HPI74"/>
      <c r="HPJ74"/>
      <c r="HPK74"/>
      <c r="HPL74"/>
      <c r="HPM74"/>
      <c r="HPN74"/>
      <c r="HPO74"/>
      <c r="HPP74"/>
      <c r="HPQ74"/>
      <c r="HPR74"/>
      <c r="HPS74"/>
      <c r="HPT74"/>
      <c r="HPU74"/>
      <c r="HPV74"/>
      <c r="HPW74"/>
      <c r="HPX74"/>
      <c r="HPY74"/>
      <c r="HPZ74"/>
      <c r="HQA74"/>
      <c r="HQB74"/>
      <c r="HQC74"/>
      <c r="HQD74"/>
      <c r="HQE74"/>
      <c r="HQF74"/>
      <c r="HQG74"/>
      <c r="HQH74"/>
      <c r="HQI74"/>
      <c r="HQJ74"/>
      <c r="HQK74"/>
      <c r="HQL74"/>
      <c r="HQM74"/>
      <c r="HQN74"/>
      <c r="HQO74"/>
      <c r="HQP74"/>
      <c r="HQQ74"/>
      <c r="HQR74"/>
      <c r="HQS74"/>
      <c r="HQT74"/>
      <c r="HQU74"/>
      <c r="HQV74"/>
      <c r="HQW74"/>
      <c r="HQX74"/>
      <c r="HQY74"/>
      <c r="HQZ74"/>
      <c r="HRA74"/>
      <c r="HRB74"/>
      <c r="HRC74"/>
      <c r="HRD74"/>
      <c r="HRE74"/>
      <c r="HRF74"/>
      <c r="HRG74"/>
      <c r="HRH74"/>
      <c r="HRI74"/>
      <c r="HRJ74"/>
      <c r="HRK74"/>
      <c r="HRL74"/>
      <c r="HRM74"/>
      <c r="HRN74"/>
      <c r="HRO74"/>
      <c r="HRP74"/>
      <c r="HRQ74"/>
      <c r="HRR74"/>
      <c r="HRS74"/>
      <c r="HRT74"/>
      <c r="HRU74"/>
      <c r="HRV74"/>
      <c r="HRW74"/>
      <c r="HRX74"/>
      <c r="HRY74"/>
      <c r="HRZ74"/>
      <c r="HSA74"/>
      <c r="HSB74"/>
      <c r="HSC74"/>
      <c r="HSD74"/>
      <c r="HSE74"/>
      <c r="HSF74"/>
      <c r="HSG74"/>
      <c r="HSH74"/>
      <c r="HSI74"/>
      <c r="HSJ74"/>
      <c r="HSK74"/>
      <c r="HSL74"/>
      <c r="HSM74"/>
      <c r="HSN74"/>
      <c r="HSO74"/>
      <c r="HSP74"/>
      <c r="HSQ74"/>
      <c r="HSR74"/>
      <c r="HSS74"/>
      <c r="HST74"/>
      <c r="HSU74"/>
      <c r="HSV74"/>
      <c r="HSW74"/>
      <c r="HSX74"/>
      <c r="HSY74"/>
      <c r="HSZ74"/>
      <c r="HTA74"/>
      <c r="HTB74"/>
      <c r="HTC74"/>
      <c r="HTD74"/>
      <c r="HTE74"/>
      <c r="HTF74"/>
      <c r="HTG74"/>
      <c r="HTH74"/>
      <c r="HTI74"/>
      <c r="HTJ74"/>
      <c r="HTK74"/>
      <c r="HTL74"/>
      <c r="HTM74"/>
      <c r="HTN74"/>
      <c r="HTO74"/>
      <c r="HTP74"/>
      <c r="HTQ74"/>
      <c r="HTR74"/>
      <c r="HTS74"/>
      <c r="HTT74"/>
      <c r="HTU74"/>
      <c r="HTV74"/>
      <c r="HTW74"/>
      <c r="HTX74"/>
      <c r="HTY74"/>
      <c r="HTZ74"/>
      <c r="HUA74"/>
      <c r="HUB74"/>
      <c r="HUC74"/>
      <c r="HUD74"/>
      <c r="HUE74"/>
      <c r="HUF74"/>
      <c r="HUG74"/>
      <c r="HUH74"/>
      <c r="HUI74"/>
      <c r="HUJ74"/>
      <c r="HUK74"/>
      <c r="HUL74"/>
      <c r="HUM74"/>
      <c r="HUN74"/>
      <c r="HUO74"/>
      <c r="HUP74"/>
      <c r="HUQ74"/>
      <c r="HUR74"/>
      <c r="HUS74"/>
      <c r="HUT74"/>
      <c r="HUU74"/>
      <c r="HUV74"/>
      <c r="HUW74"/>
      <c r="HUX74"/>
      <c r="HUY74"/>
      <c r="HUZ74"/>
      <c r="HVA74"/>
      <c r="HVB74"/>
      <c r="HVC74"/>
      <c r="HVD74"/>
      <c r="HVE74"/>
      <c r="HVF74"/>
      <c r="HVG74"/>
      <c r="HVH74"/>
      <c r="HVI74"/>
      <c r="HVJ74"/>
      <c r="HVK74"/>
      <c r="HVL74"/>
      <c r="HVM74"/>
      <c r="HVN74"/>
      <c r="HVO74"/>
      <c r="HVP74"/>
      <c r="HVQ74"/>
      <c r="HVR74"/>
      <c r="HVS74"/>
      <c r="HVT74"/>
      <c r="HVU74"/>
      <c r="HVV74"/>
      <c r="HVW74"/>
      <c r="HVX74"/>
      <c r="HVY74"/>
      <c r="HVZ74"/>
      <c r="HWA74"/>
      <c r="HWB74"/>
      <c r="HWC74"/>
      <c r="HWD74"/>
      <c r="HWE74"/>
      <c r="HWF74"/>
      <c r="HWG74"/>
      <c r="HWH74"/>
      <c r="HWI74"/>
      <c r="HWJ74"/>
      <c r="HWK74"/>
      <c r="HWL74"/>
      <c r="HWM74"/>
      <c r="HWN74"/>
      <c r="HWO74"/>
      <c r="HWP74"/>
      <c r="HWQ74"/>
      <c r="HWR74"/>
      <c r="HWS74"/>
      <c r="HWT74"/>
      <c r="HWU74"/>
      <c r="HWV74"/>
      <c r="HWW74"/>
      <c r="HWX74"/>
      <c r="HWY74"/>
      <c r="HWZ74"/>
      <c r="HXA74"/>
      <c r="HXB74"/>
      <c r="HXC74"/>
      <c r="HXD74"/>
      <c r="HXE74"/>
      <c r="HXF74"/>
      <c r="HXG74"/>
      <c r="HXH74"/>
      <c r="HXI74"/>
      <c r="HXJ74"/>
      <c r="HXK74"/>
      <c r="HXL74"/>
      <c r="HXM74"/>
      <c r="HXN74"/>
      <c r="HXO74"/>
      <c r="HXP74"/>
      <c r="HXQ74"/>
      <c r="HXR74"/>
      <c r="HXS74"/>
      <c r="HXT74"/>
      <c r="HXU74"/>
      <c r="HXV74"/>
      <c r="HXW74"/>
      <c r="HXX74"/>
      <c r="HXY74"/>
      <c r="HXZ74"/>
      <c r="HYA74"/>
      <c r="HYB74"/>
      <c r="HYC74"/>
      <c r="HYD74"/>
      <c r="HYE74"/>
      <c r="HYF74"/>
      <c r="HYG74"/>
      <c r="HYH74"/>
      <c r="HYI74"/>
      <c r="HYJ74"/>
      <c r="HYK74"/>
      <c r="HYL74"/>
      <c r="HYM74"/>
      <c r="HYN74"/>
      <c r="HYO74"/>
      <c r="HYP74"/>
      <c r="HYQ74"/>
      <c r="HYR74"/>
      <c r="HYS74"/>
      <c r="HYT74"/>
      <c r="HYU74"/>
      <c r="HYV74"/>
      <c r="HYW74"/>
      <c r="HYX74"/>
      <c r="HYY74"/>
      <c r="HYZ74"/>
      <c r="HZA74"/>
      <c r="HZB74"/>
      <c r="HZC74"/>
      <c r="HZD74"/>
      <c r="HZE74"/>
      <c r="HZF74"/>
      <c r="HZG74"/>
      <c r="HZH74"/>
      <c r="HZI74"/>
      <c r="HZJ74"/>
      <c r="HZK74"/>
      <c r="HZL74"/>
      <c r="HZM74"/>
      <c r="HZN74"/>
      <c r="HZO74"/>
      <c r="HZP74"/>
      <c r="HZQ74"/>
      <c r="HZR74"/>
      <c r="HZS74"/>
      <c r="HZT74"/>
      <c r="HZU74"/>
      <c r="HZV74"/>
      <c r="HZW74"/>
      <c r="HZX74"/>
      <c r="HZY74"/>
      <c r="HZZ74"/>
      <c r="IAA74"/>
      <c r="IAB74"/>
      <c r="IAC74"/>
      <c r="IAD74"/>
      <c r="IAE74"/>
      <c r="IAF74"/>
      <c r="IAG74"/>
      <c r="IAH74"/>
      <c r="IAI74"/>
      <c r="IAJ74"/>
      <c r="IAK74"/>
      <c r="IAL74"/>
      <c r="IAM74"/>
      <c r="IAN74"/>
      <c r="IAO74"/>
      <c r="IAP74"/>
      <c r="IAQ74"/>
      <c r="IAR74"/>
      <c r="IAS74"/>
      <c r="IAT74"/>
      <c r="IAU74"/>
      <c r="IAV74"/>
      <c r="IAW74"/>
      <c r="IAX74"/>
      <c r="IAY74"/>
      <c r="IAZ74"/>
      <c r="IBA74"/>
      <c r="IBB74"/>
      <c r="IBC74"/>
      <c r="IBD74"/>
      <c r="IBE74"/>
      <c r="IBF74"/>
      <c r="IBG74"/>
      <c r="IBH74"/>
      <c r="IBI74"/>
      <c r="IBJ74"/>
      <c r="IBK74"/>
      <c r="IBL74"/>
      <c r="IBM74"/>
      <c r="IBN74"/>
      <c r="IBO74"/>
      <c r="IBP74"/>
      <c r="IBQ74"/>
      <c r="IBR74"/>
      <c r="IBS74"/>
      <c r="IBT74"/>
      <c r="IBU74"/>
      <c r="IBV74"/>
      <c r="IBW74"/>
      <c r="IBX74"/>
      <c r="IBY74"/>
      <c r="IBZ74"/>
      <c r="ICA74"/>
      <c r="ICB74"/>
      <c r="ICC74"/>
      <c r="ICD74"/>
      <c r="ICE74"/>
      <c r="ICF74"/>
      <c r="ICG74"/>
      <c r="ICH74"/>
      <c r="ICI74"/>
      <c r="ICJ74"/>
      <c r="ICK74"/>
      <c r="ICL74"/>
      <c r="ICM74"/>
      <c r="ICN74"/>
      <c r="ICO74"/>
      <c r="ICP74"/>
      <c r="ICQ74"/>
      <c r="ICR74"/>
      <c r="ICS74"/>
      <c r="ICT74"/>
      <c r="ICU74"/>
      <c r="ICV74"/>
      <c r="ICW74"/>
      <c r="ICX74"/>
      <c r="ICY74"/>
      <c r="ICZ74"/>
      <c r="IDA74"/>
      <c r="IDB74"/>
      <c r="IDC74"/>
      <c r="IDD74"/>
      <c r="IDE74"/>
      <c r="IDF74"/>
      <c r="IDG74"/>
      <c r="IDH74"/>
      <c r="IDI74"/>
      <c r="IDJ74"/>
      <c r="IDK74"/>
      <c r="IDL74"/>
      <c r="IDM74"/>
      <c r="IDN74"/>
      <c r="IDO74"/>
      <c r="IDP74"/>
      <c r="IDQ74"/>
      <c r="IDR74"/>
      <c r="IDS74"/>
      <c r="IDT74"/>
      <c r="IDU74"/>
      <c r="IDV74"/>
      <c r="IDW74"/>
      <c r="IDX74"/>
      <c r="IDY74"/>
      <c r="IDZ74"/>
      <c r="IEA74"/>
      <c r="IEB74"/>
      <c r="IEC74"/>
      <c r="IED74"/>
      <c r="IEE74"/>
      <c r="IEF74"/>
      <c r="IEG74"/>
      <c r="IEH74"/>
      <c r="IEI74"/>
      <c r="IEJ74"/>
      <c r="IEK74"/>
      <c r="IEL74"/>
      <c r="IEM74"/>
      <c r="IEN74"/>
      <c r="IEO74"/>
      <c r="IEP74"/>
      <c r="IEQ74"/>
      <c r="IER74"/>
      <c r="IES74"/>
      <c r="IET74"/>
      <c r="IEU74"/>
      <c r="IEV74"/>
      <c r="IEW74"/>
      <c r="IEX74"/>
      <c r="IEY74"/>
      <c r="IEZ74"/>
      <c r="IFA74"/>
      <c r="IFB74"/>
      <c r="IFC74"/>
      <c r="IFD74"/>
      <c r="IFE74"/>
      <c r="IFF74"/>
      <c r="IFG74"/>
      <c r="IFH74"/>
      <c r="IFI74"/>
      <c r="IFJ74"/>
      <c r="IFK74"/>
      <c r="IFL74"/>
      <c r="IFM74"/>
      <c r="IFN74"/>
      <c r="IFO74"/>
      <c r="IFP74"/>
      <c r="IFQ74"/>
      <c r="IFR74"/>
      <c r="IFS74"/>
      <c r="IFT74"/>
      <c r="IFU74"/>
      <c r="IFV74"/>
      <c r="IFW74"/>
      <c r="IFX74"/>
      <c r="IFY74"/>
      <c r="IFZ74"/>
      <c r="IGA74"/>
      <c r="IGB74"/>
      <c r="IGC74"/>
      <c r="IGD74"/>
      <c r="IGE74"/>
      <c r="IGF74"/>
      <c r="IGG74"/>
      <c r="IGH74"/>
      <c r="IGI74"/>
      <c r="IGJ74"/>
      <c r="IGK74"/>
      <c r="IGL74"/>
      <c r="IGM74"/>
      <c r="IGN74"/>
      <c r="IGO74"/>
      <c r="IGP74"/>
      <c r="IGQ74"/>
      <c r="IGR74"/>
      <c r="IGS74"/>
      <c r="IGT74"/>
      <c r="IGU74"/>
      <c r="IGV74"/>
      <c r="IGW74"/>
      <c r="IGX74"/>
      <c r="IGY74"/>
      <c r="IGZ74"/>
      <c r="IHA74"/>
      <c r="IHB74"/>
      <c r="IHC74"/>
      <c r="IHD74"/>
      <c r="IHE74"/>
      <c r="IHF74"/>
      <c r="IHG74"/>
      <c r="IHH74"/>
      <c r="IHI74"/>
      <c r="IHJ74"/>
      <c r="IHK74"/>
      <c r="IHL74"/>
      <c r="IHM74"/>
      <c r="IHN74"/>
      <c r="IHO74"/>
      <c r="IHP74"/>
      <c r="IHQ74"/>
      <c r="IHR74"/>
      <c r="IHS74"/>
      <c r="IHT74"/>
      <c r="IHU74"/>
      <c r="IHV74"/>
      <c r="IHW74"/>
      <c r="IHX74"/>
      <c r="IHY74"/>
      <c r="IHZ74"/>
      <c r="IIA74"/>
      <c r="IIB74"/>
      <c r="IIC74"/>
      <c r="IID74"/>
      <c r="IIE74"/>
      <c r="IIF74"/>
      <c r="IIG74"/>
      <c r="IIH74"/>
      <c r="III74"/>
      <c r="IIJ74"/>
      <c r="IIK74"/>
      <c r="IIL74"/>
      <c r="IIM74"/>
      <c r="IIN74"/>
      <c r="IIO74"/>
      <c r="IIP74"/>
      <c r="IIQ74"/>
      <c r="IIR74"/>
      <c r="IIS74"/>
      <c r="IIT74"/>
      <c r="IIU74"/>
      <c r="IIV74"/>
      <c r="IIW74"/>
      <c r="IIX74"/>
      <c r="IIY74"/>
      <c r="IIZ74"/>
      <c r="IJA74"/>
      <c r="IJB74"/>
      <c r="IJC74"/>
      <c r="IJD74"/>
      <c r="IJE74"/>
      <c r="IJF74"/>
      <c r="IJG74"/>
      <c r="IJH74"/>
      <c r="IJI74"/>
      <c r="IJJ74"/>
      <c r="IJK74"/>
      <c r="IJL74"/>
      <c r="IJM74"/>
      <c r="IJN74"/>
      <c r="IJO74"/>
      <c r="IJP74"/>
      <c r="IJQ74"/>
      <c r="IJR74"/>
      <c r="IJS74"/>
      <c r="IJT74"/>
      <c r="IJU74"/>
      <c r="IJV74"/>
      <c r="IJW74"/>
      <c r="IJX74"/>
      <c r="IJY74"/>
      <c r="IJZ74"/>
      <c r="IKA74"/>
      <c r="IKB74"/>
      <c r="IKC74"/>
      <c r="IKD74"/>
      <c r="IKE74"/>
      <c r="IKF74"/>
      <c r="IKG74"/>
      <c r="IKH74"/>
      <c r="IKI74"/>
      <c r="IKJ74"/>
      <c r="IKK74"/>
      <c r="IKL74"/>
      <c r="IKM74"/>
      <c r="IKN74"/>
      <c r="IKO74"/>
      <c r="IKP74"/>
      <c r="IKQ74"/>
      <c r="IKR74"/>
      <c r="IKS74"/>
      <c r="IKT74"/>
      <c r="IKU74"/>
      <c r="IKV74"/>
      <c r="IKW74"/>
      <c r="IKX74"/>
      <c r="IKY74"/>
      <c r="IKZ74"/>
      <c r="ILA74"/>
      <c r="ILB74"/>
      <c r="ILC74"/>
      <c r="ILD74"/>
      <c r="ILE74"/>
      <c r="ILF74"/>
      <c r="ILG74"/>
      <c r="ILH74"/>
      <c r="ILI74"/>
      <c r="ILJ74"/>
      <c r="ILK74"/>
      <c r="ILL74"/>
      <c r="ILM74"/>
      <c r="ILN74"/>
      <c r="ILO74"/>
      <c r="ILP74"/>
      <c r="ILQ74"/>
      <c r="ILR74"/>
      <c r="ILS74"/>
      <c r="ILT74"/>
      <c r="ILU74"/>
      <c r="ILV74"/>
      <c r="ILW74"/>
      <c r="ILX74"/>
      <c r="ILY74"/>
      <c r="ILZ74"/>
      <c r="IMA74"/>
      <c r="IMB74"/>
      <c r="IMC74"/>
      <c r="IMD74"/>
      <c r="IME74"/>
      <c r="IMF74"/>
      <c r="IMG74"/>
      <c r="IMH74"/>
      <c r="IMI74"/>
      <c r="IMJ74"/>
      <c r="IMK74"/>
      <c r="IML74"/>
      <c r="IMM74"/>
      <c r="IMN74"/>
      <c r="IMO74"/>
      <c r="IMP74"/>
      <c r="IMQ74"/>
      <c r="IMR74"/>
      <c r="IMS74"/>
      <c r="IMT74"/>
      <c r="IMU74"/>
      <c r="IMV74"/>
      <c r="IMW74"/>
      <c r="IMX74"/>
      <c r="IMY74"/>
      <c r="IMZ74"/>
      <c r="INA74"/>
      <c r="INB74"/>
      <c r="INC74"/>
      <c r="IND74"/>
      <c r="INE74"/>
      <c r="INF74"/>
      <c r="ING74"/>
      <c r="INH74"/>
      <c r="INI74"/>
      <c r="INJ74"/>
      <c r="INK74"/>
      <c r="INL74"/>
      <c r="INM74"/>
      <c r="INN74"/>
      <c r="INO74"/>
      <c r="INP74"/>
      <c r="INQ74"/>
      <c r="INR74"/>
      <c r="INS74"/>
      <c r="INT74"/>
      <c r="INU74"/>
      <c r="INV74"/>
      <c r="INW74"/>
      <c r="INX74"/>
      <c r="INY74"/>
      <c r="INZ74"/>
      <c r="IOA74"/>
      <c r="IOB74"/>
      <c r="IOC74"/>
      <c r="IOD74"/>
      <c r="IOE74"/>
      <c r="IOF74"/>
      <c r="IOG74"/>
      <c r="IOH74"/>
      <c r="IOI74"/>
      <c r="IOJ74"/>
      <c r="IOK74"/>
      <c r="IOL74"/>
      <c r="IOM74"/>
      <c r="ION74"/>
      <c r="IOO74"/>
      <c r="IOP74"/>
      <c r="IOQ74"/>
      <c r="IOR74"/>
      <c r="IOS74"/>
      <c r="IOT74"/>
      <c r="IOU74"/>
      <c r="IOV74"/>
      <c r="IOW74"/>
      <c r="IOX74"/>
      <c r="IOY74"/>
      <c r="IOZ74"/>
      <c r="IPA74"/>
      <c r="IPB74"/>
      <c r="IPC74"/>
      <c r="IPD74"/>
      <c r="IPE74"/>
      <c r="IPF74"/>
      <c r="IPG74"/>
      <c r="IPH74"/>
      <c r="IPI74"/>
      <c r="IPJ74"/>
      <c r="IPK74"/>
      <c r="IPL74"/>
      <c r="IPM74"/>
      <c r="IPN74"/>
      <c r="IPO74"/>
      <c r="IPP74"/>
      <c r="IPQ74"/>
      <c r="IPR74"/>
      <c r="IPS74"/>
      <c r="IPT74"/>
      <c r="IPU74"/>
      <c r="IPV74"/>
      <c r="IPW74"/>
      <c r="IPX74"/>
      <c r="IPY74"/>
      <c r="IPZ74"/>
      <c r="IQA74"/>
      <c r="IQB74"/>
      <c r="IQC74"/>
      <c r="IQD74"/>
      <c r="IQE74"/>
      <c r="IQF74"/>
      <c r="IQG74"/>
      <c r="IQH74"/>
      <c r="IQI74"/>
      <c r="IQJ74"/>
      <c r="IQK74"/>
      <c r="IQL74"/>
      <c r="IQM74"/>
      <c r="IQN74"/>
      <c r="IQO74"/>
      <c r="IQP74"/>
      <c r="IQQ74"/>
      <c r="IQR74"/>
      <c r="IQS74"/>
      <c r="IQT74"/>
      <c r="IQU74"/>
      <c r="IQV74"/>
      <c r="IQW74"/>
      <c r="IQX74"/>
      <c r="IQY74"/>
      <c r="IQZ74"/>
      <c r="IRA74"/>
      <c r="IRB74"/>
      <c r="IRC74"/>
      <c r="IRD74"/>
      <c r="IRE74"/>
      <c r="IRF74"/>
      <c r="IRG74"/>
      <c r="IRH74"/>
      <c r="IRI74"/>
      <c r="IRJ74"/>
      <c r="IRK74"/>
      <c r="IRL74"/>
      <c r="IRM74"/>
      <c r="IRN74"/>
      <c r="IRO74"/>
      <c r="IRP74"/>
      <c r="IRQ74"/>
      <c r="IRR74"/>
      <c r="IRS74"/>
      <c r="IRT74"/>
      <c r="IRU74"/>
      <c r="IRV74"/>
      <c r="IRW74"/>
      <c r="IRX74"/>
      <c r="IRY74"/>
      <c r="IRZ74"/>
      <c r="ISA74"/>
      <c r="ISB74"/>
      <c r="ISC74"/>
      <c r="ISD74"/>
      <c r="ISE74"/>
      <c r="ISF74"/>
      <c r="ISG74"/>
      <c r="ISH74"/>
      <c r="ISI74"/>
      <c r="ISJ74"/>
      <c r="ISK74"/>
      <c r="ISL74"/>
      <c r="ISM74"/>
      <c r="ISN74"/>
      <c r="ISO74"/>
      <c r="ISP74"/>
      <c r="ISQ74"/>
      <c r="ISR74"/>
      <c r="ISS74"/>
      <c r="IST74"/>
      <c r="ISU74"/>
      <c r="ISV74"/>
      <c r="ISW74"/>
      <c r="ISX74"/>
      <c r="ISY74"/>
      <c r="ISZ74"/>
      <c r="ITA74"/>
      <c r="ITB74"/>
      <c r="ITC74"/>
      <c r="ITD74"/>
      <c r="ITE74"/>
      <c r="ITF74"/>
      <c r="ITG74"/>
      <c r="ITH74"/>
      <c r="ITI74"/>
      <c r="ITJ74"/>
      <c r="ITK74"/>
      <c r="ITL74"/>
      <c r="ITM74"/>
      <c r="ITN74"/>
      <c r="ITO74"/>
      <c r="ITP74"/>
      <c r="ITQ74"/>
      <c r="ITR74"/>
      <c r="ITS74"/>
      <c r="ITT74"/>
      <c r="ITU74"/>
      <c r="ITV74"/>
      <c r="ITW74"/>
      <c r="ITX74"/>
      <c r="ITY74"/>
      <c r="ITZ74"/>
      <c r="IUA74"/>
      <c r="IUB74"/>
      <c r="IUC74"/>
      <c r="IUD74"/>
      <c r="IUE74"/>
      <c r="IUF74"/>
      <c r="IUG74"/>
      <c r="IUH74"/>
      <c r="IUI74"/>
      <c r="IUJ74"/>
      <c r="IUK74"/>
      <c r="IUL74"/>
      <c r="IUM74"/>
      <c r="IUN74"/>
      <c r="IUO74"/>
      <c r="IUP74"/>
      <c r="IUQ74"/>
      <c r="IUR74"/>
      <c r="IUS74"/>
      <c r="IUT74"/>
      <c r="IUU74"/>
      <c r="IUV74"/>
      <c r="IUW74"/>
      <c r="IUX74"/>
      <c r="IUY74"/>
      <c r="IUZ74"/>
      <c r="IVA74"/>
      <c r="IVB74"/>
      <c r="IVC74"/>
      <c r="IVD74"/>
      <c r="IVE74"/>
      <c r="IVF74"/>
      <c r="IVG74"/>
      <c r="IVH74"/>
      <c r="IVI74"/>
      <c r="IVJ74"/>
      <c r="IVK74"/>
      <c r="IVL74"/>
      <c r="IVM74"/>
      <c r="IVN74"/>
      <c r="IVO74"/>
      <c r="IVP74"/>
      <c r="IVQ74"/>
      <c r="IVR74"/>
      <c r="IVS74"/>
      <c r="IVT74"/>
      <c r="IVU74"/>
      <c r="IVV74"/>
      <c r="IVW74"/>
      <c r="IVX74"/>
      <c r="IVY74"/>
      <c r="IVZ74"/>
      <c r="IWA74"/>
      <c r="IWB74"/>
      <c r="IWC74"/>
      <c r="IWD74"/>
      <c r="IWE74"/>
      <c r="IWF74"/>
      <c r="IWG74"/>
      <c r="IWH74"/>
      <c r="IWI74"/>
      <c r="IWJ74"/>
      <c r="IWK74"/>
      <c r="IWL74"/>
      <c r="IWM74"/>
      <c r="IWN74"/>
      <c r="IWO74"/>
      <c r="IWP74"/>
      <c r="IWQ74"/>
      <c r="IWR74"/>
      <c r="IWS74"/>
      <c r="IWT74"/>
      <c r="IWU74"/>
      <c r="IWV74"/>
      <c r="IWW74"/>
      <c r="IWX74"/>
      <c r="IWY74"/>
      <c r="IWZ74"/>
      <c r="IXA74"/>
      <c r="IXB74"/>
      <c r="IXC74"/>
      <c r="IXD74"/>
      <c r="IXE74"/>
      <c r="IXF74"/>
      <c r="IXG74"/>
      <c r="IXH74"/>
      <c r="IXI74"/>
      <c r="IXJ74"/>
      <c r="IXK74"/>
      <c r="IXL74"/>
      <c r="IXM74"/>
      <c r="IXN74"/>
      <c r="IXO74"/>
      <c r="IXP74"/>
      <c r="IXQ74"/>
      <c r="IXR74"/>
      <c r="IXS74"/>
      <c r="IXT74"/>
      <c r="IXU74"/>
      <c r="IXV74"/>
      <c r="IXW74"/>
      <c r="IXX74"/>
      <c r="IXY74"/>
      <c r="IXZ74"/>
      <c r="IYA74"/>
      <c r="IYB74"/>
      <c r="IYC74"/>
      <c r="IYD74"/>
      <c r="IYE74"/>
      <c r="IYF74"/>
      <c r="IYG74"/>
      <c r="IYH74"/>
      <c r="IYI74"/>
      <c r="IYJ74"/>
      <c r="IYK74"/>
      <c r="IYL74"/>
      <c r="IYM74"/>
      <c r="IYN74"/>
      <c r="IYO74"/>
      <c r="IYP74"/>
      <c r="IYQ74"/>
      <c r="IYR74"/>
      <c r="IYS74"/>
      <c r="IYT74"/>
      <c r="IYU74"/>
      <c r="IYV74"/>
      <c r="IYW74"/>
      <c r="IYX74"/>
      <c r="IYY74"/>
      <c r="IYZ74"/>
      <c r="IZA74"/>
      <c r="IZB74"/>
      <c r="IZC74"/>
      <c r="IZD74"/>
      <c r="IZE74"/>
      <c r="IZF74"/>
      <c r="IZG74"/>
      <c r="IZH74"/>
      <c r="IZI74"/>
      <c r="IZJ74"/>
      <c r="IZK74"/>
      <c r="IZL74"/>
      <c r="IZM74"/>
      <c r="IZN74"/>
      <c r="IZO74"/>
      <c r="IZP74"/>
      <c r="IZQ74"/>
      <c r="IZR74"/>
      <c r="IZS74"/>
      <c r="IZT74"/>
      <c r="IZU74"/>
      <c r="IZV74"/>
      <c r="IZW74"/>
      <c r="IZX74"/>
      <c r="IZY74"/>
      <c r="IZZ74"/>
      <c r="JAA74"/>
      <c r="JAB74"/>
      <c r="JAC74"/>
      <c r="JAD74"/>
      <c r="JAE74"/>
      <c r="JAF74"/>
      <c r="JAG74"/>
      <c r="JAH74"/>
      <c r="JAI74"/>
      <c r="JAJ74"/>
      <c r="JAK74"/>
      <c r="JAL74"/>
      <c r="JAM74"/>
      <c r="JAN74"/>
      <c r="JAO74"/>
      <c r="JAP74"/>
      <c r="JAQ74"/>
      <c r="JAR74"/>
      <c r="JAS74"/>
      <c r="JAT74"/>
      <c r="JAU74"/>
      <c r="JAV74"/>
      <c r="JAW74"/>
      <c r="JAX74"/>
      <c r="JAY74"/>
      <c r="JAZ74"/>
      <c r="JBA74"/>
      <c r="JBB74"/>
      <c r="JBC74"/>
      <c r="JBD74"/>
      <c r="JBE74"/>
      <c r="JBF74"/>
      <c r="JBG74"/>
      <c r="JBH74"/>
      <c r="JBI74"/>
      <c r="JBJ74"/>
      <c r="JBK74"/>
      <c r="JBL74"/>
      <c r="JBM74"/>
      <c r="JBN74"/>
      <c r="JBO74"/>
      <c r="JBP74"/>
      <c r="JBQ74"/>
      <c r="JBR74"/>
      <c r="JBS74"/>
      <c r="JBT74"/>
      <c r="JBU74"/>
      <c r="JBV74"/>
      <c r="JBW74"/>
      <c r="JBX74"/>
      <c r="JBY74"/>
      <c r="JBZ74"/>
      <c r="JCA74"/>
      <c r="JCB74"/>
      <c r="JCC74"/>
      <c r="JCD74"/>
      <c r="JCE74"/>
      <c r="JCF74"/>
      <c r="JCG74"/>
      <c r="JCH74"/>
      <c r="JCI74"/>
      <c r="JCJ74"/>
      <c r="JCK74"/>
      <c r="JCL74"/>
      <c r="JCM74"/>
      <c r="JCN74"/>
      <c r="JCO74"/>
      <c r="JCP74"/>
      <c r="JCQ74"/>
      <c r="JCR74"/>
      <c r="JCS74"/>
      <c r="JCT74"/>
      <c r="JCU74"/>
      <c r="JCV74"/>
      <c r="JCW74"/>
      <c r="JCX74"/>
      <c r="JCY74"/>
      <c r="JCZ74"/>
      <c r="JDA74"/>
      <c r="JDB74"/>
      <c r="JDC74"/>
      <c r="JDD74"/>
      <c r="JDE74"/>
      <c r="JDF74"/>
      <c r="JDG74"/>
      <c r="JDH74"/>
      <c r="JDI74"/>
      <c r="JDJ74"/>
      <c r="JDK74"/>
      <c r="JDL74"/>
      <c r="JDM74"/>
      <c r="JDN74"/>
      <c r="JDO74"/>
      <c r="JDP74"/>
      <c r="JDQ74"/>
      <c r="JDR74"/>
      <c r="JDS74"/>
      <c r="JDT74"/>
      <c r="JDU74"/>
      <c r="JDV74"/>
      <c r="JDW74"/>
      <c r="JDX74"/>
      <c r="JDY74"/>
      <c r="JDZ74"/>
      <c r="JEA74"/>
      <c r="JEB74"/>
      <c r="JEC74"/>
      <c r="JED74"/>
      <c r="JEE74"/>
      <c r="JEF74"/>
      <c r="JEG74"/>
      <c r="JEH74"/>
      <c r="JEI74"/>
      <c r="JEJ74"/>
      <c r="JEK74"/>
      <c r="JEL74"/>
      <c r="JEM74"/>
      <c r="JEN74"/>
      <c r="JEO74"/>
      <c r="JEP74"/>
      <c r="JEQ74"/>
      <c r="JER74"/>
      <c r="JES74"/>
      <c r="JET74"/>
      <c r="JEU74"/>
      <c r="JEV74"/>
      <c r="JEW74"/>
      <c r="JEX74"/>
      <c r="JEY74"/>
      <c r="JEZ74"/>
      <c r="JFA74"/>
      <c r="JFB74"/>
      <c r="JFC74"/>
      <c r="JFD74"/>
      <c r="JFE74"/>
      <c r="JFF74"/>
      <c r="JFG74"/>
      <c r="JFH74"/>
      <c r="JFI74"/>
      <c r="JFJ74"/>
      <c r="JFK74"/>
      <c r="JFL74"/>
      <c r="JFM74"/>
      <c r="JFN74"/>
      <c r="JFO74"/>
      <c r="JFP74"/>
      <c r="JFQ74"/>
      <c r="JFR74"/>
      <c r="JFS74"/>
      <c r="JFT74"/>
      <c r="JFU74"/>
      <c r="JFV74"/>
      <c r="JFW74"/>
      <c r="JFX74"/>
      <c r="JFY74"/>
      <c r="JFZ74"/>
      <c r="JGA74"/>
      <c r="JGB74"/>
      <c r="JGC74"/>
      <c r="JGD74"/>
      <c r="JGE74"/>
      <c r="JGF74"/>
      <c r="JGG74"/>
      <c r="JGH74"/>
      <c r="JGI74"/>
      <c r="JGJ74"/>
      <c r="JGK74"/>
      <c r="JGL74"/>
      <c r="JGM74"/>
      <c r="JGN74"/>
      <c r="JGO74"/>
      <c r="JGP74"/>
      <c r="JGQ74"/>
      <c r="JGR74"/>
      <c r="JGS74"/>
      <c r="JGT74"/>
      <c r="JGU74"/>
      <c r="JGV74"/>
      <c r="JGW74"/>
      <c r="JGX74"/>
      <c r="JGY74"/>
      <c r="JGZ74"/>
      <c r="JHA74"/>
      <c r="JHB74"/>
      <c r="JHC74"/>
      <c r="JHD74"/>
      <c r="JHE74"/>
      <c r="JHF74"/>
      <c r="JHG74"/>
      <c r="JHH74"/>
      <c r="JHI74"/>
      <c r="JHJ74"/>
      <c r="JHK74"/>
      <c r="JHL74"/>
      <c r="JHM74"/>
      <c r="JHN74"/>
      <c r="JHO74"/>
      <c r="JHP74"/>
      <c r="JHQ74"/>
      <c r="JHR74"/>
      <c r="JHS74"/>
      <c r="JHT74"/>
      <c r="JHU74"/>
      <c r="JHV74"/>
      <c r="JHW74"/>
      <c r="JHX74"/>
      <c r="JHY74"/>
      <c r="JHZ74"/>
      <c r="JIA74"/>
      <c r="JIB74"/>
      <c r="JIC74"/>
      <c r="JID74"/>
      <c r="JIE74"/>
      <c r="JIF74"/>
      <c r="JIG74"/>
      <c r="JIH74"/>
      <c r="JII74"/>
      <c r="JIJ74"/>
      <c r="JIK74"/>
      <c r="JIL74"/>
      <c r="JIM74"/>
      <c r="JIN74"/>
      <c r="JIO74"/>
      <c r="JIP74"/>
      <c r="JIQ74"/>
      <c r="JIR74"/>
      <c r="JIS74"/>
      <c r="JIT74"/>
      <c r="JIU74"/>
      <c r="JIV74"/>
      <c r="JIW74"/>
      <c r="JIX74"/>
      <c r="JIY74"/>
      <c r="JIZ74"/>
      <c r="JJA74"/>
      <c r="JJB74"/>
      <c r="JJC74"/>
      <c r="JJD74"/>
      <c r="JJE74"/>
      <c r="JJF74"/>
      <c r="JJG74"/>
      <c r="JJH74"/>
      <c r="JJI74"/>
      <c r="JJJ74"/>
      <c r="JJK74"/>
      <c r="JJL74"/>
      <c r="JJM74"/>
      <c r="JJN74"/>
      <c r="JJO74"/>
      <c r="JJP74"/>
      <c r="JJQ74"/>
      <c r="JJR74"/>
      <c r="JJS74"/>
      <c r="JJT74"/>
      <c r="JJU74"/>
      <c r="JJV74"/>
      <c r="JJW74"/>
      <c r="JJX74"/>
      <c r="JJY74"/>
      <c r="JJZ74"/>
      <c r="JKA74"/>
      <c r="JKB74"/>
      <c r="JKC74"/>
      <c r="JKD74"/>
      <c r="JKE74"/>
      <c r="JKF74"/>
      <c r="JKG74"/>
      <c r="JKH74"/>
      <c r="JKI74"/>
      <c r="JKJ74"/>
      <c r="JKK74"/>
      <c r="JKL74"/>
      <c r="JKM74"/>
      <c r="JKN74"/>
      <c r="JKO74"/>
      <c r="JKP74"/>
      <c r="JKQ74"/>
      <c r="JKR74"/>
      <c r="JKS74"/>
      <c r="JKT74"/>
      <c r="JKU74"/>
      <c r="JKV74"/>
      <c r="JKW74"/>
      <c r="JKX74"/>
      <c r="JKY74"/>
      <c r="JKZ74"/>
      <c r="JLA74"/>
      <c r="JLB74"/>
      <c r="JLC74"/>
      <c r="JLD74"/>
      <c r="JLE74"/>
      <c r="JLF74"/>
      <c r="JLG74"/>
      <c r="JLH74"/>
      <c r="JLI74"/>
      <c r="JLJ74"/>
      <c r="JLK74"/>
      <c r="JLL74"/>
      <c r="JLM74"/>
      <c r="JLN74"/>
      <c r="JLO74"/>
      <c r="JLP74"/>
      <c r="JLQ74"/>
      <c r="JLR74"/>
      <c r="JLS74"/>
      <c r="JLT74"/>
      <c r="JLU74"/>
      <c r="JLV74"/>
      <c r="JLW74"/>
      <c r="JLX74"/>
      <c r="JLY74"/>
      <c r="JLZ74"/>
      <c r="JMA74"/>
      <c r="JMB74"/>
      <c r="JMC74"/>
      <c r="JMD74"/>
      <c r="JME74"/>
      <c r="JMF74"/>
      <c r="JMG74"/>
      <c r="JMH74"/>
      <c r="JMI74"/>
      <c r="JMJ74"/>
      <c r="JMK74"/>
      <c r="JML74"/>
      <c r="JMM74"/>
      <c r="JMN74"/>
      <c r="JMO74"/>
      <c r="JMP74"/>
      <c r="JMQ74"/>
      <c r="JMR74"/>
      <c r="JMS74"/>
      <c r="JMT74"/>
      <c r="JMU74"/>
      <c r="JMV74"/>
      <c r="JMW74"/>
      <c r="JMX74"/>
      <c r="JMY74"/>
      <c r="JMZ74"/>
      <c r="JNA74"/>
      <c r="JNB74"/>
      <c r="JNC74"/>
      <c r="JND74"/>
      <c r="JNE74"/>
      <c r="JNF74"/>
      <c r="JNG74"/>
      <c r="JNH74"/>
      <c r="JNI74"/>
      <c r="JNJ74"/>
      <c r="JNK74"/>
      <c r="JNL74"/>
      <c r="JNM74"/>
      <c r="JNN74"/>
      <c r="JNO74"/>
      <c r="JNP74"/>
      <c r="JNQ74"/>
      <c r="JNR74"/>
      <c r="JNS74"/>
      <c r="JNT74"/>
      <c r="JNU74"/>
      <c r="JNV74"/>
      <c r="JNW74"/>
      <c r="JNX74"/>
      <c r="JNY74"/>
      <c r="JNZ74"/>
      <c r="JOA74"/>
      <c r="JOB74"/>
      <c r="JOC74"/>
      <c r="JOD74"/>
      <c r="JOE74"/>
      <c r="JOF74"/>
      <c r="JOG74"/>
      <c r="JOH74"/>
      <c r="JOI74"/>
      <c r="JOJ74"/>
      <c r="JOK74"/>
      <c r="JOL74"/>
      <c r="JOM74"/>
      <c r="JON74"/>
      <c r="JOO74"/>
      <c r="JOP74"/>
      <c r="JOQ74"/>
      <c r="JOR74"/>
      <c r="JOS74"/>
      <c r="JOT74"/>
      <c r="JOU74"/>
      <c r="JOV74"/>
      <c r="JOW74"/>
      <c r="JOX74"/>
      <c r="JOY74"/>
      <c r="JOZ74"/>
      <c r="JPA74"/>
      <c r="JPB74"/>
      <c r="JPC74"/>
      <c r="JPD74"/>
      <c r="JPE74"/>
      <c r="JPF74"/>
      <c r="JPG74"/>
      <c r="JPH74"/>
      <c r="JPI74"/>
      <c r="JPJ74"/>
      <c r="JPK74"/>
      <c r="JPL74"/>
      <c r="JPM74"/>
      <c r="JPN74"/>
      <c r="JPO74"/>
      <c r="JPP74"/>
      <c r="JPQ74"/>
      <c r="JPR74"/>
      <c r="JPS74"/>
      <c r="JPT74"/>
      <c r="JPU74"/>
      <c r="JPV74"/>
      <c r="JPW74"/>
      <c r="JPX74"/>
      <c r="JPY74"/>
      <c r="JPZ74"/>
      <c r="JQA74"/>
      <c r="JQB74"/>
      <c r="JQC74"/>
      <c r="JQD74"/>
      <c r="JQE74"/>
      <c r="JQF74"/>
      <c r="JQG74"/>
      <c r="JQH74"/>
      <c r="JQI74"/>
      <c r="JQJ74"/>
      <c r="JQK74"/>
      <c r="JQL74"/>
      <c r="JQM74"/>
      <c r="JQN74"/>
      <c r="JQO74"/>
      <c r="JQP74"/>
      <c r="JQQ74"/>
      <c r="JQR74"/>
      <c r="JQS74"/>
      <c r="JQT74"/>
      <c r="JQU74"/>
      <c r="JQV74"/>
      <c r="JQW74"/>
      <c r="JQX74"/>
      <c r="JQY74"/>
      <c r="JQZ74"/>
      <c r="JRA74"/>
      <c r="JRB74"/>
      <c r="JRC74"/>
      <c r="JRD74"/>
      <c r="JRE74"/>
      <c r="JRF74"/>
      <c r="JRG74"/>
      <c r="JRH74"/>
      <c r="JRI74"/>
      <c r="JRJ74"/>
      <c r="JRK74"/>
      <c r="JRL74"/>
      <c r="JRM74"/>
      <c r="JRN74"/>
      <c r="JRO74"/>
      <c r="JRP74"/>
      <c r="JRQ74"/>
      <c r="JRR74"/>
      <c r="JRS74"/>
      <c r="JRT74"/>
      <c r="JRU74"/>
      <c r="JRV74"/>
      <c r="JRW74"/>
      <c r="JRX74"/>
      <c r="JRY74"/>
      <c r="JRZ74"/>
      <c r="JSA74"/>
      <c r="JSB74"/>
      <c r="JSC74"/>
      <c r="JSD74"/>
      <c r="JSE74"/>
      <c r="JSF74"/>
      <c r="JSG74"/>
      <c r="JSH74"/>
      <c r="JSI74"/>
      <c r="JSJ74"/>
      <c r="JSK74"/>
      <c r="JSL74"/>
      <c r="JSM74"/>
      <c r="JSN74"/>
      <c r="JSO74"/>
      <c r="JSP74"/>
      <c r="JSQ74"/>
      <c r="JSR74"/>
      <c r="JSS74"/>
      <c r="JST74"/>
      <c r="JSU74"/>
      <c r="JSV74"/>
      <c r="JSW74"/>
      <c r="JSX74"/>
      <c r="JSY74"/>
      <c r="JSZ74"/>
      <c r="JTA74"/>
      <c r="JTB74"/>
      <c r="JTC74"/>
      <c r="JTD74"/>
      <c r="JTE74"/>
      <c r="JTF74"/>
      <c r="JTG74"/>
      <c r="JTH74"/>
      <c r="JTI74"/>
      <c r="JTJ74"/>
      <c r="JTK74"/>
      <c r="JTL74"/>
      <c r="JTM74"/>
      <c r="JTN74"/>
      <c r="JTO74"/>
      <c r="JTP74"/>
      <c r="JTQ74"/>
      <c r="JTR74"/>
      <c r="JTS74"/>
      <c r="JTT74"/>
      <c r="JTU74"/>
      <c r="JTV74"/>
      <c r="JTW74"/>
      <c r="JTX74"/>
      <c r="JTY74"/>
      <c r="JTZ74"/>
      <c r="JUA74"/>
      <c r="JUB74"/>
      <c r="JUC74"/>
      <c r="JUD74"/>
      <c r="JUE74"/>
      <c r="JUF74"/>
      <c r="JUG74"/>
      <c r="JUH74"/>
      <c r="JUI74"/>
      <c r="JUJ74"/>
      <c r="JUK74"/>
      <c r="JUL74"/>
      <c r="JUM74"/>
      <c r="JUN74"/>
      <c r="JUO74"/>
      <c r="JUP74"/>
      <c r="JUQ74"/>
      <c r="JUR74"/>
      <c r="JUS74"/>
      <c r="JUT74"/>
      <c r="JUU74"/>
      <c r="JUV74"/>
      <c r="JUW74"/>
      <c r="JUX74"/>
      <c r="JUY74"/>
      <c r="JUZ74"/>
      <c r="JVA74"/>
      <c r="JVB74"/>
      <c r="JVC74"/>
      <c r="JVD74"/>
      <c r="JVE74"/>
      <c r="JVF74"/>
      <c r="JVG74"/>
      <c r="JVH74"/>
      <c r="JVI74"/>
      <c r="JVJ74"/>
      <c r="JVK74"/>
      <c r="JVL74"/>
      <c r="JVM74"/>
      <c r="JVN74"/>
      <c r="JVO74"/>
      <c r="JVP74"/>
      <c r="JVQ74"/>
      <c r="JVR74"/>
      <c r="JVS74"/>
      <c r="JVT74"/>
      <c r="JVU74"/>
      <c r="JVV74"/>
      <c r="JVW74"/>
      <c r="JVX74"/>
      <c r="JVY74"/>
      <c r="JVZ74"/>
      <c r="JWA74"/>
      <c r="JWB74"/>
      <c r="JWC74"/>
      <c r="JWD74"/>
      <c r="JWE74"/>
      <c r="JWF74"/>
      <c r="JWG74"/>
      <c r="JWH74"/>
      <c r="JWI74"/>
      <c r="JWJ74"/>
      <c r="JWK74"/>
      <c r="JWL74"/>
      <c r="JWM74"/>
      <c r="JWN74"/>
      <c r="JWO74"/>
      <c r="JWP74"/>
      <c r="JWQ74"/>
      <c r="JWR74"/>
      <c r="JWS74"/>
      <c r="JWT74"/>
      <c r="JWU74"/>
      <c r="JWV74"/>
      <c r="JWW74"/>
      <c r="JWX74"/>
      <c r="JWY74"/>
      <c r="JWZ74"/>
      <c r="JXA74"/>
      <c r="JXB74"/>
      <c r="JXC74"/>
      <c r="JXD74"/>
      <c r="JXE74"/>
      <c r="JXF74"/>
      <c r="JXG74"/>
      <c r="JXH74"/>
      <c r="JXI74"/>
      <c r="JXJ74"/>
      <c r="JXK74"/>
      <c r="JXL74"/>
      <c r="JXM74"/>
      <c r="JXN74"/>
      <c r="JXO74"/>
      <c r="JXP74"/>
      <c r="JXQ74"/>
      <c r="JXR74"/>
      <c r="JXS74"/>
      <c r="JXT74"/>
      <c r="JXU74"/>
      <c r="JXV74"/>
      <c r="JXW74"/>
      <c r="JXX74"/>
      <c r="JXY74"/>
      <c r="JXZ74"/>
      <c r="JYA74"/>
      <c r="JYB74"/>
      <c r="JYC74"/>
      <c r="JYD74"/>
      <c r="JYE74"/>
      <c r="JYF74"/>
      <c r="JYG74"/>
      <c r="JYH74"/>
      <c r="JYI74"/>
      <c r="JYJ74"/>
      <c r="JYK74"/>
      <c r="JYL74"/>
      <c r="JYM74"/>
      <c r="JYN74"/>
      <c r="JYO74"/>
      <c r="JYP74"/>
      <c r="JYQ74"/>
      <c r="JYR74"/>
      <c r="JYS74"/>
      <c r="JYT74"/>
      <c r="JYU74"/>
      <c r="JYV74"/>
      <c r="JYW74"/>
      <c r="JYX74"/>
      <c r="JYY74"/>
      <c r="JYZ74"/>
      <c r="JZA74"/>
      <c r="JZB74"/>
      <c r="JZC74"/>
      <c r="JZD74"/>
      <c r="JZE74"/>
      <c r="JZF74"/>
      <c r="JZG74"/>
      <c r="JZH74"/>
      <c r="JZI74"/>
      <c r="JZJ74"/>
      <c r="JZK74"/>
      <c r="JZL74"/>
      <c r="JZM74"/>
      <c r="JZN74"/>
      <c r="JZO74"/>
      <c r="JZP74"/>
      <c r="JZQ74"/>
      <c r="JZR74"/>
      <c r="JZS74"/>
      <c r="JZT74"/>
      <c r="JZU74"/>
      <c r="JZV74"/>
      <c r="JZW74"/>
      <c r="JZX74"/>
      <c r="JZY74"/>
      <c r="JZZ74"/>
      <c r="KAA74"/>
      <c r="KAB74"/>
      <c r="KAC74"/>
      <c r="KAD74"/>
      <c r="KAE74"/>
      <c r="KAF74"/>
      <c r="KAG74"/>
      <c r="KAH74"/>
      <c r="KAI74"/>
      <c r="KAJ74"/>
      <c r="KAK74"/>
      <c r="KAL74"/>
      <c r="KAM74"/>
      <c r="KAN74"/>
      <c r="KAO74"/>
      <c r="KAP74"/>
      <c r="KAQ74"/>
      <c r="KAR74"/>
      <c r="KAS74"/>
      <c r="KAT74"/>
      <c r="KAU74"/>
      <c r="KAV74"/>
      <c r="KAW74"/>
      <c r="KAX74"/>
      <c r="KAY74"/>
      <c r="KAZ74"/>
      <c r="KBA74"/>
      <c r="KBB74"/>
      <c r="KBC74"/>
      <c r="KBD74"/>
      <c r="KBE74"/>
      <c r="KBF74"/>
      <c r="KBG74"/>
      <c r="KBH74"/>
      <c r="KBI74"/>
      <c r="KBJ74"/>
      <c r="KBK74"/>
      <c r="KBL74"/>
      <c r="KBM74"/>
      <c r="KBN74"/>
      <c r="KBO74"/>
      <c r="KBP74"/>
      <c r="KBQ74"/>
      <c r="KBR74"/>
      <c r="KBS74"/>
      <c r="KBT74"/>
      <c r="KBU74"/>
      <c r="KBV74"/>
      <c r="KBW74"/>
      <c r="KBX74"/>
      <c r="KBY74"/>
      <c r="KBZ74"/>
      <c r="KCA74"/>
      <c r="KCB74"/>
      <c r="KCC74"/>
      <c r="KCD74"/>
      <c r="KCE74"/>
      <c r="KCF74"/>
      <c r="KCG74"/>
      <c r="KCH74"/>
      <c r="KCI74"/>
      <c r="KCJ74"/>
      <c r="KCK74"/>
      <c r="KCL74"/>
      <c r="KCM74"/>
      <c r="KCN74"/>
      <c r="KCO74"/>
      <c r="KCP74"/>
      <c r="KCQ74"/>
      <c r="KCR74"/>
      <c r="KCS74"/>
      <c r="KCT74"/>
      <c r="KCU74"/>
      <c r="KCV74"/>
      <c r="KCW74"/>
      <c r="KCX74"/>
      <c r="KCY74"/>
      <c r="KCZ74"/>
      <c r="KDA74"/>
      <c r="KDB74"/>
      <c r="KDC74"/>
      <c r="KDD74"/>
      <c r="KDE74"/>
      <c r="KDF74"/>
      <c r="KDG74"/>
      <c r="KDH74"/>
      <c r="KDI74"/>
      <c r="KDJ74"/>
      <c r="KDK74"/>
      <c r="KDL74"/>
      <c r="KDM74"/>
      <c r="KDN74"/>
      <c r="KDO74"/>
      <c r="KDP74"/>
      <c r="KDQ74"/>
      <c r="KDR74"/>
      <c r="KDS74"/>
      <c r="KDT74"/>
      <c r="KDU74"/>
      <c r="KDV74"/>
      <c r="KDW74"/>
      <c r="KDX74"/>
      <c r="KDY74"/>
      <c r="KDZ74"/>
      <c r="KEA74"/>
      <c r="KEB74"/>
      <c r="KEC74"/>
      <c r="KED74"/>
      <c r="KEE74"/>
      <c r="KEF74"/>
      <c r="KEG74"/>
      <c r="KEH74"/>
      <c r="KEI74"/>
      <c r="KEJ74"/>
      <c r="KEK74"/>
      <c r="KEL74"/>
      <c r="KEM74"/>
      <c r="KEN74"/>
      <c r="KEO74"/>
      <c r="KEP74"/>
      <c r="KEQ74"/>
      <c r="KER74"/>
      <c r="KES74"/>
      <c r="KET74"/>
      <c r="KEU74"/>
      <c r="KEV74"/>
      <c r="KEW74"/>
      <c r="KEX74"/>
      <c r="KEY74"/>
      <c r="KEZ74"/>
      <c r="KFA74"/>
      <c r="KFB74"/>
      <c r="KFC74"/>
      <c r="KFD74"/>
      <c r="KFE74"/>
      <c r="KFF74"/>
      <c r="KFG74"/>
      <c r="KFH74"/>
      <c r="KFI74"/>
      <c r="KFJ74"/>
      <c r="KFK74"/>
      <c r="KFL74"/>
      <c r="KFM74"/>
      <c r="KFN74"/>
      <c r="KFO74"/>
      <c r="KFP74"/>
      <c r="KFQ74"/>
      <c r="KFR74"/>
      <c r="KFS74"/>
      <c r="KFT74"/>
      <c r="KFU74"/>
      <c r="KFV74"/>
      <c r="KFW74"/>
      <c r="KFX74"/>
      <c r="KFY74"/>
      <c r="KFZ74"/>
      <c r="KGA74"/>
      <c r="KGB74"/>
      <c r="KGC74"/>
      <c r="KGD74"/>
      <c r="KGE74"/>
      <c r="KGF74"/>
      <c r="KGG74"/>
      <c r="KGH74"/>
      <c r="KGI74"/>
      <c r="KGJ74"/>
      <c r="KGK74"/>
      <c r="KGL74"/>
      <c r="KGM74"/>
      <c r="KGN74"/>
      <c r="KGO74"/>
      <c r="KGP74"/>
      <c r="KGQ74"/>
      <c r="KGR74"/>
      <c r="KGS74"/>
      <c r="KGT74"/>
      <c r="KGU74"/>
      <c r="KGV74"/>
      <c r="KGW74"/>
      <c r="KGX74"/>
      <c r="KGY74"/>
      <c r="KGZ74"/>
      <c r="KHA74"/>
      <c r="KHB74"/>
      <c r="KHC74"/>
      <c r="KHD74"/>
      <c r="KHE74"/>
      <c r="KHF74"/>
      <c r="KHG74"/>
      <c r="KHH74"/>
      <c r="KHI74"/>
      <c r="KHJ74"/>
      <c r="KHK74"/>
      <c r="KHL74"/>
      <c r="KHM74"/>
      <c r="KHN74"/>
      <c r="KHO74"/>
      <c r="KHP74"/>
      <c r="KHQ74"/>
      <c r="KHR74"/>
      <c r="KHS74"/>
      <c r="KHT74"/>
      <c r="KHU74"/>
      <c r="KHV74"/>
      <c r="KHW74"/>
      <c r="KHX74"/>
      <c r="KHY74"/>
      <c r="KHZ74"/>
      <c r="KIA74"/>
      <c r="KIB74"/>
      <c r="KIC74"/>
      <c r="KID74"/>
      <c r="KIE74"/>
      <c r="KIF74"/>
      <c r="KIG74"/>
      <c r="KIH74"/>
      <c r="KII74"/>
      <c r="KIJ74"/>
      <c r="KIK74"/>
      <c r="KIL74"/>
      <c r="KIM74"/>
      <c r="KIN74"/>
      <c r="KIO74"/>
      <c r="KIP74"/>
      <c r="KIQ74"/>
      <c r="KIR74"/>
      <c r="KIS74"/>
      <c r="KIT74"/>
      <c r="KIU74"/>
      <c r="KIV74"/>
      <c r="KIW74"/>
      <c r="KIX74"/>
      <c r="KIY74"/>
      <c r="KIZ74"/>
      <c r="KJA74"/>
      <c r="KJB74"/>
      <c r="KJC74"/>
      <c r="KJD74"/>
      <c r="KJE74"/>
      <c r="KJF74"/>
      <c r="KJG74"/>
      <c r="KJH74"/>
      <c r="KJI74"/>
      <c r="KJJ74"/>
      <c r="KJK74"/>
      <c r="KJL74"/>
      <c r="KJM74"/>
      <c r="KJN74"/>
      <c r="KJO74"/>
      <c r="KJP74"/>
      <c r="KJQ74"/>
      <c r="KJR74"/>
      <c r="KJS74"/>
      <c r="KJT74"/>
      <c r="KJU74"/>
      <c r="KJV74"/>
      <c r="KJW74"/>
      <c r="KJX74"/>
      <c r="KJY74"/>
      <c r="KJZ74"/>
      <c r="KKA74"/>
      <c r="KKB74"/>
      <c r="KKC74"/>
      <c r="KKD74"/>
      <c r="KKE74"/>
      <c r="KKF74"/>
      <c r="KKG74"/>
      <c r="KKH74"/>
      <c r="KKI74"/>
      <c r="KKJ74"/>
      <c r="KKK74"/>
      <c r="KKL74"/>
      <c r="KKM74"/>
      <c r="KKN74"/>
      <c r="KKO74"/>
      <c r="KKP74"/>
      <c r="KKQ74"/>
      <c r="KKR74"/>
      <c r="KKS74"/>
      <c r="KKT74"/>
      <c r="KKU74"/>
      <c r="KKV74"/>
      <c r="KKW74"/>
      <c r="KKX74"/>
      <c r="KKY74"/>
      <c r="KKZ74"/>
      <c r="KLA74"/>
      <c r="KLB74"/>
      <c r="KLC74"/>
      <c r="KLD74"/>
      <c r="KLE74"/>
      <c r="KLF74"/>
      <c r="KLG74"/>
      <c r="KLH74"/>
      <c r="KLI74"/>
      <c r="KLJ74"/>
      <c r="KLK74"/>
      <c r="KLL74"/>
      <c r="KLM74"/>
      <c r="KLN74"/>
      <c r="KLO74"/>
      <c r="KLP74"/>
      <c r="KLQ74"/>
      <c r="KLR74"/>
      <c r="KLS74"/>
      <c r="KLT74"/>
      <c r="KLU74"/>
      <c r="KLV74"/>
      <c r="KLW74"/>
      <c r="KLX74"/>
      <c r="KLY74"/>
      <c r="KLZ74"/>
      <c r="KMA74"/>
      <c r="KMB74"/>
      <c r="KMC74"/>
      <c r="KMD74"/>
      <c r="KME74"/>
      <c r="KMF74"/>
      <c r="KMG74"/>
      <c r="KMH74"/>
      <c r="KMI74"/>
      <c r="KMJ74"/>
      <c r="KMK74"/>
      <c r="KML74"/>
      <c r="KMM74"/>
      <c r="KMN74"/>
      <c r="KMO74"/>
      <c r="KMP74"/>
      <c r="KMQ74"/>
      <c r="KMR74"/>
      <c r="KMS74"/>
      <c r="KMT74"/>
      <c r="KMU74"/>
      <c r="KMV74"/>
      <c r="KMW74"/>
      <c r="KMX74"/>
      <c r="KMY74"/>
      <c r="KMZ74"/>
      <c r="KNA74"/>
      <c r="KNB74"/>
      <c r="KNC74"/>
      <c r="KND74"/>
      <c r="KNE74"/>
      <c r="KNF74"/>
      <c r="KNG74"/>
      <c r="KNH74"/>
      <c r="KNI74"/>
      <c r="KNJ74"/>
      <c r="KNK74"/>
      <c r="KNL74"/>
      <c r="KNM74"/>
      <c r="KNN74"/>
      <c r="KNO74"/>
      <c r="KNP74"/>
      <c r="KNQ74"/>
      <c r="KNR74"/>
      <c r="KNS74"/>
      <c r="KNT74"/>
      <c r="KNU74"/>
      <c r="KNV74"/>
      <c r="KNW74"/>
      <c r="KNX74"/>
      <c r="KNY74"/>
      <c r="KNZ74"/>
      <c r="KOA74"/>
      <c r="KOB74"/>
      <c r="KOC74"/>
      <c r="KOD74"/>
      <c r="KOE74"/>
      <c r="KOF74"/>
      <c r="KOG74"/>
      <c r="KOH74"/>
      <c r="KOI74"/>
      <c r="KOJ74"/>
      <c r="KOK74"/>
      <c r="KOL74"/>
      <c r="KOM74"/>
      <c r="KON74"/>
      <c r="KOO74"/>
      <c r="KOP74"/>
      <c r="KOQ74"/>
      <c r="KOR74"/>
      <c r="KOS74"/>
      <c r="KOT74"/>
      <c r="KOU74"/>
      <c r="KOV74"/>
      <c r="KOW74"/>
      <c r="KOX74"/>
      <c r="KOY74"/>
      <c r="KOZ74"/>
      <c r="KPA74"/>
      <c r="KPB74"/>
      <c r="KPC74"/>
      <c r="KPD74"/>
      <c r="KPE74"/>
      <c r="KPF74"/>
      <c r="KPG74"/>
      <c r="KPH74"/>
      <c r="KPI74"/>
      <c r="KPJ74"/>
      <c r="KPK74"/>
      <c r="KPL74"/>
      <c r="KPM74"/>
      <c r="KPN74"/>
      <c r="KPO74"/>
      <c r="KPP74"/>
      <c r="KPQ74"/>
      <c r="KPR74"/>
      <c r="KPS74"/>
      <c r="KPT74"/>
      <c r="KPU74"/>
      <c r="KPV74"/>
      <c r="KPW74"/>
      <c r="KPX74"/>
      <c r="KPY74"/>
      <c r="KPZ74"/>
      <c r="KQA74"/>
      <c r="KQB74"/>
      <c r="KQC74"/>
      <c r="KQD74"/>
      <c r="KQE74"/>
      <c r="KQF74"/>
      <c r="KQG74"/>
      <c r="KQH74"/>
      <c r="KQI74"/>
      <c r="KQJ74"/>
      <c r="KQK74"/>
      <c r="KQL74"/>
      <c r="KQM74"/>
      <c r="KQN74"/>
      <c r="KQO74"/>
      <c r="KQP74"/>
      <c r="KQQ74"/>
      <c r="KQR74"/>
      <c r="KQS74"/>
      <c r="KQT74"/>
      <c r="KQU74"/>
      <c r="KQV74"/>
      <c r="KQW74"/>
      <c r="KQX74"/>
      <c r="KQY74"/>
      <c r="KQZ74"/>
      <c r="KRA74"/>
      <c r="KRB74"/>
      <c r="KRC74"/>
      <c r="KRD74"/>
      <c r="KRE74"/>
      <c r="KRF74"/>
      <c r="KRG74"/>
      <c r="KRH74"/>
      <c r="KRI74"/>
      <c r="KRJ74"/>
      <c r="KRK74"/>
      <c r="KRL74"/>
      <c r="KRM74"/>
      <c r="KRN74"/>
      <c r="KRO74"/>
      <c r="KRP74"/>
      <c r="KRQ74"/>
      <c r="KRR74"/>
      <c r="KRS74"/>
      <c r="KRT74"/>
      <c r="KRU74"/>
      <c r="KRV74"/>
      <c r="KRW74"/>
      <c r="KRX74"/>
      <c r="KRY74"/>
      <c r="KRZ74"/>
      <c r="KSA74"/>
      <c r="KSB74"/>
      <c r="KSC74"/>
      <c r="KSD74"/>
      <c r="KSE74"/>
      <c r="KSF74"/>
      <c r="KSG74"/>
      <c r="KSH74"/>
      <c r="KSI74"/>
      <c r="KSJ74"/>
      <c r="KSK74"/>
      <c r="KSL74"/>
      <c r="KSM74"/>
      <c r="KSN74"/>
      <c r="KSO74"/>
      <c r="KSP74"/>
      <c r="KSQ74"/>
      <c r="KSR74"/>
      <c r="KSS74"/>
      <c r="KST74"/>
      <c r="KSU74"/>
      <c r="KSV74"/>
      <c r="KSW74"/>
      <c r="KSX74"/>
      <c r="KSY74"/>
      <c r="KSZ74"/>
      <c r="KTA74"/>
      <c r="KTB74"/>
      <c r="KTC74"/>
      <c r="KTD74"/>
      <c r="KTE74"/>
      <c r="KTF74"/>
      <c r="KTG74"/>
      <c r="KTH74"/>
      <c r="KTI74"/>
      <c r="KTJ74"/>
      <c r="KTK74"/>
      <c r="KTL74"/>
      <c r="KTM74"/>
      <c r="KTN74"/>
      <c r="KTO74"/>
      <c r="KTP74"/>
      <c r="KTQ74"/>
      <c r="KTR74"/>
      <c r="KTS74"/>
      <c r="KTT74"/>
      <c r="KTU74"/>
      <c r="KTV74"/>
      <c r="KTW74"/>
      <c r="KTX74"/>
      <c r="KTY74"/>
      <c r="KTZ74"/>
      <c r="KUA74"/>
      <c r="KUB74"/>
      <c r="KUC74"/>
      <c r="KUD74"/>
      <c r="KUE74"/>
      <c r="KUF74"/>
      <c r="KUG74"/>
      <c r="KUH74"/>
      <c r="KUI74"/>
      <c r="KUJ74"/>
      <c r="KUK74"/>
      <c r="KUL74"/>
      <c r="KUM74"/>
      <c r="KUN74"/>
      <c r="KUO74"/>
      <c r="KUP74"/>
      <c r="KUQ74"/>
      <c r="KUR74"/>
      <c r="KUS74"/>
      <c r="KUT74"/>
      <c r="KUU74"/>
      <c r="KUV74"/>
      <c r="KUW74"/>
      <c r="KUX74"/>
      <c r="KUY74"/>
      <c r="KUZ74"/>
      <c r="KVA74"/>
      <c r="KVB74"/>
      <c r="KVC74"/>
      <c r="KVD74"/>
      <c r="KVE74"/>
      <c r="KVF74"/>
      <c r="KVG74"/>
      <c r="KVH74"/>
      <c r="KVI74"/>
      <c r="KVJ74"/>
      <c r="KVK74"/>
      <c r="KVL74"/>
      <c r="KVM74"/>
      <c r="KVN74"/>
      <c r="KVO74"/>
      <c r="KVP74"/>
      <c r="KVQ74"/>
      <c r="KVR74"/>
      <c r="KVS74"/>
      <c r="KVT74"/>
      <c r="KVU74"/>
      <c r="KVV74"/>
      <c r="KVW74"/>
      <c r="KVX74"/>
      <c r="KVY74"/>
      <c r="KVZ74"/>
      <c r="KWA74"/>
      <c r="KWB74"/>
      <c r="KWC74"/>
      <c r="KWD74"/>
      <c r="KWE74"/>
      <c r="KWF74"/>
      <c r="KWG74"/>
      <c r="KWH74"/>
      <c r="KWI74"/>
      <c r="KWJ74"/>
      <c r="KWK74"/>
      <c r="KWL74"/>
      <c r="KWM74"/>
      <c r="KWN74"/>
      <c r="KWO74"/>
      <c r="KWP74"/>
      <c r="KWQ74"/>
      <c r="KWR74"/>
      <c r="KWS74"/>
      <c r="KWT74"/>
      <c r="KWU74"/>
      <c r="KWV74"/>
      <c r="KWW74"/>
      <c r="KWX74"/>
      <c r="KWY74"/>
      <c r="KWZ74"/>
      <c r="KXA74"/>
      <c r="KXB74"/>
      <c r="KXC74"/>
      <c r="KXD74"/>
      <c r="KXE74"/>
      <c r="KXF74"/>
      <c r="KXG74"/>
      <c r="KXH74"/>
      <c r="KXI74"/>
      <c r="KXJ74"/>
      <c r="KXK74"/>
      <c r="KXL74"/>
      <c r="KXM74"/>
      <c r="KXN74"/>
      <c r="KXO74"/>
      <c r="KXP74"/>
      <c r="KXQ74"/>
      <c r="KXR74"/>
      <c r="KXS74"/>
      <c r="KXT74"/>
      <c r="KXU74"/>
      <c r="KXV74"/>
      <c r="KXW74"/>
      <c r="KXX74"/>
      <c r="KXY74"/>
      <c r="KXZ74"/>
      <c r="KYA74"/>
      <c r="KYB74"/>
      <c r="KYC74"/>
      <c r="KYD74"/>
      <c r="KYE74"/>
      <c r="KYF74"/>
      <c r="KYG74"/>
      <c r="KYH74"/>
      <c r="KYI74"/>
      <c r="KYJ74"/>
      <c r="KYK74"/>
      <c r="KYL74"/>
      <c r="KYM74"/>
      <c r="KYN74"/>
      <c r="KYO74"/>
      <c r="KYP74"/>
      <c r="KYQ74"/>
      <c r="KYR74"/>
      <c r="KYS74"/>
      <c r="KYT74"/>
      <c r="KYU74"/>
      <c r="KYV74"/>
      <c r="KYW74"/>
      <c r="KYX74"/>
      <c r="KYY74"/>
      <c r="KYZ74"/>
      <c r="KZA74"/>
      <c r="KZB74"/>
      <c r="KZC74"/>
      <c r="KZD74"/>
      <c r="KZE74"/>
      <c r="KZF74"/>
      <c r="KZG74"/>
      <c r="KZH74"/>
      <c r="KZI74"/>
      <c r="KZJ74"/>
      <c r="KZK74"/>
      <c r="KZL74"/>
      <c r="KZM74"/>
      <c r="KZN74"/>
      <c r="KZO74"/>
      <c r="KZP74"/>
      <c r="KZQ74"/>
      <c r="KZR74"/>
      <c r="KZS74"/>
      <c r="KZT74"/>
      <c r="KZU74"/>
      <c r="KZV74"/>
      <c r="KZW74"/>
      <c r="KZX74"/>
      <c r="KZY74"/>
      <c r="KZZ74"/>
      <c r="LAA74"/>
      <c r="LAB74"/>
      <c r="LAC74"/>
      <c r="LAD74"/>
      <c r="LAE74"/>
      <c r="LAF74"/>
      <c r="LAG74"/>
      <c r="LAH74"/>
      <c r="LAI74"/>
      <c r="LAJ74"/>
      <c r="LAK74"/>
      <c r="LAL74"/>
      <c r="LAM74"/>
      <c r="LAN74"/>
      <c r="LAO74"/>
      <c r="LAP74"/>
      <c r="LAQ74"/>
      <c r="LAR74"/>
      <c r="LAS74"/>
      <c r="LAT74"/>
      <c r="LAU74"/>
      <c r="LAV74"/>
      <c r="LAW74"/>
      <c r="LAX74"/>
      <c r="LAY74"/>
      <c r="LAZ74"/>
      <c r="LBA74"/>
      <c r="LBB74"/>
      <c r="LBC74"/>
      <c r="LBD74"/>
      <c r="LBE74"/>
      <c r="LBF74"/>
      <c r="LBG74"/>
      <c r="LBH74"/>
      <c r="LBI74"/>
      <c r="LBJ74"/>
      <c r="LBK74"/>
      <c r="LBL74"/>
      <c r="LBM74"/>
      <c r="LBN74"/>
      <c r="LBO74"/>
      <c r="LBP74"/>
      <c r="LBQ74"/>
      <c r="LBR74"/>
      <c r="LBS74"/>
      <c r="LBT74"/>
      <c r="LBU74"/>
      <c r="LBV74"/>
      <c r="LBW74"/>
      <c r="LBX74"/>
      <c r="LBY74"/>
      <c r="LBZ74"/>
      <c r="LCA74"/>
      <c r="LCB74"/>
      <c r="LCC74"/>
      <c r="LCD74"/>
      <c r="LCE74"/>
      <c r="LCF74"/>
      <c r="LCG74"/>
      <c r="LCH74"/>
      <c r="LCI74"/>
      <c r="LCJ74"/>
      <c r="LCK74"/>
      <c r="LCL74"/>
      <c r="LCM74"/>
      <c r="LCN74"/>
      <c r="LCO74"/>
      <c r="LCP74"/>
      <c r="LCQ74"/>
      <c r="LCR74"/>
      <c r="LCS74"/>
      <c r="LCT74"/>
      <c r="LCU74"/>
      <c r="LCV74"/>
      <c r="LCW74"/>
      <c r="LCX74"/>
      <c r="LCY74"/>
      <c r="LCZ74"/>
      <c r="LDA74"/>
      <c r="LDB74"/>
      <c r="LDC74"/>
      <c r="LDD74"/>
      <c r="LDE74"/>
      <c r="LDF74"/>
      <c r="LDG74"/>
      <c r="LDH74"/>
      <c r="LDI74"/>
      <c r="LDJ74"/>
      <c r="LDK74"/>
      <c r="LDL74"/>
      <c r="LDM74"/>
      <c r="LDN74"/>
      <c r="LDO74"/>
      <c r="LDP74"/>
      <c r="LDQ74"/>
      <c r="LDR74"/>
      <c r="LDS74"/>
      <c r="LDT74"/>
      <c r="LDU74"/>
      <c r="LDV74"/>
      <c r="LDW74"/>
      <c r="LDX74"/>
      <c r="LDY74"/>
      <c r="LDZ74"/>
      <c r="LEA74"/>
      <c r="LEB74"/>
      <c r="LEC74"/>
      <c r="LED74"/>
      <c r="LEE74"/>
      <c r="LEF74"/>
      <c r="LEG74"/>
      <c r="LEH74"/>
      <c r="LEI74"/>
      <c r="LEJ74"/>
      <c r="LEK74"/>
      <c r="LEL74"/>
      <c r="LEM74"/>
      <c r="LEN74"/>
      <c r="LEO74"/>
      <c r="LEP74"/>
      <c r="LEQ74"/>
      <c r="LER74"/>
      <c r="LES74"/>
      <c r="LET74"/>
      <c r="LEU74"/>
      <c r="LEV74"/>
      <c r="LEW74"/>
      <c r="LEX74"/>
      <c r="LEY74"/>
      <c r="LEZ74"/>
      <c r="LFA74"/>
      <c r="LFB74"/>
      <c r="LFC74"/>
      <c r="LFD74"/>
      <c r="LFE74"/>
      <c r="LFF74"/>
      <c r="LFG74"/>
      <c r="LFH74"/>
      <c r="LFI74"/>
      <c r="LFJ74"/>
      <c r="LFK74"/>
      <c r="LFL74"/>
      <c r="LFM74"/>
      <c r="LFN74"/>
      <c r="LFO74"/>
      <c r="LFP74"/>
      <c r="LFQ74"/>
      <c r="LFR74"/>
      <c r="LFS74"/>
      <c r="LFT74"/>
      <c r="LFU74"/>
      <c r="LFV74"/>
      <c r="LFW74"/>
      <c r="LFX74"/>
      <c r="LFY74"/>
      <c r="LFZ74"/>
      <c r="LGA74"/>
      <c r="LGB74"/>
      <c r="LGC74"/>
      <c r="LGD74"/>
      <c r="LGE74"/>
      <c r="LGF74"/>
      <c r="LGG74"/>
      <c r="LGH74"/>
      <c r="LGI74"/>
      <c r="LGJ74"/>
      <c r="LGK74"/>
      <c r="LGL74"/>
      <c r="LGM74"/>
      <c r="LGN74"/>
      <c r="LGO74"/>
      <c r="LGP74"/>
      <c r="LGQ74"/>
      <c r="LGR74"/>
      <c r="LGS74"/>
      <c r="LGT74"/>
      <c r="LGU74"/>
      <c r="LGV74"/>
      <c r="LGW74"/>
      <c r="LGX74"/>
      <c r="LGY74"/>
      <c r="LGZ74"/>
      <c r="LHA74"/>
      <c r="LHB74"/>
      <c r="LHC74"/>
      <c r="LHD74"/>
      <c r="LHE74"/>
      <c r="LHF74"/>
      <c r="LHG74"/>
      <c r="LHH74"/>
      <c r="LHI74"/>
      <c r="LHJ74"/>
      <c r="LHK74"/>
      <c r="LHL74"/>
      <c r="LHM74"/>
      <c r="LHN74"/>
      <c r="LHO74"/>
      <c r="LHP74"/>
      <c r="LHQ74"/>
      <c r="LHR74"/>
      <c r="LHS74"/>
      <c r="LHT74"/>
      <c r="LHU74"/>
      <c r="LHV74"/>
      <c r="LHW74"/>
      <c r="LHX74"/>
      <c r="LHY74"/>
      <c r="LHZ74"/>
      <c r="LIA74"/>
      <c r="LIB74"/>
      <c r="LIC74"/>
      <c r="LID74"/>
      <c r="LIE74"/>
      <c r="LIF74"/>
      <c r="LIG74"/>
      <c r="LIH74"/>
      <c r="LII74"/>
      <c r="LIJ74"/>
      <c r="LIK74"/>
      <c r="LIL74"/>
      <c r="LIM74"/>
      <c r="LIN74"/>
      <c r="LIO74"/>
      <c r="LIP74"/>
      <c r="LIQ74"/>
      <c r="LIR74"/>
      <c r="LIS74"/>
      <c r="LIT74"/>
      <c r="LIU74"/>
      <c r="LIV74"/>
      <c r="LIW74"/>
      <c r="LIX74"/>
      <c r="LIY74"/>
      <c r="LIZ74"/>
      <c r="LJA74"/>
      <c r="LJB74"/>
      <c r="LJC74"/>
      <c r="LJD74"/>
      <c r="LJE74"/>
      <c r="LJF74"/>
      <c r="LJG74"/>
      <c r="LJH74"/>
      <c r="LJI74"/>
      <c r="LJJ74"/>
      <c r="LJK74"/>
      <c r="LJL74"/>
      <c r="LJM74"/>
      <c r="LJN74"/>
      <c r="LJO74"/>
      <c r="LJP74"/>
      <c r="LJQ74"/>
      <c r="LJR74"/>
      <c r="LJS74"/>
      <c r="LJT74"/>
      <c r="LJU74"/>
      <c r="LJV74"/>
      <c r="LJW74"/>
      <c r="LJX74"/>
      <c r="LJY74"/>
      <c r="LJZ74"/>
      <c r="LKA74"/>
      <c r="LKB74"/>
      <c r="LKC74"/>
      <c r="LKD74"/>
      <c r="LKE74"/>
      <c r="LKF74"/>
      <c r="LKG74"/>
      <c r="LKH74"/>
      <c r="LKI74"/>
      <c r="LKJ74"/>
      <c r="LKK74"/>
      <c r="LKL74"/>
      <c r="LKM74"/>
      <c r="LKN74"/>
      <c r="LKO74"/>
      <c r="LKP74"/>
      <c r="LKQ74"/>
      <c r="LKR74"/>
      <c r="LKS74"/>
      <c r="LKT74"/>
      <c r="LKU74"/>
      <c r="LKV74"/>
      <c r="LKW74"/>
      <c r="LKX74"/>
      <c r="LKY74"/>
      <c r="LKZ74"/>
      <c r="LLA74"/>
      <c r="LLB74"/>
      <c r="LLC74"/>
      <c r="LLD74"/>
      <c r="LLE74"/>
      <c r="LLF74"/>
      <c r="LLG74"/>
      <c r="LLH74"/>
      <c r="LLI74"/>
      <c r="LLJ74"/>
      <c r="LLK74"/>
      <c r="LLL74"/>
      <c r="LLM74"/>
      <c r="LLN74"/>
      <c r="LLO74"/>
      <c r="LLP74"/>
      <c r="LLQ74"/>
      <c r="LLR74"/>
      <c r="LLS74"/>
      <c r="LLT74"/>
      <c r="LLU74"/>
      <c r="LLV74"/>
      <c r="LLW74"/>
      <c r="LLX74"/>
      <c r="LLY74"/>
      <c r="LLZ74"/>
      <c r="LMA74"/>
      <c r="LMB74"/>
      <c r="LMC74"/>
      <c r="LMD74"/>
      <c r="LME74"/>
      <c r="LMF74"/>
      <c r="LMG74"/>
      <c r="LMH74"/>
      <c r="LMI74"/>
      <c r="LMJ74"/>
      <c r="LMK74"/>
      <c r="LML74"/>
      <c r="LMM74"/>
      <c r="LMN74"/>
      <c r="LMO74"/>
      <c r="LMP74"/>
      <c r="LMQ74"/>
      <c r="LMR74"/>
      <c r="LMS74"/>
      <c r="LMT74"/>
      <c r="LMU74"/>
      <c r="LMV74"/>
      <c r="LMW74"/>
      <c r="LMX74"/>
      <c r="LMY74"/>
      <c r="LMZ74"/>
      <c r="LNA74"/>
      <c r="LNB74"/>
      <c r="LNC74"/>
      <c r="LND74"/>
      <c r="LNE74"/>
      <c r="LNF74"/>
      <c r="LNG74"/>
      <c r="LNH74"/>
      <c r="LNI74"/>
      <c r="LNJ74"/>
      <c r="LNK74"/>
      <c r="LNL74"/>
      <c r="LNM74"/>
      <c r="LNN74"/>
      <c r="LNO74"/>
      <c r="LNP74"/>
      <c r="LNQ74"/>
      <c r="LNR74"/>
      <c r="LNS74"/>
      <c r="LNT74"/>
      <c r="LNU74"/>
      <c r="LNV74"/>
      <c r="LNW74"/>
      <c r="LNX74"/>
      <c r="LNY74"/>
      <c r="LNZ74"/>
      <c r="LOA74"/>
      <c r="LOB74"/>
      <c r="LOC74"/>
      <c r="LOD74"/>
      <c r="LOE74"/>
      <c r="LOF74"/>
      <c r="LOG74"/>
      <c r="LOH74"/>
      <c r="LOI74"/>
      <c r="LOJ74"/>
      <c r="LOK74"/>
      <c r="LOL74"/>
      <c r="LOM74"/>
      <c r="LON74"/>
      <c r="LOO74"/>
      <c r="LOP74"/>
      <c r="LOQ74"/>
      <c r="LOR74"/>
      <c r="LOS74"/>
      <c r="LOT74"/>
      <c r="LOU74"/>
      <c r="LOV74"/>
      <c r="LOW74"/>
      <c r="LOX74"/>
      <c r="LOY74"/>
      <c r="LOZ74"/>
      <c r="LPA74"/>
      <c r="LPB74"/>
      <c r="LPC74"/>
      <c r="LPD74"/>
      <c r="LPE74"/>
      <c r="LPF74"/>
      <c r="LPG74"/>
      <c r="LPH74"/>
      <c r="LPI74"/>
      <c r="LPJ74"/>
      <c r="LPK74"/>
      <c r="LPL74"/>
      <c r="LPM74"/>
      <c r="LPN74"/>
      <c r="LPO74"/>
      <c r="LPP74"/>
      <c r="LPQ74"/>
      <c r="LPR74"/>
      <c r="LPS74"/>
      <c r="LPT74"/>
      <c r="LPU74"/>
      <c r="LPV74"/>
      <c r="LPW74"/>
      <c r="LPX74"/>
      <c r="LPY74"/>
      <c r="LPZ74"/>
      <c r="LQA74"/>
      <c r="LQB74"/>
      <c r="LQC74"/>
      <c r="LQD74"/>
      <c r="LQE74"/>
      <c r="LQF74"/>
      <c r="LQG74"/>
      <c r="LQH74"/>
      <c r="LQI74"/>
      <c r="LQJ74"/>
      <c r="LQK74"/>
      <c r="LQL74"/>
      <c r="LQM74"/>
      <c r="LQN74"/>
      <c r="LQO74"/>
      <c r="LQP74"/>
      <c r="LQQ74"/>
      <c r="LQR74"/>
      <c r="LQS74"/>
      <c r="LQT74"/>
      <c r="LQU74"/>
      <c r="LQV74"/>
      <c r="LQW74"/>
      <c r="LQX74"/>
      <c r="LQY74"/>
      <c r="LQZ74"/>
      <c r="LRA74"/>
      <c r="LRB74"/>
      <c r="LRC74"/>
      <c r="LRD74"/>
      <c r="LRE74"/>
      <c r="LRF74"/>
      <c r="LRG74"/>
      <c r="LRH74"/>
      <c r="LRI74"/>
      <c r="LRJ74"/>
      <c r="LRK74"/>
      <c r="LRL74"/>
      <c r="LRM74"/>
      <c r="LRN74"/>
      <c r="LRO74"/>
      <c r="LRP74"/>
      <c r="LRQ74"/>
      <c r="LRR74"/>
      <c r="LRS74"/>
      <c r="LRT74"/>
      <c r="LRU74"/>
      <c r="LRV74"/>
      <c r="LRW74"/>
      <c r="LRX74"/>
      <c r="LRY74"/>
      <c r="LRZ74"/>
      <c r="LSA74"/>
      <c r="LSB74"/>
      <c r="LSC74"/>
      <c r="LSD74"/>
      <c r="LSE74"/>
      <c r="LSF74"/>
      <c r="LSG74"/>
      <c r="LSH74"/>
      <c r="LSI74"/>
      <c r="LSJ74"/>
      <c r="LSK74"/>
      <c r="LSL74"/>
      <c r="LSM74"/>
      <c r="LSN74"/>
      <c r="LSO74"/>
      <c r="LSP74"/>
      <c r="LSQ74"/>
      <c r="LSR74"/>
      <c r="LSS74"/>
      <c r="LST74"/>
      <c r="LSU74"/>
      <c r="LSV74"/>
      <c r="LSW74"/>
      <c r="LSX74"/>
      <c r="LSY74"/>
      <c r="LSZ74"/>
      <c r="LTA74"/>
      <c r="LTB74"/>
      <c r="LTC74"/>
      <c r="LTD74"/>
      <c r="LTE74"/>
      <c r="LTF74"/>
      <c r="LTG74"/>
      <c r="LTH74"/>
      <c r="LTI74"/>
      <c r="LTJ74"/>
      <c r="LTK74"/>
      <c r="LTL74"/>
      <c r="LTM74"/>
      <c r="LTN74"/>
      <c r="LTO74"/>
      <c r="LTP74"/>
      <c r="LTQ74"/>
      <c r="LTR74"/>
      <c r="LTS74"/>
      <c r="LTT74"/>
      <c r="LTU74"/>
      <c r="LTV74"/>
      <c r="LTW74"/>
      <c r="LTX74"/>
      <c r="LTY74"/>
      <c r="LTZ74"/>
      <c r="LUA74"/>
      <c r="LUB74"/>
      <c r="LUC74"/>
      <c r="LUD74"/>
      <c r="LUE74"/>
      <c r="LUF74"/>
      <c r="LUG74"/>
      <c r="LUH74"/>
      <c r="LUI74"/>
      <c r="LUJ74"/>
      <c r="LUK74"/>
      <c r="LUL74"/>
      <c r="LUM74"/>
      <c r="LUN74"/>
      <c r="LUO74"/>
      <c r="LUP74"/>
      <c r="LUQ74"/>
      <c r="LUR74"/>
      <c r="LUS74"/>
      <c r="LUT74"/>
      <c r="LUU74"/>
      <c r="LUV74"/>
      <c r="LUW74"/>
      <c r="LUX74"/>
      <c r="LUY74"/>
      <c r="LUZ74"/>
      <c r="LVA74"/>
      <c r="LVB74"/>
      <c r="LVC74"/>
      <c r="LVD74"/>
      <c r="LVE74"/>
      <c r="LVF74"/>
      <c r="LVG74"/>
      <c r="LVH74"/>
      <c r="LVI74"/>
      <c r="LVJ74"/>
      <c r="LVK74"/>
      <c r="LVL74"/>
      <c r="LVM74"/>
      <c r="LVN74"/>
      <c r="LVO74"/>
      <c r="LVP74"/>
      <c r="LVQ74"/>
      <c r="LVR74"/>
      <c r="LVS74"/>
      <c r="LVT74"/>
      <c r="LVU74"/>
      <c r="LVV74"/>
      <c r="LVW74"/>
      <c r="LVX74"/>
      <c r="LVY74"/>
      <c r="LVZ74"/>
      <c r="LWA74"/>
      <c r="LWB74"/>
      <c r="LWC74"/>
      <c r="LWD74"/>
      <c r="LWE74"/>
      <c r="LWF74"/>
      <c r="LWG74"/>
      <c r="LWH74"/>
      <c r="LWI74"/>
      <c r="LWJ74"/>
      <c r="LWK74"/>
      <c r="LWL74"/>
      <c r="LWM74"/>
      <c r="LWN74"/>
      <c r="LWO74"/>
      <c r="LWP74"/>
      <c r="LWQ74"/>
      <c r="LWR74"/>
      <c r="LWS74"/>
      <c r="LWT74"/>
      <c r="LWU74"/>
      <c r="LWV74"/>
      <c r="LWW74"/>
      <c r="LWX74"/>
      <c r="LWY74"/>
      <c r="LWZ74"/>
      <c r="LXA74"/>
      <c r="LXB74"/>
      <c r="LXC74"/>
      <c r="LXD74"/>
      <c r="LXE74"/>
      <c r="LXF74"/>
      <c r="LXG74"/>
      <c r="LXH74"/>
      <c r="LXI74"/>
      <c r="LXJ74"/>
      <c r="LXK74"/>
      <c r="LXL74"/>
      <c r="LXM74"/>
      <c r="LXN74"/>
      <c r="LXO74"/>
      <c r="LXP74"/>
      <c r="LXQ74"/>
      <c r="LXR74"/>
      <c r="LXS74"/>
      <c r="LXT74"/>
      <c r="LXU74"/>
      <c r="LXV74"/>
      <c r="LXW74"/>
      <c r="LXX74"/>
      <c r="LXY74"/>
      <c r="LXZ74"/>
      <c r="LYA74"/>
      <c r="LYB74"/>
      <c r="LYC74"/>
      <c r="LYD74"/>
      <c r="LYE74"/>
      <c r="LYF74"/>
      <c r="LYG74"/>
      <c r="LYH74"/>
      <c r="LYI74"/>
      <c r="LYJ74"/>
      <c r="LYK74"/>
      <c r="LYL74"/>
      <c r="LYM74"/>
      <c r="LYN74"/>
      <c r="LYO74"/>
      <c r="LYP74"/>
      <c r="LYQ74"/>
      <c r="LYR74"/>
      <c r="LYS74"/>
      <c r="LYT74"/>
      <c r="LYU74"/>
      <c r="LYV74"/>
      <c r="LYW74"/>
      <c r="LYX74"/>
      <c r="LYY74"/>
      <c r="LYZ74"/>
      <c r="LZA74"/>
      <c r="LZB74"/>
      <c r="LZC74"/>
      <c r="LZD74"/>
      <c r="LZE74"/>
      <c r="LZF74"/>
      <c r="LZG74"/>
      <c r="LZH74"/>
      <c r="LZI74"/>
      <c r="LZJ74"/>
      <c r="LZK74"/>
      <c r="LZL74"/>
      <c r="LZM74"/>
      <c r="LZN74"/>
      <c r="LZO74"/>
      <c r="LZP74"/>
      <c r="LZQ74"/>
      <c r="LZR74"/>
      <c r="LZS74"/>
      <c r="LZT74"/>
      <c r="LZU74"/>
      <c r="LZV74"/>
      <c r="LZW74"/>
      <c r="LZX74"/>
      <c r="LZY74"/>
      <c r="LZZ74"/>
      <c r="MAA74"/>
      <c r="MAB74"/>
      <c r="MAC74"/>
      <c r="MAD74"/>
      <c r="MAE74"/>
      <c r="MAF74"/>
      <c r="MAG74"/>
      <c r="MAH74"/>
      <c r="MAI74"/>
      <c r="MAJ74"/>
      <c r="MAK74"/>
      <c r="MAL74"/>
      <c r="MAM74"/>
      <c r="MAN74"/>
      <c r="MAO74"/>
      <c r="MAP74"/>
      <c r="MAQ74"/>
      <c r="MAR74"/>
      <c r="MAS74"/>
      <c r="MAT74"/>
      <c r="MAU74"/>
      <c r="MAV74"/>
      <c r="MAW74"/>
      <c r="MAX74"/>
      <c r="MAY74"/>
      <c r="MAZ74"/>
      <c r="MBA74"/>
      <c r="MBB74"/>
      <c r="MBC74"/>
      <c r="MBD74"/>
      <c r="MBE74"/>
      <c r="MBF74"/>
      <c r="MBG74"/>
      <c r="MBH74"/>
      <c r="MBI74"/>
      <c r="MBJ74"/>
      <c r="MBK74"/>
      <c r="MBL74"/>
      <c r="MBM74"/>
      <c r="MBN74"/>
      <c r="MBO74"/>
      <c r="MBP74"/>
      <c r="MBQ74"/>
      <c r="MBR74"/>
      <c r="MBS74"/>
      <c r="MBT74"/>
      <c r="MBU74"/>
      <c r="MBV74"/>
      <c r="MBW74"/>
      <c r="MBX74"/>
      <c r="MBY74"/>
      <c r="MBZ74"/>
      <c r="MCA74"/>
      <c r="MCB74"/>
      <c r="MCC74"/>
      <c r="MCD74"/>
      <c r="MCE74"/>
      <c r="MCF74"/>
      <c r="MCG74"/>
      <c r="MCH74"/>
      <c r="MCI74"/>
      <c r="MCJ74"/>
      <c r="MCK74"/>
      <c r="MCL74"/>
      <c r="MCM74"/>
      <c r="MCN74"/>
      <c r="MCO74"/>
      <c r="MCP74"/>
      <c r="MCQ74"/>
      <c r="MCR74"/>
      <c r="MCS74"/>
      <c r="MCT74"/>
      <c r="MCU74"/>
      <c r="MCV74"/>
      <c r="MCW74"/>
      <c r="MCX74"/>
      <c r="MCY74"/>
      <c r="MCZ74"/>
      <c r="MDA74"/>
      <c r="MDB74"/>
      <c r="MDC74"/>
      <c r="MDD74"/>
      <c r="MDE74"/>
      <c r="MDF74"/>
      <c r="MDG74"/>
      <c r="MDH74"/>
      <c r="MDI74"/>
      <c r="MDJ74"/>
      <c r="MDK74"/>
      <c r="MDL74"/>
      <c r="MDM74"/>
      <c r="MDN74"/>
      <c r="MDO74"/>
      <c r="MDP74"/>
      <c r="MDQ74"/>
      <c r="MDR74"/>
      <c r="MDS74"/>
      <c r="MDT74"/>
      <c r="MDU74"/>
      <c r="MDV74"/>
      <c r="MDW74"/>
      <c r="MDX74"/>
      <c r="MDY74"/>
      <c r="MDZ74"/>
      <c r="MEA74"/>
      <c r="MEB74"/>
      <c r="MEC74"/>
      <c r="MED74"/>
      <c r="MEE74"/>
      <c r="MEF74"/>
      <c r="MEG74"/>
      <c r="MEH74"/>
      <c r="MEI74"/>
      <c r="MEJ74"/>
      <c r="MEK74"/>
      <c r="MEL74"/>
      <c r="MEM74"/>
      <c r="MEN74"/>
      <c r="MEO74"/>
      <c r="MEP74"/>
      <c r="MEQ74"/>
      <c r="MER74"/>
      <c r="MES74"/>
      <c r="MET74"/>
      <c r="MEU74"/>
      <c r="MEV74"/>
      <c r="MEW74"/>
      <c r="MEX74"/>
      <c r="MEY74"/>
      <c r="MEZ74"/>
      <c r="MFA74"/>
      <c r="MFB74"/>
      <c r="MFC74"/>
      <c r="MFD74"/>
      <c r="MFE74"/>
      <c r="MFF74"/>
      <c r="MFG74"/>
      <c r="MFH74"/>
      <c r="MFI74"/>
      <c r="MFJ74"/>
      <c r="MFK74"/>
      <c r="MFL74"/>
      <c r="MFM74"/>
      <c r="MFN74"/>
      <c r="MFO74"/>
      <c r="MFP74"/>
      <c r="MFQ74"/>
      <c r="MFR74"/>
      <c r="MFS74"/>
      <c r="MFT74"/>
      <c r="MFU74"/>
      <c r="MFV74"/>
      <c r="MFW74"/>
      <c r="MFX74"/>
      <c r="MFY74"/>
      <c r="MFZ74"/>
      <c r="MGA74"/>
      <c r="MGB74"/>
      <c r="MGC74"/>
      <c r="MGD74"/>
      <c r="MGE74"/>
      <c r="MGF74"/>
      <c r="MGG74"/>
      <c r="MGH74"/>
      <c r="MGI74"/>
      <c r="MGJ74"/>
      <c r="MGK74"/>
      <c r="MGL74"/>
      <c r="MGM74"/>
      <c r="MGN74"/>
      <c r="MGO74"/>
      <c r="MGP74"/>
      <c r="MGQ74"/>
      <c r="MGR74"/>
      <c r="MGS74"/>
      <c r="MGT74"/>
      <c r="MGU74"/>
      <c r="MGV74"/>
      <c r="MGW74"/>
      <c r="MGX74"/>
      <c r="MGY74"/>
      <c r="MGZ74"/>
      <c r="MHA74"/>
      <c r="MHB74"/>
      <c r="MHC74"/>
      <c r="MHD74"/>
      <c r="MHE74"/>
      <c r="MHF74"/>
      <c r="MHG74"/>
      <c r="MHH74"/>
      <c r="MHI74"/>
      <c r="MHJ74"/>
      <c r="MHK74"/>
      <c r="MHL74"/>
      <c r="MHM74"/>
      <c r="MHN74"/>
      <c r="MHO74"/>
      <c r="MHP74"/>
      <c r="MHQ74"/>
      <c r="MHR74"/>
      <c r="MHS74"/>
      <c r="MHT74"/>
      <c r="MHU74"/>
      <c r="MHV74"/>
      <c r="MHW74"/>
      <c r="MHX74"/>
      <c r="MHY74"/>
      <c r="MHZ74"/>
      <c r="MIA74"/>
      <c r="MIB74"/>
      <c r="MIC74"/>
      <c r="MID74"/>
      <c r="MIE74"/>
      <c r="MIF74"/>
      <c r="MIG74"/>
      <c r="MIH74"/>
      <c r="MII74"/>
      <c r="MIJ74"/>
      <c r="MIK74"/>
      <c r="MIL74"/>
      <c r="MIM74"/>
      <c r="MIN74"/>
      <c r="MIO74"/>
      <c r="MIP74"/>
      <c r="MIQ74"/>
      <c r="MIR74"/>
      <c r="MIS74"/>
      <c r="MIT74"/>
      <c r="MIU74"/>
      <c r="MIV74"/>
      <c r="MIW74"/>
      <c r="MIX74"/>
      <c r="MIY74"/>
      <c r="MIZ74"/>
      <c r="MJA74"/>
      <c r="MJB74"/>
      <c r="MJC74"/>
      <c r="MJD74"/>
      <c r="MJE74"/>
      <c r="MJF74"/>
      <c r="MJG74"/>
      <c r="MJH74"/>
      <c r="MJI74"/>
      <c r="MJJ74"/>
      <c r="MJK74"/>
      <c r="MJL74"/>
      <c r="MJM74"/>
      <c r="MJN74"/>
      <c r="MJO74"/>
      <c r="MJP74"/>
      <c r="MJQ74"/>
      <c r="MJR74"/>
      <c r="MJS74"/>
      <c r="MJT74"/>
      <c r="MJU74"/>
      <c r="MJV74"/>
      <c r="MJW74"/>
      <c r="MJX74"/>
      <c r="MJY74"/>
      <c r="MJZ74"/>
      <c r="MKA74"/>
      <c r="MKB74"/>
      <c r="MKC74"/>
      <c r="MKD74"/>
      <c r="MKE74"/>
      <c r="MKF74"/>
      <c r="MKG74"/>
      <c r="MKH74"/>
      <c r="MKI74"/>
      <c r="MKJ74"/>
      <c r="MKK74"/>
      <c r="MKL74"/>
      <c r="MKM74"/>
      <c r="MKN74"/>
      <c r="MKO74"/>
      <c r="MKP74"/>
      <c r="MKQ74"/>
      <c r="MKR74"/>
      <c r="MKS74"/>
      <c r="MKT74"/>
      <c r="MKU74"/>
      <c r="MKV74"/>
      <c r="MKW74"/>
      <c r="MKX74"/>
      <c r="MKY74"/>
      <c r="MKZ74"/>
      <c r="MLA74"/>
      <c r="MLB74"/>
      <c r="MLC74"/>
      <c r="MLD74"/>
      <c r="MLE74"/>
      <c r="MLF74"/>
      <c r="MLG74"/>
      <c r="MLH74"/>
      <c r="MLI74"/>
      <c r="MLJ74"/>
      <c r="MLK74"/>
      <c r="MLL74"/>
      <c r="MLM74"/>
      <c r="MLN74"/>
      <c r="MLO74"/>
      <c r="MLP74"/>
      <c r="MLQ74"/>
      <c r="MLR74"/>
      <c r="MLS74"/>
      <c r="MLT74"/>
      <c r="MLU74"/>
      <c r="MLV74"/>
      <c r="MLW74"/>
      <c r="MLX74"/>
      <c r="MLY74"/>
      <c r="MLZ74"/>
      <c r="MMA74"/>
      <c r="MMB74"/>
      <c r="MMC74"/>
      <c r="MMD74"/>
      <c r="MME74"/>
      <c r="MMF74"/>
      <c r="MMG74"/>
      <c r="MMH74"/>
      <c r="MMI74"/>
      <c r="MMJ74"/>
      <c r="MMK74"/>
      <c r="MML74"/>
      <c r="MMM74"/>
      <c r="MMN74"/>
      <c r="MMO74"/>
      <c r="MMP74"/>
      <c r="MMQ74"/>
      <c r="MMR74"/>
      <c r="MMS74"/>
      <c r="MMT74"/>
      <c r="MMU74"/>
      <c r="MMV74"/>
      <c r="MMW74"/>
      <c r="MMX74"/>
      <c r="MMY74"/>
      <c r="MMZ74"/>
      <c r="MNA74"/>
      <c r="MNB74"/>
      <c r="MNC74"/>
      <c r="MND74"/>
      <c r="MNE74"/>
      <c r="MNF74"/>
      <c r="MNG74"/>
      <c r="MNH74"/>
      <c r="MNI74"/>
      <c r="MNJ74"/>
      <c r="MNK74"/>
      <c r="MNL74"/>
      <c r="MNM74"/>
      <c r="MNN74"/>
      <c r="MNO74"/>
      <c r="MNP74"/>
      <c r="MNQ74"/>
      <c r="MNR74"/>
      <c r="MNS74"/>
      <c r="MNT74"/>
      <c r="MNU74"/>
      <c r="MNV74"/>
      <c r="MNW74"/>
      <c r="MNX74"/>
      <c r="MNY74"/>
      <c r="MNZ74"/>
      <c r="MOA74"/>
      <c r="MOB74"/>
      <c r="MOC74"/>
      <c r="MOD74"/>
      <c r="MOE74"/>
      <c r="MOF74"/>
      <c r="MOG74"/>
      <c r="MOH74"/>
      <c r="MOI74"/>
      <c r="MOJ74"/>
      <c r="MOK74"/>
      <c r="MOL74"/>
      <c r="MOM74"/>
      <c r="MON74"/>
      <c r="MOO74"/>
      <c r="MOP74"/>
      <c r="MOQ74"/>
      <c r="MOR74"/>
      <c r="MOS74"/>
      <c r="MOT74"/>
      <c r="MOU74"/>
      <c r="MOV74"/>
      <c r="MOW74"/>
      <c r="MOX74"/>
      <c r="MOY74"/>
      <c r="MOZ74"/>
      <c r="MPA74"/>
      <c r="MPB74"/>
      <c r="MPC74"/>
      <c r="MPD74"/>
      <c r="MPE74"/>
      <c r="MPF74"/>
      <c r="MPG74"/>
      <c r="MPH74"/>
      <c r="MPI74"/>
      <c r="MPJ74"/>
      <c r="MPK74"/>
      <c r="MPL74"/>
      <c r="MPM74"/>
      <c r="MPN74"/>
      <c r="MPO74"/>
      <c r="MPP74"/>
      <c r="MPQ74"/>
      <c r="MPR74"/>
      <c r="MPS74"/>
      <c r="MPT74"/>
      <c r="MPU74"/>
      <c r="MPV74"/>
      <c r="MPW74"/>
      <c r="MPX74"/>
      <c r="MPY74"/>
      <c r="MPZ74"/>
      <c r="MQA74"/>
      <c r="MQB74"/>
      <c r="MQC74"/>
      <c r="MQD74"/>
      <c r="MQE74"/>
      <c r="MQF74"/>
      <c r="MQG74"/>
      <c r="MQH74"/>
      <c r="MQI74"/>
      <c r="MQJ74"/>
      <c r="MQK74"/>
      <c r="MQL74"/>
      <c r="MQM74"/>
      <c r="MQN74"/>
      <c r="MQO74"/>
      <c r="MQP74"/>
      <c r="MQQ74"/>
      <c r="MQR74"/>
      <c r="MQS74"/>
      <c r="MQT74"/>
      <c r="MQU74"/>
      <c r="MQV74"/>
      <c r="MQW74"/>
      <c r="MQX74"/>
      <c r="MQY74"/>
      <c r="MQZ74"/>
      <c r="MRA74"/>
      <c r="MRB74"/>
      <c r="MRC74"/>
      <c r="MRD74"/>
      <c r="MRE74"/>
      <c r="MRF74"/>
      <c r="MRG74"/>
      <c r="MRH74"/>
      <c r="MRI74"/>
      <c r="MRJ74"/>
      <c r="MRK74"/>
      <c r="MRL74"/>
      <c r="MRM74"/>
      <c r="MRN74"/>
      <c r="MRO74"/>
      <c r="MRP74"/>
      <c r="MRQ74"/>
      <c r="MRR74"/>
      <c r="MRS74"/>
      <c r="MRT74"/>
      <c r="MRU74"/>
      <c r="MRV74"/>
      <c r="MRW74"/>
      <c r="MRX74"/>
      <c r="MRY74"/>
      <c r="MRZ74"/>
      <c r="MSA74"/>
      <c r="MSB74"/>
      <c r="MSC74"/>
      <c r="MSD74"/>
      <c r="MSE74"/>
      <c r="MSF74"/>
      <c r="MSG74"/>
      <c r="MSH74"/>
      <c r="MSI74"/>
      <c r="MSJ74"/>
      <c r="MSK74"/>
      <c r="MSL74"/>
      <c r="MSM74"/>
      <c r="MSN74"/>
      <c r="MSO74"/>
      <c r="MSP74"/>
      <c r="MSQ74"/>
      <c r="MSR74"/>
      <c r="MSS74"/>
      <c r="MST74"/>
      <c r="MSU74"/>
      <c r="MSV74"/>
      <c r="MSW74"/>
      <c r="MSX74"/>
      <c r="MSY74"/>
      <c r="MSZ74"/>
      <c r="MTA74"/>
      <c r="MTB74"/>
      <c r="MTC74"/>
      <c r="MTD74"/>
      <c r="MTE74"/>
      <c r="MTF74"/>
      <c r="MTG74"/>
      <c r="MTH74"/>
      <c r="MTI74"/>
      <c r="MTJ74"/>
      <c r="MTK74"/>
      <c r="MTL74"/>
      <c r="MTM74"/>
      <c r="MTN74"/>
      <c r="MTO74"/>
      <c r="MTP74"/>
      <c r="MTQ74"/>
      <c r="MTR74"/>
      <c r="MTS74"/>
      <c r="MTT74"/>
      <c r="MTU74"/>
      <c r="MTV74"/>
      <c r="MTW74"/>
      <c r="MTX74"/>
      <c r="MTY74"/>
      <c r="MTZ74"/>
      <c r="MUA74"/>
      <c r="MUB74"/>
      <c r="MUC74"/>
      <c r="MUD74"/>
      <c r="MUE74"/>
      <c r="MUF74"/>
      <c r="MUG74"/>
      <c r="MUH74"/>
      <c r="MUI74"/>
      <c r="MUJ74"/>
      <c r="MUK74"/>
      <c r="MUL74"/>
      <c r="MUM74"/>
      <c r="MUN74"/>
      <c r="MUO74"/>
      <c r="MUP74"/>
      <c r="MUQ74"/>
      <c r="MUR74"/>
      <c r="MUS74"/>
      <c r="MUT74"/>
      <c r="MUU74"/>
      <c r="MUV74"/>
      <c r="MUW74"/>
      <c r="MUX74"/>
      <c r="MUY74"/>
      <c r="MUZ74"/>
      <c r="MVA74"/>
      <c r="MVB74"/>
      <c r="MVC74"/>
      <c r="MVD74"/>
      <c r="MVE74"/>
      <c r="MVF74"/>
      <c r="MVG74"/>
      <c r="MVH74"/>
      <c r="MVI74"/>
      <c r="MVJ74"/>
      <c r="MVK74"/>
      <c r="MVL74"/>
      <c r="MVM74"/>
      <c r="MVN74"/>
      <c r="MVO74"/>
      <c r="MVP74"/>
      <c r="MVQ74"/>
      <c r="MVR74"/>
      <c r="MVS74"/>
      <c r="MVT74"/>
      <c r="MVU74"/>
      <c r="MVV74"/>
      <c r="MVW74"/>
      <c r="MVX74"/>
      <c r="MVY74"/>
      <c r="MVZ74"/>
      <c r="MWA74"/>
      <c r="MWB74"/>
      <c r="MWC74"/>
      <c r="MWD74"/>
      <c r="MWE74"/>
      <c r="MWF74"/>
      <c r="MWG74"/>
      <c r="MWH74"/>
      <c r="MWI74"/>
      <c r="MWJ74"/>
      <c r="MWK74"/>
      <c r="MWL74"/>
      <c r="MWM74"/>
      <c r="MWN74"/>
      <c r="MWO74"/>
      <c r="MWP74"/>
      <c r="MWQ74"/>
      <c r="MWR74"/>
      <c r="MWS74"/>
      <c r="MWT74"/>
      <c r="MWU74"/>
      <c r="MWV74"/>
      <c r="MWW74"/>
      <c r="MWX74"/>
      <c r="MWY74"/>
      <c r="MWZ74"/>
      <c r="MXA74"/>
      <c r="MXB74"/>
      <c r="MXC74"/>
      <c r="MXD74"/>
      <c r="MXE74"/>
      <c r="MXF74"/>
      <c r="MXG74"/>
      <c r="MXH74"/>
      <c r="MXI74"/>
      <c r="MXJ74"/>
      <c r="MXK74"/>
      <c r="MXL74"/>
      <c r="MXM74"/>
      <c r="MXN74"/>
      <c r="MXO74"/>
      <c r="MXP74"/>
      <c r="MXQ74"/>
      <c r="MXR74"/>
      <c r="MXS74"/>
      <c r="MXT74"/>
      <c r="MXU74"/>
      <c r="MXV74"/>
      <c r="MXW74"/>
      <c r="MXX74"/>
      <c r="MXY74"/>
      <c r="MXZ74"/>
      <c r="MYA74"/>
      <c r="MYB74"/>
      <c r="MYC74"/>
      <c r="MYD74"/>
      <c r="MYE74"/>
      <c r="MYF74"/>
      <c r="MYG74"/>
      <c r="MYH74"/>
      <c r="MYI74"/>
      <c r="MYJ74"/>
      <c r="MYK74"/>
      <c r="MYL74"/>
      <c r="MYM74"/>
      <c r="MYN74"/>
      <c r="MYO74"/>
      <c r="MYP74"/>
      <c r="MYQ74"/>
      <c r="MYR74"/>
      <c r="MYS74"/>
      <c r="MYT74"/>
      <c r="MYU74"/>
      <c r="MYV74"/>
      <c r="MYW74"/>
      <c r="MYX74"/>
      <c r="MYY74"/>
      <c r="MYZ74"/>
      <c r="MZA74"/>
      <c r="MZB74"/>
      <c r="MZC74"/>
      <c r="MZD74"/>
      <c r="MZE74"/>
      <c r="MZF74"/>
      <c r="MZG74"/>
      <c r="MZH74"/>
      <c r="MZI74"/>
      <c r="MZJ74"/>
      <c r="MZK74"/>
      <c r="MZL74"/>
      <c r="MZM74"/>
      <c r="MZN74"/>
      <c r="MZO74"/>
      <c r="MZP74"/>
      <c r="MZQ74"/>
      <c r="MZR74"/>
      <c r="MZS74"/>
      <c r="MZT74"/>
      <c r="MZU74"/>
      <c r="MZV74"/>
      <c r="MZW74"/>
      <c r="MZX74"/>
      <c r="MZY74"/>
      <c r="MZZ74"/>
      <c r="NAA74"/>
      <c r="NAB74"/>
      <c r="NAC74"/>
      <c r="NAD74"/>
      <c r="NAE74"/>
      <c r="NAF74"/>
      <c r="NAG74"/>
      <c r="NAH74"/>
      <c r="NAI74"/>
      <c r="NAJ74"/>
      <c r="NAK74"/>
      <c r="NAL74"/>
      <c r="NAM74"/>
      <c r="NAN74"/>
      <c r="NAO74"/>
      <c r="NAP74"/>
      <c r="NAQ74"/>
      <c r="NAR74"/>
      <c r="NAS74"/>
      <c r="NAT74"/>
      <c r="NAU74"/>
      <c r="NAV74"/>
      <c r="NAW74"/>
      <c r="NAX74"/>
      <c r="NAY74"/>
      <c r="NAZ74"/>
      <c r="NBA74"/>
      <c r="NBB74"/>
      <c r="NBC74"/>
      <c r="NBD74"/>
      <c r="NBE74"/>
      <c r="NBF74"/>
      <c r="NBG74"/>
      <c r="NBH74"/>
      <c r="NBI74"/>
      <c r="NBJ74"/>
      <c r="NBK74"/>
      <c r="NBL74"/>
      <c r="NBM74"/>
      <c r="NBN74"/>
      <c r="NBO74"/>
      <c r="NBP74"/>
      <c r="NBQ74"/>
      <c r="NBR74"/>
      <c r="NBS74"/>
      <c r="NBT74"/>
      <c r="NBU74"/>
      <c r="NBV74"/>
      <c r="NBW74"/>
      <c r="NBX74"/>
      <c r="NBY74"/>
      <c r="NBZ74"/>
      <c r="NCA74"/>
      <c r="NCB74"/>
      <c r="NCC74"/>
      <c r="NCD74"/>
      <c r="NCE74"/>
      <c r="NCF74"/>
      <c r="NCG74"/>
      <c r="NCH74"/>
      <c r="NCI74"/>
      <c r="NCJ74"/>
      <c r="NCK74"/>
      <c r="NCL74"/>
      <c r="NCM74"/>
      <c r="NCN74"/>
      <c r="NCO74"/>
      <c r="NCP74"/>
      <c r="NCQ74"/>
      <c r="NCR74"/>
      <c r="NCS74"/>
      <c r="NCT74"/>
      <c r="NCU74"/>
      <c r="NCV74"/>
      <c r="NCW74"/>
      <c r="NCX74"/>
      <c r="NCY74"/>
      <c r="NCZ74"/>
      <c r="NDA74"/>
      <c r="NDB74"/>
      <c r="NDC74"/>
      <c r="NDD74"/>
      <c r="NDE74"/>
      <c r="NDF74"/>
      <c r="NDG74"/>
      <c r="NDH74"/>
      <c r="NDI74"/>
      <c r="NDJ74"/>
      <c r="NDK74"/>
      <c r="NDL74"/>
      <c r="NDM74"/>
      <c r="NDN74"/>
      <c r="NDO74"/>
      <c r="NDP74"/>
      <c r="NDQ74"/>
      <c r="NDR74"/>
      <c r="NDS74"/>
      <c r="NDT74"/>
      <c r="NDU74"/>
      <c r="NDV74"/>
      <c r="NDW74"/>
      <c r="NDX74"/>
      <c r="NDY74"/>
      <c r="NDZ74"/>
      <c r="NEA74"/>
      <c r="NEB74"/>
      <c r="NEC74"/>
      <c r="NED74"/>
      <c r="NEE74"/>
      <c r="NEF74"/>
      <c r="NEG74"/>
      <c r="NEH74"/>
      <c r="NEI74"/>
      <c r="NEJ74"/>
      <c r="NEK74"/>
      <c r="NEL74"/>
      <c r="NEM74"/>
      <c r="NEN74"/>
      <c r="NEO74"/>
      <c r="NEP74"/>
      <c r="NEQ74"/>
      <c r="NER74"/>
      <c r="NES74"/>
      <c r="NET74"/>
      <c r="NEU74"/>
      <c r="NEV74"/>
      <c r="NEW74"/>
      <c r="NEX74"/>
      <c r="NEY74"/>
      <c r="NEZ74"/>
      <c r="NFA74"/>
      <c r="NFB74"/>
      <c r="NFC74"/>
      <c r="NFD74"/>
      <c r="NFE74"/>
      <c r="NFF74"/>
      <c r="NFG74"/>
      <c r="NFH74"/>
      <c r="NFI74"/>
      <c r="NFJ74"/>
      <c r="NFK74"/>
      <c r="NFL74"/>
      <c r="NFM74"/>
      <c r="NFN74"/>
      <c r="NFO74"/>
      <c r="NFP74"/>
      <c r="NFQ74"/>
      <c r="NFR74"/>
      <c r="NFS74"/>
      <c r="NFT74"/>
      <c r="NFU74"/>
      <c r="NFV74"/>
      <c r="NFW74"/>
      <c r="NFX74"/>
      <c r="NFY74"/>
      <c r="NFZ74"/>
      <c r="NGA74"/>
      <c r="NGB74"/>
      <c r="NGC74"/>
      <c r="NGD74"/>
      <c r="NGE74"/>
      <c r="NGF74"/>
      <c r="NGG74"/>
      <c r="NGH74"/>
      <c r="NGI74"/>
      <c r="NGJ74"/>
      <c r="NGK74"/>
      <c r="NGL74"/>
      <c r="NGM74"/>
      <c r="NGN74"/>
      <c r="NGO74"/>
      <c r="NGP74"/>
      <c r="NGQ74"/>
      <c r="NGR74"/>
      <c r="NGS74"/>
      <c r="NGT74"/>
      <c r="NGU74"/>
      <c r="NGV74"/>
      <c r="NGW74"/>
      <c r="NGX74"/>
      <c r="NGY74"/>
      <c r="NGZ74"/>
      <c r="NHA74"/>
      <c r="NHB74"/>
      <c r="NHC74"/>
      <c r="NHD74"/>
      <c r="NHE74"/>
      <c r="NHF74"/>
      <c r="NHG74"/>
      <c r="NHH74"/>
      <c r="NHI74"/>
      <c r="NHJ74"/>
      <c r="NHK74"/>
      <c r="NHL74"/>
      <c r="NHM74"/>
      <c r="NHN74"/>
      <c r="NHO74"/>
      <c r="NHP74"/>
      <c r="NHQ74"/>
      <c r="NHR74"/>
      <c r="NHS74"/>
      <c r="NHT74"/>
      <c r="NHU74"/>
      <c r="NHV74"/>
      <c r="NHW74"/>
      <c r="NHX74"/>
      <c r="NHY74"/>
      <c r="NHZ74"/>
      <c r="NIA74"/>
      <c r="NIB74"/>
      <c r="NIC74"/>
      <c r="NID74"/>
      <c r="NIE74"/>
      <c r="NIF74"/>
      <c r="NIG74"/>
      <c r="NIH74"/>
      <c r="NII74"/>
      <c r="NIJ74"/>
      <c r="NIK74"/>
      <c r="NIL74"/>
      <c r="NIM74"/>
      <c r="NIN74"/>
      <c r="NIO74"/>
      <c r="NIP74"/>
      <c r="NIQ74"/>
      <c r="NIR74"/>
      <c r="NIS74"/>
      <c r="NIT74"/>
      <c r="NIU74"/>
      <c r="NIV74"/>
      <c r="NIW74"/>
      <c r="NIX74"/>
      <c r="NIY74"/>
      <c r="NIZ74"/>
      <c r="NJA74"/>
      <c r="NJB74"/>
      <c r="NJC74"/>
      <c r="NJD74"/>
      <c r="NJE74"/>
      <c r="NJF74"/>
      <c r="NJG74"/>
      <c r="NJH74"/>
      <c r="NJI74"/>
      <c r="NJJ74"/>
      <c r="NJK74"/>
      <c r="NJL74"/>
      <c r="NJM74"/>
      <c r="NJN74"/>
      <c r="NJO74"/>
      <c r="NJP74"/>
      <c r="NJQ74"/>
      <c r="NJR74"/>
      <c r="NJS74"/>
      <c r="NJT74"/>
      <c r="NJU74"/>
      <c r="NJV74"/>
      <c r="NJW74"/>
      <c r="NJX74"/>
      <c r="NJY74"/>
      <c r="NJZ74"/>
      <c r="NKA74"/>
      <c r="NKB74"/>
      <c r="NKC74"/>
      <c r="NKD74"/>
      <c r="NKE74"/>
      <c r="NKF74"/>
      <c r="NKG74"/>
      <c r="NKH74"/>
      <c r="NKI74"/>
      <c r="NKJ74"/>
      <c r="NKK74"/>
      <c r="NKL74"/>
      <c r="NKM74"/>
      <c r="NKN74"/>
      <c r="NKO74"/>
      <c r="NKP74"/>
      <c r="NKQ74"/>
      <c r="NKR74"/>
      <c r="NKS74"/>
      <c r="NKT74"/>
      <c r="NKU74"/>
      <c r="NKV74"/>
      <c r="NKW74"/>
      <c r="NKX74"/>
      <c r="NKY74"/>
      <c r="NKZ74"/>
      <c r="NLA74"/>
      <c r="NLB74"/>
      <c r="NLC74"/>
      <c r="NLD74"/>
      <c r="NLE74"/>
      <c r="NLF74"/>
      <c r="NLG74"/>
      <c r="NLH74"/>
      <c r="NLI74"/>
      <c r="NLJ74"/>
      <c r="NLK74"/>
      <c r="NLL74"/>
      <c r="NLM74"/>
      <c r="NLN74"/>
      <c r="NLO74"/>
      <c r="NLP74"/>
      <c r="NLQ74"/>
      <c r="NLR74"/>
      <c r="NLS74"/>
      <c r="NLT74"/>
      <c r="NLU74"/>
      <c r="NLV74"/>
      <c r="NLW74"/>
      <c r="NLX74"/>
      <c r="NLY74"/>
      <c r="NLZ74"/>
      <c r="NMA74"/>
      <c r="NMB74"/>
      <c r="NMC74"/>
      <c r="NMD74"/>
      <c r="NME74"/>
      <c r="NMF74"/>
      <c r="NMG74"/>
      <c r="NMH74"/>
      <c r="NMI74"/>
      <c r="NMJ74"/>
      <c r="NMK74"/>
      <c r="NML74"/>
      <c r="NMM74"/>
      <c r="NMN74"/>
      <c r="NMO74"/>
      <c r="NMP74"/>
      <c r="NMQ74"/>
      <c r="NMR74"/>
      <c r="NMS74"/>
      <c r="NMT74"/>
      <c r="NMU74"/>
      <c r="NMV74"/>
      <c r="NMW74"/>
      <c r="NMX74"/>
      <c r="NMY74"/>
      <c r="NMZ74"/>
      <c r="NNA74"/>
      <c r="NNB74"/>
      <c r="NNC74"/>
      <c r="NND74"/>
      <c r="NNE74"/>
      <c r="NNF74"/>
      <c r="NNG74"/>
      <c r="NNH74"/>
      <c r="NNI74"/>
      <c r="NNJ74"/>
      <c r="NNK74"/>
      <c r="NNL74"/>
      <c r="NNM74"/>
      <c r="NNN74"/>
      <c r="NNO74"/>
      <c r="NNP74"/>
      <c r="NNQ74"/>
      <c r="NNR74"/>
      <c r="NNS74"/>
      <c r="NNT74"/>
      <c r="NNU74"/>
      <c r="NNV74"/>
      <c r="NNW74"/>
      <c r="NNX74"/>
      <c r="NNY74"/>
      <c r="NNZ74"/>
      <c r="NOA74"/>
      <c r="NOB74"/>
      <c r="NOC74"/>
      <c r="NOD74"/>
      <c r="NOE74"/>
      <c r="NOF74"/>
      <c r="NOG74"/>
      <c r="NOH74"/>
      <c r="NOI74"/>
      <c r="NOJ74"/>
      <c r="NOK74"/>
      <c r="NOL74"/>
      <c r="NOM74"/>
      <c r="NON74"/>
      <c r="NOO74"/>
      <c r="NOP74"/>
      <c r="NOQ74"/>
      <c r="NOR74"/>
      <c r="NOS74"/>
      <c r="NOT74"/>
      <c r="NOU74"/>
      <c r="NOV74"/>
      <c r="NOW74"/>
      <c r="NOX74"/>
      <c r="NOY74"/>
      <c r="NOZ74"/>
      <c r="NPA74"/>
      <c r="NPB74"/>
      <c r="NPC74"/>
      <c r="NPD74"/>
      <c r="NPE74"/>
      <c r="NPF74"/>
      <c r="NPG74"/>
      <c r="NPH74"/>
      <c r="NPI74"/>
      <c r="NPJ74"/>
      <c r="NPK74"/>
      <c r="NPL74"/>
      <c r="NPM74"/>
      <c r="NPN74"/>
      <c r="NPO74"/>
      <c r="NPP74"/>
      <c r="NPQ74"/>
      <c r="NPR74"/>
      <c r="NPS74"/>
      <c r="NPT74"/>
      <c r="NPU74"/>
      <c r="NPV74"/>
      <c r="NPW74"/>
      <c r="NPX74"/>
      <c r="NPY74"/>
      <c r="NPZ74"/>
      <c r="NQA74"/>
      <c r="NQB74"/>
      <c r="NQC74"/>
      <c r="NQD74"/>
      <c r="NQE74"/>
      <c r="NQF74"/>
      <c r="NQG74"/>
      <c r="NQH74"/>
      <c r="NQI74"/>
      <c r="NQJ74"/>
      <c r="NQK74"/>
      <c r="NQL74"/>
      <c r="NQM74"/>
      <c r="NQN74"/>
      <c r="NQO74"/>
      <c r="NQP74"/>
      <c r="NQQ74"/>
      <c r="NQR74"/>
      <c r="NQS74"/>
      <c r="NQT74"/>
      <c r="NQU74"/>
      <c r="NQV74"/>
      <c r="NQW74"/>
      <c r="NQX74"/>
      <c r="NQY74"/>
      <c r="NQZ74"/>
      <c r="NRA74"/>
      <c r="NRB74"/>
      <c r="NRC74"/>
      <c r="NRD74"/>
      <c r="NRE74"/>
      <c r="NRF74"/>
      <c r="NRG74"/>
      <c r="NRH74"/>
      <c r="NRI74"/>
      <c r="NRJ74"/>
      <c r="NRK74"/>
      <c r="NRL74"/>
      <c r="NRM74"/>
      <c r="NRN74"/>
      <c r="NRO74"/>
      <c r="NRP74"/>
      <c r="NRQ74"/>
      <c r="NRR74"/>
      <c r="NRS74"/>
      <c r="NRT74"/>
      <c r="NRU74"/>
      <c r="NRV74"/>
      <c r="NRW74"/>
      <c r="NRX74"/>
      <c r="NRY74"/>
      <c r="NRZ74"/>
      <c r="NSA74"/>
      <c r="NSB74"/>
      <c r="NSC74"/>
      <c r="NSD74"/>
      <c r="NSE74"/>
      <c r="NSF74"/>
      <c r="NSG74"/>
      <c r="NSH74"/>
      <c r="NSI74"/>
      <c r="NSJ74"/>
      <c r="NSK74"/>
      <c r="NSL74"/>
      <c r="NSM74"/>
      <c r="NSN74"/>
      <c r="NSO74"/>
      <c r="NSP74"/>
      <c r="NSQ74"/>
      <c r="NSR74"/>
      <c r="NSS74"/>
      <c r="NST74"/>
      <c r="NSU74"/>
      <c r="NSV74"/>
      <c r="NSW74"/>
      <c r="NSX74"/>
      <c r="NSY74"/>
      <c r="NSZ74"/>
      <c r="NTA74"/>
      <c r="NTB74"/>
      <c r="NTC74"/>
      <c r="NTD74"/>
      <c r="NTE74"/>
      <c r="NTF74"/>
      <c r="NTG74"/>
      <c r="NTH74"/>
      <c r="NTI74"/>
      <c r="NTJ74"/>
      <c r="NTK74"/>
      <c r="NTL74"/>
      <c r="NTM74"/>
      <c r="NTN74"/>
      <c r="NTO74"/>
      <c r="NTP74"/>
      <c r="NTQ74"/>
      <c r="NTR74"/>
      <c r="NTS74"/>
      <c r="NTT74"/>
      <c r="NTU74"/>
      <c r="NTV74"/>
      <c r="NTW74"/>
      <c r="NTX74"/>
      <c r="NTY74"/>
      <c r="NTZ74"/>
      <c r="NUA74"/>
      <c r="NUB74"/>
      <c r="NUC74"/>
      <c r="NUD74"/>
      <c r="NUE74"/>
      <c r="NUF74"/>
      <c r="NUG74"/>
      <c r="NUH74"/>
      <c r="NUI74"/>
      <c r="NUJ74"/>
      <c r="NUK74"/>
      <c r="NUL74"/>
      <c r="NUM74"/>
      <c r="NUN74"/>
      <c r="NUO74"/>
      <c r="NUP74"/>
      <c r="NUQ74"/>
      <c r="NUR74"/>
      <c r="NUS74"/>
      <c r="NUT74"/>
      <c r="NUU74"/>
      <c r="NUV74"/>
      <c r="NUW74"/>
      <c r="NUX74"/>
      <c r="NUY74"/>
      <c r="NUZ74"/>
      <c r="NVA74"/>
      <c r="NVB74"/>
      <c r="NVC74"/>
      <c r="NVD74"/>
      <c r="NVE74"/>
      <c r="NVF74"/>
      <c r="NVG74"/>
      <c r="NVH74"/>
      <c r="NVI74"/>
      <c r="NVJ74"/>
      <c r="NVK74"/>
      <c r="NVL74"/>
      <c r="NVM74"/>
      <c r="NVN74"/>
      <c r="NVO74"/>
      <c r="NVP74"/>
      <c r="NVQ74"/>
      <c r="NVR74"/>
      <c r="NVS74"/>
      <c r="NVT74"/>
      <c r="NVU74"/>
      <c r="NVV74"/>
      <c r="NVW74"/>
      <c r="NVX74"/>
      <c r="NVY74"/>
      <c r="NVZ74"/>
      <c r="NWA74"/>
      <c r="NWB74"/>
      <c r="NWC74"/>
      <c r="NWD74"/>
      <c r="NWE74"/>
      <c r="NWF74"/>
      <c r="NWG74"/>
      <c r="NWH74"/>
      <c r="NWI74"/>
      <c r="NWJ74"/>
      <c r="NWK74"/>
      <c r="NWL74"/>
      <c r="NWM74"/>
      <c r="NWN74"/>
      <c r="NWO74"/>
      <c r="NWP74"/>
      <c r="NWQ74"/>
      <c r="NWR74"/>
      <c r="NWS74"/>
      <c r="NWT74"/>
      <c r="NWU74"/>
      <c r="NWV74"/>
      <c r="NWW74"/>
      <c r="NWX74"/>
      <c r="NWY74"/>
      <c r="NWZ74"/>
      <c r="NXA74"/>
      <c r="NXB74"/>
      <c r="NXC74"/>
      <c r="NXD74"/>
      <c r="NXE74"/>
      <c r="NXF74"/>
      <c r="NXG74"/>
      <c r="NXH74"/>
      <c r="NXI74"/>
      <c r="NXJ74"/>
      <c r="NXK74"/>
      <c r="NXL74"/>
      <c r="NXM74"/>
      <c r="NXN74"/>
      <c r="NXO74"/>
      <c r="NXP74"/>
      <c r="NXQ74"/>
      <c r="NXR74"/>
      <c r="NXS74"/>
      <c r="NXT74"/>
      <c r="NXU74"/>
      <c r="NXV74"/>
      <c r="NXW74"/>
      <c r="NXX74"/>
      <c r="NXY74"/>
      <c r="NXZ74"/>
      <c r="NYA74"/>
      <c r="NYB74"/>
      <c r="NYC74"/>
      <c r="NYD74"/>
      <c r="NYE74"/>
      <c r="NYF74"/>
      <c r="NYG74"/>
      <c r="NYH74"/>
      <c r="NYI74"/>
      <c r="NYJ74"/>
      <c r="NYK74"/>
      <c r="NYL74"/>
      <c r="NYM74"/>
      <c r="NYN74"/>
      <c r="NYO74"/>
      <c r="NYP74"/>
      <c r="NYQ74"/>
      <c r="NYR74"/>
      <c r="NYS74"/>
      <c r="NYT74"/>
      <c r="NYU74"/>
      <c r="NYV74"/>
      <c r="NYW74"/>
      <c r="NYX74"/>
      <c r="NYY74"/>
      <c r="NYZ74"/>
      <c r="NZA74"/>
      <c r="NZB74"/>
      <c r="NZC74"/>
      <c r="NZD74"/>
      <c r="NZE74"/>
      <c r="NZF74"/>
      <c r="NZG74"/>
      <c r="NZH74"/>
      <c r="NZI74"/>
      <c r="NZJ74"/>
      <c r="NZK74"/>
      <c r="NZL74"/>
      <c r="NZM74"/>
      <c r="NZN74"/>
      <c r="NZO74"/>
      <c r="NZP74"/>
      <c r="NZQ74"/>
      <c r="NZR74"/>
      <c r="NZS74"/>
      <c r="NZT74"/>
      <c r="NZU74"/>
      <c r="NZV74"/>
      <c r="NZW74"/>
      <c r="NZX74"/>
      <c r="NZY74"/>
      <c r="NZZ74"/>
      <c r="OAA74"/>
      <c r="OAB74"/>
      <c r="OAC74"/>
      <c r="OAD74"/>
      <c r="OAE74"/>
      <c r="OAF74"/>
      <c r="OAG74"/>
      <c r="OAH74"/>
      <c r="OAI74"/>
      <c r="OAJ74"/>
      <c r="OAK74"/>
      <c r="OAL74"/>
      <c r="OAM74"/>
      <c r="OAN74"/>
      <c r="OAO74"/>
      <c r="OAP74"/>
      <c r="OAQ74"/>
      <c r="OAR74"/>
      <c r="OAS74"/>
      <c r="OAT74"/>
      <c r="OAU74"/>
      <c r="OAV74"/>
      <c r="OAW74"/>
      <c r="OAX74"/>
      <c r="OAY74"/>
      <c r="OAZ74"/>
      <c r="OBA74"/>
      <c r="OBB74"/>
      <c r="OBC74"/>
      <c r="OBD74"/>
      <c r="OBE74"/>
      <c r="OBF74"/>
      <c r="OBG74"/>
      <c r="OBH74"/>
      <c r="OBI74"/>
      <c r="OBJ74"/>
      <c r="OBK74"/>
      <c r="OBL74"/>
      <c r="OBM74"/>
      <c r="OBN74"/>
      <c r="OBO74"/>
      <c r="OBP74"/>
      <c r="OBQ74"/>
      <c r="OBR74"/>
      <c r="OBS74"/>
      <c r="OBT74"/>
      <c r="OBU74"/>
      <c r="OBV74"/>
      <c r="OBW74"/>
      <c r="OBX74"/>
      <c r="OBY74"/>
      <c r="OBZ74"/>
      <c r="OCA74"/>
      <c r="OCB74"/>
      <c r="OCC74"/>
      <c r="OCD74"/>
      <c r="OCE74"/>
      <c r="OCF74"/>
      <c r="OCG74"/>
      <c r="OCH74"/>
      <c r="OCI74"/>
      <c r="OCJ74"/>
      <c r="OCK74"/>
      <c r="OCL74"/>
      <c r="OCM74"/>
      <c r="OCN74"/>
      <c r="OCO74"/>
      <c r="OCP74"/>
      <c r="OCQ74"/>
      <c r="OCR74"/>
      <c r="OCS74"/>
      <c r="OCT74"/>
      <c r="OCU74"/>
      <c r="OCV74"/>
      <c r="OCW74"/>
      <c r="OCX74"/>
      <c r="OCY74"/>
      <c r="OCZ74"/>
      <c r="ODA74"/>
      <c r="ODB74"/>
      <c r="ODC74"/>
      <c r="ODD74"/>
      <c r="ODE74"/>
      <c r="ODF74"/>
      <c r="ODG74"/>
      <c r="ODH74"/>
      <c r="ODI74"/>
      <c r="ODJ74"/>
      <c r="ODK74"/>
      <c r="ODL74"/>
      <c r="ODM74"/>
      <c r="ODN74"/>
      <c r="ODO74"/>
      <c r="ODP74"/>
      <c r="ODQ74"/>
      <c r="ODR74"/>
      <c r="ODS74"/>
      <c r="ODT74"/>
      <c r="ODU74"/>
      <c r="ODV74"/>
      <c r="ODW74"/>
      <c r="ODX74"/>
      <c r="ODY74"/>
      <c r="ODZ74"/>
      <c r="OEA74"/>
      <c r="OEB74"/>
      <c r="OEC74"/>
      <c r="OED74"/>
      <c r="OEE74"/>
      <c r="OEF74"/>
      <c r="OEG74"/>
      <c r="OEH74"/>
      <c r="OEI74"/>
      <c r="OEJ74"/>
      <c r="OEK74"/>
      <c r="OEL74"/>
      <c r="OEM74"/>
      <c r="OEN74"/>
      <c r="OEO74"/>
      <c r="OEP74"/>
      <c r="OEQ74"/>
      <c r="OER74"/>
      <c r="OES74"/>
      <c r="OET74"/>
      <c r="OEU74"/>
      <c r="OEV74"/>
      <c r="OEW74"/>
      <c r="OEX74"/>
      <c r="OEY74"/>
      <c r="OEZ74"/>
      <c r="OFA74"/>
      <c r="OFB74"/>
      <c r="OFC74"/>
      <c r="OFD74"/>
      <c r="OFE74"/>
      <c r="OFF74"/>
      <c r="OFG74"/>
      <c r="OFH74"/>
      <c r="OFI74"/>
      <c r="OFJ74"/>
      <c r="OFK74"/>
      <c r="OFL74"/>
      <c r="OFM74"/>
      <c r="OFN74"/>
      <c r="OFO74"/>
      <c r="OFP74"/>
      <c r="OFQ74"/>
      <c r="OFR74"/>
      <c r="OFS74"/>
      <c r="OFT74"/>
      <c r="OFU74"/>
      <c r="OFV74"/>
      <c r="OFW74"/>
      <c r="OFX74"/>
      <c r="OFY74"/>
      <c r="OFZ74"/>
      <c r="OGA74"/>
      <c r="OGB74"/>
      <c r="OGC74"/>
      <c r="OGD74"/>
      <c r="OGE74"/>
      <c r="OGF74"/>
      <c r="OGG74"/>
      <c r="OGH74"/>
      <c r="OGI74"/>
      <c r="OGJ74"/>
      <c r="OGK74"/>
      <c r="OGL74"/>
      <c r="OGM74"/>
      <c r="OGN74"/>
      <c r="OGO74"/>
      <c r="OGP74"/>
      <c r="OGQ74"/>
      <c r="OGR74"/>
      <c r="OGS74"/>
      <c r="OGT74"/>
      <c r="OGU74"/>
      <c r="OGV74"/>
      <c r="OGW74"/>
      <c r="OGX74"/>
      <c r="OGY74"/>
      <c r="OGZ74"/>
      <c r="OHA74"/>
      <c r="OHB74"/>
      <c r="OHC74"/>
      <c r="OHD74"/>
      <c r="OHE74"/>
      <c r="OHF74"/>
      <c r="OHG74"/>
      <c r="OHH74"/>
      <c r="OHI74"/>
      <c r="OHJ74"/>
      <c r="OHK74"/>
      <c r="OHL74"/>
      <c r="OHM74"/>
      <c r="OHN74"/>
      <c r="OHO74"/>
      <c r="OHP74"/>
      <c r="OHQ74"/>
      <c r="OHR74"/>
      <c r="OHS74"/>
      <c r="OHT74"/>
      <c r="OHU74"/>
      <c r="OHV74"/>
      <c r="OHW74"/>
      <c r="OHX74"/>
      <c r="OHY74"/>
      <c r="OHZ74"/>
      <c r="OIA74"/>
      <c r="OIB74"/>
      <c r="OIC74"/>
      <c r="OID74"/>
      <c r="OIE74"/>
      <c r="OIF74"/>
      <c r="OIG74"/>
      <c r="OIH74"/>
      <c r="OII74"/>
      <c r="OIJ74"/>
      <c r="OIK74"/>
      <c r="OIL74"/>
      <c r="OIM74"/>
      <c r="OIN74"/>
      <c r="OIO74"/>
      <c r="OIP74"/>
      <c r="OIQ74"/>
      <c r="OIR74"/>
      <c r="OIS74"/>
      <c r="OIT74"/>
      <c r="OIU74"/>
      <c r="OIV74"/>
      <c r="OIW74"/>
      <c r="OIX74"/>
      <c r="OIY74"/>
      <c r="OIZ74"/>
      <c r="OJA74"/>
      <c r="OJB74"/>
      <c r="OJC74"/>
      <c r="OJD74"/>
      <c r="OJE74"/>
      <c r="OJF74"/>
      <c r="OJG74"/>
      <c r="OJH74"/>
      <c r="OJI74"/>
      <c r="OJJ74"/>
      <c r="OJK74"/>
      <c r="OJL74"/>
      <c r="OJM74"/>
      <c r="OJN74"/>
      <c r="OJO74"/>
      <c r="OJP74"/>
      <c r="OJQ74"/>
      <c r="OJR74"/>
      <c r="OJS74"/>
      <c r="OJT74"/>
      <c r="OJU74"/>
      <c r="OJV74"/>
      <c r="OJW74"/>
      <c r="OJX74"/>
      <c r="OJY74"/>
      <c r="OJZ74"/>
      <c r="OKA74"/>
      <c r="OKB74"/>
      <c r="OKC74"/>
      <c r="OKD74"/>
      <c r="OKE74"/>
      <c r="OKF74"/>
      <c r="OKG74"/>
      <c r="OKH74"/>
      <c r="OKI74"/>
      <c r="OKJ74"/>
      <c r="OKK74"/>
      <c r="OKL74"/>
      <c r="OKM74"/>
      <c r="OKN74"/>
      <c r="OKO74"/>
      <c r="OKP74"/>
      <c r="OKQ74"/>
      <c r="OKR74"/>
      <c r="OKS74"/>
      <c r="OKT74"/>
      <c r="OKU74"/>
      <c r="OKV74"/>
      <c r="OKW74"/>
      <c r="OKX74"/>
      <c r="OKY74"/>
      <c r="OKZ74"/>
      <c r="OLA74"/>
      <c r="OLB74"/>
      <c r="OLC74"/>
      <c r="OLD74"/>
      <c r="OLE74"/>
      <c r="OLF74"/>
      <c r="OLG74"/>
      <c r="OLH74"/>
      <c r="OLI74"/>
      <c r="OLJ74"/>
      <c r="OLK74"/>
      <c r="OLL74"/>
      <c r="OLM74"/>
      <c r="OLN74"/>
      <c r="OLO74"/>
      <c r="OLP74"/>
      <c r="OLQ74"/>
      <c r="OLR74"/>
      <c r="OLS74"/>
      <c r="OLT74"/>
      <c r="OLU74"/>
      <c r="OLV74"/>
      <c r="OLW74"/>
      <c r="OLX74"/>
      <c r="OLY74"/>
      <c r="OLZ74"/>
      <c r="OMA74"/>
      <c r="OMB74"/>
      <c r="OMC74"/>
      <c r="OMD74"/>
      <c r="OME74"/>
      <c r="OMF74"/>
      <c r="OMG74"/>
      <c r="OMH74"/>
      <c r="OMI74"/>
      <c r="OMJ74"/>
      <c r="OMK74"/>
      <c r="OML74"/>
      <c r="OMM74"/>
      <c r="OMN74"/>
      <c r="OMO74"/>
      <c r="OMP74"/>
      <c r="OMQ74"/>
      <c r="OMR74"/>
      <c r="OMS74"/>
      <c r="OMT74"/>
      <c r="OMU74"/>
      <c r="OMV74"/>
      <c r="OMW74"/>
      <c r="OMX74"/>
      <c r="OMY74"/>
      <c r="OMZ74"/>
      <c r="ONA74"/>
      <c r="ONB74"/>
      <c r="ONC74"/>
      <c r="OND74"/>
      <c r="ONE74"/>
      <c r="ONF74"/>
      <c r="ONG74"/>
      <c r="ONH74"/>
      <c r="ONI74"/>
      <c r="ONJ74"/>
      <c r="ONK74"/>
      <c r="ONL74"/>
      <c r="ONM74"/>
      <c r="ONN74"/>
      <c r="ONO74"/>
      <c r="ONP74"/>
      <c r="ONQ74"/>
      <c r="ONR74"/>
      <c r="ONS74"/>
      <c r="ONT74"/>
      <c r="ONU74"/>
      <c r="ONV74"/>
      <c r="ONW74"/>
      <c r="ONX74"/>
      <c r="ONY74"/>
      <c r="ONZ74"/>
      <c r="OOA74"/>
      <c r="OOB74"/>
      <c r="OOC74"/>
      <c r="OOD74"/>
      <c r="OOE74"/>
      <c r="OOF74"/>
      <c r="OOG74"/>
      <c r="OOH74"/>
      <c r="OOI74"/>
      <c r="OOJ74"/>
      <c r="OOK74"/>
      <c r="OOL74"/>
      <c r="OOM74"/>
      <c r="OON74"/>
      <c r="OOO74"/>
      <c r="OOP74"/>
      <c r="OOQ74"/>
      <c r="OOR74"/>
      <c r="OOS74"/>
      <c r="OOT74"/>
      <c r="OOU74"/>
      <c r="OOV74"/>
      <c r="OOW74"/>
      <c r="OOX74"/>
      <c r="OOY74"/>
      <c r="OOZ74"/>
      <c r="OPA74"/>
      <c r="OPB74"/>
      <c r="OPC74"/>
      <c r="OPD74"/>
      <c r="OPE74"/>
      <c r="OPF74"/>
      <c r="OPG74"/>
      <c r="OPH74"/>
      <c r="OPI74"/>
      <c r="OPJ74"/>
      <c r="OPK74"/>
      <c r="OPL74"/>
      <c r="OPM74"/>
      <c r="OPN74"/>
      <c r="OPO74"/>
      <c r="OPP74"/>
      <c r="OPQ74"/>
      <c r="OPR74"/>
      <c r="OPS74"/>
      <c r="OPT74"/>
      <c r="OPU74"/>
      <c r="OPV74"/>
      <c r="OPW74"/>
      <c r="OPX74"/>
      <c r="OPY74"/>
      <c r="OPZ74"/>
      <c r="OQA74"/>
      <c r="OQB74"/>
      <c r="OQC74"/>
      <c r="OQD74"/>
      <c r="OQE74"/>
      <c r="OQF74"/>
      <c r="OQG74"/>
      <c r="OQH74"/>
      <c r="OQI74"/>
      <c r="OQJ74"/>
      <c r="OQK74"/>
      <c r="OQL74"/>
      <c r="OQM74"/>
      <c r="OQN74"/>
      <c r="OQO74"/>
      <c r="OQP74"/>
      <c r="OQQ74"/>
      <c r="OQR74"/>
      <c r="OQS74"/>
      <c r="OQT74"/>
      <c r="OQU74"/>
      <c r="OQV74"/>
      <c r="OQW74"/>
      <c r="OQX74"/>
      <c r="OQY74"/>
      <c r="OQZ74"/>
      <c r="ORA74"/>
      <c r="ORB74"/>
      <c r="ORC74"/>
      <c r="ORD74"/>
      <c r="ORE74"/>
      <c r="ORF74"/>
      <c r="ORG74"/>
      <c r="ORH74"/>
      <c r="ORI74"/>
      <c r="ORJ74"/>
      <c r="ORK74"/>
      <c r="ORL74"/>
      <c r="ORM74"/>
      <c r="ORN74"/>
      <c r="ORO74"/>
      <c r="ORP74"/>
      <c r="ORQ74"/>
      <c r="ORR74"/>
      <c r="ORS74"/>
      <c r="ORT74"/>
      <c r="ORU74"/>
      <c r="ORV74"/>
      <c r="ORW74"/>
      <c r="ORX74"/>
      <c r="ORY74"/>
      <c r="ORZ74"/>
      <c r="OSA74"/>
      <c r="OSB74"/>
      <c r="OSC74"/>
      <c r="OSD74"/>
      <c r="OSE74"/>
      <c r="OSF74"/>
      <c r="OSG74"/>
      <c r="OSH74"/>
      <c r="OSI74"/>
      <c r="OSJ74"/>
      <c r="OSK74"/>
      <c r="OSL74"/>
      <c r="OSM74"/>
      <c r="OSN74"/>
      <c r="OSO74"/>
      <c r="OSP74"/>
      <c r="OSQ74"/>
      <c r="OSR74"/>
      <c r="OSS74"/>
      <c r="OST74"/>
      <c r="OSU74"/>
      <c r="OSV74"/>
      <c r="OSW74"/>
      <c r="OSX74"/>
      <c r="OSY74"/>
      <c r="OSZ74"/>
      <c r="OTA74"/>
      <c r="OTB74"/>
      <c r="OTC74"/>
      <c r="OTD74"/>
      <c r="OTE74"/>
      <c r="OTF74"/>
      <c r="OTG74"/>
      <c r="OTH74"/>
      <c r="OTI74"/>
      <c r="OTJ74"/>
      <c r="OTK74"/>
      <c r="OTL74"/>
      <c r="OTM74"/>
      <c r="OTN74"/>
      <c r="OTO74"/>
      <c r="OTP74"/>
      <c r="OTQ74"/>
      <c r="OTR74"/>
      <c r="OTS74"/>
      <c r="OTT74"/>
      <c r="OTU74"/>
      <c r="OTV74"/>
      <c r="OTW74"/>
      <c r="OTX74"/>
      <c r="OTY74"/>
      <c r="OTZ74"/>
      <c r="OUA74"/>
      <c r="OUB74"/>
      <c r="OUC74"/>
      <c r="OUD74"/>
      <c r="OUE74"/>
      <c r="OUF74"/>
      <c r="OUG74"/>
      <c r="OUH74"/>
      <c r="OUI74"/>
      <c r="OUJ74"/>
      <c r="OUK74"/>
      <c r="OUL74"/>
      <c r="OUM74"/>
      <c r="OUN74"/>
      <c r="OUO74"/>
      <c r="OUP74"/>
      <c r="OUQ74"/>
      <c r="OUR74"/>
      <c r="OUS74"/>
      <c r="OUT74"/>
      <c r="OUU74"/>
      <c r="OUV74"/>
      <c r="OUW74"/>
      <c r="OUX74"/>
      <c r="OUY74"/>
      <c r="OUZ74"/>
      <c r="OVA74"/>
      <c r="OVB74"/>
      <c r="OVC74"/>
      <c r="OVD74"/>
      <c r="OVE74"/>
      <c r="OVF74"/>
      <c r="OVG74"/>
      <c r="OVH74"/>
      <c r="OVI74"/>
      <c r="OVJ74"/>
      <c r="OVK74"/>
      <c r="OVL74"/>
      <c r="OVM74"/>
      <c r="OVN74"/>
      <c r="OVO74"/>
      <c r="OVP74"/>
      <c r="OVQ74"/>
      <c r="OVR74"/>
      <c r="OVS74"/>
      <c r="OVT74"/>
      <c r="OVU74"/>
      <c r="OVV74"/>
      <c r="OVW74"/>
      <c r="OVX74"/>
      <c r="OVY74"/>
      <c r="OVZ74"/>
      <c r="OWA74"/>
      <c r="OWB74"/>
      <c r="OWC74"/>
      <c r="OWD74"/>
      <c r="OWE74"/>
      <c r="OWF74"/>
      <c r="OWG74"/>
      <c r="OWH74"/>
      <c r="OWI74"/>
      <c r="OWJ74"/>
      <c r="OWK74"/>
      <c r="OWL74"/>
      <c r="OWM74"/>
      <c r="OWN74"/>
      <c r="OWO74"/>
      <c r="OWP74"/>
      <c r="OWQ74"/>
      <c r="OWR74"/>
      <c r="OWS74"/>
      <c r="OWT74"/>
      <c r="OWU74"/>
      <c r="OWV74"/>
      <c r="OWW74"/>
      <c r="OWX74"/>
      <c r="OWY74"/>
      <c r="OWZ74"/>
      <c r="OXA74"/>
      <c r="OXB74"/>
      <c r="OXC74"/>
      <c r="OXD74"/>
      <c r="OXE74"/>
      <c r="OXF74"/>
      <c r="OXG74"/>
      <c r="OXH74"/>
      <c r="OXI74"/>
      <c r="OXJ74"/>
      <c r="OXK74"/>
      <c r="OXL74"/>
      <c r="OXM74"/>
      <c r="OXN74"/>
      <c r="OXO74"/>
      <c r="OXP74"/>
      <c r="OXQ74"/>
      <c r="OXR74"/>
      <c r="OXS74"/>
      <c r="OXT74"/>
      <c r="OXU74"/>
      <c r="OXV74"/>
      <c r="OXW74"/>
      <c r="OXX74"/>
      <c r="OXY74"/>
      <c r="OXZ74"/>
      <c r="OYA74"/>
      <c r="OYB74"/>
      <c r="OYC74"/>
      <c r="OYD74"/>
      <c r="OYE74"/>
      <c r="OYF74"/>
      <c r="OYG74"/>
      <c r="OYH74"/>
      <c r="OYI74"/>
      <c r="OYJ74"/>
      <c r="OYK74"/>
      <c r="OYL74"/>
      <c r="OYM74"/>
      <c r="OYN74"/>
      <c r="OYO74"/>
      <c r="OYP74"/>
      <c r="OYQ74"/>
      <c r="OYR74"/>
      <c r="OYS74"/>
      <c r="OYT74"/>
      <c r="OYU74"/>
      <c r="OYV74"/>
      <c r="OYW74"/>
      <c r="OYX74"/>
      <c r="OYY74"/>
      <c r="OYZ74"/>
      <c r="OZA74"/>
      <c r="OZB74"/>
      <c r="OZC74"/>
      <c r="OZD74"/>
      <c r="OZE74"/>
      <c r="OZF74"/>
      <c r="OZG74"/>
      <c r="OZH74"/>
      <c r="OZI74"/>
      <c r="OZJ74"/>
      <c r="OZK74"/>
      <c r="OZL74"/>
      <c r="OZM74"/>
      <c r="OZN74"/>
      <c r="OZO74"/>
      <c r="OZP74"/>
      <c r="OZQ74"/>
      <c r="OZR74"/>
      <c r="OZS74"/>
      <c r="OZT74"/>
      <c r="OZU74"/>
      <c r="OZV74"/>
      <c r="OZW74"/>
      <c r="OZX74"/>
      <c r="OZY74"/>
      <c r="OZZ74"/>
      <c r="PAA74"/>
      <c r="PAB74"/>
      <c r="PAC74"/>
      <c r="PAD74"/>
      <c r="PAE74"/>
      <c r="PAF74"/>
      <c r="PAG74"/>
      <c r="PAH74"/>
      <c r="PAI74"/>
      <c r="PAJ74"/>
      <c r="PAK74"/>
      <c r="PAL74"/>
      <c r="PAM74"/>
      <c r="PAN74"/>
      <c r="PAO74"/>
      <c r="PAP74"/>
      <c r="PAQ74"/>
      <c r="PAR74"/>
      <c r="PAS74"/>
      <c r="PAT74"/>
      <c r="PAU74"/>
      <c r="PAV74"/>
      <c r="PAW74"/>
      <c r="PAX74"/>
      <c r="PAY74"/>
      <c r="PAZ74"/>
      <c r="PBA74"/>
      <c r="PBB74"/>
      <c r="PBC74"/>
      <c r="PBD74"/>
      <c r="PBE74"/>
      <c r="PBF74"/>
      <c r="PBG74"/>
      <c r="PBH74"/>
      <c r="PBI74"/>
      <c r="PBJ74"/>
      <c r="PBK74"/>
      <c r="PBL74"/>
      <c r="PBM74"/>
      <c r="PBN74"/>
      <c r="PBO74"/>
      <c r="PBP74"/>
      <c r="PBQ74"/>
      <c r="PBR74"/>
      <c r="PBS74"/>
      <c r="PBT74"/>
      <c r="PBU74"/>
      <c r="PBV74"/>
      <c r="PBW74"/>
      <c r="PBX74"/>
      <c r="PBY74"/>
      <c r="PBZ74"/>
      <c r="PCA74"/>
      <c r="PCB74"/>
      <c r="PCC74"/>
      <c r="PCD74"/>
      <c r="PCE74"/>
      <c r="PCF74"/>
      <c r="PCG74"/>
      <c r="PCH74"/>
      <c r="PCI74"/>
      <c r="PCJ74"/>
      <c r="PCK74"/>
      <c r="PCL74"/>
      <c r="PCM74"/>
      <c r="PCN74"/>
      <c r="PCO74"/>
      <c r="PCP74"/>
      <c r="PCQ74"/>
      <c r="PCR74"/>
      <c r="PCS74"/>
      <c r="PCT74"/>
      <c r="PCU74"/>
      <c r="PCV74"/>
      <c r="PCW74"/>
      <c r="PCX74"/>
      <c r="PCY74"/>
      <c r="PCZ74"/>
      <c r="PDA74"/>
      <c r="PDB74"/>
      <c r="PDC74"/>
      <c r="PDD74"/>
      <c r="PDE74"/>
      <c r="PDF74"/>
      <c r="PDG74"/>
      <c r="PDH74"/>
      <c r="PDI74"/>
      <c r="PDJ74"/>
      <c r="PDK74"/>
      <c r="PDL74"/>
      <c r="PDM74"/>
      <c r="PDN74"/>
      <c r="PDO74"/>
      <c r="PDP74"/>
      <c r="PDQ74"/>
      <c r="PDR74"/>
      <c r="PDS74"/>
      <c r="PDT74"/>
      <c r="PDU74"/>
      <c r="PDV74"/>
      <c r="PDW74"/>
      <c r="PDX74"/>
      <c r="PDY74"/>
      <c r="PDZ74"/>
      <c r="PEA74"/>
      <c r="PEB74"/>
      <c r="PEC74"/>
      <c r="PED74"/>
      <c r="PEE74"/>
      <c r="PEF74"/>
      <c r="PEG74"/>
      <c r="PEH74"/>
      <c r="PEI74"/>
      <c r="PEJ74"/>
      <c r="PEK74"/>
      <c r="PEL74"/>
      <c r="PEM74"/>
      <c r="PEN74"/>
      <c r="PEO74"/>
      <c r="PEP74"/>
      <c r="PEQ74"/>
      <c r="PER74"/>
      <c r="PES74"/>
      <c r="PET74"/>
      <c r="PEU74"/>
      <c r="PEV74"/>
      <c r="PEW74"/>
      <c r="PEX74"/>
      <c r="PEY74"/>
      <c r="PEZ74"/>
      <c r="PFA74"/>
      <c r="PFB74"/>
      <c r="PFC74"/>
      <c r="PFD74"/>
      <c r="PFE74"/>
      <c r="PFF74"/>
      <c r="PFG74"/>
      <c r="PFH74"/>
      <c r="PFI74"/>
      <c r="PFJ74"/>
      <c r="PFK74"/>
      <c r="PFL74"/>
      <c r="PFM74"/>
      <c r="PFN74"/>
      <c r="PFO74"/>
      <c r="PFP74"/>
      <c r="PFQ74"/>
      <c r="PFR74"/>
      <c r="PFS74"/>
      <c r="PFT74"/>
      <c r="PFU74"/>
      <c r="PFV74"/>
      <c r="PFW74"/>
      <c r="PFX74"/>
      <c r="PFY74"/>
      <c r="PFZ74"/>
      <c r="PGA74"/>
      <c r="PGB74"/>
      <c r="PGC74"/>
      <c r="PGD74"/>
      <c r="PGE74"/>
      <c r="PGF74"/>
      <c r="PGG74"/>
      <c r="PGH74"/>
      <c r="PGI74"/>
      <c r="PGJ74"/>
      <c r="PGK74"/>
      <c r="PGL74"/>
      <c r="PGM74"/>
      <c r="PGN74"/>
      <c r="PGO74"/>
      <c r="PGP74"/>
      <c r="PGQ74"/>
      <c r="PGR74"/>
      <c r="PGS74"/>
      <c r="PGT74"/>
      <c r="PGU74"/>
      <c r="PGV74"/>
      <c r="PGW74"/>
      <c r="PGX74"/>
      <c r="PGY74"/>
      <c r="PGZ74"/>
      <c r="PHA74"/>
      <c r="PHB74"/>
      <c r="PHC74"/>
      <c r="PHD74"/>
      <c r="PHE74"/>
      <c r="PHF74"/>
      <c r="PHG74"/>
      <c r="PHH74"/>
      <c r="PHI74"/>
      <c r="PHJ74"/>
      <c r="PHK74"/>
      <c r="PHL74"/>
      <c r="PHM74"/>
      <c r="PHN74"/>
      <c r="PHO74"/>
      <c r="PHP74"/>
      <c r="PHQ74"/>
      <c r="PHR74"/>
      <c r="PHS74"/>
      <c r="PHT74"/>
      <c r="PHU74"/>
      <c r="PHV74"/>
      <c r="PHW74"/>
      <c r="PHX74"/>
      <c r="PHY74"/>
      <c r="PHZ74"/>
      <c r="PIA74"/>
      <c r="PIB74"/>
      <c r="PIC74"/>
      <c r="PID74"/>
      <c r="PIE74"/>
      <c r="PIF74"/>
      <c r="PIG74"/>
      <c r="PIH74"/>
      <c r="PII74"/>
      <c r="PIJ74"/>
      <c r="PIK74"/>
      <c r="PIL74"/>
      <c r="PIM74"/>
      <c r="PIN74"/>
      <c r="PIO74"/>
      <c r="PIP74"/>
      <c r="PIQ74"/>
      <c r="PIR74"/>
      <c r="PIS74"/>
      <c r="PIT74"/>
      <c r="PIU74"/>
      <c r="PIV74"/>
      <c r="PIW74"/>
      <c r="PIX74"/>
      <c r="PIY74"/>
      <c r="PIZ74"/>
      <c r="PJA74"/>
      <c r="PJB74"/>
      <c r="PJC74"/>
      <c r="PJD74"/>
      <c r="PJE74"/>
      <c r="PJF74"/>
      <c r="PJG74"/>
      <c r="PJH74"/>
      <c r="PJI74"/>
      <c r="PJJ74"/>
      <c r="PJK74"/>
      <c r="PJL74"/>
      <c r="PJM74"/>
      <c r="PJN74"/>
      <c r="PJO74"/>
      <c r="PJP74"/>
      <c r="PJQ74"/>
      <c r="PJR74"/>
      <c r="PJS74"/>
      <c r="PJT74"/>
      <c r="PJU74"/>
      <c r="PJV74"/>
      <c r="PJW74"/>
      <c r="PJX74"/>
      <c r="PJY74"/>
      <c r="PJZ74"/>
      <c r="PKA74"/>
      <c r="PKB74"/>
      <c r="PKC74"/>
      <c r="PKD74"/>
      <c r="PKE74"/>
      <c r="PKF74"/>
      <c r="PKG74"/>
      <c r="PKH74"/>
      <c r="PKI74"/>
      <c r="PKJ74"/>
      <c r="PKK74"/>
      <c r="PKL74"/>
      <c r="PKM74"/>
      <c r="PKN74"/>
      <c r="PKO74"/>
      <c r="PKP74"/>
      <c r="PKQ74"/>
      <c r="PKR74"/>
      <c r="PKS74"/>
      <c r="PKT74"/>
      <c r="PKU74"/>
      <c r="PKV74"/>
      <c r="PKW74"/>
      <c r="PKX74"/>
      <c r="PKY74"/>
      <c r="PKZ74"/>
      <c r="PLA74"/>
      <c r="PLB74"/>
      <c r="PLC74"/>
      <c r="PLD74"/>
      <c r="PLE74"/>
      <c r="PLF74"/>
      <c r="PLG74"/>
      <c r="PLH74"/>
      <c r="PLI74"/>
      <c r="PLJ74"/>
      <c r="PLK74"/>
      <c r="PLL74"/>
      <c r="PLM74"/>
      <c r="PLN74"/>
      <c r="PLO74"/>
      <c r="PLP74"/>
      <c r="PLQ74"/>
      <c r="PLR74"/>
      <c r="PLS74"/>
      <c r="PLT74"/>
      <c r="PLU74"/>
      <c r="PLV74"/>
      <c r="PLW74"/>
      <c r="PLX74"/>
      <c r="PLY74"/>
      <c r="PLZ74"/>
      <c r="PMA74"/>
      <c r="PMB74"/>
      <c r="PMC74"/>
      <c r="PMD74"/>
      <c r="PME74"/>
      <c r="PMF74"/>
      <c r="PMG74"/>
      <c r="PMH74"/>
      <c r="PMI74"/>
      <c r="PMJ74"/>
      <c r="PMK74"/>
      <c r="PML74"/>
      <c r="PMM74"/>
      <c r="PMN74"/>
      <c r="PMO74"/>
      <c r="PMP74"/>
      <c r="PMQ74"/>
      <c r="PMR74"/>
      <c r="PMS74"/>
      <c r="PMT74"/>
      <c r="PMU74"/>
      <c r="PMV74"/>
      <c r="PMW74"/>
      <c r="PMX74"/>
      <c r="PMY74"/>
      <c r="PMZ74"/>
      <c r="PNA74"/>
      <c r="PNB74"/>
      <c r="PNC74"/>
      <c r="PND74"/>
      <c r="PNE74"/>
      <c r="PNF74"/>
      <c r="PNG74"/>
      <c r="PNH74"/>
      <c r="PNI74"/>
      <c r="PNJ74"/>
      <c r="PNK74"/>
      <c r="PNL74"/>
      <c r="PNM74"/>
      <c r="PNN74"/>
      <c r="PNO74"/>
      <c r="PNP74"/>
      <c r="PNQ74"/>
      <c r="PNR74"/>
      <c r="PNS74"/>
      <c r="PNT74"/>
      <c r="PNU74"/>
      <c r="PNV74"/>
      <c r="PNW74"/>
      <c r="PNX74"/>
      <c r="PNY74"/>
      <c r="PNZ74"/>
      <c r="POA74"/>
      <c r="POB74"/>
      <c r="POC74"/>
      <c r="POD74"/>
      <c r="POE74"/>
      <c r="POF74"/>
      <c r="POG74"/>
      <c r="POH74"/>
      <c r="POI74"/>
      <c r="POJ74"/>
      <c r="POK74"/>
      <c r="POL74"/>
      <c r="POM74"/>
      <c r="PON74"/>
      <c r="POO74"/>
      <c r="POP74"/>
      <c r="POQ74"/>
      <c r="POR74"/>
      <c r="POS74"/>
      <c r="POT74"/>
      <c r="POU74"/>
      <c r="POV74"/>
      <c r="POW74"/>
      <c r="POX74"/>
      <c r="POY74"/>
      <c r="POZ74"/>
      <c r="PPA74"/>
      <c r="PPB74"/>
      <c r="PPC74"/>
      <c r="PPD74"/>
      <c r="PPE74"/>
      <c r="PPF74"/>
      <c r="PPG74"/>
      <c r="PPH74"/>
      <c r="PPI74"/>
      <c r="PPJ74"/>
      <c r="PPK74"/>
      <c r="PPL74"/>
      <c r="PPM74"/>
      <c r="PPN74"/>
      <c r="PPO74"/>
      <c r="PPP74"/>
      <c r="PPQ74"/>
      <c r="PPR74"/>
      <c r="PPS74"/>
      <c r="PPT74"/>
      <c r="PPU74"/>
      <c r="PPV74"/>
      <c r="PPW74"/>
      <c r="PPX74"/>
      <c r="PPY74"/>
      <c r="PPZ74"/>
      <c r="PQA74"/>
      <c r="PQB74"/>
      <c r="PQC74"/>
      <c r="PQD74"/>
      <c r="PQE74"/>
      <c r="PQF74"/>
      <c r="PQG74"/>
      <c r="PQH74"/>
      <c r="PQI74"/>
      <c r="PQJ74"/>
      <c r="PQK74"/>
      <c r="PQL74"/>
      <c r="PQM74"/>
      <c r="PQN74"/>
      <c r="PQO74"/>
      <c r="PQP74"/>
      <c r="PQQ74"/>
      <c r="PQR74"/>
      <c r="PQS74"/>
      <c r="PQT74"/>
      <c r="PQU74"/>
      <c r="PQV74"/>
      <c r="PQW74"/>
      <c r="PQX74"/>
      <c r="PQY74"/>
      <c r="PQZ74"/>
      <c r="PRA74"/>
      <c r="PRB74"/>
      <c r="PRC74"/>
      <c r="PRD74"/>
      <c r="PRE74"/>
      <c r="PRF74"/>
      <c r="PRG74"/>
      <c r="PRH74"/>
      <c r="PRI74"/>
      <c r="PRJ74"/>
      <c r="PRK74"/>
      <c r="PRL74"/>
      <c r="PRM74"/>
      <c r="PRN74"/>
      <c r="PRO74"/>
      <c r="PRP74"/>
      <c r="PRQ74"/>
      <c r="PRR74"/>
      <c r="PRS74"/>
      <c r="PRT74"/>
      <c r="PRU74"/>
      <c r="PRV74"/>
      <c r="PRW74"/>
      <c r="PRX74"/>
      <c r="PRY74"/>
      <c r="PRZ74"/>
      <c r="PSA74"/>
      <c r="PSB74"/>
      <c r="PSC74"/>
      <c r="PSD74"/>
      <c r="PSE74"/>
      <c r="PSF74"/>
      <c r="PSG74"/>
      <c r="PSH74"/>
      <c r="PSI74"/>
      <c r="PSJ74"/>
      <c r="PSK74"/>
      <c r="PSL74"/>
      <c r="PSM74"/>
      <c r="PSN74"/>
      <c r="PSO74"/>
      <c r="PSP74"/>
      <c r="PSQ74"/>
      <c r="PSR74"/>
      <c r="PSS74"/>
      <c r="PST74"/>
      <c r="PSU74"/>
      <c r="PSV74"/>
      <c r="PSW74"/>
      <c r="PSX74"/>
      <c r="PSY74"/>
      <c r="PSZ74"/>
      <c r="PTA74"/>
      <c r="PTB74"/>
      <c r="PTC74"/>
      <c r="PTD74"/>
      <c r="PTE74"/>
      <c r="PTF74"/>
      <c r="PTG74"/>
      <c r="PTH74"/>
      <c r="PTI74"/>
      <c r="PTJ74"/>
      <c r="PTK74"/>
      <c r="PTL74"/>
      <c r="PTM74"/>
      <c r="PTN74"/>
      <c r="PTO74"/>
      <c r="PTP74"/>
      <c r="PTQ74"/>
      <c r="PTR74"/>
      <c r="PTS74"/>
      <c r="PTT74"/>
      <c r="PTU74"/>
      <c r="PTV74"/>
      <c r="PTW74"/>
      <c r="PTX74"/>
      <c r="PTY74"/>
      <c r="PTZ74"/>
      <c r="PUA74"/>
      <c r="PUB74"/>
      <c r="PUC74"/>
      <c r="PUD74"/>
      <c r="PUE74"/>
      <c r="PUF74"/>
      <c r="PUG74"/>
      <c r="PUH74"/>
      <c r="PUI74"/>
      <c r="PUJ74"/>
      <c r="PUK74"/>
      <c r="PUL74"/>
      <c r="PUM74"/>
      <c r="PUN74"/>
      <c r="PUO74"/>
      <c r="PUP74"/>
      <c r="PUQ74"/>
      <c r="PUR74"/>
      <c r="PUS74"/>
      <c r="PUT74"/>
      <c r="PUU74"/>
      <c r="PUV74"/>
      <c r="PUW74"/>
      <c r="PUX74"/>
      <c r="PUY74"/>
      <c r="PUZ74"/>
      <c r="PVA74"/>
      <c r="PVB74"/>
      <c r="PVC74"/>
      <c r="PVD74"/>
      <c r="PVE74"/>
      <c r="PVF74"/>
      <c r="PVG74"/>
      <c r="PVH74"/>
      <c r="PVI74"/>
      <c r="PVJ74"/>
      <c r="PVK74"/>
      <c r="PVL74"/>
      <c r="PVM74"/>
      <c r="PVN74"/>
      <c r="PVO74"/>
      <c r="PVP74"/>
      <c r="PVQ74"/>
      <c r="PVR74"/>
      <c r="PVS74"/>
      <c r="PVT74"/>
      <c r="PVU74"/>
      <c r="PVV74"/>
      <c r="PVW74"/>
      <c r="PVX74"/>
      <c r="PVY74"/>
      <c r="PVZ74"/>
      <c r="PWA74"/>
      <c r="PWB74"/>
      <c r="PWC74"/>
      <c r="PWD74"/>
      <c r="PWE74"/>
      <c r="PWF74"/>
      <c r="PWG74"/>
      <c r="PWH74"/>
      <c r="PWI74"/>
      <c r="PWJ74"/>
      <c r="PWK74"/>
      <c r="PWL74"/>
      <c r="PWM74"/>
      <c r="PWN74"/>
      <c r="PWO74"/>
      <c r="PWP74"/>
      <c r="PWQ74"/>
      <c r="PWR74"/>
      <c r="PWS74"/>
      <c r="PWT74"/>
      <c r="PWU74"/>
      <c r="PWV74"/>
      <c r="PWW74"/>
      <c r="PWX74"/>
      <c r="PWY74"/>
      <c r="PWZ74"/>
      <c r="PXA74"/>
      <c r="PXB74"/>
      <c r="PXC74"/>
      <c r="PXD74"/>
      <c r="PXE74"/>
      <c r="PXF74"/>
      <c r="PXG74"/>
      <c r="PXH74"/>
      <c r="PXI74"/>
      <c r="PXJ74"/>
      <c r="PXK74"/>
      <c r="PXL74"/>
      <c r="PXM74"/>
      <c r="PXN74"/>
      <c r="PXO74"/>
      <c r="PXP74"/>
      <c r="PXQ74"/>
      <c r="PXR74"/>
      <c r="PXS74"/>
      <c r="PXT74"/>
      <c r="PXU74"/>
      <c r="PXV74"/>
      <c r="PXW74"/>
      <c r="PXX74"/>
      <c r="PXY74"/>
      <c r="PXZ74"/>
      <c r="PYA74"/>
      <c r="PYB74"/>
      <c r="PYC74"/>
      <c r="PYD74"/>
      <c r="PYE74"/>
      <c r="PYF74"/>
      <c r="PYG74"/>
      <c r="PYH74"/>
      <c r="PYI74"/>
      <c r="PYJ74"/>
      <c r="PYK74"/>
      <c r="PYL74"/>
      <c r="PYM74"/>
      <c r="PYN74"/>
      <c r="PYO74"/>
      <c r="PYP74"/>
      <c r="PYQ74"/>
      <c r="PYR74"/>
      <c r="PYS74"/>
      <c r="PYT74"/>
      <c r="PYU74"/>
      <c r="PYV74"/>
      <c r="PYW74"/>
      <c r="PYX74"/>
      <c r="PYY74"/>
      <c r="PYZ74"/>
      <c r="PZA74"/>
      <c r="PZB74"/>
      <c r="PZC74"/>
      <c r="PZD74"/>
      <c r="PZE74"/>
      <c r="PZF74"/>
      <c r="PZG74"/>
      <c r="PZH74"/>
      <c r="PZI74"/>
      <c r="PZJ74"/>
      <c r="PZK74"/>
      <c r="PZL74"/>
      <c r="PZM74"/>
      <c r="PZN74"/>
      <c r="PZO74"/>
      <c r="PZP74"/>
      <c r="PZQ74"/>
      <c r="PZR74"/>
      <c r="PZS74"/>
      <c r="PZT74"/>
      <c r="PZU74"/>
      <c r="PZV74"/>
      <c r="PZW74"/>
      <c r="PZX74"/>
      <c r="PZY74"/>
      <c r="PZZ74"/>
      <c r="QAA74"/>
      <c r="QAB74"/>
      <c r="QAC74"/>
      <c r="QAD74"/>
      <c r="QAE74"/>
      <c r="QAF74"/>
      <c r="QAG74"/>
      <c r="QAH74"/>
      <c r="QAI74"/>
      <c r="QAJ74"/>
      <c r="QAK74"/>
      <c r="QAL74"/>
      <c r="QAM74"/>
      <c r="QAN74"/>
      <c r="QAO74"/>
      <c r="QAP74"/>
      <c r="QAQ74"/>
      <c r="QAR74"/>
      <c r="QAS74"/>
      <c r="QAT74"/>
      <c r="QAU74"/>
      <c r="QAV74"/>
      <c r="QAW74"/>
      <c r="QAX74"/>
      <c r="QAY74"/>
      <c r="QAZ74"/>
      <c r="QBA74"/>
      <c r="QBB74"/>
      <c r="QBC74"/>
      <c r="QBD74"/>
      <c r="QBE74"/>
      <c r="QBF74"/>
      <c r="QBG74"/>
      <c r="QBH74"/>
      <c r="QBI74"/>
      <c r="QBJ74"/>
      <c r="QBK74"/>
      <c r="QBL74"/>
      <c r="QBM74"/>
      <c r="QBN74"/>
      <c r="QBO74"/>
      <c r="QBP74"/>
      <c r="QBQ74"/>
      <c r="QBR74"/>
      <c r="QBS74"/>
      <c r="QBT74"/>
      <c r="QBU74"/>
      <c r="QBV74"/>
      <c r="QBW74"/>
      <c r="QBX74"/>
      <c r="QBY74"/>
      <c r="QBZ74"/>
      <c r="QCA74"/>
      <c r="QCB74"/>
      <c r="QCC74"/>
      <c r="QCD74"/>
      <c r="QCE74"/>
      <c r="QCF74"/>
      <c r="QCG74"/>
      <c r="QCH74"/>
      <c r="QCI74"/>
      <c r="QCJ74"/>
      <c r="QCK74"/>
      <c r="QCL74"/>
      <c r="QCM74"/>
      <c r="QCN74"/>
      <c r="QCO74"/>
      <c r="QCP74"/>
      <c r="QCQ74"/>
      <c r="QCR74"/>
      <c r="QCS74"/>
      <c r="QCT74"/>
      <c r="QCU74"/>
      <c r="QCV74"/>
      <c r="QCW74"/>
      <c r="QCX74"/>
      <c r="QCY74"/>
      <c r="QCZ74"/>
      <c r="QDA74"/>
      <c r="QDB74"/>
      <c r="QDC74"/>
      <c r="QDD74"/>
      <c r="QDE74"/>
      <c r="QDF74"/>
      <c r="QDG74"/>
      <c r="QDH74"/>
      <c r="QDI74"/>
      <c r="QDJ74"/>
      <c r="QDK74"/>
      <c r="QDL74"/>
      <c r="QDM74"/>
      <c r="QDN74"/>
      <c r="QDO74"/>
      <c r="QDP74"/>
      <c r="QDQ74"/>
      <c r="QDR74"/>
      <c r="QDS74"/>
      <c r="QDT74"/>
      <c r="QDU74"/>
      <c r="QDV74"/>
      <c r="QDW74"/>
      <c r="QDX74"/>
      <c r="QDY74"/>
      <c r="QDZ74"/>
      <c r="QEA74"/>
      <c r="QEB74"/>
      <c r="QEC74"/>
      <c r="QED74"/>
      <c r="QEE74"/>
      <c r="QEF74"/>
      <c r="QEG74"/>
      <c r="QEH74"/>
      <c r="QEI74"/>
      <c r="QEJ74"/>
      <c r="QEK74"/>
      <c r="QEL74"/>
      <c r="QEM74"/>
      <c r="QEN74"/>
      <c r="QEO74"/>
      <c r="QEP74"/>
      <c r="QEQ74"/>
      <c r="QER74"/>
      <c r="QES74"/>
      <c r="QET74"/>
      <c r="QEU74"/>
      <c r="QEV74"/>
      <c r="QEW74"/>
      <c r="QEX74"/>
      <c r="QEY74"/>
      <c r="QEZ74"/>
      <c r="QFA74"/>
      <c r="QFB74"/>
      <c r="QFC74"/>
      <c r="QFD74"/>
      <c r="QFE74"/>
      <c r="QFF74"/>
      <c r="QFG74"/>
      <c r="QFH74"/>
      <c r="QFI74"/>
      <c r="QFJ74"/>
      <c r="QFK74"/>
      <c r="QFL74"/>
      <c r="QFM74"/>
      <c r="QFN74"/>
      <c r="QFO74"/>
      <c r="QFP74"/>
      <c r="QFQ74"/>
      <c r="QFR74"/>
      <c r="QFS74"/>
      <c r="QFT74"/>
      <c r="QFU74"/>
      <c r="QFV74"/>
      <c r="QFW74"/>
      <c r="QFX74"/>
      <c r="QFY74"/>
      <c r="QFZ74"/>
      <c r="QGA74"/>
      <c r="QGB74"/>
      <c r="QGC74"/>
      <c r="QGD74"/>
      <c r="QGE74"/>
      <c r="QGF74"/>
      <c r="QGG74"/>
      <c r="QGH74"/>
      <c r="QGI74"/>
      <c r="QGJ74"/>
      <c r="QGK74"/>
      <c r="QGL74"/>
      <c r="QGM74"/>
      <c r="QGN74"/>
      <c r="QGO74"/>
      <c r="QGP74"/>
      <c r="QGQ74"/>
      <c r="QGR74"/>
      <c r="QGS74"/>
      <c r="QGT74"/>
      <c r="QGU74"/>
      <c r="QGV74"/>
      <c r="QGW74"/>
      <c r="QGX74"/>
      <c r="QGY74"/>
      <c r="QGZ74"/>
      <c r="QHA74"/>
      <c r="QHB74"/>
      <c r="QHC74"/>
      <c r="QHD74"/>
      <c r="QHE74"/>
      <c r="QHF74"/>
      <c r="QHG74"/>
      <c r="QHH74"/>
      <c r="QHI74"/>
      <c r="QHJ74"/>
      <c r="QHK74"/>
      <c r="QHL74"/>
      <c r="QHM74"/>
      <c r="QHN74"/>
      <c r="QHO74"/>
      <c r="QHP74"/>
      <c r="QHQ74"/>
      <c r="QHR74"/>
      <c r="QHS74"/>
      <c r="QHT74"/>
      <c r="QHU74"/>
      <c r="QHV74"/>
      <c r="QHW74"/>
      <c r="QHX74"/>
      <c r="QHY74"/>
      <c r="QHZ74"/>
      <c r="QIA74"/>
      <c r="QIB74"/>
      <c r="QIC74"/>
      <c r="QID74"/>
      <c r="QIE74"/>
      <c r="QIF74"/>
      <c r="QIG74"/>
      <c r="QIH74"/>
      <c r="QII74"/>
      <c r="QIJ74"/>
      <c r="QIK74"/>
      <c r="QIL74"/>
      <c r="QIM74"/>
      <c r="QIN74"/>
      <c r="QIO74"/>
      <c r="QIP74"/>
      <c r="QIQ74"/>
      <c r="QIR74"/>
      <c r="QIS74"/>
      <c r="QIT74"/>
      <c r="QIU74"/>
      <c r="QIV74"/>
      <c r="QIW74"/>
      <c r="QIX74"/>
      <c r="QIY74"/>
      <c r="QIZ74"/>
      <c r="QJA74"/>
      <c r="QJB74"/>
      <c r="QJC74"/>
      <c r="QJD74"/>
      <c r="QJE74"/>
      <c r="QJF74"/>
      <c r="QJG74"/>
      <c r="QJH74"/>
      <c r="QJI74"/>
      <c r="QJJ74"/>
      <c r="QJK74"/>
      <c r="QJL74"/>
      <c r="QJM74"/>
      <c r="QJN74"/>
      <c r="QJO74"/>
      <c r="QJP74"/>
      <c r="QJQ74"/>
      <c r="QJR74"/>
      <c r="QJS74"/>
      <c r="QJT74"/>
      <c r="QJU74"/>
      <c r="QJV74"/>
      <c r="QJW74"/>
      <c r="QJX74"/>
      <c r="QJY74"/>
      <c r="QJZ74"/>
      <c r="QKA74"/>
      <c r="QKB74"/>
      <c r="QKC74"/>
      <c r="QKD74"/>
      <c r="QKE74"/>
      <c r="QKF74"/>
      <c r="QKG74"/>
      <c r="QKH74"/>
      <c r="QKI74"/>
      <c r="QKJ74"/>
      <c r="QKK74"/>
      <c r="QKL74"/>
      <c r="QKM74"/>
      <c r="QKN74"/>
      <c r="QKO74"/>
      <c r="QKP74"/>
      <c r="QKQ74"/>
      <c r="QKR74"/>
      <c r="QKS74"/>
      <c r="QKT74"/>
      <c r="QKU74"/>
      <c r="QKV74"/>
      <c r="QKW74"/>
      <c r="QKX74"/>
      <c r="QKY74"/>
      <c r="QKZ74"/>
      <c r="QLA74"/>
      <c r="QLB74"/>
      <c r="QLC74"/>
      <c r="QLD74"/>
      <c r="QLE74"/>
      <c r="QLF74"/>
      <c r="QLG74"/>
      <c r="QLH74"/>
      <c r="QLI74"/>
      <c r="QLJ74"/>
      <c r="QLK74"/>
      <c r="QLL74"/>
      <c r="QLM74"/>
      <c r="QLN74"/>
      <c r="QLO74"/>
      <c r="QLP74"/>
      <c r="QLQ74"/>
      <c r="QLR74"/>
      <c r="QLS74"/>
      <c r="QLT74"/>
      <c r="QLU74"/>
      <c r="QLV74"/>
      <c r="QLW74"/>
      <c r="QLX74"/>
      <c r="QLY74"/>
      <c r="QLZ74"/>
      <c r="QMA74"/>
      <c r="QMB74"/>
      <c r="QMC74"/>
      <c r="QMD74"/>
      <c r="QME74"/>
      <c r="QMF74"/>
      <c r="QMG74"/>
      <c r="QMH74"/>
      <c r="QMI74"/>
      <c r="QMJ74"/>
      <c r="QMK74"/>
      <c r="QML74"/>
      <c r="QMM74"/>
      <c r="QMN74"/>
      <c r="QMO74"/>
      <c r="QMP74"/>
      <c r="QMQ74"/>
      <c r="QMR74"/>
      <c r="QMS74"/>
      <c r="QMT74"/>
      <c r="QMU74"/>
      <c r="QMV74"/>
      <c r="QMW74"/>
      <c r="QMX74"/>
      <c r="QMY74"/>
      <c r="QMZ74"/>
      <c r="QNA74"/>
      <c r="QNB74"/>
      <c r="QNC74"/>
      <c r="QND74"/>
      <c r="QNE74"/>
      <c r="QNF74"/>
      <c r="QNG74"/>
      <c r="QNH74"/>
      <c r="QNI74"/>
      <c r="QNJ74"/>
      <c r="QNK74"/>
      <c r="QNL74"/>
      <c r="QNM74"/>
      <c r="QNN74"/>
      <c r="QNO74"/>
      <c r="QNP74"/>
      <c r="QNQ74"/>
      <c r="QNR74"/>
      <c r="QNS74"/>
      <c r="QNT74"/>
      <c r="QNU74"/>
      <c r="QNV74"/>
      <c r="QNW74"/>
      <c r="QNX74"/>
      <c r="QNY74"/>
      <c r="QNZ74"/>
      <c r="QOA74"/>
      <c r="QOB74"/>
      <c r="QOC74"/>
      <c r="QOD74"/>
      <c r="QOE74"/>
      <c r="QOF74"/>
      <c r="QOG74"/>
      <c r="QOH74"/>
      <c r="QOI74"/>
      <c r="QOJ74"/>
      <c r="QOK74"/>
      <c r="QOL74"/>
      <c r="QOM74"/>
      <c r="QON74"/>
      <c r="QOO74"/>
      <c r="QOP74"/>
      <c r="QOQ74"/>
      <c r="QOR74"/>
      <c r="QOS74"/>
      <c r="QOT74"/>
      <c r="QOU74"/>
      <c r="QOV74"/>
      <c r="QOW74"/>
      <c r="QOX74"/>
      <c r="QOY74"/>
      <c r="QOZ74"/>
      <c r="QPA74"/>
      <c r="QPB74"/>
      <c r="QPC74"/>
      <c r="QPD74"/>
      <c r="QPE74"/>
      <c r="QPF74"/>
      <c r="QPG74"/>
      <c r="QPH74"/>
      <c r="QPI74"/>
      <c r="QPJ74"/>
      <c r="QPK74"/>
      <c r="QPL74"/>
      <c r="QPM74"/>
      <c r="QPN74"/>
      <c r="QPO74"/>
      <c r="QPP74"/>
      <c r="QPQ74"/>
      <c r="QPR74"/>
      <c r="QPS74"/>
      <c r="QPT74"/>
      <c r="QPU74"/>
      <c r="QPV74"/>
      <c r="QPW74"/>
      <c r="QPX74"/>
      <c r="QPY74"/>
      <c r="QPZ74"/>
      <c r="QQA74"/>
      <c r="QQB74"/>
      <c r="QQC74"/>
      <c r="QQD74"/>
      <c r="QQE74"/>
      <c r="QQF74"/>
      <c r="QQG74"/>
      <c r="QQH74"/>
      <c r="QQI74"/>
      <c r="QQJ74"/>
      <c r="QQK74"/>
      <c r="QQL74"/>
      <c r="QQM74"/>
      <c r="QQN74"/>
      <c r="QQO74"/>
      <c r="QQP74"/>
      <c r="QQQ74"/>
      <c r="QQR74"/>
      <c r="QQS74"/>
      <c r="QQT74"/>
      <c r="QQU74"/>
      <c r="QQV74"/>
      <c r="QQW74"/>
      <c r="QQX74"/>
      <c r="QQY74"/>
      <c r="QQZ74"/>
      <c r="QRA74"/>
      <c r="QRB74"/>
      <c r="QRC74"/>
      <c r="QRD74"/>
      <c r="QRE74"/>
      <c r="QRF74"/>
      <c r="QRG74"/>
      <c r="QRH74"/>
      <c r="QRI74"/>
      <c r="QRJ74"/>
      <c r="QRK74"/>
      <c r="QRL74"/>
      <c r="QRM74"/>
      <c r="QRN74"/>
      <c r="QRO74"/>
      <c r="QRP74"/>
      <c r="QRQ74"/>
      <c r="QRR74"/>
      <c r="QRS74"/>
      <c r="QRT74"/>
      <c r="QRU74"/>
      <c r="QRV74"/>
      <c r="QRW74"/>
      <c r="QRX74"/>
      <c r="QRY74"/>
      <c r="QRZ74"/>
      <c r="QSA74"/>
      <c r="QSB74"/>
      <c r="QSC74"/>
      <c r="QSD74"/>
      <c r="QSE74"/>
      <c r="QSF74"/>
      <c r="QSG74"/>
      <c r="QSH74"/>
      <c r="QSI74"/>
      <c r="QSJ74"/>
      <c r="QSK74"/>
      <c r="QSL74"/>
      <c r="QSM74"/>
      <c r="QSN74"/>
      <c r="QSO74"/>
      <c r="QSP74"/>
      <c r="QSQ74"/>
      <c r="QSR74"/>
      <c r="QSS74"/>
      <c r="QST74"/>
      <c r="QSU74"/>
      <c r="QSV74"/>
      <c r="QSW74"/>
      <c r="QSX74"/>
      <c r="QSY74"/>
      <c r="QSZ74"/>
      <c r="QTA74"/>
      <c r="QTB74"/>
      <c r="QTC74"/>
      <c r="QTD74"/>
      <c r="QTE74"/>
      <c r="QTF74"/>
      <c r="QTG74"/>
      <c r="QTH74"/>
      <c r="QTI74"/>
      <c r="QTJ74"/>
      <c r="QTK74"/>
      <c r="QTL74"/>
      <c r="QTM74"/>
      <c r="QTN74"/>
      <c r="QTO74"/>
      <c r="QTP74"/>
      <c r="QTQ74"/>
      <c r="QTR74"/>
      <c r="QTS74"/>
      <c r="QTT74"/>
      <c r="QTU74"/>
      <c r="QTV74"/>
      <c r="QTW74"/>
      <c r="QTX74"/>
      <c r="QTY74"/>
      <c r="QTZ74"/>
      <c r="QUA74"/>
      <c r="QUB74"/>
      <c r="QUC74"/>
      <c r="QUD74"/>
      <c r="QUE74"/>
      <c r="QUF74"/>
      <c r="QUG74"/>
      <c r="QUH74"/>
      <c r="QUI74"/>
      <c r="QUJ74"/>
      <c r="QUK74"/>
      <c r="QUL74"/>
      <c r="QUM74"/>
      <c r="QUN74"/>
      <c r="QUO74"/>
      <c r="QUP74"/>
      <c r="QUQ74"/>
      <c r="QUR74"/>
      <c r="QUS74"/>
      <c r="QUT74"/>
      <c r="QUU74"/>
      <c r="QUV74"/>
      <c r="QUW74"/>
      <c r="QUX74"/>
      <c r="QUY74"/>
      <c r="QUZ74"/>
      <c r="QVA74"/>
      <c r="QVB74"/>
      <c r="QVC74"/>
      <c r="QVD74"/>
      <c r="QVE74"/>
      <c r="QVF74"/>
      <c r="QVG74"/>
      <c r="QVH74"/>
      <c r="QVI74"/>
      <c r="QVJ74"/>
      <c r="QVK74"/>
      <c r="QVL74"/>
      <c r="QVM74"/>
      <c r="QVN74"/>
      <c r="QVO74"/>
      <c r="QVP74"/>
      <c r="QVQ74"/>
      <c r="QVR74"/>
      <c r="QVS74"/>
      <c r="QVT74"/>
      <c r="QVU74"/>
      <c r="QVV74"/>
      <c r="QVW74"/>
      <c r="QVX74"/>
      <c r="QVY74"/>
      <c r="QVZ74"/>
      <c r="QWA74"/>
      <c r="QWB74"/>
      <c r="QWC74"/>
      <c r="QWD74"/>
      <c r="QWE74"/>
      <c r="QWF74"/>
      <c r="QWG74"/>
      <c r="QWH74"/>
      <c r="QWI74"/>
      <c r="QWJ74"/>
      <c r="QWK74"/>
      <c r="QWL74"/>
      <c r="QWM74"/>
      <c r="QWN74"/>
      <c r="QWO74"/>
      <c r="QWP74"/>
      <c r="QWQ74"/>
      <c r="QWR74"/>
      <c r="QWS74"/>
      <c r="QWT74"/>
      <c r="QWU74"/>
      <c r="QWV74"/>
      <c r="QWW74"/>
      <c r="QWX74"/>
      <c r="QWY74"/>
      <c r="QWZ74"/>
      <c r="QXA74"/>
      <c r="QXB74"/>
      <c r="QXC74"/>
      <c r="QXD74"/>
      <c r="QXE74"/>
      <c r="QXF74"/>
      <c r="QXG74"/>
      <c r="QXH74"/>
      <c r="QXI74"/>
      <c r="QXJ74"/>
      <c r="QXK74"/>
      <c r="QXL74"/>
      <c r="QXM74"/>
      <c r="QXN74"/>
      <c r="QXO74"/>
      <c r="QXP74"/>
      <c r="QXQ74"/>
      <c r="QXR74"/>
      <c r="QXS74"/>
      <c r="QXT74"/>
      <c r="QXU74"/>
      <c r="QXV74"/>
      <c r="QXW74"/>
      <c r="QXX74"/>
      <c r="QXY74"/>
      <c r="QXZ74"/>
      <c r="QYA74"/>
      <c r="QYB74"/>
      <c r="QYC74"/>
      <c r="QYD74"/>
      <c r="QYE74"/>
      <c r="QYF74"/>
      <c r="QYG74"/>
      <c r="QYH74"/>
      <c r="QYI74"/>
      <c r="QYJ74"/>
      <c r="QYK74"/>
      <c r="QYL74"/>
      <c r="QYM74"/>
      <c r="QYN74"/>
      <c r="QYO74"/>
      <c r="QYP74"/>
      <c r="QYQ74"/>
      <c r="QYR74"/>
      <c r="QYS74"/>
      <c r="QYT74"/>
      <c r="QYU74"/>
      <c r="QYV74"/>
      <c r="QYW74"/>
      <c r="QYX74"/>
      <c r="QYY74"/>
      <c r="QYZ74"/>
      <c r="QZA74"/>
      <c r="QZB74"/>
      <c r="QZC74"/>
      <c r="QZD74"/>
      <c r="QZE74"/>
      <c r="QZF74"/>
      <c r="QZG74"/>
      <c r="QZH74"/>
      <c r="QZI74"/>
      <c r="QZJ74"/>
      <c r="QZK74"/>
      <c r="QZL74"/>
      <c r="QZM74"/>
      <c r="QZN74"/>
      <c r="QZO74"/>
      <c r="QZP74"/>
      <c r="QZQ74"/>
      <c r="QZR74"/>
      <c r="QZS74"/>
      <c r="QZT74"/>
      <c r="QZU74"/>
      <c r="QZV74"/>
      <c r="QZW74"/>
      <c r="QZX74"/>
      <c r="QZY74"/>
      <c r="QZZ74"/>
      <c r="RAA74"/>
      <c r="RAB74"/>
      <c r="RAC74"/>
      <c r="RAD74"/>
      <c r="RAE74"/>
      <c r="RAF74"/>
      <c r="RAG74"/>
      <c r="RAH74"/>
      <c r="RAI74"/>
      <c r="RAJ74"/>
      <c r="RAK74"/>
      <c r="RAL74"/>
      <c r="RAM74"/>
      <c r="RAN74"/>
      <c r="RAO74"/>
      <c r="RAP74"/>
      <c r="RAQ74"/>
      <c r="RAR74"/>
      <c r="RAS74"/>
      <c r="RAT74"/>
      <c r="RAU74"/>
      <c r="RAV74"/>
      <c r="RAW74"/>
      <c r="RAX74"/>
      <c r="RAY74"/>
      <c r="RAZ74"/>
      <c r="RBA74"/>
      <c r="RBB74"/>
      <c r="RBC74"/>
      <c r="RBD74"/>
      <c r="RBE74"/>
      <c r="RBF74"/>
      <c r="RBG74"/>
      <c r="RBH74"/>
      <c r="RBI74"/>
      <c r="RBJ74"/>
      <c r="RBK74"/>
      <c r="RBL74"/>
      <c r="RBM74"/>
      <c r="RBN74"/>
      <c r="RBO74"/>
      <c r="RBP74"/>
      <c r="RBQ74"/>
      <c r="RBR74"/>
      <c r="RBS74"/>
      <c r="RBT74"/>
      <c r="RBU74"/>
      <c r="RBV74"/>
      <c r="RBW74"/>
      <c r="RBX74"/>
      <c r="RBY74"/>
      <c r="RBZ74"/>
      <c r="RCA74"/>
      <c r="RCB74"/>
      <c r="RCC74"/>
      <c r="RCD74"/>
      <c r="RCE74"/>
      <c r="RCF74"/>
      <c r="RCG74"/>
      <c r="RCH74"/>
      <c r="RCI74"/>
      <c r="RCJ74"/>
      <c r="RCK74"/>
      <c r="RCL74"/>
      <c r="RCM74"/>
      <c r="RCN74"/>
      <c r="RCO74"/>
      <c r="RCP74"/>
      <c r="RCQ74"/>
      <c r="RCR74"/>
      <c r="RCS74"/>
      <c r="RCT74"/>
      <c r="RCU74"/>
      <c r="RCV74"/>
      <c r="RCW74"/>
      <c r="RCX74"/>
      <c r="RCY74"/>
      <c r="RCZ74"/>
      <c r="RDA74"/>
      <c r="RDB74"/>
      <c r="RDC74"/>
      <c r="RDD74"/>
      <c r="RDE74"/>
      <c r="RDF74"/>
      <c r="RDG74"/>
      <c r="RDH74"/>
      <c r="RDI74"/>
      <c r="RDJ74"/>
      <c r="RDK74"/>
      <c r="RDL74"/>
      <c r="RDM74"/>
      <c r="RDN74"/>
      <c r="RDO74"/>
      <c r="RDP74"/>
      <c r="RDQ74"/>
      <c r="RDR74"/>
      <c r="RDS74"/>
      <c r="RDT74"/>
      <c r="RDU74"/>
      <c r="RDV74"/>
      <c r="RDW74"/>
      <c r="RDX74"/>
      <c r="RDY74"/>
      <c r="RDZ74"/>
      <c r="REA74"/>
      <c r="REB74"/>
      <c r="REC74"/>
      <c r="RED74"/>
      <c r="REE74"/>
      <c r="REF74"/>
      <c r="REG74"/>
      <c r="REH74"/>
      <c r="REI74"/>
      <c r="REJ74"/>
      <c r="REK74"/>
      <c r="REL74"/>
      <c r="REM74"/>
      <c r="REN74"/>
      <c r="REO74"/>
      <c r="REP74"/>
      <c r="REQ74"/>
      <c r="RER74"/>
      <c r="RES74"/>
      <c r="RET74"/>
      <c r="REU74"/>
      <c r="REV74"/>
      <c r="REW74"/>
      <c r="REX74"/>
      <c r="REY74"/>
      <c r="REZ74"/>
      <c r="RFA74"/>
      <c r="RFB74"/>
      <c r="RFC74"/>
      <c r="RFD74"/>
      <c r="RFE74"/>
      <c r="RFF74"/>
      <c r="RFG74"/>
      <c r="RFH74"/>
      <c r="RFI74"/>
      <c r="RFJ74"/>
      <c r="RFK74"/>
      <c r="RFL74"/>
      <c r="RFM74"/>
      <c r="RFN74"/>
      <c r="RFO74"/>
      <c r="RFP74"/>
      <c r="RFQ74"/>
      <c r="RFR74"/>
      <c r="RFS74"/>
      <c r="RFT74"/>
      <c r="RFU74"/>
      <c r="RFV74"/>
      <c r="RFW74"/>
      <c r="RFX74"/>
      <c r="RFY74"/>
      <c r="RFZ74"/>
      <c r="RGA74"/>
      <c r="RGB74"/>
      <c r="RGC74"/>
      <c r="RGD74"/>
      <c r="RGE74"/>
      <c r="RGF74"/>
      <c r="RGG74"/>
      <c r="RGH74"/>
      <c r="RGI74"/>
      <c r="RGJ74"/>
      <c r="RGK74"/>
      <c r="RGL74"/>
      <c r="RGM74"/>
      <c r="RGN74"/>
      <c r="RGO74"/>
      <c r="RGP74"/>
      <c r="RGQ74"/>
      <c r="RGR74"/>
      <c r="RGS74"/>
      <c r="RGT74"/>
      <c r="RGU74"/>
      <c r="RGV74"/>
      <c r="RGW74"/>
      <c r="RGX74"/>
      <c r="RGY74"/>
      <c r="RGZ74"/>
      <c r="RHA74"/>
      <c r="RHB74"/>
      <c r="RHC74"/>
      <c r="RHD74"/>
      <c r="RHE74"/>
      <c r="RHF74"/>
      <c r="RHG74"/>
      <c r="RHH74"/>
      <c r="RHI74"/>
      <c r="RHJ74"/>
      <c r="RHK74"/>
      <c r="RHL74"/>
      <c r="RHM74"/>
      <c r="RHN74"/>
      <c r="RHO74"/>
      <c r="RHP74"/>
      <c r="RHQ74"/>
      <c r="RHR74"/>
      <c r="RHS74"/>
      <c r="RHT74"/>
      <c r="RHU74"/>
      <c r="RHV74"/>
      <c r="RHW74"/>
      <c r="RHX74"/>
      <c r="RHY74"/>
      <c r="RHZ74"/>
      <c r="RIA74"/>
      <c r="RIB74"/>
      <c r="RIC74"/>
      <c r="RID74"/>
      <c r="RIE74"/>
      <c r="RIF74"/>
      <c r="RIG74"/>
      <c r="RIH74"/>
      <c r="RII74"/>
      <c r="RIJ74"/>
      <c r="RIK74"/>
      <c r="RIL74"/>
      <c r="RIM74"/>
      <c r="RIN74"/>
      <c r="RIO74"/>
      <c r="RIP74"/>
      <c r="RIQ74"/>
      <c r="RIR74"/>
      <c r="RIS74"/>
      <c r="RIT74"/>
      <c r="RIU74"/>
      <c r="RIV74"/>
      <c r="RIW74"/>
      <c r="RIX74"/>
      <c r="RIY74"/>
      <c r="RIZ74"/>
      <c r="RJA74"/>
      <c r="RJB74"/>
      <c r="RJC74"/>
      <c r="RJD74"/>
      <c r="RJE74"/>
      <c r="RJF74"/>
      <c r="RJG74"/>
      <c r="RJH74"/>
      <c r="RJI74"/>
      <c r="RJJ74"/>
      <c r="RJK74"/>
      <c r="RJL74"/>
      <c r="RJM74"/>
      <c r="RJN74"/>
      <c r="RJO74"/>
      <c r="RJP74"/>
      <c r="RJQ74"/>
      <c r="RJR74"/>
      <c r="RJS74"/>
      <c r="RJT74"/>
      <c r="RJU74"/>
      <c r="RJV74"/>
      <c r="RJW74"/>
      <c r="RJX74"/>
      <c r="RJY74"/>
      <c r="RJZ74"/>
      <c r="RKA74"/>
      <c r="RKB74"/>
      <c r="RKC74"/>
      <c r="RKD74"/>
      <c r="RKE74"/>
      <c r="RKF74"/>
      <c r="RKG74"/>
      <c r="RKH74"/>
      <c r="RKI74"/>
      <c r="RKJ74"/>
      <c r="RKK74"/>
      <c r="RKL74"/>
      <c r="RKM74"/>
      <c r="RKN74"/>
      <c r="RKO74"/>
      <c r="RKP74"/>
      <c r="RKQ74"/>
      <c r="RKR74"/>
      <c r="RKS74"/>
      <c r="RKT74"/>
      <c r="RKU74"/>
      <c r="RKV74"/>
      <c r="RKW74"/>
      <c r="RKX74"/>
      <c r="RKY74"/>
      <c r="RKZ74"/>
      <c r="RLA74"/>
      <c r="RLB74"/>
      <c r="RLC74"/>
      <c r="RLD74"/>
      <c r="RLE74"/>
      <c r="RLF74"/>
      <c r="RLG74"/>
      <c r="RLH74"/>
      <c r="RLI74"/>
      <c r="RLJ74"/>
      <c r="RLK74"/>
      <c r="RLL74"/>
      <c r="RLM74"/>
      <c r="RLN74"/>
      <c r="RLO74"/>
      <c r="RLP74"/>
      <c r="RLQ74"/>
      <c r="RLR74"/>
      <c r="RLS74"/>
      <c r="RLT74"/>
      <c r="RLU74"/>
      <c r="RLV74"/>
      <c r="RLW74"/>
      <c r="RLX74"/>
      <c r="RLY74"/>
      <c r="RLZ74"/>
      <c r="RMA74"/>
      <c r="RMB74"/>
      <c r="RMC74"/>
      <c r="RMD74"/>
      <c r="RME74"/>
      <c r="RMF74"/>
      <c r="RMG74"/>
      <c r="RMH74"/>
      <c r="RMI74"/>
      <c r="RMJ74"/>
      <c r="RMK74"/>
      <c r="RML74"/>
      <c r="RMM74"/>
      <c r="RMN74"/>
      <c r="RMO74"/>
      <c r="RMP74"/>
      <c r="RMQ74"/>
      <c r="RMR74"/>
      <c r="RMS74"/>
      <c r="RMT74"/>
      <c r="RMU74"/>
      <c r="RMV74"/>
      <c r="RMW74"/>
      <c r="RMX74"/>
      <c r="RMY74"/>
      <c r="RMZ74"/>
      <c r="RNA74"/>
      <c r="RNB74"/>
      <c r="RNC74"/>
      <c r="RND74"/>
      <c r="RNE74"/>
      <c r="RNF74"/>
      <c r="RNG74"/>
      <c r="RNH74"/>
      <c r="RNI74"/>
      <c r="RNJ74"/>
      <c r="RNK74"/>
      <c r="RNL74"/>
      <c r="RNM74"/>
      <c r="RNN74"/>
      <c r="RNO74"/>
      <c r="RNP74"/>
      <c r="RNQ74"/>
      <c r="RNR74"/>
      <c r="RNS74"/>
      <c r="RNT74"/>
      <c r="RNU74"/>
      <c r="RNV74"/>
      <c r="RNW74"/>
      <c r="RNX74"/>
      <c r="RNY74"/>
      <c r="RNZ74"/>
      <c r="ROA74"/>
      <c r="ROB74"/>
      <c r="ROC74"/>
      <c r="ROD74"/>
      <c r="ROE74"/>
      <c r="ROF74"/>
      <c r="ROG74"/>
      <c r="ROH74"/>
      <c r="ROI74"/>
      <c r="ROJ74"/>
      <c r="ROK74"/>
      <c r="ROL74"/>
      <c r="ROM74"/>
      <c r="RON74"/>
      <c r="ROO74"/>
      <c r="ROP74"/>
      <c r="ROQ74"/>
      <c r="ROR74"/>
      <c r="ROS74"/>
      <c r="ROT74"/>
      <c r="ROU74"/>
      <c r="ROV74"/>
      <c r="ROW74"/>
      <c r="ROX74"/>
      <c r="ROY74"/>
      <c r="ROZ74"/>
      <c r="RPA74"/>
      <c r="RPB74"/>
      <c r="RPC74"/>
      <c r="RPD74"/>
      <c r="RPE74"/>
      <c r="RPF74"/>
      <c r="RPG74"/>
      <c r="RPH74"/>
      <c r="RPI74"/>
      <c r="RPJ74"/>
      <c r="RPK74"/>
      <c r="RPL74"/>
      <c r="RPM74"/>
      <c r="RPN74"/>
      <c r="RPO74"/>
      <c r="RPP74"/>
      <c r="RPQ74"/>
      <c r="RPR74"/>
      <c r="RPS74"/>
      <c r="RPT74"/>
      <c r="RPU74"/>
      <c r="RPV74"/>
      <c r="RPW74"/>
      <c r="RPX74"/>
      <c r="RPY74"/>
      <c r="RPZ74"/>
      <c r="RQA74"/>
      <c r="RQB74"/>
      <c r="RQC74"/>
      <c r="RQD74"/>
      <c r="RQE74"/>
      <c r="RQF74"/>
      <c r="RQG74"/>
      <c r="RQH74"/>
      <c r="RQI74"/>
      <c r="RQJ74"/>
      <c r="RQK74"/>
      <c r="RQL74"/>
      <c r="RQM74"/>
      <c r="RQN74"/>
      <c r="RQO74"/>
      <c r="RQP74"/>
      <c r="RQQ74"/>
      <c r="RQR74"/>
      <c r="RQS74"/>
      <c r="RQT74"/>
      <c r="RQU74"/>
      <c r="RQV74"/>
      <c r="RQW74"/>
      <c r="RQX74"/>
      <c r="RQY74"/>
      <c r="RQZ74"/>
      <c r="RRA74"/>
      <c r="RRB74"/>
      <c r="RRC74"/>
      <c r="RRD74"/>
      <c r="RRE74"/>
      <c r="RRF74"/>
      <c r="RRG74"/>
      <c r="RRH74"/>
      <c r="RRI74"/>
      <c r="RRJ74"/>
      <c r="RRK74"/>
      <c r="RRL74"/>
      <c r="RRM74"/>
      <c r="RRN74"/>
      <c r="RRO74"/>
      <c r="RRP74"/>
      <c r="RRQ74"/>
      <c r="RRR74"/>
      <c r="RRS74"/>
      <c r="RRT74"/>
      <c r="RRU74"/>
      <c r="RRV74"/>
      <c r="RRW74"/>
      <c r="RRX74"/>
      <c r="RRY74"/>
      <c r="RRZ74"/>
      <c r="RSA74"/>
      <c r="RSB74"/>
      <c r="RSC74"/>
      <c r="RSD74"/>
      <c r="RSE74"/>
      <c r="RSF74"/>
      <c r="RSG74"/>
      <c r="RSH74"/>
      <c r="RSI74"/>
      <c r="RSJ74"/>
      <c r="RSK74"/>
      <c r="RSL74"/>
      <c r="RSM74"/>
      <c r="RSN74"/>
      <c r="RSO74"/>
      <c r="RSP74"/>
      <c r="RSQ74"/>
      <c r="RSR74"/>
      <c r="RSS74"/>
      <c r="RST74"/>
      <c r="RSU74"/>
      <c r="RSV74"/>
      <c r="RSW74"/>
      <c r="RSX74"/>
      <c r="RSY74"/>
      <c r="RSZ74"/>
      <c r="RTA74"/>
      <c r="RTB74"/>
      <c r="RTC74"/>
      <c r="RTD74"/>
      <c r="RTE74"/>
      <c r="RTF74"/>
      <c r="RTG74"/>
      <c r="RTH74"/>
      <c r="RTI74"/>
      <c r="RTJ74"/>
      <c r="RTK74"/>
      <c r="RTL74"/>
      <c r="RTM74"/>
      <c r="RTN74"/>
      <c r="RTO74"/>
      <c r="RTP74"/>
      <c r="RTQ74"/>
      <c r="RTR74"/>
      <c r="RTS74"/>
      <c r="RTT74"/>
      <c r="RTU74"/>
      <c r="RTV74"/>
      <c r="RTW74"/>
      <c r="RTX74"/>
      <c r="RTY74"/>
      <c r="RTZ74"/>
      <c r="RUA74"/>
      <c r="RUB74"/>
      <c r="RUC74"/>
      <c r="RUD74"/>
      <c r="RUE74"/>
      <c r="RUF74"/>
      <c r="RUG74"/>
      <c r="RUH74"/>
      <c r="RUI74"/>
      <c r="RUJ74"/>
      <c r="RUK74"/>
      <c r="RUL74"/>
      <c r="RUM74"/>
      <c r="RUN74"/>
      <c r="RUO74"/>
      <c r="RUP74"/>
      <c r="RUQ74"/>
      <c r="RUR74"/>
      <c r="RUS74"/>
      <c r="RUT74"/>
      <c r="RUU74"/>
      <c r="RUV74"/>
      <c r="RUW74"/>
      <c r="RUX74"/>
      <c r="RUY74"/>
      <c r="RUZ74"/>
      <c r="RVA74"/>
      <c r="RVB74"/>
      <c r="RVC74"/>
      <c r="RVD74"/>
      <c r="RVE74"/>
      <c r="RVF74"/>
      <c r="RVG74"/>
      <c r="RVH74"/>
      <c r="RVI74"/>
      <c r="RVJ74"/>
      <c r="RVK74"/>
      <c r="RVL74"/>
      <c r="RVM74"/>
      <c r="RVN74"/>
      <c r="RVO74"/>
      <c r="RVP74"/>
      <c r="RVQ74"/>
      <c r="RVR74"/>
      <c r="RVS74"/>
      <c r="RVT74"/>
      <c r="RVU74"/>
      <c r="RVV74"/>
      <c r="RVW74"/>
      <c r="RVX74"/>
      <c r="RVY74"/>
      <c r="RVZ74"/>
      <c r="RWA74"/>
      <c r="RWB74"/>
      <c r="RWC74"/>
      <c r="RWD74"/>
      <c r="RWE74"/>
      <c r="RWF74"/>
      <c r="RWG74"/>
      <c r="RWH74"/>
      <c r="RWI74"/>
      <c r="RWJ74"/>
      <c r="RWK74"/>
      <c r="RWL74"/>
      <c r="RWM74"/>
      <c r="RWN74"/>
      <c r="RWO74"/>
      <c r="RWP74"/>
      <c r="RWQ74"/>
      <c r="RWR74"/>
      <c r="RWS74"/>
      <c r="RWT74"/>
      <c r="RWU74"/>
      <c r="RWV74"/>
      <c r="RWW74"/>
      <c r="RWX74"/>
      <c r="RWY74"/>
      <c r="RWZ74"/>
      <c r="RXA74"/>
      <c r="RXB74"/>
      <c r="RXC74"/>
      <c r="RXD74"/>
      <c r="RXE74"/>
      <c r="RXF74"/>
      <c r="RXG74"/>
      <c r="RXH74"/>
      <c r="RXI74"/>
      <c r="RXJ74"/>
      <c r="RXK74"/>
      <c r="RXL74"/>
      <c r="RXM74"/>
      <c r="RXN74"/>
      <c r="RXO74"/>
      <c r="RXP74"/>
      <c r="RXQ74"/>
      <c r="RXR74"/>
      <c r="RXS74"/>
      <c r="RXT74"/>
      <c r="RXU74"/>
      <c r="RXV74"/>
      <c r="RXW74"/>
      <c r="RXX74"/>
      <c r="RXY74"/>
      <c r="RXZ74"/>
      <c r="RYA74"/>
      <c r="RYB74"/>
      <c r="RYC74"/>
      <c r="RYD74"/>
      <c r="RYE74"/>
      <c r="RYF74"/>
      <c r="RYG74"/>
      <c r="RYH74"/>
      <c r="RYI74"/>
      <c r="RYJ74"/>
      <c r="RYK74"/>
      <c r="RYL74"/>
      <c r="RYM74"/>
      <c r="RYN74"/>
      <c r="RYO74"/>
      <c r="RYP74"/>
      <c r="RYQ74"/>
      <c r="RYR74"/>
      <c r="RYS74"/>
      <c r="RYT74"/>
      <c r="RYU74"/>
      <c r="RYV74"/>
      <c r="RYW74"/>
      <c r="RYX74"/>
      <c r="RYY74"/>
      <c r="RYZ74"/>
      <c r="RZA74"/>
      <c r="RZB74"/>
      <c r="RZC74"/>
      <c r="RZD74"/>
      <c r="RZE74"/>
      <c r="RZF74"/>
      <c r="RZG74"/>
      <c r="RZH74"/>
      <c r="RZI74"/>
      <c r="RZJ74"/>
      <c r="RZK74"/>
      <c r="RZL74"/>
      <c r="RZM74"/>
      <c r="RZN74"/>
      <c r="RZO74"/>
      <c r="RZP74"/>
      <c r="RZQ74"/>
      <c r="RZR74"/>
      <c r="RZS74"/>
      <c r="RZT74"/>
      <c r="RZU74"/>
      <c r="RZV74"/>
      <c r="RZW74"/>
      <c r="RZX74"/>
      <c r="RZY74"/>
      <c r="RZZ74"/>
      <c r="SAA74"/>
      <c r="SAB74"/>
      <c r="SAC74"/>
      <c r="SAD74"/>
      <c r="SAE74"/>
      <c r="SAF74"/>
      <c r="SAG74"/>
      <c r="SAH74"/>
      <c r="SAI74"/>
      <c r="SAJ74"/>
      <c r="SAK74"/>
      <c r="SAL74"/>
      <c r="SAM74"/>
      <c r="SAN74"/>
      <c r="SAO74"/>
      <c r="SAP74"/>
      <c r="SAQ74"/>
      <c r="SAR74"/>
      <c r="SAS74"/>
      <c r="SAT74"/>
      <c r="SAU74"/>
      <c r="SAV74"/>
      <c r="SAW74"/>
      <c r="SAX74"/>
      <c r="SAY74"/>
      <c r="SAZ74"/>
      <c r="SBA74"/>
      <c r="SBB74"/>
      <c r="SBC74"/>
      <c r="SBD74"/>
      <c r="SBE74"/>
      <c r="SBF74"/>
      <c r="SBG74"/>
      <c r="SBH74"/>
      <c r="SBI74"/>
      <c r="SBJ74"/>
      <c r="SBK74"/>
      <c r="SBL74"/>
      <c r="SBM74"/>
      <c r="SBN74"/>
      <c r="SBO74"/>
      <c r="SBP74"/>
      <c r="SBQ74"/>
      <c r="SBR74"/>
      <c r="SBS74"/>
      <c r="SBT74"/>
      <c r="SBU74"/>
      <c r="SBV74"/>
      <c r="SBW74"/>
      <c r="SBX74"/>
      <c r="SBY74"/>
      <c r="SBZ74"/>
      <c r="SCA74"/>
      <c r="SCB74"/>
      <c r="SCC74"/>
      <c r="SCD74"/>
      <c r="SCE74"/>
      <c r="SCF74"/>
      <c r="SCG74"/>
      <c r="SCH74"/>
      <c r="SCI74"/>
      <c r="SCJ74"/>
      <c r="SCK74"/>
      <c r="SCL74"/>
      <c r="SCM74"/>
      <c r="SCN74"/>
      <c r="SCO74"/>
      <c r="SCP74"/>
      <c r="SCQ74"/>
      <c r="SCR74"/>
      <c r="SCS74"/>
      <c r="SCT74"/>
      <c r="SCU74"/>
      <c r="SCV74"/>
      <c r="SCW74"/>
      <c r="SCX74"/>
      <c r="SCY74"/>
      <c r="SCZ74"/>
      <c r="SDA74"/>
      <c r="SDB74"/>
      <c r="SDC74"/>
      <c r="SDD74"/>
      <c r="SDE74"/>
      <c r="SDF74"/>
      <c r="SDG74"/>
      <c r="SDH74"/>
      <c r="SDI74"/>
      <c r="SDJ74"/>
      <c r="SDK74"/>
      <c r="SDL74"/>
      <c r="SDM74"/>
      <c r="SDN74"/>
      <c r="SDO74"/>
      <c r="SDP74"/>
      <c r="SDQ74"/>
      <c r="SDR74"/>
      <c r="SDS74"/>
      <c r="SDT74"/>
      <c r="SDU74"/>
      <c r="SDV74"/>
      <c r="SDW74"/>
      <c r="SDX74"/>
      <c r="SDY74"/>
      <c r="SDZ74"/>
      <c r="SEA74"/>
      <c r="SEB74"/>
      <c r="SEC74"/>
      <c r="SED74"/>
      <c r="SEE74"/>
      <c r="SEF74"/>
      <c r="SEG74"/>
      <c r="SEH74"/>
      <c r="SEI74"/>
      <c r="SEJ74"/>
      <c r="SEK74"/>
      <c r="SEL74"/>
      <c r="SEM74"/>
      <c r="SEN74"/>
      <c r="SEO74"/>
      <c r="SEP74"/>
      <c r="SEQ74"/>
      <c r="SER74"/>
      <c r="SES74"/>
      <c r="SET74"/>
      <c r="SEU74"/>
      <c r="SEV74"/>
      <c r="SEW74"/>
      <c r="SEX74"/>
      <c r="SEY74"/>
      <c r="SEZ74"/>
      <c r="SFA74"/>
      <c r="SFB74"/>
      <c r="SFC74"/>
      <c r="SFD74"/>
      <c r="SFE74"/>
      <c r="SFF74"/>
      <c r="SFG74"/>
      <c r="SFH74"/>
      <c r="SFI74"/>
      <c r="SFJ74"/>
      <c r="SFK74"/>
      <c r="SFL74"/>
      <c r="SFM74"/>
      <c r="SFN74"/>
      <c r="SFO74"/>
      <c r="SFP74"/>
      <c r="SFQ74"/>
      <c r="SFR74"/>
      <c r="SFS74"/>
      <c r="SFT74"/>
      <c r="SFU74"/>
      <c r="SFV74"/>
      <c r="SFW74"/>
      <c r="SFX74"/>
      <c r="SFY74"/>
      <c r="SFZ74"/>
      <c r="SGA74"/>
      <c r="SGB74"/>
      <c r="SGC74"/>
      <c r="SGD74"/>
      <c r="SGE74"/>
      <c r="SGF74"/>
      <c r="SGG74"/>
      <c r="SGH74"/>
      <c r="SGI74"/>
      <c r="SGJ74"/>
      <c r="SGK74"/>
      <c r="SGL74"/>
      <c r="SGM74"/>
      <c r="SGN74"/>
      <c r="SGO74"/>
      <c r="SGP74"/>
      <c r="SGQ74"/>
      <c r="SGR74"/>
      <c r="SGS74"/>
      <c r="SGT74"/>
      <c r="SGU74"/>
      <c r="SGV74"/>
      <c r="SGW74"/>
      <c r="SGX74"/>
      <c r="SGY74"/>
      <c r="SGZ74"/>
      <c r="SHA74"/>
      <c r="SHB74"/>
      <c r="SHC74"/>
      <c r="SHD74"/>
      <c r="SHE74"/>
      <c r="SHF74"/>
      <c r="SHG74"/>
      <c r="SHH74"/>
      <c r="SHI74"/>
      <c r="SHJ74"/>
      <c r="SHK74"/>
      <c r="SHL74"/>
      <c r="SHM74"/>
      <c r="SHN74"/>
      <c r="SHO74"/>
      <c r="SHP74"/>
      <c r="SHQ74"/>
      <c r="SHR74"/>
      <c r="SHS74"/>
      <c r="SHT74"/>
      <c r="SHU74"/>
      <c r="SHV74"/>
      <c r="SHW74"/>
      <c r="SHX74"/>
      <c r="SHY74"/>
      <c r="SHZ74"/>
      <c r="SIA74"/>
      <c r="SIB74"/>
      <c r="SIC74"/>
      <c r="SID74"/>
      <c r="SIE74"/>
      <c r="SIF74"/>
      <c r="SIG74"/>
      <c r="SIH74"/>
      <c r="SII74"/>
      <c r="SIJ74"/>
      <c r="SIK74"/>
      <c r="SIL74"/>
      <c r="SIM74"/>
      <c r="SIN74"/>
      <c r="SIO74"/>
      <c r="SIP74"/>
      <c r="SIQ74"/>
      <c r="SIR74"/>
      <c r="SIS74"/>
      <c r="SIT74"/>
      <c r="SIU74"/>
      <c r="SIV74"/>
      <c r="SIW74"/>
      <c r="SIX74"/>
      <c r="SIY74"/>
      <c r="SIZ74"/>
      <c r="SJA74"/>
      <c r="SJB74"/>
      <c r="SJC74"/>
      <c r="SJD74"/>
      <c r="SJE74"/>
      <c r="SJF74"/>
      <c r="SJG74"/>
      <c r="SJH74"/>
      <c r="SJI74"/>
      <c r="SJJ74"/>
      <c r="SJK74"/>
      <c r="SJL74"/>
      <c r="SJM74"/>
      <c r="SJN74"/>
      <c r="SJO74"/>
      <c r="SJP74"/>
      <c r="SJQ74"/>
      <c r="SJR74"/>
      <c r="SJS74"/>
      <c r="SJT74"/>
      <c r="SJU74"/>
      <c r="SJV74"/>
      <c r="SJW74"/>
      <c r="SJX74"/>
      <c r="SJY74"/>
      <c r="SJZ74"/>
      <c r="SKA74"/>
      <c r="SKB74"/>
      <c r="SKC74"/>
      <c r="SKD74"/>
      <c r="SKE74"/>
      <c r="SKF74"/>
      <c r="SKG74"/>
      <c r="SKH74"/>
      <c r="SKI74"/>
      <c r="SKJ74"/>
      <c r="SKK74"/>
      <c r="SKL74"/>
      <c r="SKM74"/>
      <c r="SKN74"/>
      <c r="SKO74"/>
      <c r="SKP74"/>
      <c r="SKQ74"/>
      <c r="SKR74"/>
      <c r="SKS74"/>
      <c r="SKT74"/>
      <c r="SKU74"/>
      <c r="SKV74"/>
      <c r="SKW74"/>
      <c r="SKX74"/>
      <c r="SKY74"/>
      <c r="SKZ74"/>
      <c r="SLA74"/>
      <c r="SLB74"/>
      <c r="SLC74"/>
      <c r="SLD74"/>
      <c r="SLE74"/>
      <c r="SLF74"/>
      <c r="SLG74"/>
      <c r="SLH74"/>
      <c r="SLI74"/>
      <c r="SLJ74"/>
      <c r="SLK74"/>
      <c r="SLL74"/>
      <c r="SLM74"/>
      <c r="SLN74"/>
      <c r="SLO74"/>
      <c r="SLP74"/>
      <c r="SLQ74"/>
      <c r="SLR74"/>
      <c r="SLS74"/>
      <c r="SLT74"/>
      <c r="SLU74"/>
      <c r="SLV74"/>
      <c r="SLW74"/>
      <c r="SLX74"/>
      <c r="SLY74"/>
      <c r="SLZ74"/>
      <c r="SMA74"/>
      <c r="SMB74"/>
      <c r="SMC74"/>
      <c r="SMD74"/>
      <c r="SME74"/>
      <c r="SMF74"/>
      <c r="SMG74"/>
      <c r="SMH74"/>
      <c r="SMI74"/>
      <c r="SMJ74"/>
      <c r="SMK74"/>
      <c r="SML74"/>
      <c r="SMM74"/>
      <c r="SMN74"/>
      <c r="SMO74"/>
      <c r="SMP74"/>
      <c r="SMQ74"/>
      <c r="SMR74"/>
      <c r="SMS74"/>
      <c r="SMT74"/>
      <c r="SMU74"/>
      <c r="SMV74"/>
      <c r="SMW74"/>
      <c r="SMX74"/>
      <c r="SMY74"/>
      <c r="SMZ74"/>
      <c r="SNA74"/>
      <c r="SNB74"/>
      <c r="SNC74"/>
      <c r="SND74"/>
      <c r="SNE74"/>
      <c r="SNF74"/>
      <c r="SNG74"/>
      <c r="SNH74"/>
      <c r="SNI74"/>
      <c r="SNJ74"/>
      <c r="SNK74"/>
      <c r="SNL74"/>
      <c r="SNM74"/>
      <c r="SNN74"/>
      <c r="SNO74"/>
      <c r="SNP74"/>
      <c r="SNQ74"/>
      <c r="SNR74"/>
      <c r="SNS74"/>
      <c r="SNT74"/>
      <c r="SNU74"/>
      <c r="SNV74"/>
      <c r="SNW74"/>
      <c r="SNX74"/>
      <c r="SNY74"/>
      <c r="SNZ74"/>
      <c r="SOA74"/>
      <c r="SOB74"/>
      <c r="SOC74"/>
      <c r="SOD74"/>
      <c r="SOE74"/>
      <c r="SOF74"/>
      <c r="SOG74"/>
      <c r="SOH74"/>
      <c r="SOI74"/>
      <c r="SOJ74"/>
      <c r="SOK74"/>
      <c r="SOL74"/>
      <c r="SOM74"/>
      <c r="SON74"/>
      <c r="SOO74"/>
      <c r="SOP74"/>
      <c r="SOQ74"/>
      <c r="SOR74"/>
      <c r="SOS74"/>
      <c r="SOT74"/>
      <c r="SOU74"/>
      <c r="SOV74"/>
      <c r="SOW74"/>
      <c r="SOX74"/>
      <c r="SOY74"/>
      <c r="SOZ74"/>
      <c r="SPA74"/>
      <c r="SPB74"/>
      <c r="SPC74"/>
      <c r="SPD74"/>
      <c r="SPE74"/>
      <c r="SPF74"/>
      <c r="SPG74"/>
      <c r="SPH74"/>
      <c r="SPI74"/>
      <c r="SPJ74"/>
      <c r="SPK74"/>
      <c r="SPL74"/>
      <c r="SPM74"/>
      <c r="SPN74"/>
      <c r="SPO74"/>
      <c r="SPP74"/>
      <c r="SPQ74"/>
      <c r="SPR74"/>
      <c r="SPS74"/>
      <c r="SPT74"/>
      <c r="SPU74"/>
      <c r="SPV74"/>
      <c r="SPW74"/>
      <c r="SPX74"/>
      <c r="SPY74"/>
      <c r="SPZ74"/>
      <c r="SQA74"/>
      <c r="SQB74"/>
      <c r="SQC74"/>
      <c r="SQD74"/>
      <c r="SQE74"/>
      <c r="SQF74"/>
      <c r="SQG74"/>
      <c r="SQH74"/>
      <c r="SQI74"/>
      <c r="SQJ74"/>
      <c r="SQK74"/>
      <c r="SQL74"/>
      <c r="SQM74"/>
      <c r="SQN74"/>
      <c r="SQO74"/>
      <c r="SQP74"/>
      <c r="SQQ74"/>
      <c r="SQR74"/>
      <c r="SQS74"/>
      <c r="SQT74"/>
      <c r="SQU74"/>
      <c r="SQV74"/>
      <c r="SQW74"/>
      <c r="SQX74"/>
      <c r="SQY74"/>
      <c r="SQZ74"/>
      <c r="SRA74"/>
      <c r="SRB74"/>
      <c r="SRC74"/>
      <c r="SRD74"/>
      <c r="SRE74"/>
      <c r="SRF74"/>
      <c r="SRG74"/>
      <c r="SRH74"/>
      <c r="SRI74"/>
      <c r="SRJ74"/>
      <c r="SRK74"/>
      <c r="SRL74"/>
      <c r="SRM74"/>
      <c r="SRN74"/>
      <c r="SRO74"/>
      <c r="SRP74"/>
      <c r="SRQ74"/>
      <c r="SRR74"/>
      <c r="SRS74"/>
      <c r="SRT74"/>
      <c r="SRU74"/>
      <c r="SRV74"/>
      <c r="SRW74"/>
      <c r="SRX74"/>
      <c r="SRY74"/>
      <c r="SRZ74"/>
      <c r="SSA74"/>
      <c r="SSB74"/>
      <c r="SSC74"/>
      <c r="SSD74"/>
      <c r="SSE74"/>
      <c r="SSF74"/>
      <c r="SSG74"/>
      <c r="SSH74"/>
      <c r="SSI74"/>
      <c r="SSJ74"/>
      <c r="SSK74"/>
      <c r="SSL74"/>
      <c r="SSM74"/>
      <c r="SSN74"/>
      <c r="SSO74"/>
      <c r="SSP74"/>
      <c r="SSQ74"/>
      <c r="SSR74"/>
      <c r="SSS74"/>
      <c r="SST74"/>
      <c r="SSU74"/>
      <c r="SSV74"/>
      <c r="SSW74"/>
      <c r="SSX74"/>
      <c r="SSY74"/>
      <c r="SSZ74"/>
      <c r="STA74"/>
      <c r="STB74"/>
      <c r="STC74"/>
      <c r="STD74"/>
      <c r="STE74"/>
      <c r="STF74"/>
      <c r="STG74"/>
      <c r="STH74"/>
      <c r="STI74"/>
      <c r="STJ74"/>
      <c r="STK74"/>
      <c r="STL74"/>
      <c r="STM74"/>
      <c r="STN74"/>
      <c r="STO74"/>
      <c r="STP74"/>
      <c r="STQ74"/>
      <c r="STR74"/>
      <c r="STS74"/>
      <c r="STT74"/>
      <c r="STU74"/>
      <c r="STV74"/>
      <c r="STW74"/>
      <c r="STX74"/>
      <c r="STY74"/>
      <c r="STZ74"/>
      <c r="SUA74"/>
      <c r="SUB74"/>
      <c r="SUC74"/>
      <c r="SUD74"/>
      <c r="SUE74"/>
      <c r="SUF74"/>
      <c r="SUG74"/>
      <c r="SUH74"/>
      <c r="SUI74"/>
      <c r="SUJ74"/>
      <c r="SUK74"/>
      <c r="SUL74"/>
      <c r="SUM74"/>
      <c r="SUN74"/>
      <c r="SUO74"/>
      <c r="SUP74"/>
      <c r="SUQ74"/>
      <c r="SUR74"/>
      <c r="SUS74"/>
      <c r="SUT74"/>
      <c r="SUU74"/>
      <c r="SUV74"/>
      <c r="SUW74"/>
      <c r="SUX74"/>
      <c r="SUY74"/>
      <c r="SUZ74"/>
      <c r="SVA74"/>
      <c r="SVB74"/>
      <c r="SVC74"/>
      <c r="SVD74"/>
      <c r="SVE74"/>
      <c r="SVF74"/>
      <c r="SVG74"/>
      <c r="SVH74"/>
      <c r="SVI74"/>
      <c r="SVJ74"/>
      <c r="SVK74"/>
      <c r="SVL74"/>
      <c r="SVM74"/>
      <c r="SVN74"/>
      <c r="SVO74"/>
      <c r="SVP74"/>
      <c r="SVQ74"/>
      <c r="SVR74"/>
      <c r="SVS74"/>
      <c r="SVT74"/>
      <c r="SVU74"/>
      <c r="SVV74"/>
      <c r="SVW74"/>
      <c r="SVX74"/>
      <c r="SVY74"/>
      <c r="SVZ74"/>
      <c r="SWA74"/>
      <c r="SWB74"/>
      <c r="SWC74"/>
      <c r="SWD74"/>
      <c r="SWE74"/>
      <c r="SWF74"/>
      <c r="SWG74"/>
      <c r="SWH74"/>
      <c r="SWI74"/>
      <c r="SWJ74"/>
      <c r="SWK74"/>
      <c r="SWL74"/>
      <c r="SWM74"/>
      <c r="SWN74"/>
      <c r="SWO74"/>
      <c r="SWP74"/>
      <c r="SWQ74"/>
      <c r="SWR74"/>
      <c r="SWS74"/>
      <c r="SWT74"/>
      <c r="SWU74"/>
      <c r="SWV74"/>
      <c r="SWW74"/>
      <c r="SWX74"/>
      <c r="SWY74"/>
      <c r="SWZ74"/>
      <c r="SXA74"/>
      <c r="SXB74"/>
      <c r="SXC74"/>
      <c r="SXD74"/>
      <c r="SXE74"/>
      <c r="SXF74"/>
      <c r="SXG74"/>
      <c r="SXH74"/>
      <c r="SXI74"/>
      <c r="SXJ74"/>
      <c r="SXK74"/>
      <c r="SXL74"/>
      <c r="SXM74"/>
      <c r="SXN74"/>
      <c r="SXO74"/>
      <c r="SXP74"/>
      <c r="SXQ74"/>
      <c r="SXR74"/>
      <c r="SXS74"/>
      <c r="SXT74"/>
      <c r="SXU74"/>
      <c r="SXV74"/>
      <c r="SXW74"/>
      <c r="SXX74"/>
      <c r="SXY74"/>
      <c r="SXZ74"/>
      <c r="SYA74"/>
      <c r="SYB74"/>
      <c r="SYC74"/>
      <c r="SYD74"/>
      <c r="SYE74"/>
      <c r="SYF74"/>
      <c r="SYG74"/>
      <c r="SYH74"/>
      <c r="SYI74"/>
      <c r="SYJ74"/>
      <c r="SYK74"/>
      <c r="SYL74"/>
      <c r="SYM74"/>
      <c r="SYN74"/>
      <c r="SYO74"/>
      <c r="SYP74"/>
      <c r="SYQ74"/>
      <c r="SYR74"/>
      <c r="SYS74"/>
      <c r="SYT74"/>
      <c r="SYU74"/>
      <c r="SYV74"/>
      <c r="SYW74"/>
      <c r="SYX74"/>
      <c r="SYY74"/>
      <c r="SYZ74"/>
      <c r="SZA74"/>
      <c r="SZB74"/>
      <c r="SZC74"/>
      <c r="SZD74"/>
      <c r="SZE74"/>
      <c r="SZF74"/>
      <c r="SZG74"/>
      <c r="SZH74"/>
      <c r="SZI74"/>
      <c r="SZJ74"/>
      <c r="SZK74"/>
      <c r="SZL74"/>
      <c r="SZM74"/>
      <c r="SZN74"/>
      <c r="SZO74"/>
      <c r="SZP74"/>
      <c r="SZQ74"/>
      <c r="SZR74"/>
      <c r="SZS74"/>
      <c r="SZT74"/>
      <c r="SZU74"/>
      <c r="SZV74"/>
      <c r="SZW74"/>
      <c r="SZX74"/>
      <c r="SZY74"/>
      <c r="SZZ74"/>
      <c r="TAA74"/>
      <c r="TAB74"/>
      <c r="TAC74"/>
      <c r="TAD74"/>
      <c r="TAE74"/>
      <c r="TAF74"/>
      <c r="TAG74"/>
      <c r="TAH74"/>
      <c r="TAI74"/>
      <c r="TAJ74"/>
      <c r="TAK74"/>
      <c r="TAL74"/>
      <c r="TAM74"/>
      <c r="TAN74"/>
      <c r="TAO74"/>
      <c r="TAP74"/>
      <c r="TAQ74"/>
      <c r="TAR74"/>
      <c r="TAS74"/>
      <c r="TAT74"/>
      <c r="TAU74"/>
      <c r="TAV74"/>
      <c r="TAW74"/>
      <c r="TAX74"/>
      <c r="TAY74"/>
      <c r="TAZ74"/>
      <c r="TBA74"/>
      <c r="TBB74"/>
      <c r="TBC74"/>
      <c r="TBD74"/>
      <c r="TBE74"/>
      <c r="TBF74"/>
      <c r="TBG74"/>
      <c r="TBH74"/>
      <c r="TBI74"/>
      <c r="TBJ74"/>
      <c r="TBK74"/>
      <c r="TBL74"/>
      <c r="TBM74"/>
      <c r="TBN74"/>
      <c r="TBO74"/>
      <c r="TBP74"/>
      <c r="TBQ74"/>
      <c r="TBR74"/>
      <c r="TBS74"/>
      <c r="TBT74"/>
      <c r="TBU74"/>
      <c r="TBV74"/>
      <c r="TBW74"/>
      <c r="TBX74"/>
      <c r="TBY74"/>
      <c r="TBZ74"/>
      <c r="TCA74"/>
      <c r="TCB74"/>
      <c r="TCC74"/>
      <c r="TCD74"/>
      <c r="TCE74"/>
      <c r="TCF74"/>
      <c r="TCG74"/>
      <c r="TCH74"/>
      <c r="TCI74"/>
      <c r="TCJ74"/>
      <c r="TCK74"/>
      <c r="TCL74"/>
      <c r="TCM74"/>
      <c r="TCN74"/>
      <c r="TCO74"/>
      <c r="TCP74"/>
      <c r="TCQ74"/>
      <c r="TCR74"/>
      <c r="TCS74"/>
      <c r="TCT74"/>
      <c r="TCU74"/>
      <c r="TCV74"/>
      <c r="TCW74"/>
      <c r="TCX74"/>
      <c r="TCY74"/>
      <c r="TCZ74"/>
      <c r="TDA74"/>
      <c r="TDB74"/>
      <c r="TDC74"/>
      <c r="TDD74"/>
      <c r="TDE74"/>
      <c r="TDF74"/>
      <c r="TDG74"/>
      <c r="TDH74"/>
      <c r="TDI74"/>
      <c r="TDJ74"/>
      <c r="TDK74"/>
      <c r="TDL74"/>
      <c r="TDM74"/>
      <c r="TDN74"/>
      <c r="TDO74"/>
      <c r="TDP74"/>
      <c r="TDQ74"/>
      <c r="TDR74"/>
      <c r="TDS74"/>
      <c r="TDT74"/>
      <c r="TDU74"/>
      <c r="TDV74"/>
      <c r="TDW74"/>
      <c r="TDX74"/>
      <c r="TDY74"/>
      <c r="TDZ74"/>
      <c r="TEA74"/>
      <c r="TEB74"/>
      <c r="TEC74"/>
      <c r="TED74"/>
      <c r="TEE74"/>
      <c r="TEF74"/>
      <c r="TEG74"/>
      <c r="TEH74"/>
      <c r="TEI74"/>
      <c r="TEJ74"/>
      <c r="TEK74"/>
      <c r="TEL74"/>
      <c r="TEM74"/>
      <c r="TEN74"/>
      <c r="TEO74"/>
      <c r="TEP74"/>
      <c r="TEQ74"/>
      <c r="TER74"/>
      <c r="TES74"/>
      <c r="TET74"/>
      <c r="TEU74"/>
      <c r="TEV74"/>
      <c r="TEW74"/>
      <c r="TEX74"/>
      <c r="TEY74"/>
      <c r="TEZ74"/>
      <c r="TFA74"/>
      <c r="TFB74"/>
      <c r="TFC74"/>
      <c r="TFD74"/>
      <c r="TFE74"/>
      <c r="TFF74"/>
      <c r="TFG74"/>
      <c r="TFH74"/>
      <c r="TFI74"/>
      <c r="TFJ74"/>
      <c r="TFK74"/>
      <c r="TFL74"/>
      <c r="TFM74"/>
      <c r="TFN74"/>
      <c r="TFO74"/>
      <c r="TFP74"/>
      <c r="TFQ74"/>
      <c r="TFR74"/>
      <c r="TFS74"/>
      <c r="TFT74"/>
      <c r="TFU74"/>
      <c r="TFV74"/>
      <c r="TFW74"/>
      <c r="TFX74"/>
      <c r="TFY74"/>
      <c r="TFZ74"/>
      <c r="TGA74"/>
      <c r="TGB74"/>
      <c r="TGC74"/>
      <c r="TGD74"/>
      <c r="TGE74"/>
      <c r="TGF74"/>
      <c r="TGG74"/>
      <c r="TGH74"/>
      <c r="TGI74"/>
      <c r="TGJ74"/>
      <c r="TGK74"/>
      <c r="TGL74"/>
      <c r="TGM74"/>
      <c r="TGN74"/>
      <c r="TGO74"/>
      <c r="TGP74"/>
      <c r="TGQ74"/>
      <c r="TGR74"/>
      <c r="TGS74"/>
      <c r="TGT74"/>
      <c r="TGU74"/>
      <c r="TGV74"/>
      <c r="TGW74"/>
      <c r="TGX74"/>
      <c r="TGY74"/>
      <c r="TGZ74"/>
      <c r="THA74"/>
      <c r="THB74"/>
      <c r="THC74"/>
      <c r="THD74"/>
      <c r="THE74"/>
      <c r="THF74"/>
      <c r="THG74"/>
      <c r="THH74"/>
      <c r="THI74"/>
      <c r="THJ74"/>
      <c r="THK74"/>
      <c r="THL74"/>
      <c r="THM74"/>
      <c r="THN74"/>
      <c r="THO74"/>
      <c r="THP74"/>
      <c r="THQ74"/>
      <c r="THR74"/>
      <c r="THS74"/>
      <c r="THT74"/>
      <c r="THU74"/>
      <c r="THV74"/>
      <c r="THW74"/>
      <c r="THX74"/>
      <c r="THY74"/>
      <c r="THZ74"/>
      <c r="TIA74"/>
      <c r="TIB74"/>
      <c r="TIC74"/>
      <c r="TID74"/>
      <c r="TIE74"/>
      <c r="TIF74"/>
      <c r="TIG74"/>
      <c r="TIH74"/>
      <c r="TII74"/>
      <c r="TIJ74"/>
      <c r="TIK74"/>
      <c r="TIL74"/>
      <c r="TIM74"/>
      <c r="TIN74"/>
      <c r="TIO74"/>
      <c r="TIP74"/>
      <c r="TIQ74"/>
      <c r="TIR74"/>
      <c r="TIS74"/>
      <c r="TIT74"/>
      <c r="TIU74"/>
      <c r="TIV74"/>
      <c r="TIW74"/>
      <c r="TIX74"/>
      <c r="TIY74"/>
      <c r="TIZ74"/>
      <c r="TJA74"/>
      <c r="TJB74"/>
      <c r="TJC74"/>
      <c r="TJD74"/>
      <c r="TJE74"/>
      <c r="TJF74"/>
      <c r="TJG74"/>
      <c r="TJH74"/>
      <c r="TJI74"/>
      <c r="TJJ74"/>
      <c r="TJK74"/>
      <c r="TJL74"/>
      <c r="TJM74"/>
      <c r="TJN74"/>
      <c r="TJO74"/>
      <c r="TJP74"/>
      <c r="TJQ74"/>
      <c r="TJR74"/>
      <c r="TJS74"/>
      <c r="TJT74"/>
      <c r="TJU74"/>
      <c r="TJV74"/>
      <c r="TJW74"/>
      <c r="TJX74"/>
      <c r="TJY74"/>
      <c r="TJZ74"/>
      <c r="TKA74"/>
      <c r="TKB74"/>
      <c r="TKC74"/>
      <c r="TKD74"/>
      <c r="TKE74"/>
      <c r="TKF74"/>
      <c r="TKG74"/>
      <c r="TKH74"/>
      <c r="TKI74"/>
      <c r="TKJ74"/>
      <c r="TKK74"/>
      <c r="TKL74"/>
      <c r="TKM74"/>
      <c r="TKN74"/>
      <c r="TKO74"/>
      <c r="TKP74"/>
      <c r="TKQ74"/>
      <c r="TKR74"/>
      <c r="TKS74"/>
      <c r="TKT74"/>
      <c r="TKU74"/>
      <c r="TKV74"/>
      <c r="TKW74"/>
      <c r="TKX74"/>
      <c r="TKY74"/>
      <c r="TKZ74"/>
      <c r="TLA74"/>
      <c r="TLB74"/>
      <c r="TLC74"/>
      <c r="TLD74"/>
      <c r="TLE74"/>
      <c r="TLF74"/>
      <c r="TLG74"/>
      <c r="TLH74"/>
      <c r="TLI74"/>
      <c r="TLJ74"/>
      <c r="TLK74"/>
      <c r="TLL74"/>
      <c r="TLM74"/>
      <c r="TLN74"/>
      <c r="TLO74"/>
      <c r="TLP74"/>
      <c r="TLQ74"/>
      <c r="TLR74"/>
      <c r="TLS74"/>
      <c r="TLT74"/>
      <c r="TLU74"/>
      <c r="TLV74"/>
      <c r="TLW74"/>
      <c r="TLX74"/>
      <c r="TLY74"/>
      <c r="TLZ74"/>
      <c r="TMA74"/>
      <c r="TMB74"/>
      <c r="TMC74"/>
      <c r="TMD74"/>
      <c r="TME74"/>
      <c r="TMF74"/>
      <c r="TMG74"/>
      <c r="TMH74"/>
      <c r="TMI74"/>
      <c r="TMJ74"/>
      <c r="TMK74"/>
      <c r="TML74"/>
      <c r="TMM74"/>
      <c r="TMN74"/>
      <c r="TMO74"/>
      <c r="TMP74"/>
      <c r="TMQ74"/>
      <c r="TMR74"/>
      <c r="TMS74"/>
      <c r="TMT74"/>
      <c r="TMU74"/>
      <c r="TMV74"/>
      <c r="TMW74"/>
      <c r="TMX74"/>
      <c r="TMY74"/>
      <c r="TMZ74"/>
      <c r="TNA74"/>
      <c r="TNB74"/>
      <c r="TNC74"/>
      <c r="TND74"/>
      <c r="TNE74"/>
      <c r="TNF74"/>
      <c r="TNG74"/>
      <c r="TNH74"/>
      <c r="TNI74"/>
      <c r="TNJ74"/>
      <c r="TNK74"/>
      <c r="TNL74"/>
      <c r="TNM74"/>
      <c r="TNN74"/>
      <c r="TNO74"/>
      <c r="TNP74"/>
      <c r="TNQ74"/>
      <c r="TNR74"/>
      <c r="TNS74"/>
      <c r="TNT74"/>
      <c r="TNU74"/>
      <c r="TNV74"/>
      <c r="TNW74"/>
      <c r="TNX74"/>
      <c r="TNY74"/>
      <c r="TNZ74"/>
      <c r="TOA74"/>
      <c r="TOB74"/>
      <c r="TOC74"/>
      <c r="TOD74"/>
      <c r="TOE74"/>
      <c r="TOF74"/>
      <c r="TOG74"/>
      <c r="TOH74"/>
      <c r="TOI74"/>
      <c r="TOJ74"/>
      <c r="TOK74"/>
      <c r="TOL74"/>
      <c r="TOM74"/>
      <c r="TON74"/>
      <c r="TOO74"/>
      <c r="TOP74"/>
      <c r="TOQ74"/>
      <c r="TOR74"/>
      <c r="TOS74"/>
      <c r="TOT74"/>
      <c r="TOU74"/>
      <c r="TOV74"/>
      <c r="TOW74"/>
      <c r="TOX74"/>
      <c r="TOY74"/>
      <c r="TOZ74"/>
      <c r="TPA74"/>
      <c r="TPB74"/>
      <c r="TPC74"/>
      <c r="TPD74"/>
      <c r="TPE74"/>
      <c r="TPF74"/>
      <c r="TPG74"/>
      <c r="TPH74"/>
      <c r="TPI74"/>
      <c r="TPJ74"/>
      <c r="TPK74"/>
      <c r="TPL74"/>
      <c r="TPM74"/>
      <c r="TPN74"/>
      <c r="TPO74"/>
      <c r="TPP74"/>
      <c r="TPQ74"/>
      <c r="TPR74"/>
      <c r="TPS74"/>
      <c r="TPT74"/>
      <c r="TPU74"/>
      <c r="TPV74"/>
      <c r="TPW74"/>
      <c r="TPX74"/>
      <c r="TPY74"/>
      <c r="TPZ74"/>
      <c r="TQA74"/>
      <c r="TQB74"/>
      <c r="TQC74"/>
      <c r="TQD74"/>
      <c r="TQE74"/>
      <c r="TQF74"/>
      <c r="TQG74"/>
      <c r="TQH74"/>
      <c r="TQI74"/>
      <c r="TQJ74"/>
      <c r="TQK74"/>
      <c r="TQL74"/>
      <c r="TQM74"/>
      <c r="TQN74"/>
      <c r="TQO74"/>
      <c r="TQP74"/>
      <c r="TQQ74"/>
      <c r="TQR74"/>
      <c r="TQS74"/>
      <c r="TQT74"/>
      <c r="TQU74"/>
      <c r="TQV74"/>
      <c r="TQW74"/>
      <c r="TQX74"/>
      <c r="TQY74"/>
      <c r="TQZ74"/>
      <c r="TRA74"/>
      <c r="TRB74"/>
      <c r="TRC74"/>
      <c r="TRD74"/>
      <c r="TRE74"/>
      <c r="TRF74"/>
      <c r="TRG74"/>
      <c r="TRH74"/>
      <c r="TRI74"/>
      <c r="TRJ74"/>
      <c r="TRK74"/>
      <c r="TRL74"/>
      <c r="TRM74"/>
      <c r="TRN74"/>
      <c r="TRO74"/>
      <c r="TRP74"/>
      <c r="TRQ74"/>
      <c r="TRR74"/>
      <c r="TRS74"/>
      <c r="TRT74"/>
      <c r="TRU74"/>
      <c r="TRV74"/>
      <c r="TRW74"/>
      <c r="TRX74"/>
      <c r="TRY74"/>
      <c r="TRZ74"/>
      <c r="TSA74"/>
      <c r="TSB74"/>
      <c r="TSC74"/>
      <c r="TSD74"/>
      <c r="TSE74"/>
      <c r="TSF74"/>
      <c r="TSG74"/>
      <c r="TSH74"/>
      <c r="TSI74"/>
      <c r="TSJ74"/>
      <c r="TSK74"/>
      <c r="TSL74"/>
      <c r="TSM74"/>
      <c r="TSN74"/>
      <c r="TSO74"/>
      <c r="TSP74"/>
      <c r="TSQ74"/>
      <c r="TSR74"/>
      <c r="TSS74"/>
      <c r="TST74"/>
      <c r="TSU74"/>
      <c r="TSV74"/>
      <c r="TSW74"/>
      <c r="TSX74"/>
      <c r="TSY74"/>
      <c r="TSZ74"/>
      <c r="TTA74"/>
      <c r="TTB74"/>
      <c r="TTC74"/>
      <c r="TTD74"/>
      <c r="TTE74"/>
      <c r="TTF74"/>
      <c r="TTG74"/>
      <c r="TTH74"/>
      <c r="TTI74"/>
      <c r="TTJ74"/>
      <c r="TTK74"/>
      <c r="TTL74"/>
      <c r="TTM74"/>
      <c r="TTN74"/>
      <c r="TTO74"/>
      <c r="TTP74"/>
      <c r="TTQ74"/>
      <c r="TTR74"/>
      <c r="TTS74"/>
      <c r="TTT74"/>
      <c r="TTU74"/>
      <c r="TTV74"/>
      <c r="TTW74"/>
      <c r="TTX74"/>
      <c r="TTY74"/>
      <c r="TTZ74"/>
      <c r="TUA74"/>
      <c r="TUB74"/>
      <c r="TUC74"/>
      <c r="TUD74"/>
      <c r="TUE74"/>
      <c r="TUF74"/>
      <c r="TUG74"/>
      <c r="TUH74"/>
      <c r="TUI74"/>
      <c r="TUJ74"/>
      <c r="TUK74"/>
      <c r="TUL74"/>
      <c r="TUM74"/>
      <c r="TUN74"/>
      <c r="TUO74"/>
      <c r="TUP74"/>
      <c r="TUQ74"/>
      <c r="TUR74"/>
      <c r="TUS74"/>
      <c r="TUT74"/>
      <c r="TUU74"/>
      <c r="TUV74"/>
      <c r="TUW74"/>
      <c r="TUX74"/>
      <c r="TUY74"/>
      <c r="TUZ74"/>
      <c r="TVA74"/>
      <c r="TVB74"/>
      <c r="TVC74"/>
      <c r="TVD74"/>
      <c r="TVE74"/>
      <c r="TVF74"/>
      <c r="TVG74"/>
      <c r="TVH74"/>
      <c r="TVI74"/>
      <c r="TVJ74"/>
      <c r="TVK74"/>
      <c r="TVL74"/>
      <c r="TVM74"/>
      <c r="TVN74"/>
      <c r="TVO74"/>
      <c r="TVP74"/>
      <c r="TVQ74"/>
      <c r="TVR74"/>
      <c r="TVS74"/>
      <c r="TVT74"/>
      <c r="TVU74"/>
      <c r="TVV74"/>
      <c r="TVW74"/>
      <c r="TVX74"/>
      <c r="TVY74"/>
      <c r="TVZ74"/>
      <c r="TWA74"/>
      <c r="TWB74"/>
      <c r="TWC74"/>
      <c r="TWD74"/>
      <c r="TWE74"/>
      <c r="TWF74"/>
      <c r="TWG74"/>
      <c r="TWH74"/>
      <c r="TWI74"/>
      <c r="TWJ74"/>
      <c r="TWK74"/>
      <c r="TWL74"/>
      <c r="TWM74"/>
      <c r="TWN74"/>
      <c r="TWO74"/>
      <c r="TWP74"/>
      <c r="TWQ74"/>
      <c r="TWR74"/>
      <c r="TWS74"/>
      <c r="TWT74"/>
      <c r="TWU74"/>
      <c r="TWV74"/>
      <c r="TWW74"/>
      <c r="TWX74"/>
      <c r="TWY74"/>
      <c r="TWZ74"/>
      <c r="TXA74"/>
      <c r="TXB74"/>
      <c r="TXC74"/>
      <c r="TXD74"/>
      <c r="TXE74"/>
      <c r="TXF74"/>
      <c r="TXG74"/>
      <c r="TXH74"/>
      <c r="TXI74"/>
      <c r="TXJ74"/>
      <c r="TXK74"/>
      <c r="TXL74"/>
      <c r="TXM74"/>
      <c r="TXN74"/>
      <c r="TXO74"/>
      <c r="TXP74"/>
      <c r="TXQ74"/>
      <c r="TXR74"/>
      <c r="TXS74"/>
      <c r="TXT74"/>
      <c r="TXU74"/>
      <c r="TXV74"/>
      <c r="TXW74"/>
      <c r="TXX74"/>
      <c r="TXY74"/>
      <c r="TXZ74"/>
      <c r="TYA74"/>
      <c r="TYB74"/>
      <c r="TYC74"/>
      <c r="TYD74"/>
      <c r="TYE74"/>
      <c r="TYF74"/>
      <c r="TYG74"/>
      <c r="TYH74"/>
      <c r="TYI74"/>
      <c r="TYJ74"/>
      <c r="TYK74"/>
      <c r="TYL74"/>
      <c r="TYM74"/>
      <c r="TYN74"/>
      <c r="TYO74"/>
      <c r="TYP74"/>
      <c r="TYQ74"/>
      <c r="TYR74"/>
      <c r="TYS74"/>
      <c r="TYT74"/>
      <c r="TYU74"/>
      <c r="TYV74"/>
      <c r="TYW74"/>
      <c r="TYX74"/>
      <c r="TYY74"/>
      <c r="TYZ74"/>
      <c r="TZA74"/>
      <c r="TZB74"/>
      <c r="TZC74"/>
      <c r="TZD74"/>
      <c r="TZE74"/>
      <c r="TZF74"/>
      <c r="TZG74"/>
      <c r="TZH74"/>
      <c r="TZI74"/>
      <c r="TZJ74"/>
      <c r="TZK74"/>
      <c r="TZL74"/>
      <c r="TZM74"/>
      <c r="TZN74"/>
      <c r="TZO74"/>
      <c r="TZP74"/>
      <c r="TZQ74"/>
      <c r="TZR74"/>
      <c r="TZS74"/>
      <c r="TZT74"/>
      <c r="TZU74"/>
      <c r="TZV74"/>
      <c r="TZW74"/>
      <c r="TZX74"/>
      <c r="TZY74"/>
      <c r="TZZ74"/>
      <c r="UAA74"/>
      <c r="UAB74"/>
      <c r="UAC74"/>
      <c r="UAD74"/>
      <c r="UAE74"/>
      <c r="UAF74"/>
      <c r="UAG74"/>
      <c r="UAH74"/>
      <c r="UAI74"/>
      <c r="UAJ74"/>
      <c r="UAK74"/>
      <c r="UAL74"/>
      <c r="UAM74"/>
      <c r="UAN74"/>
      <c r="UAO74"/>
      <c r="UAP74"/>
      <c r="UAQ74"/>
      <c r="UAR74"/>
      <c r="UAS74"/>
      <c r="UAT74"/>
      <c r="UAU74"/>
      <c r="UAV74"/>
      <c r="UAW74"/>
      <c r="UAX74"/>
      <c r="UAY74"/>
      <c r="UAZ74"/>
      <c r="UBA74"/>
      <c r="UBB74"/>
      <c r="UBC74"/>
      <c r="UBD74"/>
      <c r="UBE74"/>
      <c r="UBF74"/>
      <c r="UBG74"/>
      <c r="UBH74"/>
      <c r="UBI74"/>
      <c r="UBJ74"/>
      <c r="UBK74"/>
      <c r="UBL74"/>
      <c r="UBM74"/>
      <c r="UBN74"/>
      <c r="UBO74"/>
      <c r="UBP74"/>
      <c r="UBQ74"/>
      <c r="UBR74"/>
      <c r="UBS74"/>
      <c r="UBT74"/>
      <c r="UBU74"/>
      <c r="UBV74"/>
      <c r="UBW74"/>
      <c r="UBX74"/>
      <c r="UBY74"/>
      <c r="UBZ74"/>
      <c r="UCA74"/>
      <c r="UCB74"/>
      <c r="UCC74"/>
      <c r="UCD74"/>
      <c r="UCE74"/>
      <c r="UCF74"/>
      <c r="UCG74"/>
      <c r="UCH74"/>
      <c r="UCI74"/>
      <c r="UCJ74"/>
      <c r="UCK74"/>
      <c r="UCL74"/>
      <c r="UCM74"/>
      <c r="UCN74"/>
      <c r="UCO74"/>
      <c r="UCP74"/>
      <c r="UCQ74"/>
      <c r="UCR74"/>
      <c r="UCS74"/>
      <c r="UCT74"/>
      <c r="UCU74"/>
      <c r="UCV74"/>
      <c r="UCW74"/>
      <c r="UCX74"/>
      <c r="UCY74"/>
      <c r="UCZ74"/>
      <c r="UDA74"/>
      <c r="UDB74"/>
      <c r="UDC74"/>
      <c r="UDD74"/>
      <c r="UDE74"/>
      <c r="UDF74"/>
      <c r="UDG74"/>
      <c r="UDH74"/>
      <c r="UDI74"/>
      <c r="UDJ74"/>
      <c r="UDK74"/>
      <c r="UDL74"/>
      <c r="UDM74"/>
      <c r="UDN74"/>
      <c r="UDO74"/>
      <c r="UDP74"/>
      <c r="UDQ74"/>
      <c r="UDR74"/>
      <c r="UDS74"/>
      <c r="UDT74"/>
      <c r="UDU74"/>
      <c r="UDV74"/>
      <c r="UDW74"/>
      <c r="UDX74"/>
      <c r="UDY74"/>
      <c r="UDZ74"/>
      <c r="UEA74"/>
      <c r="UEB74"/>
      <c r="UEC74"/>
      <c r="UED74"/>
      <c r="UEE74"/>
      <c r="UEF74"/>
      <c r="UEG74"/>
      <c r="UEH74"/>
      <c r="UEI74"/>
      <c r="UEJ74"/>
      <c r="UEK74"/>
      <c r="UEL74"/>
      <c r="UEM74"/>
      <c r="UEN74"/>
      <c r="UEO74"/>
      <c r="UEP74"/>
      <c r="UEQ74"/>
      <c r="UER74"/>
      <c r="UES74"/>
      <c r="UET74"/>
      <c r="UEU74"/>
      <c r="UEV74"/>
      <c r="UEW74"/>
      <c r="UEX74"/>
      <c r="UEY74"/>
      <c r="UEZ74"/>
      <c r="UFA74"/>
      <c r="UFB74"/>
      <c r="UFC74"/>
      <c r="UFD74"/>
      <c r="UFE74"/>
      <c r="UFF74"/>
      <c r="UFG74"/>
      <c r="UFH74"/>
      <c r="UFI74"/>
      <c r="UFJ74"/>
      <c r="UFK74"/>
      <c r="UFL74"/>
      <c r="UFM74"/>
      <c r="UFN74"/>
      <c r="UFO74"/>
      <c r="UFP74"/>
      <c r="UFQ74"/>
      <c r="UFR74"/>
      <c r="UFS74"/>
      <c r="UFT74"/>
      <c r="UFU74"/>
      <c r="UFV74"/>
      <c r="UFW74"/>
      <c r="UFX74"/>
      <c r="UFY74"/>
      <c r="UFZ74"/>
      <c r="UGA74"/>
      <c r="UGB74"/>
      <c r="UGC74"/>
      <c r="UGD74"/>
      <c r="UGE74"/>
      <c r="UGF74"/>
      <c r="UGG74"/>
      <c r="UGH74"/>
      <c r="UGI74"/>
      <c r="UGJ74"/>
      <c r="UGK74"/>
      <c r="UGL74"/>
      <c r="UGM74"/>
      <c r="UGN74"/>
      <c r="UGO74"/>
      <c r="UGP74"/>
      <c r="UGQ74"/>
      <c r="UGR74"/>
      <c r="UGS74"/>
      <c r="UGT74"/>
      <c r="UGU74"/>
      <c r="UGV74"/>
      <c r="UGW74"/>
      <c r="UGX74"/>
      <c r="UGY74"/>
      <c r="UGZ74"/>
      <c r="UHA74"/>
      <c r="UHB74"/>
      <c r="UHC74"/>
      <c r="UHD74"/>
      <c r="UHE74"/>
      <c r="UHF74"/>
      <c r="UHG74"/>
      <c r="UHH74"/>
      <c r="UHI74"/>
      <c r="UHJ74"/>
      <c r="UHK74"/>
      <c r="UHL74"/>
      <c r="UHM74"/>
      <c r="UHN74"/>
      <c r="UHO74"/>
      <c r="UHP74"/>
      <c r="UHQ74"/>
      <c r="UHR74"/>
      <c r="UHS74"/>
      <c r="UHT74"/>
      <c r="UHU74"/>
      <c r="UHV74"/>
      <c r="UHW74"/>
      <c r="UHX74"/>
      <c r="UHY74"/>
      <c r="UHZ74"/>
      <c r="UIA74"/>
      <c r="UIB74"/>
      <c r="UIC74"/>
      <c r="UID74"/>
      <c r="UIE74"/>
      <c r="UIF74"/>
      <c r="UIG74"/>
      <c r="UIH74"/>
      <c r="UII74"/>
      <c r="UIJ74"/>
      <c r="UIK74"/>
      <c r="UIL74"/>
      <c r="UIM74"/>
      <c r="UIN74"/>
      <c r="UIO74"/>
      <c r="UIP74"/>
      <c r="UIQ74"/>
      <c r="UIR74"/>
      <c r="UIS74"/>
      <c r="UIT74"/>
      <c r="UIU74"/>
      <c r="UIV74"/>
      <c r="UIW74"/>
      <c r="UIX74"/>
      <c r="UIY74"/>
      <c r="UIZ74"/>
      <c r="UJA74"/>
      <c r="UJB74"/>
      <c r="UJC74"/>
      <c r="UJD74"/>
      <c r="UJE74"/>
      <c r="UJF74"/>
      <c r="UJG74"/>
      <c r="UJH74"/>
      <c r="UJI74"/>
      <c r="UJJ74"/>
      <c r="UJK74"/>
      <c r="UJL74"/>
      <c r="UJM74"/>
      <c r="UJN74"/>
      <c r="UJO74"/>
      <c r="UJP74"/>
      <c r="UJQ74"/>
      <c r="UJR74"/>
      <c r="UJS74"/>
      <c r="UJT74"/>
      <c r="UJU74"/>
      <c r="UJV74"/>
      <c r="UJW74"/>
      <c r="UJX74"/>
      <c r="UJY74"/>
      <c r="UJZ74"/>
      <c r="UKA74"/>
      <c r="UKB74"/>
      <c r="UKC74"/>
      <c r="UKD74"/>
      <c r="UKE74"/>
      <c r="UKF74"/>
      <c r="UKG74"/>
      <c r="UKH74"/>
      <c r="UKI74"/>
      <c r="UKJ74"/>
      <c r="UKK74"/>
      <c r="UKL74"/>
      <c r="UKM74"/>
      <c r="UKN74"/>
      <c r="UKO74"/>
      <c r="UKP74"/>
      <c r="UKQ74"/>
      <c r="UKR74"/>
      <c r="UKS74"/>
      <c r="UKT74"/>
      <c r="UKU74"/>
      <c r="UKV74"/>
      <c r="UKW74"/>
      <c r="UKX74"/>
      <c r="UKY74"/>
      <c r="UKZ74"/>
      <c r="ULA74"/>
      <c r="ULB74"/>
      <c r="ULC74"/>
      <c r="ULD74"/>
      <c r="ULE74"/>
      <c r="ULF74"/>
      <c r="ULG74"/>
      <c r="ULH74"/>
      <c r="ULI74"/>
      <c r="ULJ74"/>
      <c r="ULK74"/>
      <c r="ULL74"/>
      <c r="ULM74"/>
      <c r="ULN74"/>
      <c r="ULO74"/>
      <c r="ULP74"/>
      <c r="ULQ74"/>
      <c r="ULR74"/>
      <c r="ULS74"/>
      <c r="ULT74"/>
      <c r="ULU74"/>
      <c r="ULV74"/>
      <c r="ULW74"/>
      <c r="ULX74"/>
      <c r="ULY74"/>
      <c r="ULZ74"/>
      <c r="UMA74"/>
      <c r="UMB74"/>
      <c r="UMC74"/>
      <c r="UMD74"/>
      <c r="UME74"/>
      <c r="UMF74"/>
      <c r="UMG74"/>
      <c r="UMH74"/>
      <c r="UMI74"/>
      <c r="UMJ74"/>
      <c r="UMK74"/>
      <c r="UML74"/>
      <c r="UMM74"/>
      <c r="UMN74"/>
      <c r="UMO74"/>
      <c r="UMP74"/>
      <c r="UMQ74"/>
      <c r="UMR74"/>
      <c r="UMS74"/>
      <c r="UMT74"/>
      <c r="UMU74"/>
      <c r="UMV74"/>
      <c r="UMW74"/>
      <c r="UMX74"/>
      <c r="UMY74"/>
      <c r="UMZ74"/>
      <c r="UNA74"/>
      <c r="UNB74"/>
      <c r="UNC74"/>
      <c r="UND74"/>
      <c r="UNE74"/>
      <c r="UNF74"/>
      <c r="UNG74"/>
      <c r="UNH74"/>
      <c r="UNI74"/>
      <c r="UNJ74"/>
      <c r="UNK74"/>
      <c r="UNL74"/>
      <c r="UNM74"/>
      <c r="UNN74"/>
      <c r="UNO74"/>
      <c r="UNP74"/>
      <c r="UNQ74"/>
      <c r="UNR74"/>
      <c r="UNS74"/>
      <c r="UNT74"/>
      <c r="UNU74"/>
      <c r="UNV74"/>
      <c r="UNW74"/>
      <c r="UNX74"/>
      <c r="UNY74"/>
      <c r="UNZ74"/>
      <c r="UOA74"/>
      <c r="UOB74"/>
      <c r="UOC74"/>
      <c r="UOD74"/>
      <c r="UOE74"/>
      <c r="UOF74"/>
      <c r="UOG74"/>
      <c r="UOH74"/>
      <c r="UOI74"/>
      <c r="UOJ74"/>
      <c r="UOK74"/>
      <c r="UOL74"/>
      <c r="UOM74"/>
      <c r="UON74"/>
      <c r="UOO74"/>
      <c r="UOP74"/>
      <c r="UOQ74"/>
      <c r="UOR74"/>
      <c r="UOS74"/>
      <c r="UOT74"/>
      <c r="UOU74"/>
      <c r="UOV74"/>
      <c r="UOW74"/>
      <c r="UOX74"/>
      <c r="UOY74"/>
      <c r="UOZ74"/>
      <c r="UPA74"/>
      <c r="UPB74"/>
      <c r="UPC74"/>
      <c r="UPD74"/>
      <c r="UPE74"/>
      <c r="UPF74"/>
      <c r="UPG74"/>
      <c r="UPH74"/>
      <c r="UPI74"/>
      <c r="UPJ74"/>
      <c r="UPK74"/>
      <c r="UPL74"/>
      <c r="UPM74"/>
      <c r="UPN74"/>
      <c r="UPO74"/>
      <c r="UPP74"/>
      <c r="UPQ74"/>
      <c r="UPR74"/>
      <c r="UPS74"/>
      <c r="UPT74"/>
      <c r="UPU74"/>
      <c r="UPV74"/>
      <c r="UPW74"/>
      <c r="UPX74"/>
      <c r="UPY74"/>
      <c r="UPZ74"/>
      <c r="UQA74"/>
      <c r="UQB74"/>
      <c r="UQC74"/>
      <c r="UQD74"/>
      <c r="UQE74"/>
      <c r="UQF74"/>
      <c r="UQG74"/>
      <c r="UQH74"/>
      <c r="UQI74"/>
      <c r="UQJ74"/>
      <c r="UQK74"/>
      <c r="UQL74"/>
      <c r="UQM74"/>
      <c r="UQN74"/>
      <c r="UQO74"/>
      <c r="UQP74"/>
      <c r="UQQ74"/>
      <c r="UQR74"/>
      <c r="UQS74"/>
      <c r="UQT74"/>
      <c r="UQU74"/>
      <c r="UQV74"/>
      <c r="UQW74"/>
      <c r="UQX74"/>
      <c r="UQY74"/>
      <c r="UQZ74"/>
      <c r="URA74"/>
      <c r="URB74"/>
      <c r="URC74"/>
      <c r="URD74"/>
      <c r="URE74"/>
      <c r="URF74"/>
      <c r="URG74"/>
      <c r="URH74"/>
      <c r="URI74"/>
      <c r="URJ74"/>
      <c r="URK74"/>
      <c r="URL74"/>
      <c r="URM74"/>
      <c r="URN74"/>
      <c r="URO74"/>
      <c r="URP74"/>
      <c r="URQ74"/>
      <c r="URR74"/>
      <c r="URS74"/>
      <c r="URT74"/>
      <c r="URU74"/>
      <c r="URV74"/>
      <c r="URW74"/>
      <c r="URX74"/>
      <c r="URY74"/>
      <c r="URZ74"/>
      <c r="USA74"/>
      <c r="USB74"/>
      <c r="USC74"/>
      <c r="USD74"/>
      <c r="USE74"/>
      <c r="USF74"/>
      <c r="USG74"/>
      <c r="USH74"/>
      <c r="USI74"/>
      <c r="USJ74"/>
      <c r="USK74"/>
      <c r="USL74"/>
      <c r="USM74"/>
      <c r="USN74"/>
      <c r="USO74"/>
      <c r="USP74"/>
      <c r="USQ74"/>
      <c r="USR74"/>
      <c r="USS74"/>
      <c r="UST74"/>
      <c r="USU74"/>
      <c r="USV74"/>
      <c r="USW74"/>
      <c r="USX74"/>
      <c r="USY74"/>
      <c r="USZ74"/>
      <c r="UTA74"/>
      <c r="UTB74"/>
      <c r="UTC74"/>
      <c r="UTD74"/>
      <c r="UTE74"/>
      <c r="UTF74"/>
      <c r="UTG74"/>
      <c r="UTH74"/>
      <c r="UTI74"/>
      <c r="UTJ74"/>
      <c r="UTK74"/>
      <c r="UTL74"/>
      <c r="UTM74"/>
      <c r="UTN74"/>
      <c r="UTO74"/>
      <c r="UTP74"/>
      <c r="UTQ74"/>
      <c r="UTR74"/>
      <c r="UTS74"/>
      <c r="UTT74"/>
      <c r="UTU74"/>
      <c r="UTV74"/>
      <c r="UTW74"/>
      <c r="UTX74"/>
      <c r="UTY74"/>
      <c r="UTZ74"/>
      <c r="UUA74"/>
      <c r="UUB74"/>
      <c r="UUC74"/>
      <c r="UUD74"/>
      <c r="UUE74"/>
      <c r="UUF74"/>
      <c r="UUG74"/>
      <c r="UUH74"/>
      <c r="UUI74"/>
      <c r="UUJ74"/>
      <c r="UUK74"/>
      <c r="UUL74"/>
      <c r="UUM74"/>
      <c r="UUN74"/>
      <c r="UUO74"/>
      <c r="UUP74"/>
      <c r="UUQ74"/>
      <c r="UUR74"/>
      <c r="UUS74"/>
      <c r="UUT74"/>
      <c r="UUU74"/>
      <c r="UUV74"/>
      <c r="UUW74"/>
      <c r="UUX74"/>
      <c r="UUY74"/>
      <c r="UUZ74"/>
      <c r="UVA74"/>
      <c r="UVB74"/>
      <c r="UVC74"/>
      <c r="UVD74"/>
      <c r="UVE74"/>
      <c r="UVF74"/>
      <c r="UVG74"/>
      <c r="UVH74"/>
      <c r="UVI74"/>
      <c r="UVJ74"/>
      <c r="UVK74"/>
      <c r="UVL74"/>
      <c r="UVM74"/>
      <c r="UVN74"/>
      <c r="UVO74"/>
      <c r="UVP74"/>
      <c r="UVQ74"/>
      <c r="UVR74"/>
      <c r="UVS74"/>
      <c r="UVT74"/>
      <c r="UVU74"/>
      <c r="UVV74"/>
      <c r="UVW74"/>
      <c r="UVX74"/>
      <c r="UVY74"/>
      <c r="UVZ74"/>
      <c r="UWA74"/>
      <c r="UWB74"/>
      <c r="UWC74"/>
      <c r="UWD74"/>
      <c r="UWE74"/>
      <c r="UWF74"/>
      <c r="UWG74"/>
      <c r="UWH74"/>
      <c r="UWI74"/>
      <c r="UWJ74"/>
      <c r="UWK74"/>
      <c r="UWL74"/>
      <c r="UWM74"/>
      <c r="UWN74"/>
      <c r="UWO74"/>
      <c r="UWP74"/>
      <c r="UWQ74"/>
      <c r="UWR74"/>
      <c r="UWS74"/>
      <c r="UWT74"/>
      <c r="UWU74"/>
      <c r="UWV74"/>
      <c r="UWW74"/>
      <c r="UWX74"/>
      <c r="UWY74"/>
      <c r="UWZ74"/>
      <c r="UXA74"/>
      <c r="UXB74"/>
      <c r="UXC74"/>
      <c r="UXD74"/>
      <c r="UXE74"/>
      <c r="UXF74"/>
      <c r="UXG74"/>
      <c r="UXH74"/>
      <c r="UXI74"/>
      <c r="UXJ74"/>
      <c r="UXK74"/>
      <c r="UXL74"/>
      <c r="UXM74"/>
      <c r="UXN74"/>
      <c r="UXO74"/>
      <c r="UXP74"/>
      <c r="UXQ74"/>
      <c r="UXR74"/>
      <c r="UXS74"/>
      <c r="UXT74"/>
      <c r="UXU74"/>
      <c r="UXV74"/>
      <c r="UXW74"/>
      <c r="UXX74"/>
      <c r="UXY74"/>
      <c r="UXZ74"/>
      <c r="UYA74"/>
      <c r="UYB74"/>
      <c r="UYC74"/>
      <c r="UYD74"/>
      <c r="UYE74"/>
      <c r="UYF74"/>
      <c r="UYG74"/>
      <c r="UYH74"/>
      <c r="UYI74"/>
      <c r="UYJ74"/>
      <c r="UYK74"/>
      <c r="UYL74"/>
      <c r="UYM74"/>
      <c r="UYN74"/>
      <c r="UYO74"/>
      <c r="UYP74"/>
      <c r="UYQ74"/>
      <c r="UYR74"/>
      <c r="UYS74"/>
      <c r="UYT74"/>
      <c r="UYU74"/>
      <c r="UYV74"/>
      <c r="UYW74"/>
      <c r="UYX74"/>
      <c r="UYY74"/>
      <c r="UYZ74"/>
      <c r="UZA74"/>
      <c r="UZB74"/>
      <c r="UZC74"/>
      <c r="UZD74"/>
      <c r="UZE74"/>
      <c r="UZF74"/>
      <c r="UZG74"/>
      <c r="UZH74"/>
      <c r="UZI74"/>
      <c r="UZJ74"/>
      <c r="UZK74"/>
      <c r="UZL74"/>
      <c r="UZM74"/>
      <c r="UZN74"/>
      <c r="UZO74"/>
      <c r="UZP74"/>
      <c r="UZQ74"/>
      <c r="UZR74"/>
      <c r="UZS74"/>
      <c r="UZT74"/>
      <c r="UZU74"/>
      <c r="UZV74"/>
      <c r="UZW74"/>
      <c r="UZX74"/>
      <c r="UZY74"/>
      <c r="UZZ74"/>
      <c r="VAA74"/>
      <c r="VAB74"/>
      <c r="VAC74"/>
      <c r="VAD74"/>
      <c r="VAE74"/>
      <c r="VAF74"/>
      <c r="VAG74"/>
      <c r="VAH74"/>
      <c r="VAI74"/>
      <c r="VAJ74"/>
      <c r="VAK74"/>
      <c r="VAL74"/>
      <c r="VAM74"/>
      <c r="VAN74"/>
      <c r="VAO74"/>
      <c r="VAP74"/>
      <c r="VAQ74"/>
      <c r="VAR74"/>
      <c r="VAS74"/>
      <c r="VAT74"/>
      <c r="VAU74"/>
      <c r="VAV74"/>
      <c r="VAW74"/>
      <c r="VAX74"/>
      <c r="VAY74"/>
      <c r="VAZ74"/>
      <c r="VBA74"/>
      <c r="VBB74"/>
      <c r="VBC74"/>
      <c r="VBD74"/>
      <c r="VBE74"/>
      <c r="VBF74"/>
      <c r="VBG74"/>
      <c r="VBH74"/>
      <c r="VBI74"/>
      <c r="VBJ74"/>
      <c r="VBK74"/>
      <c r="VBL74"/>
      <c r="VBM74"/>
      <c r="VBN74"/>
      <c r="VBO74"/>
      <c r="VBP74"/>
      <c r="VBQ74"/>
      <c r="VBR74"/>
      <c r="VBS74"/>
      <c r="VBT74"/>
      <c r="VBU74"/>
      <c r="VBV74"/>
      <c r="VBW74"/>
      <c r="VBX74"/>
      <c r="VBY74"/>
      <c r="VBZ74"/>
      <c r="VCA74"/>
      <c r="VCB74"/>
      <c r="VCC74"/>
      <c r="VCD74"/>
      <c r="VCE74"/>
      <c r="VCF74"/>
      <c r="VCG74"/>
      <c r="VCH74"/>
      <c r="VCI74"/>
      <c r="VCJ74"/>
      <c r="VCK74"/>
      <c r="VCL74"/>
      <c r="VCM74"/>
      <c r="VCN74"/>
      <c r="VCO74"/>
      <c r="VCP74"/>
      <c r="VCQ74"/>
      <c r="VCR74"/>
      <c r="VCS74"/>
      <c r="VCT74"/>
      <c r="VCU74"/>
      <c r="VCV74"/>
      <c r="VCW74"/>
      <c r="VCX74"/>
      <c r="VCY74"/>
      <c r="VCZ74"/>
      <c r="VDA74"/>
      <c r="VDB74"/>
      <c r="VDC74"/>
      <c r="VDD74"/>
      <c r="VDE74"/>
      <c r="VDF74"/>
      <c r="VDG74"/>
      <c r="VDH74"/>
      <c r="VDI74"/>
      <c r="VDJ74"/>
      <c r="VDK74"/>
      <c r="VDL74"/>
      <c r="VDM74"/>
      <c r="VDN74"/>
      <c r="VDO74"/>
      <c r="VDP74"/>
      <c r="VDQ74"/>
      <c r="VDR74"/>
      <c r="VDS74"/>
      <c r="VDT74"/>
      <c r="VDU74"/>
      <c r="VDV74"/>
      <c r="VDW74"/>
      <c r="VDX74"/>
      <c r="VDY74"/>
      <c r="VDZ74"/>
      <c r="VEA74"/>
      <c r="VEB74"/>
      <c r="VEC74"/>
      <c r="VED74"/>
      <c r="VEE74"/>
      <c r="VEF74"/>
      <c r="VEG74"/>
      <c r="VEH74"/>
      <c r="VEI74"/>
      <c r="VEJ74"/>
      <c r="VEK74"/>
      <c r="VEL74"/>
      <c r="VEM74"/>
      <c r="VEN74"/>
      <c r="VEO74"/>
      <c r="VEP74"/>
      <c r="VEQ74"/>
      <c r="VER74"/>
      <c r="VES74"/>
      <c r="VET74"/>
      <c r="VEU74"/>
      <c r="VEV74"/>
      <c r="VEW74"/>
      <c r="VEX74"/>
      <c r="VEY74"/>
      <c r="VEZ74"/>
      <c r="VFA74"/>
      <c r="VFB74"/>
      <c r="VFC74"/>
      <c r="VFD74"/>
      <c r="VFE74"/>
      <c r="VFF74"/>
      <c r="VFG74"/>
      <c r="VFH74"/>
      <c r="VFI74"/>
      <c r="VFJ74"/>
      <c r="VFK74"/>
      <c r="VFL74"/>
      <c r="VFM74"/>
      <c r="VFN74"/>
      <c r="VFO74"/>
      <c r="VFP74"/>
      <c r="VFQ74"/>
      <c r="VFR74"/>
      <c r="VFS74"/>
      <c r="VFT74"/>
      <c r="VFU74"/>
      <c r="VFV74"/>
      <c r="VFW74"/>
      <c r="VFX74"/>
      <c r="VFY74"/>
      <c r="VFZ74"/>
      <c r="VGA74"/>
      <c r="VGB74"/>
      <c r="VGC74"/>
      <c r="VGD74"/>
      <c r="VGE74"/>
      <c r="VGF74"/>
      <c r="VGG74"/>
      <c r="VGH74"/>
      <c r="VGI74"/>
      <c r="VGJ74"/>
      <c r="VGK74"/>
      <c r="VGL74"/>
      <c r="VGM74"/>
      <c r="VGN74"/>
      <c r="VGO74"/>
      <c r="VGP74"/>
      <c r="VGQ74"/>
      <c r="VGR74"/>
      <c r="VGS74"/>
      <c r="VGT74"/>
      <c r="VGU74"/>
      <c r="VGV74"/>
      <c r="VGW74"/>
      <c r="VGX74"/>
      <c r="VGY74"/>
      <c r="VGZ74"/>
      <c r="VHA74"/>
      <c r="VHB74"/>
      <c r="VHC74"/>
      <c r="VHD74"/>
      <c r="VHE74"/>
      <c r="VHF74"/>
      <c r="VHG74"/>
      <c r="VHH74"/>
      <c r="VHI74"/>
      <c r="VHJ74"/>
      <c r="VHK74"/>
      <c r="VHL74"/>
      <c r="VHM74"/>
      <c r="VHN74"/>
      <c r="VHO74"/>
      <c r="VHP74"/>
      <c r="VHQ74"/>
      <c r="VHR74"/>
      <c r="VHS74"/>
      <c r="VHT74"/>
      <c r="VHU74"/>
      <c r="VHV74"/>
      <c r="VHW74"/>
      <c r="VHX74"/>
      <c r="VHY74"/>
      <c r="VHZ74"/>
      <c r="VIA74"/>
      <c r="VIB74"/>
      <c r="VIC74"/>
      <c r="VID74"/>
      <c r="VIE74"/>
      <c r="VIF74"/>
      <c r="VIG74"/>
      <c r="VIH74"/>
      <c r="VII74"/>
      <c r="VIJ74"/>
      <c r="VIK74"/>
      <c r="VIL74"/>
      <c r="VIM74"/>
      <c r="VIN74"/>
      <c r="VIO74"/>
      <c r="VIP74"/>
      <c r="VIQ74"/>
      <c r="VIR74"/>
      <c r="VIS74"/>
      <c r="VIT74"/>
      <c r="VIU74"/>
      <c r="VIV74"/>
      <c r="VIW74"/>
      <c r="VIX74"/>
      <c r="VIY74"/>
      <c r="VIZ74"/>
      <c r="VJA74"/>
      <c r="VJB74"/>
      <c r="VJC74"/>
      <c r="VJD74"/>
      <c r="VJE74"/>
      <c r="VJF74"/>
      <c r="VJG74"/>
      <c r="VJH74"/>
      <c r="VJI74"/>
      <c r="VJJ74"/>
      <c r="VJK74"/>
      <c r="VJL74"/>
      <c r="VJM74"/>
      <c r="VJN74"/>
      <c r="VJO74"/>
      <c r="VJP74"/>
      <c r="VJQ74"/>
      <c r="VJR74"/>
      <c r="VJS74"/>
      <c r="VJT74"/>
      <c r="VJU74"/>
      <c r="VJV74"/>
      <c r="VJW74"/>
      <c r="VJX74"/>
      <c r="VJY74"/>
      <c r="VJZ74"/>
      <c r="VKA74"/>
      <c r="VKB74"/>
      <c r="VKC74"/>
      <c r="VKD74"/>
      <c r="VKE74"/>
      <c r="VKF74"/>
      <c r="VKG74"/>
      <c r="VKH74"/>
      <c r="VKI74"/>
      <c r="VKJ74"/>
      <c r="VKK74"/>
      <c r="VKL74"/>
      <c r="VKM74"/>
      <c r="VKN74"/>
      <c r="VKO74"/>
      <c r="VKP74"/>
      <c r="VKQ74"/>
      <c r="VKR74"/>
      <c r="VKS74"/>
      <c r="VKT74"/>
      <c r="VKU74"/>
      <c r="VKV74"/>
      <c r="VKW74"/>
      <c r="VKX74"/>
      <c r="VKY74"/>
      <c r="VKZ74"/>
      <c r="VLA74"/>
      <c r="VLB74"/>
      <c r="VLC74"/>
      <c r="VLD74"/>
      <c r="VLE74"/>
      <c r="VLF74"/>
      <c r="VLG74"/>
      <c r="VLH74"/>
      <c r="VLI74"/>
      <c r="VLJ74"/>
      <c r="VLK74"/>
      <c r="VLL74"/>
      <c r="VLM74"/>
      <c r="VLN74"/>
      <c r="VLO74"/>
      <c r="VLP74"/>
      <c r="VLQ74"/>
      <c r="VLR74"/>
      <c r="VLS74"/>
      <c r="VLT74"/>
      <c r="VLU74"/>
      <c r="VLV74"/>
      <c r="VLW74"/>
      <c r="VLX74"/>
      <c r="VLY74"/>
      <c r="VLZ74"/>
      <c r="VMA74"/>
      <c r="VMB74"/>
      <c r="VMC74"/>
      <c r="VMD74"/>
      <c r="VME74"/>
      <c r="VMF74"/>
      <c r="VMG74"/>
      <c r="VMH74"/>
      <c r="VMI74"/>
      <c r="VMJ74"/>
      <c r="VMK74"/>
      <c r="VML74"/>
      <c r="VMM74"/>
      <c r="VMN74"/>
      <c r="VMO74"/>
      <c r="VMP74"/>
      <c r="VMQ74"/>
      <c r="VMR74"/>
      <c r="VMS74"/>
      <c r="VMT74"/>
      <c r="VMU74"/>
      <c r="VMV74"/>
      <c r="VMW74"/>
      <c r="VMX74"/>
      <c r="VMY74"/>
      <c r="VMZ74"/>
      <c r="VNA74"/>
      <c r="VNB74"/>
      <c r="VNC74"/>
      <c r="VND74"/>
      <c r="VNE74"/>
      <c r="VNF74"/>
      <c r="VNG74"/>
      <c r="VNH74"/>
      <c r="VNI74"/>
      <c r="VNJ74"/>
      <c r="VNK74"/>
      <c r="VNL74"/>
      <c r="VNM74"/>
      <c r="VNN74"/>
      <c r="VNO74"/>
      <c r="VNP74"/>
      <c r="VNQ74"/>
      <c r="VNR74"/>
      <c r="VNS74"/>
      <c r="VNT74"/>
      <c r="VNU74"/>
      <c r="VNV74"/>
      <c r="VNW74"/>
      <c r="VNX74"/>
      <c r="VNY74"/>
      <c r="VNZ74"/>
      <c r="VOA74"/>
      <c r="VOB74"/>
      <c r="VOC74"/>
      <c r="VOD74"/>
      <c r="VOE74"/>
      <c r="VOF74"/>
      <c r="VOG74"/>
      <c r="VOH74"/>
      <c r="VOI74"/>
      <c r="VOJ74"/>
      <c r="VOK74"/>
      <c r="VOL74"/>
      <c r="VOM74"/>
      <c r="VON74"/>
      <c r="VOO74"/>
      <c r="VOP74"/>
      <c r="VOQ74"/>
      <c r="VOR74"/>
      <c r="VOS74"/>
      <c r="VOT74"/>
      <c r="VOU74"/>
      <c r="VOV74"/>
      <c r="VOW74"/>
      <c r="VOX74"/>
      <c r="VOY74"/>
      <c r="VOZ74"/>
      <c r="VPA74"/>
      <c r="VPB74"/>
      <c r="VPC74"/>
      <c r="VPD74"/>
      <c r="VPE74"/>
      <c r="VPF74"/>
      <c r="VPG74"/>
      <c r="VPH74"/>
      <c r="VPI74"/>
      <c r="VPJ74"/>
      <c r="VPK74"/>
      <c r="VPL74"/>
      <c r="VPM74"/>
      <c r="VPN74"/>
      <c r="VPO74"/>
      <c r="VPP74"/>
      <c r="VPQ74"/>
      <c r="VPR74"/>
      <c r="VPS74"/>
      <c r="VPT74"/>
      <c r="VPU74"/>
      <c r="VPV74"/>
      <c r="VPW74"/>
      <c r="VPX74"/>
      <c r="VPY74"/>
      <c r="VPZ74"/>
      <c r="VQA74"/>
      <c r="VQB74"/>
      <c r="VQC74"/>
      <c r="VQD74"/>
      <c r="VQE74"/>
      <c r="VQF74"/>
      <c r="VQG74"/>
      <c r="VQH74"/>
      <c r="VQI74"/>
      <c r="VQJ74"/>
      <c r="VQK74"/>
      <c r="VQL74"/>
      <c r="VQM74"/>
      <c r="VQN74"/>
      <c r="VQO74"/>
      <c r="VQP74"/>
      <c r="VQQ74"/>
      <c r="VQR74"/>
      <c r="VQS74"/>
      <c r="VQT74"/>
      <c r="VQU74"/>
      <c r="VQV74"/>
      <c r="VQW74"/>
      <c r="VQX74"/>
      <c r="VQY74"/>
      <c r="VQZ74"/>
      <c r="VRA74"/>
      <c r="VRB74"/>
      <c r="VRC74"/>
      <c r="VRD74"/>
      <c r="VRE74"/>
      <c r="VRF74"/>
      <c r="VRG74"/>
      <c r="VRH74"/>
      <c r="VRI74"/>
      <c r="VRJ74"/>
      <c r="VRK74"/>
      <c r="VRL74"/>
      <c r="VRM74"/>
      <c r="VRN74"/>
      <c r="VRO74"/>
      <c r="VRP74"/>
      <c r="VRQ74"/>
      <c r="VRR74"/>
      <c r="VRS74"/>
      <c r="VRT74"/>
      <c r="VRU74"/>
      <c r="VRV74"/>
      <c r="VRW74"/>
      <c r="VRX74"/>
      <c r="VRY74"/>
      <c r="VRZ74"/>
      <c r="VSA74"/>
      <c r="VSB74"/>
      <c r="VSC74"/>
      <c r="VSD74"/>
      <c r="VSE74"/>
      <c r="VSF74"/>
      <c r="VSG74"/>
      <c r="VSH74"/>
      <c r="VSI74"/>
      <c r="VSJ74"/>
      <c r="VSK74"/>
      <c r="VSL74"/>
      <c r="VSM74"/>
      <c r="VSN74"/>
      <c r="VSO74"/>
      <c r="VSP74"/>
      <c r="VSQ74"/>
      <c r="VSR74"/>
      <c r="VSS74"/>
      <c r="VST74"/>
      <c r="VSU74"/>
      <c r="VSV74"/>
      <c r="VSW74"/>
      <c r="VSX74"/>
      <c r="VSY74"/>
      <c r="VSZ74"/>
      <c r="VTA74"/>
      <c r="VTB74"/>
      <c r="VTC74"/>
      <c r="VTD74"/>
      <c r="VTE74"/>
      <c r="VTF74"/>
      <c r="VTG74"/>
      <c r="VTH74"/>
      <c r="VTI74"/>
      <c r="VTJ74"/>
      <c r="VTK74"/>
      <c r="VTL74"/>
      <c r="VTM74"/>
      <c r="VTN74"/>
      <c r="VTO74"/>
      <c r="VTP74"/>
      <c r="VTQ74"/>
      <c r="VTR74"/>
      <c r="VTS74"/>
      <c r="VTT74"/>
      <c r="VTU74"/>
      <c r="VTV74"/>
      <c r="VTW74"/>
      <c r="VTX74"/>
      <c r="VTY74"/>
      <c r="VTZ74"/>
      <c r="VUA74"/>
      <c r="VUB74"/>
      <c r="VUC74"/>
      <c r="VUD74"/>
      <c r="VUE74"/>
      <c r="VUF74"/>
      <c r="VUG74"/>
      <c r="VUH74"/>
      <c r="VUI74"/>
      <c r="VUJ74"/>
      <c r="VUK74"/>
      <c r="VUL74"/>
      <c r="VUM74"/>
      <c r="VUN74"/>
      <c r="VUO74"/>
      <c r="VUP74"/>
      <c r="VUQ74"/>
      <c r="VUR74"/>
      <c r="VUS74"/>
      <c r="VUT74"/>
      <c r="VUU74"/>
      <c r="VUV74"/>
      <c r="VUW74"/>
      <c r="VUX74"/>
      <c r="VUY74"/>
      <c r="VUZ74"/>
      <c r="VVA74"/>
      <c r="VVB74"/>
      <c r="VVC74"/>
      <c r="VVD74"/>
      <c r="VVE74"/>
      <c r="VVF74"/>
      <c r="VVG74"/>
      <c r="VVH74"/>
      <c r="VVI74"/>
      <c r="VVJ74"/>
      <c r="VVK74"/>
      <c r="VVL74"/>
      <c r="VVM74"/>
      <c r="VVN74"/>
      <c r="VVO74"/>
      <c r="VVP74"/>
      <c r="VVQ74"/>
      <c r="VVR74"/>
      <c r="VVS74"/>
      <c r="VVT74"/>
      <c r="VVU74"/>
      <c r="VVV74"/>
      <c r="VVW74"/>
      <c r="VVX74"/>
      <c r="VVY74"/>
      <c r="VVZ74"/>
      <c r="VWA74"/>
      <c r="VWB74"/>
      <c r="VWC74"/>
      <c r="VWD74"/>
      <c r="VWE74"/>
      <c r="VWF74"/>
      <c r="VWG74"/>
      <c r="VWH74"/>
      <c r="VWI74"/>
      <c r="VWJ74"/>
      <c r="VWK74"/>
      <c r="VWL74"/>
      <c r="VWM74"/>
      <c r="VWN74"/>
      <c r="VWO74"/>
      <c r="VWP74"/>
      <c r="VWQ74"/>
      <c r="VWR74"/>
      <c r="VWS74"/>
      <c r="VWT74"/>
      <c r="VWU74"/>
      <c r="VWV74"/>
      <c r="VWW74"/>
      <c r="VWX74"/>
      <c r="VWY74"/>
      <c r="VWZ74"/>
      <c r="VXA74"/>
      <c r="VXB74"/>
      <c r="VXC74"/>
      <c r="VXD74"/>
      <c r="VXE74"/>
      <c r="VXF74"/>
      <c r="VXG74"/>
      <c r="VXH74"/>
      <c r="VXI74"/>
      <c r="VXJ74"/>
      <c r="VXK74"/>
      <c r="VXL74"/>
      <c r="VXM74"/>
      <c r="VXN74"/>
      <c r="VXO74"/>
      <c r="VXP74"/>
      <c r="VXQ74"/>
      <c r="VXR74"/>
      <c r="VXS74"/>
      <c r="VXT74"/>
      <c r="VXU74"/>
      <c r="VXV74"/>
      <c r="VXW74"/>
      <c r="VXX74"/>
      <c r="VXY74"/>
      <c r="VXZ74"/>
      <c r="VYA74"/>
      <c r="VYB74"/>
      <c r="VYC74"/>
      <c r="VYD74"/>
      <c r="VYE74"/>
      <c r="VYF74"/>
      <c r="VYG74"/>
      <c r="VYH74"/>
      <c r="VYI74"/>
      <c r="VYJ74"/>
      <c r="VYK74"/>
      <c r="VYL74"/>
      <c r="VYM74"/>
      <c r="VYN74"/>
      <c r="VYO74"/>
      <c r="VYP74"/>
      <c r="VYQ74"/>
      <c r="VYR74"/>
      <c r="VYS74"/>
      <c r="VYT74"/>
      <c r="VYU74"/>
      <c r="VYV74"/>
      <c r="VYW74"/>
      <c r="VYX74"/>
      <c r="VYY74"/>
      <c r="VYZ74"/>
      <c r="VZA74"/>
      <c r="VZB74"/>
      <c r="VZC74"/>
      <c r="VZD74"/>
      <c r="VZE74"/>
      <c r="VZF74"/>
      <c r="VZG74"/>
      <c r="VZH74"/>
      <c r="VZI74"/>
      <c r="VZJ74"/>
      <c r="VZK74"/>
      <c r="VZL74"/>
      <c r="VZM74"/>
      <c r="VZN74"/>
      <c r="VZO74"/>
      <c r="VZP74"/>
      <c r="VZQ74"/>
      <c r="VZR74"/>
      <c r="VZS74"/>
      <c r="VZT74"/>
      <c r="VZU74"/>
      <c r="VZV74"/>
      <c r="VZW74"/>
      <c r="VZX74"/>
      <c r="VZY74"/>
      <c r="VZZ74"/>
      <c r="WAA74"/>
      <c r="WAB74"/>
      <c r="WAC74"/>
      <c r="WAD74"/>
      <c r="WAE74"/>
      <c r="WAF74"/>
      <c r="WAG74"/>
      <c r="WAH74"/>
      <c r="WAI74"/>
      <c r="WAJ74"/>
      <c r="WAK74"/>
      <c r="WAL74"/>
      <c r="WAM74"/>
      <c r="WAN74"/>
      <c r="WAO74"/>
      <c r="WAP74"/>
      <c r="WAQ74"/>
      <c r="WAR74"/>
      <c r="WAS74"/>
      <c r="WAT74"/>
      <c r="WAU74"/>
      <c r="WAV74"/>
      <c r="WAW74"/>
      <c r="WAX74"/>
      <c r="WAY74"/>
      <c r="WAZ74"/>
      <c r="WBA74"/>
      <c r="WBB74"/>
      <c r="WBC74"/>
      <c r="WBD74"/>
      <c r="WBE74"/>
      <c r="WBF74"/>
      <c r="WBG74"/>
      <c r="WBH74"/>
      <c r="WBI74"/>
      <c r="WBJ74"/>
      <c r="WBK74"/>
      <c r="WBL74"/>
      <c r="WBM74"/>
      <c r="WBN74"/>
      <c r="WBO74"/>
      <c r="WBP74"/>
      <c r="WBQ74"/>
      <c r="WBR74"/>
      <c r="WBS74"/>
      <c r="WBT74"/>
      <c r="WBU74"/>
      <c r="WBV74"/>
      <c r="WBW74"/>
      <c r="WBX74"/>
      <c r="WBY74"/>
      <c r="WBZ74"/>
      <c r="WCA74"/>
      <c r="WCB74"/>
      <c r="WCC74"/>
      <c r="WCD74"/>
      <c r="WCE74"/>
      <c r="WCF74"/>
      <c r="WCG74"/>
      <c r="WCH74"/>
      <c r="WCI74"/>
      <c r="WCJ74"/>
      <c r="WCK74"/>
      <c r="WCL74"/>
      <c r="WCM74"/>
      <c r="WCN74"/>
      <c r="WCO74"/>
      <c r="WCP74"/>
      <c r="WCQ74"/>
      <c r="WCR74"/>
      <c r="WCS74"/>
      <c r="WCT74"/>
      <c r="WCU74"/>
      <c r="WCV74"/>
      <c r="WCW74"/>
      <c r="WCX74"/>
      <c r="WCY74"/>
      <c r="WCZ74"/>
      <c r="WDA74"/>
      <c r="WDB74"/>
      <c r="WDC74"/>
      <c r="WDD74"/>
      <c r="WDE74"/>
      <c r="WDF74"/>
      <c r="WDG74"/>
      <c r="WDH74"/>
      <c r="WDI74"/>
      <c r="WDJ74"/>
      <c r="WDK74"/>
      <c r="WDL74"/>
      <c r="WDM74"/>
      <c r="WDN74"/>
      <c r="WDO74"/>
      <c r="WDP74"/>
      <c r="WDQ74"/>
      <c r="WDR74"/>
      <c r="WDS74"/>
      <c r="WDT74"/>
      <c r="WDU74"/>
      <c r="WDV74"/>
      <c r="WDW74"/>
      <c r="WDX74"/>
      <c r="WDY74"/>
      <c r="WDZ74"/>
      <c r="WEA74"/>
      <c r="WEB74"/>
      <c r="WEC74"/>
      <c r="WED74"/>
      <c r="WEE74"/>
      <c r="WEF74"/>
      <c r="WEG74"/>
      <c r="WEH74"/>
      <c r="WEI74"/>
      <c r="WEJ74"/>
      <c r="WEK74"/>
      <c r="WEL74"/>
      <c r="WEM74"/>
      <c r="WEN74"/>
      <c r="WEO74"/>
      <c r="WEP74"/>
      <c r="WEQ74"/>
      <c r="WER74"/>
      <c r="WES74"/>
      <c r="WET74"/>
      <c r="WEU74"/>
      <c r="WEV74"/>
      <c r="WEW74"/>
      <c r="WEX74"/>
      <c r="WEY74"/>
      <c r="WEZ74"/>
      <c r="WFA74"/>
      <c r="WFB74"/>
      <c r="WFC74"/>
      <c r="WFD74"/>
      <c r="WFE74"/>
      <c r="WFF74"/>
      <c r="WFG74"/>
      <c r="WFH74"/>
      <c r="WFI74"/>
      <c r="WFJ74"/>
      <c r="WFK74"/>
      <c r="WFL74"/>
      <c r="WFM74"/>
      <c r="WFN74"/>
      <c r="WFO74"/>
      <c r="WFP74"/>
      <c r="WFQ74"/>
      <c r="WFR74"/>
      <c r="WFS74"/>
      <c r="WFT74"/>
      <c r="WFU74"/>
      <c r="WFV74"/>
      <c r="WFW74"/>
      <c r="WFX74"/>
      <c r="WFY74"/>
      <c r="WFZ74"/>
      <c r="WGA74"/>
      <c r="WGB74"/>
      <c r="WGC74"/>
      <c r="WGD74"/>
      <c r="WGE74"/>
      <c r="WGF74"/>
      <c r="WGG74"/>
      <c r="WGH74"/>
      <c r="WGI74"/>
      <c r="WGJ74"/>
      <c r="WGK74"/>
      <c r="WGL74"/>
      <c r="WGM74"/>
      <c r="WGN74"/>
      <c r="WGO74"/>
      <c r="WGP74"/>
      <c r="WGQ74"/>
      <c r="WGR74"/>
      <c r="WGS74"/>
      <c r="WGT74"/>
      <c r="WGU74"/>
      <c r="WGV74"/>
      <c r="WGW74"/>
      <c r="WGX74"/>
      <c r="WGY74"/>
      <c r="WGZ74"/>
      <c r="WHA74"/>
      <c r="WHB74"/>
      <c r="WHC74"/>
      <c r="WHD74"/>
      <c r="WHE74"/>
      <c r="WHF74"/>
      <c r="WHG74"/>
      <c r="WHH74"/>
      <c r="WHI74"/>
      <c r="WHJ74"/>
      <c r="WHK74"/>
      <c r="WHL74"/>
      <c r="WHM74"/>
      <c r="WHN74"/>
      <c r="WHO74"/>
      <c r="WHP74"/>
      <c r="WHQ74"/>
      <c r="WHR74"/>
      <c r="WHS74"/>
      <c r="WHT74"/>
      <c r="WHU74"/>
      <c r="WHV74"/>
      <c r="WHW74"/>
      <c r="WHX74"/>
      <c r="WHY74"/>
      <c r="WHZ74"/>
      <c r="WIA74"/>
      <c r="WIB74"/>
      <c r="WIC74"/>
      <c r="WID74"/>
      <c r="WIE74"/>
      <c r="WIF74"/>
      <c r="WIG74"/>
      <c r="WIH74"/>
      <c r="WII74"/>
      <c r="WIJ74"/>
      <c r="WIK74"/>
      <c r="WIL74"/>
      <c r="WIM74"/>
      <c r="WIN74"/>
      <c r="WIO74"/>
      <c r="WIP74"/>
      <c r="WIQ74"/>
      <c r="WIR74"/>
      <c r="WIS74"/>
      <c r="WIT74"/>
      <c r="WIU74"/>
      <c r="WIV74"/>
      <c r="WIW74"/>
      <c r="WIX74"/>
      <c r="WIY74"/>
      <c r="WIZ74"/>
      <c r="WJA74"/>
      <c r="WJB74"/>
      <c r="WJC74"/>
      <c r="WJD74"/>
      <c r="WJE74"/>
      <c r="WJF74"/>
      <c r="WJG74"/>
      <c r="WJH74"/>
      <c r="WJI74"/>
      <c r="WJJ74"/>
      <c r="WJK74"/>
      <c r="WJL74"/>
      <c r="WJM74"/>
      <c r="WJN74"/>
      <c r="WJO74"/>
      <c r="WJP74"/>
      <c r="WJQ74"/>
      <c r="WJR74"/>
      <c r="WJS74"/>
      <c r="WJT74"/>
      <c r="WJU74"/>
      <c r="WJV74"/>
      <c r="WJW74"/>
      <c r="WJX74"/>
      <c r="WJY74"/>
      <c r="WJZ74"/>
      <c r="WKA74"/>
      <c r="WKB74"/>
      <c r="WKC74"/>
      <c r="WKD74"/>
      <c r="WKE74"/>
      <c r="WKF74"/>
      <c r="WKG74"/>
      <c r="WKH74"/>
      <c r="WKI74"/>
      <c r="WKJ74"/>
      <c r="WKK74"/>
      <c r="WKL74"/>
      <c r="WKM74"/>
      <c r="WKN74"/>
      <c r="WKO74"/>
      <c r="WKP74"/>
      <c r="WKQ74"/>
      <c r="WKR74"/>
      <c r="WKS74"/>
      <c r="WKT74"/>
      <c r="WKU74"/>
      <c r="WKV74"/>
      <c r="WKW74"/>
      <c r="WKX74"/>
      <c r="WKY74"/>
      <c r="WKZ74"/>
      <c r="WLA74"/>
      <c r="WLB74"/>
      <c r="WLC74"/>
      <c r="WLD74"/>
      <c r="WLE74"/>
      <c r="WLF74"/>
      <c r="WLG74"/>
      <c r="WLH74"/>
      <c r="WLI74"/>
      <c r="WLJ74"/>
      <c r="WLK74"/>
      <c r="WLL74"/>
      <c r="WLM74"/>
      <c r="WLN74"/>
      <c r="WLO74"/>
      <c r="WLP74"/>
      <c r="WLQ74"/>
      <c r="WLR74"/>
      <c r="WLS74"/>
      <c r="WLT74"/>
      <c r="WLU74"/>
      <c r="WLV74"/>
      <c r="WLW74"/>
      <c r="WLX74"/>
      <c r="WLY74"/>
      <c r="WLZ74"/>
      <c r="WMA74"/>
      <c r="WMB74"/>
      <c r="WMC74"/>
      <c r="WMD74"/>
      <c r="WME74"/>
      <c r="WMF74"/>
      <c r="WMG74"/>
      <c r="WMH74"/>
      <c r="WMI74"/>
      <c r="WMJ74"/>
      <c r="WMK74"/>
      <c r="WML74"/>
      <c r="WMM74"/>
      <c r="WMN74"/>
      <c r="WMO74"/>
      <c r="WMP74"/>
      <c r="WMQ74"/>
      <c r="WMR74"/>
      <c r="WMS74"/>
      <c r="WMT74"/>
      <c r="WMU74"/>
      <c r="WMV74"/>
      <c r="WMW74"/>
      <c r="WMX74"/>
      <c r="WMY74"/>
      <c r="WMZ74"/>
      <c r="WNA74"/>
      <c r="WNB74"/>
      <c r="WNC74"/>
      <c r="WND74"/>
      <c r="WNE74"/>
      <c r="WNF74"/>
      <c r="WNG74"/>
      <c r="WNH74"/>
      <c r="WNI74"/>
      <c r="WNJ74"/>
      <c r="WNK74"/>
      <c r="WNL74"/>
      <c r="WNM74"/>
      <c r="WNN74"/>
      <c r="WNO74"/>
      <c r="WNP74"/>
      <c r="WNQ74"/>
      <c r="WNR74"/>
      <c r="WNS74"/>
      <c r="WNT74"/>
      <c r="WNU74"/>
      <c r="WNV74"/>
      <c r="WNW74"/>
      <c r="WNX74"/>
      <c r="WNY74"/>
      <c r="WNZ74"/>
      <c r="WOA74"/>
      <c r="WOB74"/>
      <c r="WOC74"/>
      <c r="WOD74"/>
      <c r="WOE74"/>
      <c r="WOF74"/>
      <c r="WOG74"/>
      <c r="WOH74"/>
      <c r="WOI74"/>
      <c r="WOJ74"/>
      <c r="WOK74"/>
      <c r="WOL74"/>
      <c r="WOM74"/>
      <c r="WON74"/>
      <c r="WOO74"/>
      <c r="WOP74"/>
      <c r="WOQ74"/>
      <c r="WOR74"/>
      <c r="WOS74"/>
      <c r="WOT74"/>
      <c r="WOU74"/>
      <c r="WOV74"/>
      <c r="WOW74"/>
      <c r="WOX74"/>
      <c r="WOY74"/>
      <c r="WOZ74"/>
      <c r="WPA74"/>
      <c r="WPB74"/>
      <c r="WPC74"/>
      <c r="WPD74"/>
      <c r="WPE74"/>
      <c r="WPF74"/>
      <c r="WPG74"/>
      <c r="WPH74"/>
      <c r="WPI74"/>
      <c r="WPJ74"/>
      <c r="WPK74"/>
      <c r="WPL74"/>
      <c r="WPM74"/>
      <c r="WPN74"/>
      <c r="WPO74"/>
      <c r="WPP74"/>
      <c r="WPQ74"/>
      <c r="WPR74"/>
      <c r="WPS74"/>
      <c r="WPT74"/>
      <c r="WPU74"/>
      <c r="WPV74"/>
      <c r="WPW74"/>
      <c r="WPX74"/>
      <c r="WPY74"/>
      <c r="WPZ74"/>
      <c r="WQA74"/>
      <c r="WQB74"/>
      <c r="WQC74"/>
      <c r="WQD74"/>
      <c r="WQE74"/>
      <c r="WQF74"/>
      <c r="WQG74"/>
      <c r="WQH74"/>
      <c r="WQI74"/>
      <c r="WQJ74"/>
      <c r="WQK74"/>
      <c r="WQL74"/>
      <c r="WQM74"/>
      <c r="WQN74"/>
      <c r="WQO74"/>
      <c r="WQP74"/>
      <c r="WQQ74"/>
      <c r="WQR74"/>
      <c r="WQS74"/>
      <c r="WQT74"/>
      <c r="WQU74"/>
      <c r="WQV74"/>
      <c r="WQW74"/>
      <c r="WQX74"/>
      <c r="WQY74"/>
      <c r="WQZ74"/>
      <c r="WRA74"/>
      <c r="WRB74"/>
      <c r="WRC74"/>
      <c r="WRD74"/>
      <c r="WRE74"/>
      <c r="WRF74"/>
      <c r="WRG74"/>
      <c r="WRH74"/>
      <c r="WRI74"/>
      <c r="WRJ74"/>
      <c r="WRK74"/>
      <c r="WRL74"/>
      <c r="WRM74"/>
      <c r="WRN74"/>
      <c r="WRO74"/>
      <c r="WRP74"/>
      <c r="WRQ74"/>
      <c r="WRR74"/>
      <c r="WRS74"/>
      <c r="WRT74"/>
      <c r="WRU74"/>
      <c r="WRV74"/>
      <c r="WRW74"/>
      <c r="WRX74"/>
      <c r="WRY74"/>
      <c r="WRZ74"/>
      <c r="WSA74"/>
      <c r="WSB74"/>
      <c r="WSC74"/>
      <c r="WSD74"/>
      <c r="WSE74"/>
      <c r="WSF74"/>
      <c r="WSG74"/>
      <c r="WSH74"/>
      <c r="WSI74"/>
      <c r="WSJ74"/>
      <c r="WSK74"/>
      <c r="WSL74"/>
      <c r="WSM74"/>
      <c r="WSN74"/>
      <c r="WSO74"/>
      <c r="WSP74"/>
      <c r="WSQ74"/>
      <c r="WSR74"/>
      <c r="WSS74"/>
      <c r="WST74"/>
      <c r="WSU74"/>
      <c r="WSV74"/>
      <c r="WSW74"/>
      <c r="WSX74"/>
      <c r="WSY74"/>
      <c r="WSZ74"/>
      <c r="WTA74"/>
      <c r="WTB74"/>
      <c r="WTC74"/>
      <c r="WTD74"/>
      <c r="WTE74"/>
      <c r="WTF74"/>
      <c r="WTG74"/>
      <c r="WTH74"/>
      <c r="WTI74"/>
      <c r="WTJ74"/>
      <c r="WTK74"/>
      <c r="WTL74"/>
      <c r="WTM74"/>
      <c r="WTN74"/>
      <c r="WTO74"/>
      <c r="WTP74"/>
      <c r="WTQ74"/>
      <c r="WTR74"/>
      <c r="WTS74"/>
      <c r="WTT74"/>
      <c r="WTU74"/>
      <c r="WTV74"/>
      <c r="WTW74"/>
      <c r="WTX74"/>
      <c r="WTY74"/>
      <c r="WTZ74"/>
      <c r="WUA74"/>
      <c r="WUB74"/>
      <c r="WUC74"/>
      <c r="WUD74"/>
      <c r="WUE74"/>
      <c r="WUF74"/>
      <c r="WUG74"/>
      <c r="WUH74"/>
      <c r="WUI74"/>
      <c r="WUJ74"/>
      <c r="WUK74"/>
      <c r="WUL74"/>
      <c r="WUM74"/>
      <c r="WUN74"/>
      <c r="WUO74"/>
      <c r="WUP74"/>
      <c r="WUQ74"/>
      <c r="WUR74"/>
      <c r="WUS74"/>
      <c r="WUT74"/>
      <c r="WUU74"/>
      <c r="WUV74"/>
      <c r="WUW74"/>
      <c r="WUX74"/>
      <c r="WUY74"/>
      <c r="WUZ74"/>
      <c r="WVA74"/>
      <c r="WVB74"/>
      <c r="WVC74"/>
      <c r="WVD74"/>
      <c r="WVE74"/>
      <c r="WVF74"/>
      <c r="WVG74"/>
      <c r="WVH74"/>
      <c r="WVI74"/>
      <c r="WVJ74"/>
      <c r="WVK74"/>
      <c r="WVL74"/>
      <c r="WVM74"/>
      <c r="WVN74"/>
      <c r="WVO74"/>
      <c r="WVP74"/>
      <c r="WVQ74"/>
      <c r="WVR74"/>
      <c r="WVS74"/>
      <c r="WVT74"/>
      <c r="WVU74"/>
      <c r="WVV74"/>
      <c r="WVW74"/>
      <c r="WVX74"/>
      <c r="WVY74"/>
      <c r="WVZ74"/>
      <c r="WWA74"/>
      <c r="WWB74"/>
      <c r="WWC74"/>
      <c r="WWD74"/>
      <c r="WWE74"/>
      <c r="WWF74"/>
      <c r="WWG74"/>
      <c r="WWH74"/>
      <c r="WWI74"/>
      <c r="WWJ74"/>
      <c r="WWK74"/>
      <c r="WWL74"/>
      <c r="WWM74"/>
      <c r="WWN74"/>
      <c r="WWO74"/>
      <c r="WWP74"/>
      <c r="WWQ74"/>
      <c r="WWR74"/>
      <c r="WWS74"/>
      <c r="WWT74"/>
      <c r="WWU74"/>
      <c r="WWV74"/>
      <c r="WWW74"/>
      <c r="WWX74"/>
      <c r="WWY74"/>
      <c r="WWZ74"/>
      <c r="WXA74"/>
      <c r="WXB74"/>
      <c r="WXC74"/>
      <c r="WXD74"/>
      <c r="WXE74"/>
      <c r="WXF74"/>
      <c r="WXG74"/>
      <c r="WXH74"/>
      <c r="WXI74"/>
      <c r="WXJ74"/>
      <c r="WXK74"/>
      <c r="WXL74"/>
      <c r="WXM74"/>
      <c r="WXN74"/>
      <c r="WXO74"/>
      <c r="WXP74"/>
      <c r="WXQ74"/>
      <c r="WXR74"/>
      <c r="WXS74"/>
      <c r="WXT74"/>
      <c r="WXU74"/>
      <c r="WXV74"/>
      <c r="WXW74"/>
      <c r="WXX74"/>
      <c r="WXY74"/>
      <c r="WXZ74"/>
      <c r="WYA74"/>
      <c r="WYB74"/>
      <c r="WYC74"/>
      <c r="WYD74"/>
      <c r="WYE74"/>
      <c r="WYF74"/>
      <c r="WYG74"/>
      <c r="WYH74"/>
      <c r="WYI74"/>
      <c r="WYJ74"/>
      <c r="WYK74"/>
      <c r="WYL74"/>
      <c r="WYM74"/>
      <c r="WYN74"/>
      <c r="WYO74"/>
      <c r="WYP74"/>
      <c r="WYQ74"/>
      <c r="WYR74"/>
      <c r="WYS74"/>
      <c r="WYT74"/>
      <c r="WYU74"/>
      <c r="WYV74"/>
      <c r="WYW74"/>
      <c r="WYX74"/>
      <c r="WYY74"/>
      <c r="WYZ74"/>
      <c r="WZA74"/>
      <c r="WZB74"/>
      <c r="WZC74"/>
      <c r="WZD74"/>
      <c r="WZE74"/>
      <c r="WZF74"/>
      <c r="WZG74"/>
      <c r="WZH74"/>
      <c r="WZI74"/>
      <c r="WZJ74"/>
      <c r="WZK74"/>
      <c r="WZL74"/>
      <c r="WZM74"/>
      <c r="WZN74"/>
      <c r="WZO74"/>
      <c r="WZP74"/>
      <c r="WZQ74"/>
      <c r="WZR74"/>
      <c r="WZS74"/>
      <c r="WZT74"/>
      <c r="WZU74"/>
      <c r="WZV74"/>
      <c r="WZW74"/>
      <c r="WZX74"/>
      <c r="WZY74"/>
      <c r="WZZ74"/>
      <c r="XAA74"/>
      <c r="XAB74"/>
      <c r="XAC74"/>
      <c r="XAD74"/>
      <c r="XAE74"/>
      <c r="XAF74"/>
      <c r="XAG74"/>
      <c r="XAH74"/>
      <c r="XAI74"/>
      <c r="XAJ74"/>
      <c r="XAK74"/>
      <c r="XAL74"/>
      <c r="XAM74"/>
      <c r="XAN74"/>
      <c r="XAO74"/>
      <c r="XAP74"/>
      <c r="XAQ74"/>
      <c r="XAR74"/>
      <c r="XAS74"/>
      <c r="XAT74"/>
      <c r="XAU74"/>
      <c r="XAV74"/>
      <c r="XAW74"/>
      <c r="XAX74"/>
      <c r="XAY74"/>
      <c r="XAZ74"/>
      <c r="XBA74"/>
      <c r="XBB74"/>
      <c r="XBC74"/>
      <c r="XBD74"/>
      <c r="XBE74"/>
      <c r="XBF74"/>
      <c r="XBG74"/>
      <c r="XBH74"/>
      <c r="XBI74"/>
      <c r="XBJ74"/>
      <c r="XBK74"/>
      <c r="XBL74"/>
      <c r="XBM74"/>
      <c r="XBN74"/>
      <c r="XBO74"/>
      <c r="XBP74"/>
      <c r="XBQ74"/>
      <c r="XBR74"/>
      <c r="XBS74"/>
      <c r="XBT74"/>
      <c r="XBU74"/>
      <c r="XBV74"/>
      <c r="XBW74"/>
      <c r="XBX74"/>
      <c r="XBY74"/>
      <c r="XBZ74"/>
      <c r="XCA74"/>
      <c r="XCB74"/>
      <c r="XCC74"/>
      <c r="XCD74"/>
      <c r="XCE74"/>
      <c r="XCF74"/>
      <c r="XCG74"/>
      <c r="XCH74"/>
      <c r="XCI74"/>
      <c r="XCJ74"/>
      <c r="XCK74"/>
      <c r="XCL74"/>
      <c r="XCM74"/>
      <c r="XCN74"/>
      <c r="XCO74"/>
      <c r="XCP74"/>
      <c r="XCQ74"/>
      <c r="XCR74"/>
      <c r="XCS74"/>
      <c r="XCT74"/>
      <c r="XCU74"/>
      <c r="XCV74"/>
      <c r="XCW74"/>
      <c r="XCX74"/>
      <c r="XCY74"/>
      <c r="XCZ74"/>
      <c r="XDA74"/>
      <c r="XDB74"/>
      <c r="XDC74"/>
      <c r="XDD74"/>
      <c r="XDE74"/>
      <c r="XDF74"/>
      <c r="XDG74"/>
      <c r="XDH74"/>
      <c r="XDI74"/>
      <c r="XDJ74"/>
      <c r="XDK74"/>
      <c r="XDL74"/>
      <c r="XDM74"/>
      <c r="XDN74"/>
      <c r="XDO74"/>
      <c r="XDP74"/>
      <c r="XDQ74"/>
      <c r="XDR74"/>
      <c r="XDS74"/>
      <c r="XDT74"/>
      <c r="XDU74"/>
      <c r="XDV74"/>
      <c r="XDW74"/>
      <c r="XDX74"/>
      <c r="XDY74"/>
      <c r="XDZ74"/>
      <c r="XEA74"/>
      <c r="XEB74"/>
      <c r="XEC74"/>
      <c r="XED74"/>
      <c r="XEE74"/>
      <c r="XEF74"/>
      <c r="XEG74"/>
      <c r="XEH74"/>
      <c r="XEI74"/>
      <c r="XEJ74"/>
      <c r="XEK74"/>
      <c r="XEL74"/>
      <c r="XEM74"/>
      <c r="XEN74"/>
      <c r="XEO74"/>
      <c r="XEP74"/>
      <c r="XEQ74"/>
      <c r="XER74"/>
      <c r="XES74"/>
      <c r="XET74"/>
      <c r="XEU74"/>
      <c r="XEV74"/>
      <c r="XEW74"/>
      <c r="XEX74"/>
      <c r="XEY74"/>
      <c r="XEZ74"/>
      <c r="XFA74"/>
      <c r="XFB74"/>
      <c r="XFC74"/>
      <c r="XFD74"/>
    </row>
    <row r="75" spans="3:16384" ht="39" customHeight="1">
      <c r="C75" s="3558" t="s">
        <v>2988</v>
      </c>
      <c r="D75" s="3558"/>
      <c r="E75" s="3558"/>
      <c r="F75" s="3558"/>
      <c r="G75" s="3558"/>
      <c r="H75" s="3558"/>
      <c r="I75" s="3558"/>
      <c r="J75" s="3558"/>
      <c r="K75" s="3558"/>
      <c r="L75" s="3558"/>
      <c r="M75" s="3558"/>
      <c r="N75" s="3558"/>
      <c r="O75" s="3558"/>
      <c r="P75" s="3558"/>
      <c r="Q75" s="3558"/>
      <c r="R75" s="3558"/>
    </row>
  </sheetData>
  <mergeCells count="1">
    <mergeCell ref="C75:R75"/>
  </mergeCells>
  <phoneticPr fontId="225" type="noConversion"/>
  <pageMargins left="0.75" right="0.75" top="1" bottom="1" header="0.51180555555555596" footer="0.51180555555555596"/>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21"/>
  <sheetViews>
    <sheetView zoomScale="80" zoomScaleNormal="80" workbookViewId="0">
      <selection sqref="A1:XFD1048576"/>
    </sheetView>
  </sheetViews>
  <sheetFormatPr defaultColWidth="9" defaultRowHeight="14.25"/>
  <cols>
    <col min="1" max="1" width="14.375" style="872" customWidth="1"/>
    <col min="2" max="2" width="15.75" style="872" customWidth="1"/>
    <col min="3" max="3" width="14.375" style="872" customWidth="1"/>
    <col min="4" max="4" width="12.25" style="872" customWidth="1"/>
    <col min="5" max="5" width="14.375" style="872" customWidth="1"/>
    <col min="6" max="6" width="12.25" style="872" customWidth="1"/>
    <col min="7" max="7" width="14.5" style="872" customWidth="1"/>
    <col min="8" max="8" width="12.25" style="872" customWidth="1"/>
    <col min="9" max="9" width="14.5" style="872" customWidth="1"/>
    <col min="10" max="10" width="12.25" style="872" customWidth="1"/>
    <col min="11" max="11" width="12.25" style="873" customWidth="1"/>
    <col min="12" max="12" width="12.25" style="874" customWidth="1"/>
    <col min="13" max="15" width="12.25" style="872" customWidth="1"/>
    <col min="16" max="16" width="4.75" style="872" customWidth="1"/>
    <col min="17" max="17" width="19.5" style="872" customWidth="1"/>
    <col min="18" max="22" width="6.125" style="872" customWidth="1"/>
    <col min="23" max="23" width="5.75" style="872" customWidth="1"/>
    <col min="24" max="24" width="4.25" style="872" customWidth="1"/>
    <col min="25" max="25" width="3.5" style="872" customWidth="1"/>
    <col min="26" max="26" width="19.75" style="872" customWidth="1"/>
    <col min="27" max="28" width="9.375" style="872" customWidth="1"/>
    <col min="29" max="16384" width="9" style="872"/>
  </cols>
  <sheetData>
    <row r="1" spans="1:29" s="865" customFormat="1" ht="28.5" customHeight="1">
      <c r="A1" s="875" t="s">
        <v>1443</v>
      </c>
      <c r="B1" s="876"/>
      <c r="C1" s="877" t="s">
        <v>1424</v>
      </c>
      <c r="D1" s="878"/>
      <c r="E1" s="878"/>
      <c r="F1" s="879" t="s">
        <v>1319</v>
      </c>
      <c r="G1" s="878"/>
      <c r="H1" s="878"/>
      <c r="I1" s="878"/>
      <c r="J1" s="878"/>
      <c r="K1" s="1020"/>
      <c r="L1" s="1021"/>
      <c r="M1" s="1022"/>
      <c r="N1" s="1022"/>
      <c r="O1" s="1022"/>
      <c r="P1" s="1023"/>
      <c r="Q1" s="1023"/>
      <c r="R1" s="1023"/>
      <c r="S1" s="1023"/>
      <c r="T1" s="1023"/>
      <c r="U1" s="1023"/>
      <c r="V1" s="1023"/>
      <c r="W1" s="1023"/>
      <c r="X1" s="1023"/>
      <c r="Y1" s="1023"/>
      <c r="Z1" s="1023"/>
      <c r="AA1" s="1023"/>
      <c r="AB1" s="1023"/>
      <c r="AC1" s="1081"/>
    </row>
    <row r="2" spans="1:29" s="865" customFormat="1" ht="28.5" customHeight="1">
      <c r="A2" s="144" t="s">
        <v>895</v>
      </c>
      <c r="B2" s="880" t="e">
        <f>F61</f>
        <v>#DIV/0!</v>
      </c>
      <c r="C2" s="881"/>
      <c r="D2" s="881"/>
      <c r="E2" s="881"/>
      <c r="F2" s="882"/>
      <c r="G2" s="881"/>
      <c r="H2" s="881"/>
      <c r="I2" s="881"/>
      <c r="J2" s="881"/>
      <c r="K2" s="1024"/>
      <c r="L2" s="1025"/>
      <c r="M2" s="1026"/>
      <c r="N2" s="1026"/>
      <c r="O2" s="1026"/>
      <c r="P2" s="1023"/>
      <c r="Q2" s="1023"/>
      <c r="R2" s="1023"/>
      <c r="S2" s="1023"/>
      <c r="T2" s="1023"/>
      <c r="U2" s="1023"/>
      <c r="V2" s="1023"/>
      <c r="W2" s="1023"/>
      <c r="X2" s="1023"/>
      <c r="Y2" s="1023"/>
      <c r="Z2" s="1023"/>
      <c r="AA2" s="1023"/>
      <c r="AB2" s="1023"/>
      <c r="AC2" s="1081"/>
    </row>
    <row r="3" spans="1:29" s="865" customFormat="1" ht="28.5" customHeight="1">
      <c r="A3" s="147" t="s">
        <v>897</v>
      </c>
      <c r="B3" s="883" t="e">
        <f>ROUND(IF(D3="",B2*10000/'数据-汇总表'!E3,B2*10000/D3),0)</f>
        <v>#DIV/0!</v>
      </c>
      <c r="C3" s="147" t="s">
        <v>1320</v>
      </c>
      <c r="D3" s="884"/>
      <c r="E3" s="881"/>
      <c r="F3" s="882"/>
      <c r="G3" s="881"/>
      <c r="H3" s="881"/>
      <c r="I3" s="881"/>
      <c r="J3" s="881"/>
      <c r="K3" s="1024"/>
      <c r="L3" s="1025"/>
      <c r="M3" s="1026"/>
      <c r="N3" s="1026"/>
      <c r="O3" s="1026"/>
      <c r="P3" s="1023"/>
      <c r="Q3" s="1023"/>
      <c r="R3" s="1023"/>
      <c r="S3" s="1023"/>
      <c r="T3" s="1023"/>
      <c r="U3" s="1023"/>
      <c r="V3" s="1023"/>
      <c r="W3" s="1023"/>
      <c r="X3" s="1023"/>
      <c r="Y3" s="1023"/>
      <c r="Z3" s="1023"/>
      <c r="AA3" s="1023"/>
      <c r="AB3" s="1082"/>
      <c r="AC3" s="1083"/>
    </row>
    <row r="4" spans="1:29" ht="15">
      <c r="A4" s="885" t="s">
        <v>1321</v>
      </c>
      <c r="B4" s="886"/>
      <c r="C4" s="3457" t="s">
        <v>1322</v>
      </c>
      <c r="D4" s="3458"/>
      <c r="E4" s="3459" t="s">
        <v>1323</v>
      </c>
      <c r="F4" s="3460"/>
      <c r="G4" s="3457" t="s">
        <v>1324</v>
      </c>
      <c r="H4" s="3458"/>
      <c r="I4" s="3457" t="s">
        <v>1325</v>
      </c>
      <c r="J4" s="3458"/>
      <c r="K4" s="1027" t="s">
        <v>1326</v>
      </c>
      <c r="L4" s="1028"/>
      <c r="M4" s="1029"/>
      <c r="N4" s="1029"/>
      <c r="O4" s="1029"/>
      <c r="P4" s="3487" t="s">
        <v>1327</v>
      </c>
      <c r="Q4" s="3488"/>
      <c r="R4" s="3493" t="s">
        <v>1323</v>
      </c>
      <c r="S4" s="3494"/>
      <c r="T4" s="3493" t="s">
        <v>1324</v>
      </c>
      <c r="U4" s="3494"/>
      <c r="V4" s="3481" t="s">
        <v>1325</v>
      </c>
      <c r="W4" s="3481"/>
      <c r="X4" s="1069"/>
      <c r="Y4" s="3493" t="s">
        <v>1327</v>
      </c>
      <c r="Z4" s="3494"/>
      <c r="AA4" s="3482" t="s">
        <v>1323</v>
      </c>
      <c r="AB4" s="3483" t="s">
        <v>1324</v>
      </c>
      <c r="AC4" s="3482" t="s">
        <v>1325</v>
      </c>
    </row>
    <row r="5" spans="1:29" ht="15">
      <c r="A5" s="887"/>
      <c r="B5" s="888"/>
      <c r="C5" s="3461" t="s">
        <v>1328</v>
      </c>
      <c r="D5" s="3462"/>
      <c r="E5" s="3531" t="s">
        <v>1329</v>
      </c>
      <c r="F5" s="3532"/>
      <c r="G5" s="3461" t="s">
        <v>1330</v>
      </c>
      <c r="H5" s="3462"/>
      <c r="I5" s="3461" t="s">
        <v>1331</v>
      </c>
      <c r="J5" s="3462"/>
      <c r="K5" s="1027"/>
      <c r="L5" s="1028"/>
      <c r="M5" s="1029"/>
      <c r="N5" s="1029"/>
      <c r="O5" s="1029"/>
      <c r="P5" s="3489"/>
      <c r="Q5" s="3490"/>
      <c r="R5" s="3495"/>
      <c r="S5" s="3496"/>
      <c r="T5" s="3495"/>
      <c r="U5" s="3496"/>
      <c r="V5" s="3481"/>
      <c r="W5" s="3481"/>
      <c r="X5" s="1069"/>
      <c r="Y5" s="3495"/>
      <c r="Z5" s="3496"/>
      <c r="AA5" s="3483"/>
      <c r="AB5" s="3483"/>
      <c r="AC5" s="3483"/>
    </row>
    <row r="6" spans="1:29" ht="15">
      <c r="A6" s="889"/>
      <c r="B6" s="890"/>
      <c r="C6" s="3559" t="s">
        <v>1848</v>
      </c>
      <c r="D6" s="3560"/>
      <c r="E6" s="3561" t="s">
        <v>1848</v>
      </c>
      <c r="F6" s="3562"/>
      <c r="G6" s="3559" t="s">
        <v>1848</v>
      </c>
      <c r="H6" s="3560"/>
      <c r="I6" s="3559" t="s">
        <v>1848</v>
      </c>
      <c r="J6" s="3560"/>
      <c r="K6" s="1027" t="s">
        <v>1333</v>
      </c>
      <c r="L6" s="1028"/>
      <c r="M6" s="1029"/>
      <c r="N6" s="1029"/>
      <c r="O6" s="1029"/>
      <c r="P6" s="3491"/>
      <c r="Q6" s="3492"/>
      <c r="R6" s="3495"/>
      <c r="S6" s="3496"/>
      <c r="T6" s="3497"/>
      <c r="U6" s="3498"/>
      <c r="V6" s="3481"/>
      <c r="W6" s="3481"/>
      <c r="X6" s="1069"/>
      <c r="Y6" s="3497"/>
      <c r="Z6" s="3498"/>
      <c r="AA6" s="3484"/>
      <c r="AB6" s="3484"/>
      <c r="AC6" s="3484"/>
    </row>
    <row r="7" spans="1:29" s="866" customFormat="1" ht="15">
      <c r="A7" s="891" t="s">
        <v>1334</v>
      </c>
      <c r="B7" s="892"/>
      <c r="C7" s="893">
        <f>'数据-取费表'!B2</f>
        <v>43361</v>
      </c>
      <c r="D7" s="894">
        <v>100</v>
      </c>
      <c r="E7" s="895"/>
      <c r="F7" s="896">
        <f>SUMIF(65:65,YEAR(E7)&amp;"-"&amp;INT((MONTH(E7)+2)/3),66:66)</f>
        <v>0</v>
      </c>
      <c r="G7" s="897"/>
      <c r="H7" s="894">
        <f>SUMIF(65:65,YEAR(G7)&amp;"-"&amp;INT((MONTH(G7)+2)/3),66:66)</f>
        <v>0</v>
      </c>
      <c r="I7" s="897"/>
      <c r="J7" s="894">
        <f>SUMIF(65:65,YEAR(I7)&amp;"-"&amp;INT((MONTH(I7)+2)/3),66:66)</f>
        <v>0</v>
      </c>
      <c r="K7" s="1030"/>
      <c r="L7" s="1031"/>
      <c r="M7" s="1032"/>
      <c r="N7" s="1032"/>
      <c r="O7" s="1032"/>
      <c r="P7" s="3469" t="s">
        <v>1335</v>
      </c>
      <c r="Q7" s="3470"/>
      <c r="R7" s="1070" t="s">
        <v>1336</v>
      </c>
      <c r="S7" s="1071">
        <f t="shared" ref="S7:S15" si="0">F7</f>
        <v>0</v>
      </c>
      <c r="T7" s="1070" t="s">
        <v>1336</v>
      </c>
      <c r="U7" s="1071">
        <f t="shared" ref="U7:U15" si="1">H7</f>
        <v>0</v>
      </c>
      <c r="V7" s="1070" t="s">
        <v>1336</v>
      </c>
      <c r="W7" s="1071">
        <f t="shared" ref="W7:W15" si="2">J7</f>
        <v>0</v>
      </c>
      <c r="X7" s="1072"/>
      <c r="Y7" s="3469" t="s">
        <v>1335</v>
      </c>
      <c r="Z7" s="3499"/>
      <c r="AA7" s="1084" t="e">
        <f>D7/F7</f>
        <v>#DIV/0!</v>
      </c>
      <c r="AB7" s="1084" t="e">
        <f>D7/H7</f>
        <v>#DIV/0!</v>
      </c>
      <c r="AC7" s="1084" t="e">
        <f>D7/J7</f>
        <v>#DIV/0!</v>
      </c>
    </row>
    <row r="8" spans="1:29" s="866" customFormat="1" ht="15">
      <c r="A8" s="891" t="s">
        <v>1337</v>
      </c>
      <c r="B8" s="892"/>
      <c r="C8" s="898" t="s">
        <v>1338</v>
      </c>
      <c r="D8" s="894">
        <v>100</v>
      </c>
      <c r="E8" s="898"/>
      <c r="F8" s="896">
        <f>SUMIF(68:68,E8,69:69)-SUMIF(68:68,C8,69:69)+100</f>
        <v>0</v>
      </c>
      <c r="G8" s="898"/>
      <c r="H8" s="894">
        <f>SUMIF(68:68,G8,69:69)-SUMIF(68:68,C8,69:69)+100</f>
        <v>0</v>
      </c>
      <c r="I8" s="898"/>
      <c r="J8" s="894">
        <f>SUMIF(68:68,I8,69:69)-SUMIF(68:68,C8,69:69)+100</f>
        <v>0</v>
      </c>
      <c r="K8" s="1030"/>
      <c r="L8" s="1031"/>
      <c r="M8" s="1032"/>
      <c r="N8" s="1032"/>
      <c r="O8" s="1032"/>
      <c r="P8" s="3469" t="s">
        <v>1339</v>
      </c>
      <c r="Q8" s="3499"/>
      <c r="R8" s="1070" t="s">
        <v>1336</v>
      </c>
      <c r="S8" s="1071">
        <f t="shared" si="0"/>
        <v>0</v>
      </c>
      <c r="T8" s="1070" t="s">
        <v>1336</v>
      </c>
      <c r="U8" s="1071">
        <f t="shared" si="1"/>
        <v>0</v>
      </c>
      <c r="V8" s="1070" t="s">
        <v>1336</v>
      </c>
      <c r="W8" s="1071">
        <f t="shared" si="2"/>
        <v>0</v>
      </c>
      <c r="X8" s="1072"/>
      <c r="Y8" s="3469" t="s">
        <v>1339</v>
      </c>
      <c r="Z8" s="3499"/>
      <c r="AA8" s="1084" t="e">
        <f t="shared" ref="AA8:AA40" si="3">D8/F8</f>
        <v>#DIV/0!</v>
      </c>
      <c r="AB8" s="1084" t="e">
        <f t="shared" ref="AB8:AB40" si="4">D8/H8</f>
        <v>#DIV/0!</v>
      </c>
      <c r="AC8" s="1084" t="e">
        <f t="shared" ref="AC8:AC40" si="5">D8/J8</f>
        <v>#DIV/0!</v>
      </c>
    </row>
    <row r="9" spans="1:29" s="866" customFormat="1">
      <c r="A9" s="899" t="s">
        <v>1340</v>
      </c>
      <c r="B9" s="900" t="s">
        <v>346</v>
      </c>
      <c r="C9" s="901"/>
      <c r="D9" s="902">
        <v>100</v>
      </c>
      <c r="E9" s="901"/>
      <c r="F9" s="902">
        <f>SUMIF(70:70,E9,71:71)-SUMIF(70:70,C9,71:71)+100</f>
        <v>100</v>
      </c>
      <c r="G9" s="901"/>
      <c r="H9" s="902">
        <f>SUMIF(70:70,G9,71:71)-SUMIF(70:70,C9,71:71)+100</f>
        <v>100</v>
      </c>
      <c r="I9" s="901"/>
      <c r="J9" s="902">
        <f>SUMIF(70:70,I9,71:71)-SUMIF(70:70,C9,71:71)+100</f>
        <v>100</v>
      </c>
      <c r="K9" s="1030"/>
      <c r="L9" s="1031"/>
      <c r="M9" s="1032"/>
      <c r="N9" s="1032"/>
      <c r="O9" s="1033"/>
      <c r="P9" s="3472" t="s">
        <v>1341</v>
      </c>
      <c r="Q9" s="1074" t="str">
        <f t="shared" ref="Q9:Q15" si="6">B9</f>
        <v>用途</v>
      </c>
      <c r="R9" s="1070" t="s">
        <v>1336</v>
      </c>
      <c r="S9" s="1071">
        <f t="shared" si="0"/>
        <v>100</v>
      </c>
      <c r="T9" s="1070" t="s">
        <v>1336</v>
      </c>
      <c r="U9" s="1071">
        <f t="shared" si="1"/>
        <v>100</v>
      </c>
      <c r="V9" s="1070" t="s">
        <v>1336</v>
      </c>
      <c r="W9" s="1071">
        <f t="shared" si="2"/>
        <v>100</v>
      </c>
      <c r="X9" s="1072"/>
      <c r="Y9" s="3245" t="s">
        <v>1342</v>
      </c>
      <c r="Z9" s="1085" t="str">
        <f t="shared" ref="Z9:Z15" si="7">Q9</f>
        <v>用途</v>
      </c>
      <c r="AA9" s="1084">
        <f t="shared" si="3"/>
        <v>1</v>
      </c>
      <c r="AB9" s="1084">
        <f t="shared" si="4"/>
        <v>1</v>
      </c>
      <c r="AC9" s="1084">
        <f t="shared" si="5"/>
        <v>1</v>
      </c>
    </row>
    <row r="10" spans="1:29" s="867" customFormat="1" ht="27">
      <c r="A10" s="903"/>
      <c r="B10" s="904" t="s">
        <v>1343</v>
      </c>
      <c r="C10" s="905"/>
      <c r="D10" s="906">
        <v>100</v>
      </c>
      <c r="E10" s="905"/>
      <c r="F10" s="906">
        <f>ROUND(100/'数据-取费表'!G16,0)</f>
        <v>106</v>
      </c>
      <c r="G10" s="905"/>
      <c r="H10" s="906">
        <f>ROUND(100/'数据-取费表'!G16,0)</f>
        <v>106</v>
      </c>
      <c r="I10" s="905"/>
      <c r="J10" s="906">
        <f>ROUND(100/'数据-取费表'!G16,0)</f>
        <v>106</v>
      </c>
      <c r="K10" s="1034"/>
      <c r="L10" s="1035"/>
      <c r="M10" s="1036"/>
      <c r="N10" s="1036"/>
      <c r="O10" s="1037"/>
      <c r="P10" s="3472"/>
      <c r="Q10" s="1074" t="str">
        <f t="shared" si="6"/>
        <v>土地使用年限（年）</v>
      </c>
      <c r="R10" s="1070" t="s">
        <v>1336</v>
      </c>
      <c r="S10" s="1071">
        <f t="shared" si="0"/>
        <v>106</v>
      </c>
      <c r="T10" s="1070" t="s">
        <v>1336</v>
      </c>
      <c r="U10" s="1071">
        <f t="shared" si="1"/>
        <v>106</v>
      </c>
      <c r="V10" s="1070" t="s">
        <v>1336</v>
      </c>
      <c r="W10" s="1071">
        <f t="shared" si="2"/>
        <v>106</v>
      </c>
      <c r="X10" s="1072"/>
      <c r="Y10" s="3245"/>
      <c r="Z10" s="1085" t="str">
        <f t="shared" si="7"/>
        <v>土地使用年限（年）</v>
      </c>
      <c r="AA10" s="1084">
        <f t="shared" si="3"/>
        <v>0.94339622641509435</v>
      </c>
      <c r="AB10" s="1084">
        <f t="shared" si="4"/>
        <v>0.94339622641509435</v>
      </c>
      <c r="AC10" s="1084">
        <f t="shared" si="5"/>
        <v>0.94339622641509435</v>
      </c>
    </row>
    <row r="11" spans="1:29" ht="15">
      <c r="A11" s="907"/>
      <c r="B11" s="904" t="s">
        <v>1344</v>
      </c>
      <c r="C11" s="908"/>
      <c r="D11" s="906">
        <v>100</v>
      </c>
      <c r="E11" s="908"/>
      <c r="F11" s="906" t="e">
        <f>LOOKUP(E11,75:75,76:76)-LOOKUP(C11,75:75,76:76)+100</f>
        <v>#N/A</v>
      </c>
      <c r="G11" s="909"/>
      <c r="H11" s="906" t="e">
        <f>LOOKUP(G11,75:75,76:76)-LOOKUP(C11,75:75,76:76)+100</f>
        <v>#N/A</v>
      </c>
      <c r="I11" s="908"/>
      <c r="J11" s="906" t="e">
        <f>LOOKUP(I11,75:75,76:76)-LOOKUP(C11,75:75,76:76)+100</f>
        <v>#N/A</v>
      </c>
      <c r="K11" s="1038"/>
      <c r="L11" s="1039"/>
      <c r="M11" s="1029"/>
      <c r="N11" s="1029"/>
      <c r="O11" s="1040"/>
      <c r="P11" s="3472"/>
      <c r="Q11" s="1074" t="str">
        <f t="shared" si="6"/>
        <v>容积率</v>
      </c>
      <c r="R11" s="1070" t="s">
        <v>1336</v>
      </c>
      <c r="S11" s="1071" t="e">
        <f t="shared" si="0"/>
        <v>#N/A</v>
      </c>
      <c r="T11" s="1070" t="s">
        <v>1336</v>
      </c>
      <c r="U11" s="1071" t="e">
        <f t="shared" si="1"/>
        <v>#N/A</v>
      </c>
      <c r="V11" s="1070" t="s">
        <v>1336</v>
      </c>
      <c r="W11" s="1071" t="e">
        <f t="shared" si="2"/>
        <v>#N/A</v>
      </c>
      <c r="X11" s="1072"/>
      <c r="Y11" s="3245"/>
      <c r="Z11" s="1085" t="str">
        <f t="shared" si="7"/>
        <v>容积率</v>
      </c>
      <c r="AA11" s="1084" t="e">
        <f t="shared" si="3"/>
        <v>#N/A</v>
      </c>
      <c r="AB11" s="1084" t="e">
        <f t="shared" si="4"/>
        <v>#N/A</v>
      </c>
      <c r="AC11" s="1084" t="e">
        <f t="shared" si="5"/>
        <v>#N/A</v>
      </c>
    </row>
    <row r="12" spans="1:29" s="866" customFormat="1" ht="15">
      <c r="A12" s="910"/>
      <c r="B12" s="911">
        <v>111</v>
      </c>
      <c r="C12" s="905"/>
      <c r="D12" s="912">
        <v>100</v>
      </c>
      <c r="E12" s="913"/>
      <c r="F12" s="906">
        <f>SUMIF(77:77,E12,78:78)-SUMIF(77:77,C12,78:78)+100</f>
        <v>100</v>
      </c>
      <c r="G12" s="914"/>
      <c r="H12" s="906">
        <f>SUMIF(77:77,G12,78:78)-SUMIF(77:77,C12,78:78)+100</f>
        <v>100</v>
      </c>
      <c r="I12" s="913"/>
      <c r="J12" s="906">
        <f>SUMIF(77:77,I12,78:78)-SUMIF(77:77,C12,78:78)+100</f>
        <v>100</v>
      </c>
      <c r="K12" s="1034"/>
      <c r="L12" s="1031"/>
      <c r="M12" s="1032"/>
      <c r="N12" s="1032"/>
      <c r="O12" s="1033"/>
      <c r="P12" s="3472"/>
      <c r="Q12" s="1074">
        <f t="shared" si="6"/>
        <v>111</v>
      </c>
      <c r="R12" s="1070" t="s">
        <v>1336</v>
      </c>
      <c r="S12" s="1071">
        <f t="shared" si="0"/>
        <v>100</v>
      </c>
      <c r="T12" s="1070" t="s">
        <v>1336</v>
      </c>
      <c r="U12" s="1071">
        <f t="shared" si="1"/>
        <v>100</v>
      </c>
      <c r="V12" s="1070" t="s">
        <v>1336</v>
      </c>
      <c r="W12" s="1071">
        <f t="shared" si="2"/>
        <v>100</v>
      </c>
      <c r="X12" s="1072"/>
      <c r="Y12" s="3245"/>
      <c r="Z12" s="1085">
        <f t="shared" si="7"/>
        <v>111</v>
      </c>
      <c r="AA12" s="1084">
        <f t="shared" si="3"/>
        <v>1</v>
      </c>
      <c r="AB12" s="1084">
        <f t="shared" si="4"/>
        <v>1</v>
      </c>
      <c r="AC12" s="1084">
        <f t="shared" si="5"/>
        <v>1</v>
      </c>
    </row>
    <row r="13" spans="1:29" ht="15">
      <c r="A13" s="907"/>
      <c r="B13" s="911">
        <v>111</v>
      </c>
      <c r="C13" s="915"/>
      <c r="D13" s="916">
        <v>100</v>
      </c>
      <c r="E13" s="913"/>
      <c r="F13" s="906">
        <f>SUMIF(79:79,E13,80:80)-SUMIF(79:79,C13,80:80)+100</f>
        <v>100</v>
      </c>
      <c r="G13" s="914"/>
      <c r="H13" s="916">
        <f>SUMIF(79:79,G13,80:80)-SUMIF(79:79,C13,80:80)+100</f>
        <v>100</v>
      </c>
      <c r="I13" s="913"/>
      <c r="J13" s="916">
        <f>SUMIF(79:79,I13,80:80)-SUMIF(79:79,C13,80:80)+100</f>
        <v>100</v>
      </c>
      <c r="K13" s="1034"/>
      <c r="L13" s="1041"/>
      <c r="M13" s="1029"/>
      <c r="N13" s="1029"/>
      <c r="O13" s="1040"/>
      <c r="P13" s="3472"/>
      <c r="Q13" s="1074">
        <f t="shared" si="6"/>
        <v>111</v>
      </c>
      <c r="R13" s="1070" t="s">
        <v>1336</v>
      </c>
      <c r="S13" s="1071">
        <f t="shared" si="0"/>
        <v>100</v>
      </c>
      <c r="T13" s="1070" t="s">
        <v>1336</v>
      </c>
      <c r="U13" s="1071">
        <f t="shared" si="1"/>
        <v>100</v>
      </c>
      <c r="V13" s="1070" t="s">
        <v>1336</v>
      </c>
      <c r="W13" s="1071">
        <f t="shared" si="2"/>
        <v>100</v>
      </c>
      <c r="X13" s="1072"/>
      <c r="Y13" s="3245"/>
      <c r="Z13" s="1085">
        <f t="shared" si="7"/>
        <v>111</v>
      </c>
      <c r="AA13" s="1084">
        <f t="shared" si="3"/>
        <v>1</v>
      </c>
      <c r="AB13" s="1084">
        <f t="shared" si="4"/>
        <v>1</v>
      </c>
      <c r="AC13" s="1084">
        <f t="shared" si="5"/>
        <v>1</v>
      </c>
    </row>
    <row r="14" spans="1:29" ht="15">
      <c r="A14" s="917"/>
      <c r="B14" s="918">
        <v>111</v>
      </c>
      <c r="C14" s="919"/>
      <c r="D14" s="920">
        <v>100</v>
      </c>
      <c r="E14" s="913"/>
      <c r="F14" s="920">
        <f>SUMIF(81:81,E14,82:82)-SUMIF(81:81,C14,82:82)+100</f>
        <v>100</v>
      </c>
      <c r="G14" s="914"/>
      <c r="H14" s="920">
        <f>SUMIF(81:81,G14,82:82)-SUMIF(81:81,C14,82:82)+100</f>
        <v>100</v>
      </c>
      <c r="I14" s="913"/>
      <c r="J14" s="920">
        <f>SUMIF(81:81,I14,82:82)-SUMIF(81:81,C14,82:82)+100</f>
        <v>100</v>
      </c>
      <c r="K14" s="1034"/>
      <c r="L14" s="1041"/>
      <c r="M14" s="1029"/>
      <c r="N14" s="1029"/>
      <c r="O14" s="1040"/>
      <c r="P14" s="3472"/>
      <c r="Q14" s="1074">
        <f t="shared" si="6"/>
        <v>111</v>
      </c>
      <c r="R14" s="1070" t="s">
        <v>1336</v>
      </c>
      <c r="S14" s="1071">
        <f t="shared" si="0"/>
        <v>100</v>
      </c>
      <c r="T14" s="1070" t="s">
        <v>1336</v>
      </c>
      <c r="U14" s="1071">
        <f t="shared" si="1"/>
        <v>100</v>
      </c>
      <c r="V14" s="1070" t="s">
        <v>1336</v>
      </c>
      <c r="W14" s="1071">
        <f t="shared" si="2"/>
        <v>100</v>
      </c>
      <c r="X14" s="1072"/>
      <c r="Y14" s="3245"/>
      <c r="Z14" s="1085">
        <f t="shared" si="7"/>
        <v>111</v>
      </c>
      <c r="AA14" s="1084">
        <f t="shared" si="3"/>
        <v>1</v>
      </c>
      <c r="AB14" s="1084">
        <f t="shared" si="4"/>
        <v>1</v>
      </c>
      <c r="AC14" s="1084">
        <f t="shared" si="5"/>
        <v>1</v>
      </c>
    </row>
    <row r="15" spans="1:29" ht="57">
      <c r="A15" s="921" t="s">
        <v>1345</v>
      </c>
      <c r="B15" s="922" t="s">
        <v>644</v>
      </c>
      <c r="C15" s="923" t="str">
        <f>估价对象房地状况!G15</f>
        <v>估价对象位于XX开发区，园区建设成熟度XX，产业集聚程度XX</v>
      </c>
      <c r="D15" s="924">
        <v>100</v>
      </c>
      <c r="E15" s="925"/>
      <c r="F15" s="924">
        <f>SUMIF(83:83,E16,84:84)-SUMIF(83:83,C16,84:84)+100</f>
        <v>100</v>
      </c>
      <c r="G15" s="925"/>
      <c r="H15" s="924">
        <f>SUMIF(83:83,G16,84:84)-SUMIF(83:83,C16,84:84)+100</f>
        <v>100</v>
      </c>
      <c r="I15" s="1042"/>
      <c r="J15" s="924">
        <f>SUMIF(83:83,I16,84:84)-SUMIF(83:83,C16,84:84)+100</f>
        <v>100</v>
      </c>
      <c r="K15" s="1038"/>
      <c r="L15" s="1041"/>
      <c r="M15" s="1029"/>
      <c r="N15" s="1029"/>
      <c r="O15" s="1040"/>
      <c r="P15" s="3473" t="s">
        <v>1346</v>
      </c>
      <c r="Q15" s="652" t="str">
        <f t="shared" si="6"/>
        <v>产业集聚程度</v>
      </c>
      <c r="R15" s="1075" t="s">
        <v>1336</v>
      </c>
      <c r="S15" s="1076">
        <f t="shared" si="0"/>
        <v>100</v>
      </c>
      <c r="T15" s="1075" t="s">
        <v>1336</v>
      </c>
      <c r="U15" s="1076">
        <f t="shared" si="1"/>
        <v>100</v>
      </c>
      <c r="V15" s="1075" t="s">
        <v>1336</v>
      </c>
      <c r="W15" s="1076">
        <f t="shared" si="2"/>
        <v>100</v>
      </c>
      <c r="X15" s="1069"/>
      <c r="Y15" s="3473" t="s">
        <v>1346</v>
      </c>
      <c r="Z15" s="1061" t="str">
        <f t="shared" si="7"/>
        <v>产业集聚程度</v>
      </c>
      <c r="AA15" s="1086">
        <f t="shared" si="3"/>
        <v>1</v>
      </c>
      <c r="AB15" s="1086">
        <f t="shared" si="4"/>
        <v>1</v>
      </c>
      <c r="AC15" s="1086">
        <f t="shared" si="5"/>
        <v>1</v>
      </c>
    </row>
    <row r="16" spans="1:29" ht="15">
      <c r="A16" s="907"/>
      <c r="B16" s="926"/>
      <c r="C16" s="927"/>
      <c r="D16" s="928"/>
      <c r="E16" s="929"/>
      <c r="F16" s="928"/>
      <c r="G16" s="929"/>
      <c r="H16" s="930"/>
      <c r="I16" s="929"/>
      <c r="J16" s="928"/>
      <c r="K16" s="1034"/>
      <c r="L16" s="1041"/>
      <c r="M16" s="1029"/>
      <c r="N16" s="1029"/>
      <c r="O16" s="1040"/>
      <c r="P16" s="3474"/>
      <c r="Q16" s="652"/>
      <c r="R16" s="1075"/>
      <c r="S16" s="1076"/>
      <c r="T16" s="1075"/>
      <c r="U16" s="1076"/>
      <c r="V16" s="1075"/>
      <c r="W16" s="1076"/>
      <c r="X16" s="1069"/>
      <c r="Y16" s="3474"/>
      <c r="Z16" s="1061"/>
      <c r="AA16" s="1086">
        <v>1</v>
      </c>
      <c r="AB16" s="1086">
        <v>1</v>
      </c>
      <c r="AC16" s="1086">
        <v>1</v>
      </c>
    </row>
    <row r="17" spans="1:29" ht="85.5">
      <c r="A17" s="907"/>
      <c r="B17" s="931" t="s">
        <v>648</v>
      </c>
      <c r="C17" s="932" t="str">
        <f>估价对象房地状况!G16</f>
        <v>估价对象周边道路状况、公共交通通达情况、停车便捷程度，综合评价交通便捷度较好</v>
      </c>
      <c r="D17" s="930">
        <v>100</v>
      </c>
      <c r="E17" s="933"/>
      <c r="F17" s="934">
        <f>SUMIF(85:85,E18,86:86)-SUMIF(85:85,C18,86:86)+100</f>
        <v>100</v>
      </c>
      <c r="G17" s="933"/>
      <c r="H17" s="934">
        <f>SUMIF(85:85,G18,86:86)-SUMIF(85:85,C18,86:86)+100</f>
        <v>100</v>
      </c>
      <c r="I17" s="1043"/>
      <c r="J17" s="930">
        <f>SUMIF(85:85,I18,86:86)-SUMIF(85:85,C18,86:86)+100</f>
        <v>100</v>
      </c>
      <c r="K17" s="1038"/>
      <c r="L17" s="1041"/>
      <c r="M17" s="1029"/>
      <c r="N17" s="1029"/>
      <c r="O17" s="1040"/>
      <c r="P17" s="3474"/>
      <c r="Q17" s="652" t="str">
        <f>B17</f>
        <v>交通便捷度</v>
      </c>
      <c r="R17" s="1075" t="s">
        <v>1336</v>
      </c>
      <c r="S17" s="1076">
        <f>F17</f>
        <v>100</v>
      </c>
      <c r="T17" s="1075" t="s">
        <v>1336</v>
      </c>
      <c r="U17" s="1076">
        <f>H17</f>
        <v>100</v>
      </c>
      <c r="V17" s="1075" t="s">
        <v>1336</v>
      </c>
      <c r="W17" s="1076">
        <f>J17</f>
        <v>100</v>
      </c>
      <c r="X17" s="1069"/>
      <c r="Y17" s="3474"/>
      <c r="Z17" s="1061" t="str">
        <f>Q17</f>
        <v>交通便捷度</v>
      </c>
      <c r="AA17" s="1086">
        <f t="shared" si="3"/>
        <v>1</v>
      </c>
      <c r="AB17" s="1086">
        <f t="shared" si="4"/>
        <v>1</v>
      </c>
      <c r="AC17" s="1086">
        <f t="shared" si="5"/>
        <v>1</v>
      </c>
    </row>
    <row r="18" spans="1:29" ht="15">
      <c r="A18" s="907"/>
      <c r="B18" s="935"/>
      <c r="C18" s="927"/>
      <c r="D18" s="928"/>
      <c r="E18" s="936"/>
      <c r="F18" s="928"/>
      <c r="G18" s="936"/>
      <c r="H18" s="928"/>
      <c r="I18" s="1044"/>
      <c r="J18" s="928"/>
      <c r="K18" s="1034"/>
      <c r="L18" s="1041"/>
      <c r="M18" s="1029"/>
      <c r="N18" s="1029"/>
      <c r="O18" s="1040"/>
      <c r="P18" s="3474"/>
      <c r="Q18" s="652"/>
      <c r="R18" s="1075"/>
      <c r="S18" s="1076"/>
      <c r="T18" s="1075"/>
      <c r="U18" s="1076"/>
      <c r="V18" s="1075"/>
      <c r="W18" s="1076"/>
      <c r="X18" s="1069"/>
      <c r="Y18" s="3474"/>
      <c r="Z18" s="1061"/>
      <c r="AA18" s="1086">
        <v>1</v>
      </c>
      <c r="AB18" s="1086">
        <v>1</v>
      </c>
      <c r="AC18" s="1086">
        <v>1</v>
      </c>
    </row>
    <row r="19" spans="1:29" ht="15">
      <c r="A19" s="907"/>
      <c r="B19" s="931" t="s">
        <v>662</v>
      </c>
      <c r="C19" s="932">
        <f>估价对象房地状况!G17</f>
        <v>0</v>
      </c>
      <c r="D19" s="930">
        <v>100</v>
      </c>
      <c r="E19" s="933"/>
      <c r="F19" s="934">
        <f>SUMIF(87:87,E20,88:88)-SUMIF(87:87,C20,88:88)+100</f>
        <v>100</v>
      </c>
      <c r="G19" s="933"/>
      <c r="H19" s="934">
        <f>SUMIF(87:87,G20,88:88)-SUMIF(87:87,C20,88:88)+100</f>
        <v>100</v>
      </c>
      <c r="I19" s="933"/>
      <c r="J19" s="934">
        <f>SUMIF(87:87,I20,88:88)-SUMIF(87:87,C20,88:88)+100</f>
        <v>100</v>
      </c>
      <c r="K19" s="1038"/>
      <c r="L19" s="1041"/>
      <c r="M19" s="1029"/>
      <c r="N19" s="1029"/>
      <c r="O19" s="1040"/>
      <c r="P19" s="3474"/>
      <c r="Q19" s="652" t="str">
        <f t="shared" ref="Q19:Q34" si="8">B19</f>
        <v>区域土地利用方向</v>
      </c>
      <c r="R19" s="1075" t="s">
        <v>1336</v>
      </c>
      <c r="S19" s="1076">
        <f>F19</f>
        <v>100</v>
      </c>
      <c r="T19" s="1075" t="s">
        <v>1336</v>
      </c>
      <c r="U19" s="1076">
        <f>H19</f>
        <v>100</v>
      </c>
      <c r="V19" s="1075" t="s">
        <v>1336</v>
      </c>
      <c r="W19" s="1076">
        <f>J19</f>
        <v>100</v>
      </c>
      <c r="X19" s="1069"/>
      <c r="Y19" s="3474"/>
      <c r="Z19" s="1061" t="str">
        <f>Q19</f>
        <v>区域土地利用方向</v>
      </c>
      <c r="AA19" s="1086">
        <f t="shared" si="3"/>
        <v>1</v>
      </c>
      <c r="AB19" s="1086">
        <f t="shared" si="4"/>
        <v>1</v>
      </c>
      <c r="AC19" s="1086">
        <f t="shared" si="5"/>
        <v>1</v>
      </c>
    </row>
    <row r="20" spans="1:29" ht="15">
      <c r="A20" s="887"/>
      <c r="B20" s="935"/>
      <c r="C20" s="927"/>
      <c r="D20" s="928"/>
      <c r="E20" s="936"/>
      <c r="F20" s="928"/>
      <c r="G20" s="936"/>
      <c r="H20" s="928"/>
      <c r="I20" s="936"/>
      <c r="J20" s="928"/>
      <c r="K20" s="1045"/>
      <c r="L20" s="1041"/>
      <c r="M20" s="1029"/>
      <c r="N20" s="1029"/>
      <c r="O20" s="1040"/>
      <c r="P20" s="3474"/>
      <c r="Q20" s="652"/>
      <c r="R20" s="1075"/>
      <c r="S20" s="1076"/>
      <c r="T20" s="1075"/>
      <c r="U20" s="1076"/>
      <c r="V20" s="1075"/>
      <c r="W20" s="1076"/>
      <c r="X20" s="1069"/>
      <c r="Y20" s="3474"/>
      <c r="Z20" s="1061"/>
      <c r="AA20" s="1086"/>
      <c r="AB20" s="1086"/>
      <c r="AC20" s="1086"/>
    </row>
    <row r="21" spans="1:29" ht="71.25">
      <c r="A21" s="887"/>
      <c r="B21" s="931" t="s">
        <v>656</v>
      </c>
      <c r="C21" s="932" t="str">
        <f>估价对象房地状况!G18</f>
        <v>该园区内是否有污染型企业，绿化情况，卫生条件，整体环境状况判断</v>
      </c>
      <c r="D21" s="930">
        <v>100</v>
      </c>
      <c r="E21" s="933"/>
      <c r="F21" s="930">
        <f>SUMIF(89:89,E22,90:90)-SUMIF(89:89,C22,90:90)+100</f>
        <v>100</v>
      </c>
      <c r="G21" s="933"/>
      <c r="H21" s="930">
        <f>SUMIF(89:89,G22,90:90)-SUMIF(89:89,C22,90:90)+100</f>
        <v>100</v>
      </c>
      <c r="I21" s="1043"/>
      <c r="J21" s="930">
        <f>SUMIF(89:89,I22,90:90)-SUMIF(89:89,C22,90:90)+100</f>
        <v>100</v>
      </c>
      <c r="K21" s="1038"/>
      <c r="L21" s="1041"/>
      <c r="M21" s="1029"/>
      <c r="N21" s="1029"/>
      <c r="O21" s="1040"/>
      <c r="P21" s="3474"/>
      <c r="Q21" s="652" t="str">
        <f t="shared" si="8"/>
        <v>环境状况</v>
      </c>
      <c r="R21" s="1075" t="s">
        <v>1336</v>
      </c>
      <c r="S21" s="1076">
        <f>F21</f>
        <v>100</v>
      </c>
      <c r="T21" s="1075" t="s">
        <v>1336</v>
      </c>
      <c r="U21" s="1076">
        <f>H21</f>
        <v>100</v>
      </c>
      <c r="V21" s="1075" t="s">
        <v>1336</v>
      </c>
      <c r="W21" s="1076">
        <f>J21</f>
        <v>100</v>
      </c>
      <c r="X21" s="1069"/>
      <c r="Y21" s="3474"/>
      <c r="Z21" s="1061" t="str">
        <f>Q21</f>
        <v>环境状况</v>
      </c>
      <c r="AA21" s="1086">
        <f t="shared" si="3"/>
        <v>1</v>
      </c>
      <c r="AB21" s="1086">
        <f t="shared" si="4"/>
        <v>1</v>
      </c>
      <c r="AC21" s="1086">
        <f t="shared" si="5"/>
        <v>1</v>
      </c>
    </row>
    <row r="22" spans="1:29" ht="15">
      <c r="A22" s="887"/>
      <c r="B22" s="935"/>
      <c r="C22" s="927"/>
      <c r="D22" s="928"/>
      <c r="E22" s="929"/>
      <c r="F22" s="928"/>
      <c r="G22" s="929"/>
      <c r="H22" s="928"/>
      <c r="I22" s="927"/>
      <c r="J22" s="928"/>
      <c r="K22" s="1034"/>
      <c r="L22" s="1041"/>
      <c r="M22" s="1029"/>
      <c r="N22" s="1029"/>
      <c r="O22" s="1040"/>
      <c r="P22" s="3474"/>
      <c r="Q22" s="652"/>
      <c r="R22" s="1075"/>
      <c r="S22" s="1076"/>
      <c r="T22" s="1075"/>
      <c r="U22" s="1076"/>
      <c r="V22" s="1075"/>
      <c r="W22" s="1076"/>
      <c r="X22" s="1069"/>
      <c r="Y22" s="3474"/>
      <c r="Z22" s="1061"/>
      <c r="AA22" s="1086">
        <v>1</v>
      </c>
      <c r="AB22" s="1086">
        <v>1</v>
      </c>
      <c r="AC22" s="1086">
        <v>1</v>
      </c>
    </row>
    <row r="23" spans="1:29" s="866" customFormat="1" ht="42.75">
      <c r="A23" s="937"/>
      <c r="B23" s="938" t="s">
        <v>652</v>
      </c>
      <c r="C23" s="932" t="str">
        <f>估价对象房地状况!G19</f>
        <v>估价对象所在区域公共配套设施齐备情况</v>
      </c>
      <c r="D23" s="930">
        <v>100</v>
      </c>
      <c r="E23" s="933"/>
      <c r="F23" s="930">
        <f>SUMIF(91:91,E24,92:92)-SUMIF(91:91,C24,92:92)+100</f>
        <v>100</v>
      </c>
      <c r="G23" s="933"/>
      <c r="H23" s="930">
        <f>SUMIF(91:91,G24,92:92)-SUMIF(91:91,C24,92:92)+100</f>
        <v>100</v>
      </c>
      <c r="I23" s="1043"/>
      <c r="J23" s="930">
        <f>SUMIF(91:91,I24,92:92)-SUMIF(91:91,C24,92:92)+100</f>
        <v>100</v>
      </c>
      <c r="K23" s="1038"/>
      <c r="L23" s="1031"/>
      <c r="M23" s="1032"/>
      <c r="N23" s="1032"/>
      <c r="O23" s="1033"/>
      <c r="P23" s="3474"/>
      <c r="Q23" s="1074" t="str">
        <f t="shared" si="8"/>
        <v>公共配套设施</v>
      </c>
      <c r="R23" s="1070" t="s">
        <v>1336</v>
      </c>
      <c r="S23" s="1071">
        <f>F23</f>
        <v>100</v>
      </c>
      <c r="T23" s="1070" t="s">
        <v>1336</v>
      </c>
      <c r="U23" s="1071">
        <f>H23</f>
        <v>100</v>
      </c>
      <c r="V23" s="1070" t="s">
        <v>1336</v>
      </c>
      <c r="W23" s="1071">
        <f>J23</f>
        <v>100</v>
      </c>
      <c r="X23" s="1072"/>
      <c r="Y23" s="3474"/>
      <c r="Z23" s="1085" t="str">
        <f>Q23</f>
        <v>公共配套设施</v>
      </c>
      <c r="AA23" s="1086">
        <f>D23/F23</f>
        <v>1</v>
      </c>
      <c r="AB23" s="1086">
        <f>D23/H23</f>
        <v>1</v>
      </c>
      <c r="AC23" s="1086">
        <f>D23/J23</f>
        <v>1</v>
      </c>
    </row>
    <row r="24" spans="1:29" s="866" customFormat="1" ht="15">
      <c r="A24" s="937"/>
      <c r="B24" s="935"/>
      <c r="C24" s="939"/>
      <c r="D24" s="928"/>
      <c r="E24" s="929"/>
      <c r="F24" s="928"/>
      <c r="G24" s="929"/>
      <c r="H24" s="928"/>
      <c r="I24" s="927"/>
      <c r="J24" s="928"/>
      <c r="K24" s="1034"/>
      <c r="L24" s="1031"/>
      <c r="M24" s="1032"/>
      <c r="N24" s="1032"/>
      <c r="O24" s="1033"/>
      <c r="P24" s="3474"/>
      <c r="Q24" s="1074"/>
      <c r="R24" s="1070"/>
      <c r="S24" s="1071"/>
      <c r="T24" s="1070"/>
      <c r="U24" s="1071"/>
      <c r="V24" s="1070"/>
      <c r="W24" s="1071"/>
      <c r="X24" s="1072"/>
      <c r="Y24" s="3474"/>
      <c r="Z24" s="1085"/>
      <c r="AA24" s="1084">
        <v>1</v>
      </c>
      <c r="AB24" s="1084">
        <v>1</v>
      </c>
      <c r="AC24" s="1084">
        <v>1</v>
      </c>
    </row>
    <row r="25" spans="1:29" s="866" customFormat="1" ht="28.5">
      <c r="A25" s="937"/>
      <c r="B25" s="938" t="s">
        <v>654</v>
      </c>
      <c r="C25" s="932" t="str">
        <f>估价对象房地状况!G20</f>
        <v>估价对象所在区域基础设施水平</v>
      </c>
      <c r="D25" s="930">
        <v>100</v>
      </c>
      <c r="E25" s="933"/>
      <c r="F25" s="930">
        <f>SUMIF(93:93,E26,94:94)-SUMIF(93:93,C26,94:94)+100</f>
        <v>100</v>
      </c>
      <c r="G25" s="933"/>
      <c r="H25" s="930">
        <f>SUMIF(93:93,G26,94:94)-SUMIF(93:93,C26,94:94)+100</f>
        <v>100</v>
      </c>
      <c r="I25" s="1043"/>
      <c r="J25" s="930">
        <f>SUMIF(93:93,I26,94:94)-SUMIF(93:93,C26,94:94)+100</f>
        <v>100</v>
      </c>
      <c r="K25" s="1038"/>
      <c r="L25" s="1031"/>
      <c r="M25" s="1032"/>
      <c r="N25" s="1032"/>
      <c r="O25" s="1033"/>
      <c r="P25" s="3474"/>
      <c r="Q25" s="1074" t="str">
        <f t="shared" ref="Q25" si="9">B25</f>
        <v>基础设施水平</v>
      </c>
      <c r="R25" s="1070" t="s">
        <v>1336</v>
      </c>
      <c r="S25" s="1071">
        <f>F25</f>
        <v>100</v>
      </c>
      <c r="T25" s="1070" t="s">
        <v>1336</v>
      </c>
      <c r="U25" s="1071">
        <f>H25</f>
        <v>100</v>
      </c>
      <c r="V25" s="1070" t="s">
        <v>1336</v>
      </c>
      <c r="W25" s="1071">
        <f>J25</f>
        <v>100</v>
      </c>
      <c r="X25" s="1072"/>
      <c r="Y25" s="3474"/>
      <c r="Z25" s="1085" t="str">
        <f>Q25</f>
        <v>基础设施水平</v>
      </c>
      <c r="AA25" s="1086">
        <f>D25/F25</f>
        <v>1</v>
      </c>
      <c r="AB25" s="1086">
        <f>D25/H25</f>
        <v>1</v>
      </c>
      <c r="AC25" s="1086">
        <f>D25/J25</f>
        <v>1</v>
      </c>
    </row>
    <row r="26" spans="1:29" s="866" customFormat="1" ht="15">
      <c r="A26" s="937"/>
      <c r="B26" s="935"/>
      <c r="C26" s="939"/>
      <c r="D26" s="928"/>
      <c r="E26" s="940"/>
      <c r="F26" s="928"/>
      <c r="G26" s="940"/>
      <c r="H26" s="928"/>
      <c r="I26" s="940"/>
      <c r="J26" s="928"/>
      <c r="K26" s="1034"/>
      <c r="L26" s="1031"/>
      <c r="M26" s="1032"/>
      <c r="N26" s="1032"/>
      <c r="O26" s="1033"/>
      <c r="P26" s="3474"/>
      <c r="Q26" s="1074"/>
      <c r="R26" s="1070"/>
      <c r="S26" s="1071"/>
      <c r="T26" s="1070"/>
      <c r="U26" s="1071"/>
      <c r="V26" s="1070"/>
      <c r="W26" s="1071"/>
      <c r="X26" s="1072"/>
      <c r="Y26" s="3474"/>
      <c r="Z26" s="1085"/>
      <c r="AA26" s="1084">
        <v>1</v>
      </c>
      <c r="AB26" s="1084">
        <v>1</v>
      </c>
      <c r="AC26" s="1084">
        <v>1</v>
      </c>
    </row>
    <row r="27" spans="1:29" ht="15">
      <c r="A27" s="907"/>
      <c r="B27" s="935" t="s">
        <v>664</v>
      </c>
      <c r="C27" s="941"/>
      <c r="D27" s="916">
        <v>100</v>
      </c>
      <c r="E27" s="942"/>
      <c r="F27" s="916">
        <f>SUMIF(95:95,E27,96:96)-SUMIF(95:95,C27,96:96)+100</f>
        <v>100</v>
      </c>
      <c r="G27" s="942"/>
      <c r="H27" s="916">
        <f>SUMIF(95:95,G27,96:96)-SUMIF(95:95,C27,96:96)+100</f>
        <v>100</v>
      </c>
      <c r="I27" s="942"/>
      <c r="J27" s="916">
        <f>SUMIF(95:95,I27,96:96)-SUMIF(95:95,C27,96:96)+100</f>
        <v>100</v>
      </c>
      <c r="K27" s="1038"/>
      <c r="L27" s="1041"/>
      <c r="M27" s="1029"/>
      <c r="N27" s="1029"/>
      <c r="O27" s="1040"/>
      <c r="P27" s="3474"/>
      <c r="Q27" s="652" t="str">
        <f t="shared" si="8"/>
        <v>临街状况</v>
      </c>
      <c r="R27" s="1075" t="s">
        <v>1336</v>
      </c>
      <c r="S27" s="1076">
        <f t="shared" ref="S27:S40" si="10">F27</f>
        <v>100</v>
      </c>
      <c r="T27" s="1075" t="s">
        <v>1336</v>
      </c>
      <c r="U27" s="1076">
        <f t="shared" ref="U27:U40" si="11">H27</f>
        <v>100</v>
      </c>
      <c r="V27" s="1075" t="s">
        <v>1336</v>
      </c>
      <c r="W27" s="1076">
        <f t="shared" ref="W27:W40" si="12">J27</f>
        <v>100</v>
      </c>
      <c r="X27" s="1069"/>
      <c r="Y27" s="3474"/>
      <c r="Z27" s="1061" t="str">
        <f t="shared" ref="Z27:Z40" si="13">Q27</f>
        <v>临街状况</v>
      </c>
      <c r="AA27" s="1086">
        <f t="shared" si="3"/>
        <v>1</v>
      </c>
      <c r="AB27" s="1086">
        <f t="shared" si="4"/>
        <v>1</v>
      </c>
      <c r="AC27" s="1086">
        <f t="shared" si="5"/>
        <v>1</v>
      </c>
    </row>
    <row r="28" spans="1:29" ht="27">
      <c r="A28" s="907"/>
      <c r="B28" s="938" t="s">
        <v>660</v>
      </c>
      <c r="C28" s="943">
        <f>估价对象房地状况!G22</f>
        <v>0</v>
      </c>
      <c r="D28" s="930">
        <v>100</v>
      </c>
      <c r="E28" s="933"/>
      <c r="F28" s="930">
        <f>SUMIF(97:97,E29,98:98)-SUMIF(97:97,C29,98:98)+100</f>
        <v>100</v>
      </c>
      <c r="G28" s="933"/>
      <c r="H28" s="930">
        <f>SUMIF(97:97,G29,98:98)-SUMIF(97:97,C29,98:98)+100</f>
        <v>100</v>
      </c>
      <c r="I28" s="1043"/>
      <c r="J28" s="930">
        <f>SUMIF(97:97,I29,98:98)-SUMIF(97:97,C29,98:98)+100</f>
        <v>100</v>
      </c>
      <c r="K28" s="1038"/>
      <c r="L28" s="1041"/>
      <c r="M28" s="1029"/>
      <c r="N28" s="1029"/>
      <c r="O28" s="1040"/>
      <c r="P28" s="3474"/>
      <c r="Q28" s="652" t="str">
        <f t="shared" si="8"/>
        <v>毗邻道路的类型与等级</v>
      </c>
      <c r="R28" s="1075" t="s">
        <v>1336</v>
      </c>
      <c r="S28" s="1076">
        <f t="shared" si="10"/>
        <v>100</v>
      </c>
      <c r="T28" s="1075" t="s">
        <v>1336</v>
      </c>
      <c r="U28" s="1076">
        <f t="shared" si="11"/>
        <v>100</v>
      </c>
      <c r="V28" s="1075" t="s">
        <v>1336</v>
      </c>
      <c r="W28" s="1076">
        <f t="shared" si="12"/>
        <v>100</v>
      </c>
      <c r="X28" s="1069"/>
      <c r="Y28" s="3474"/>
      <c r="Z28" s="1061" t="str">
        <f t="shared" si="13"/>
        <v>毗邻道路的类型与等级</v>
      </c>
      <c r="AA28" s="1086">
        <f t="shared" si="3"/>
        <v>1</v>
      </c>
      <c r="AB28" s="1086">
        <f t="shared" si="4"/>
        <v>1</v>
      </c>
      <c r="AC28" s="1086">
        <f t="shared" si="5"/>
        <v>1</v>
      </c>
    </row>
    <row r="29" spans="1:29" ht="15">
      <c r="A29" s="907"/>
      <c r="B29" s="935"/>
      <c r="C29" s="927"/>
      <c r="D29" s="928"/>
      <c r="E29" s="929"/>
      <c r="F29" s="928"/>
      <c r="G29" s="929"/>
      <c r="H29" s="928"/>
      <c r="I29" s="929"/>
      <c r="J29" s="928"/>
      <c r="K29" s="1046"/>
      <c r="L29" s="1041"/>
      <c r="M29" s="1029"/>
      <c r="N29" s="1029"/>
      <c r="O29" s="1040"/>
      <c r="P29" s="3474"/>
      <c r="Q29" s="652"/>
      <c r="R29" s="1075"/>
      <c r="S29" s="1076"/>
      <c r="T29" s="1075"/>
      <c r="U29" s="1076"/>
      <c r="V29" s="1075"/>
      <c r="W29" s="1076"/>
      <c r="X29" s="1069"/>
      <c r="Y29" s="3474"/>
      <c r="Z29" s="1061"/>
      <c r="AA29" s="1086">
        <v>1</v>
      </c>
      <c r="AB29" s="1086">
        <v>1</v>
      </c>
      <c r="AC29" s="1086">
        <v>1</v>
      </c>
    </row>
    <row r="30" spans="1:29" ht="15">
      <c r="A30" s="907"/>
      <c r="B30" s="944" t="s">
        <v>665</v>
      </c>
      <c r="C30" s="945">
        <f>估价对象房地状况!G23</f>
        <v>0</v>
      </c>
      <c r="D30" s="916">
        <v>100</v>
      </c>
      <c r="E30" s="942"/>
      <c r="F30" s="916">
        <f>SUMIF(99:99,E30,100:100)-SUMIF(99:99,C30,100:100)+100</f>
        <v>100</v>
      </c>
      <c r="G30" s="942"/>
      <c r="H30" s="916">
        <f>SUMIF(99:99,G30,100:100)-SUMIF(99:99,C30,100:100)+100</f>
        <v>100</v>
      </c>
      <c r="I30" s="942"/>
      <c r="J30" s="916">
        <f>SUMIF(99:99,I30,100:100)-SUMIF(99:99,C30,100:100)+100</f>
        <v>100</v>
      </c>
      <c r="K30" s="1047"/>
      <c r="L30" s="1041"/>
      <c r="M30" s="1029"/>
      <c r="N30" s="1029"/>
      <c r="O30" s="1040"/>
      <c r="P30" s="3474"/>
      <c r="Q30" s="652" t="str">
        <f t="shared" si="8"/>
        <v>土地级别</v>
      </c>
      <c r="R30" s="1075" t="s">
        <v>1336</v>
      </c>
      <c r="S30" s="1076">
        <f t="shared" si="10"/>
        <v>100</v>
      </c>
      <c r="T30" s="1075" t="s">
        <v>1336</v>
      </c>
      <c r="U30" s="1076">
        <f t="shared" si="11"/>
        <v>100</v>
      </c>
      <c r="V30" s="1075" t="s">
        <v>1336</v>
      </c>
      <c r="W30" s="1076">
        <f t="shared" si="12"/>
        <v>100</v>
      </c>
      <c r="X30" s="1069"/>
      <c r="Y30" s="3474"/>
      <c r="Z30" s="1061" t="str">
        <f t="shared" si="13"/>
        <v>土地级别</v>
      </c>
      <c r="AA30" s="1086">
        <f t="shared" si="3"/>
        <v>1</v>
      </c>
      <c r="AB30" s="1086">
        <f t="shared" si="4"/>
        <v>1</v>
      </c>
      <c r="AC30" s="1086">
        <f t="shared" si="5"/>
        <v>1</v>
      </c>
    </row>
    <row r="31" spans="1:29" ht="15">
      <c r="A31" s="887"/>
      <c r="B31" s="946">
        <v>111</v>
      </c>
      <c r="C31" s="914"/>
      <c r="D31" s="916">
        <v>100</v>
      </c>
      <c r="E31" s="947"/>
      <c r="F31" s="916">
        <f>SUMIF(101:101,E31,102:102)-SUMIF(101:101,C31,102:102)+100</f>
        <v>100</v>
      </c>
      <c r="G31" s="947"/>
      <c r="H31" s="916">
        <f>SUMIF(101:101,G31,102:102)-SUMIF(101:101,C31,102:102)+100</f>
        <v>100</v>
      </c>
      <c r="I31" s="913"/>
      <c r="J31" s="916">
        <f>SUMIF(101:101,I31,102:102)-SUMIF(101:101,C31,102:102)+100</f>
        <v>100</v>
      </c>
      <c r="K31" s="1046"/>
      <c r="L31" s="1041"/>
      <c r="M31" s="1029"/>
      <c r="N31" s="1029"/>
      <c r="O31" s="1040"/>
      <c r="P31" s="3474"/>
      <c r="Q31" s="652">
        <f t="shared" si="8"/>
        <v>111</v>
      </c>
      <c r="R31" s="1075" t="s">
        <v>1336</v>
      </c>
      <c r="S31" s="1076">
        <f t="shared" si="10"/>
        <v>100</v>
      </c>
      <c r="T31" s="1075" t="s">
        <v>1336</v>
      </c>
      <c r="U31" s="1076">
        <f t="shared" si="11"/>
        <v>100</v>
      </c>
      <c r="V31" s="1075" t="s">
        <v>1336</v>
      </c>
      <c r="W31" s="1076">
        <f t="shared" si="12"/>
        <v>100</v>
      </c>
      <c r="X31" s="1069"/>
      <c r="Y31" s="3474"/>
      <c r="Z31" s="1061">
        <f t="shared" si="13"/>
        <v>111</v>
      </c>
      <c r="AA31" s="1086">
        <f t="shared" si="3"/>
        <v>1</v>
      </c>
      <c r="AB31" s="1086">
        <f t="shared" si="4"/>
        <v>1</v>
      </c>
      <c r="AC31" s="1086">
        <f t="shared" si="5"/>
        <v>1</v>
      </c>
    </row>
    <row r="32" spans="1:29" ht="15">
      <c r="A32" s="948"/>
      <c r="B32" s="949">
        <v>111</v>
      </c>
      <c r="C32" s="914"/>
      <c r="D32" s="916">
        <v>100</v>
      </c>
      <c r="E32" s="947"/>
      <c r="F32" s="916">
        <f>SUMIF(103:103,E33,104:104)-SUMIF(103:103,C33,104:104)+100</f>
        <v>100</v>
      </c>
      <c r="G32" s="947"/>
      <c r="H32" s="916">
        <f>SUMIF(103:103,G32,104:104)-SUMIF(103:103,C32,104:104)+100</f>
        <v>100</v>
      </c>
      <c r="I32" s="914"/>
      <c r="J32" s="916">
        <f>SUMIF(103:103,I32,104:104)-SUMIF(103:103,C32,104:104)+100</f>
        <v>100</v>
      </c>
      <c r="K32" s="1046"/>
      <c r="L32" s="1041"/>
      <c r="M32" s="1029"/>
      <c r="N32" s="1029"/>
      <c r="O32" s="1040"/>
      <c r="P32" s="3475" t="s">
        <v>1351</v>
      </c>
      <c r="Q32" s="652">
        <f t="shared" si="8"/>
        <v>111</v>
      </c>
      <c r="R32" s="1075" t="s">
        <v>1336</v>
      </c>
      <c r="S32" s="1076">
        <f t="shared" si="10"/>
        <v>100</v>
      </c>
      <c r="T32" s="1075" t="s">
        <v>1336</v>
      </c>
      <c r="U32" s="1076">
        <f t="shared" si="11"/>
        <v>100</v>
      </c>
      <c r="V32" s="1075" t="s">
        <v>1336</v>
      </c>
      <c r="W32" s="1076">
        <f t="shared" si="12"/>
        <v>100</v>
      </c>
      <c r="X32" s="1069"/>
      <c r="Y32" s="3476" t="s">
        <v>1351</v>
      </c>
      <c r="Z32" s="1061">
        <f t="shared" si="13"/>
        <v>111</v>
      </c>
      <c r="AA32" s="1086">
        <f t="shared" si="3"/>
        <v>1</v>
      </c>
      <c r="AB32" s="1086">
        <f t="shared" si="4"/>
        <v>1</v>
      </c>
      <c r="AC32" s="1086">
        <f t="shared" si="5"/>
        <v>1</v>
      </c>
    </row>
    <row r="33" spans="1:29" s="868" customFormat="1" ht="15">
      <c r="A33" s="950"/>
      <c r="B33" s="951">
        <v>111</v>
      </c>
      <c r="C33" s="952"/>
      <c r="D33" s="953">
        <v>100</v>
      </c>
      <c r="E33" s="954"/>
      <c r="F33" s="920">
        <f>SUMIF(105:105,E33,106:106)-SUMIF(105:105,C33,106:106)+100</f>
        <v>100</v>
      </c>
      <c r="G33" s="954"/>
      <c r="H33" s="920">
        <f>SUMIF(105:105,G33,106:106)-SUMIF(105:105,C33,106:106)+100</f>
        <v>100</v>
      </c>
      <c r="I33" s="952"/>
      <c r="J33" s="920">
        <f>SUMIF(105:105,I33,106:106)-SUMIF(105:105,C33,106:106)+100</f>
        <v>100</v>
      </c>
      <c r="K33" s="1046"/>
      <c r="L33" s="1039"/>
      <c r="M33" s="1048"/>
      <c r="N33" s="1048"/>
      <c r="O33" s="1049"/>
      <c r="P33" s="3476"/>
      <c r="Q33" s="652">
        <f t="shared" si="8"/>
        <v>111</v>
      </c>
      <c r="R33" s="1077" t="s">
        <v>1336</v>
      </c>
      <c r="S33" s="1078">
        <f t="shared" si="10"/>
        <v>100</v>
      </c>
      <c r="T33" s="1077" t="s">
        <v>1336</v>
      </c>
      <c r="U33" s="1078">
        <f t="shared" si="11"/>
        <v>100</v>
      </c>
      <c r="V33" s="1077" t="s">
        <v>1336</v>
      </c>
      <c r="W33" s="1078">
        <f t="shared" si="12"/>
        <v>100</v>
      </c>
      <c r="X33" s="1079"/>
      <c r="Y33" s="3476"/>
      <c r="Z33" s="1087">
        <f t="shared" si="13"/>
        <v>111</v>
      </c>
      <c r="AA33" s="1086">
        <f t="shared" si="3"/>
        <v>1</v>
      </c>
      <c r="AB33" s="1086">
        <f t="shared" si="4"/>
        <v>1</v>
      </c>
      <c r="AC33" s="1086">
        <f t="shared" si="5"/>
        <v>1</v>
      </c>
    </row>
    <row r="34" spans="1:29" ht="15">
      <c r="A34" s="921" t="s">
        <v>1349</v>
      </c>
      <c r="B34" s="955" t="s">
        <v>1446</v>
      </c>
      <c r="C34" s="956"/>
      <c r="D34" s="957">
        <v>100</v>
      </c>
      <c r="E34" s="956"/>
      <c r="F34" s="957" t="e">
        <f>LOOKUP(E34,108:108,109:109)-LOOKUP(C34,108:108,109:109)+100</f>
        <v>#N/A</v>
      </c>
      <c r="G34" s="956"/>
      <c r="H34" s="957" t="e">
        <f>LOOKUP(G34,108:108,109:109)-LOOKUP(C34,108:108,109:109)+100</f>
        <v>#N/A</v>
      </c>
      <c r="I34" s="1050"/>
      <c r="J34" s="957" t="e">
        <f>LOOKUP(I34,108:108,109:109)-LOOKUP(C34,108:108,109:109)+100</f>
        <v>#N/A</v>
      </c>
      <c r="K34" s="1046"/>
      <c r="L34" s="1041"/>
      <c r="M34" s="1029"/>
      <c r="N34" s="1029"/>
      <c r="O34" s="1040"/>
      <c r="P34" s="3476"/>
      <c r="Q34" s="652" t="str">
        <f t="shared" si="8"/>
        <v>宗地面积</v>
      </c>
      <c r="R34" s="1075" t="s">
        <v>1336</v>
      </c>
      <c r="S34" s="1076" t="e">
        <f t="shared" si="10"/>
        <v>#N/A</v>
      </c>
      <c r="T34" s="1075" t="s">
        <v>1336</v>
      </c>
      <c r="U34" s="1076" t="e">
        <f t="shared" si="11"/>
        <v>#N/A</v>
      </c>
      <c r="V34" s="1075" t="s">
        <v>1336</v>
      </c>
      <c r="W34" s="1076" t="e">
        <f t="shared" si="12"/>
        <v>#N/A</v>
      </c>
      <c r="X34" s="1069"/>
      <c r="Y34" s="3476"/>
      <c r="Z34" s="1061" t="str">
        <f t="shared" si="13"/>
        <v>宗地面积</v>
      </c>
      <c r="AA34" s="1086" t="e">
        <f t="shared" si="3"/>
        <v>#N/A</v>
      </c>
      <c r="AB34" s="1086" t="e">
        <f t="shared" si="4"/>
        <v>#N/A</v>
      </c>
      <c r="AC34" s="1086" t="e">
        <f t="shared" si="5"/>
        <v>#N/A</v>
      </c>
    </row>
    <row r="35" spans="1:29" ht="15">
      <c r="A35" s="958"/>
      <c r="B35" s="904" t="s">
        <v>1447</v>
      </c>
      <c r="C35" s="959"/>
      <c r="D35" s="916">
        <v>100</v>
      </c>
      <c r="E35" s="959"/>
      <c r="F35" s="916">
        <f>SUMIF(110:110,E35,111:111)-SUMIF(110:110,C35,111:111)+100</f>
        <v>100</v>
      </c>
      <c r="G35" s="959"/>
      <c r="H35" s="916">
        <f>SUMIF(110:110,G35,111:111)-SUMIF(110:110,C35,111:111)+100</f>
        <v>100</v>
      </c>
      <c r="I35" s="959"/>
      <c r="J35" s="916">
        <f>SUMIF(110:110,I35,111:111)-SUMIF(110:110,C35,111:111)+100</f>
        <v>100</v>
      </c>
      <c r="K35" s="1047"/>
      <c r="L35" s="1041"/>
      <c r="M35" s="1029"/>
      <c r="N35" s="1029"/>
      <c r="O35" s="1040"/>
      <c r="P35" s="3476"/>
      <c r="Q35" s="652" t="str">
        <f t="shared" ref="Q35:Q40" si="14">B35</f>
        <v>宗地形状</v>
      </c>
      <c r="R35" s="1075" t="s">
        <v>1336</v>
      </c>
      <c r="S35" s="1076">
        <f t="shared" si="10"/>
        <v>100</v>
      </c>
      <c r="T35" s="1075" t="s">
        <v>1336</v>
      </c>
      <c r="U35" s="1076">
        <f t="shared" si="11"/>
        <v>100</v>
      </c>
      <c r="V35" s="1075" t="s">
        <v>1336</v>
      </c>
      <c r="W35" s="1076">
        <f t="shared" si="12"/>
        <v>100</v>
      </c>
      <c r="X35" s="1069"/>
      <c r="Y35" s="3476"/>
      <c r="Z35" s="1061" t="str">
        <f t="shared" si="13"/>
        <v>宗地形状</v>
      </c>
      <c r="AA35" s="1086">
        <f t="shared" si="3"/>
        <v>1</v>
      </c>
      <c r="AB35" s="1086">
        <f t="shared" si="4"/>
        <v>1</v>
      </c>
      <c r="AC35" s="1086">
        <f t="shared" si="5"/>
        <v>1</v>
      </c>
    </row>
    <row r="36" spans="1:29" s="866" customFormat="1" ht="15">
      <c r="A36" s="960"/>
      <c r="B36" s="904" t="s">
        <v>1449</v>
      </c>
      <c r="C36" s="961"/>
      <c r="D36" s="906">
        <v>100</v>
      </c>
      <c r="E36" s="961"/>
      <c r="F36" s="916">
        <f>SUMIF(112:112,E36,113:113)-SUMIF(112:112,C36,113:113)+100</f>
        <v>100</v>
      </c>
      <c r="G36" s="961"/>
      <c r="H36" s="916">
        <f>SUMIF(112:112,G36,113:113)-SUMIF(112:112,C36,113:113)+100</f>
        <v>100</v>
      </c>
      <c r="I36" s="961"/>
      <c r="J36" s="916">
        <f>SUMIF(112:112,I36,113:113)-SUMIF(112:112,C36,113:113)+100</f>
        <v>100</v>
      </c>
      <c r="K36" s="1047"/>
      <c r="L36" s="1031"/>
      <c r="M36" s="1032"/>
      <c r="N36" s="1032"/>
      <c r="O36" s="1033"/>
      <c r="P36" s="3476"/>
      <c r="Q36" s="652" t="str">
        <f t="shared" si="14"/>
        <v>宗地开发程度</v>
      </c>
      <c r="R36" s="1070" t="s">
        <v>1336</v>
      </c>
      <c r="S36" s="1071">
        <f t="shared" si="10"/>
        <v>100</v>
      </c>
      <c r="T36" s="1070" t="s">
        <v>1336</v>
      </c>
      <c r="U36" s="1071">
        <f t="shared" si="11"/>
        <v>100</v>
      </c>
      <c r="V36" s="1070" t="s">
        <v>1336</v>
      </c>
      <c r="W36" s="1071">
        <f t="shared" si="12"/>
        <v>100</v>
      </c>
      <c r="X36" s="1072"/>
      <c r="Y36" s="3476"/>
      <c r="Z36" s="1085" t="str">
        <f t="shared" si="13"/>
        <v>宗地开发程度</v>
      </c>
      <c r="AA36" s="1084">
        <f t="shared" si="3"/>
        <v>1</v>
      </c>
      <c r="AB36" s="1084">
        <f t="shared" si="4"/>
        <v>1</v>
      </c>
      <c r="AC36" s="1084">
        <f t="shared" si="5"/>
        <v>1</v>
      </c>
    </row>
    <row r="37" spans="1:29" ht="15">
      <c r="A37" s="958"/>
      <c r="B37" s="904" t="s">
        <v>1450</v>
      </c>
      <c r="C37" s="959"/>
      <c r="D37" s="916">
        <v>100</v>
      </c>
      <c r="E37" s="959"/>
      <c r="F37" s="916">
        <f>SUMIF(114:114,E37,115:115)-SUMIF(114:114,C37,115:115)+100</f>
        <v>100</v>
      </c>
      <c r="G37" s="959"/>
      <c r="H37" s="916">
        <f>SUMIF(114:114,G37,115:115)-SUMIF(114:114,C37,115:115)+100</f>
        <v>100</v>
      </c>
      <c r="I37" s="959"/>
      <c r="J37" s="916">
        <f>SUMIF(114:114,I37,115:115)-SUMIF(114:114,C37,115:115)+100</f>
        <v>100</v>
      </c>
      <c r="K37" s="1047"/>
      <c r="L37" s="1041"/>
      <c r="M37" s="1029"/>
      <c r="N37" s="1029"/>
      <c r="O37" s="1040"/>
      <c r="P37" s="3476" t="s">
        <v>1351</v>
      </c>
      <c r="Q37" s="652" t="str">
        <f t="shared" si="14"/>
        <v>工程地质条件</v>
      </c>
      <c r="R37" s="1075" t="s">
        <v>1336</v>
      </c>
      <c r="S37" s="1076">
        <f t="shared" si="10"/>
        <v>100</v>
      </c>
      <c r="T37" s="1075" t="s">
        <v>1336</v>
      </c>
      <c r="U37" s="1076">
        <f t="shared" si="11"/>
        <v>100</v>
      </c>
      <c r="V37" s="1075" t="s">
        <v>1336</v>
      </c>
      <c r="W37" s="1076">
        <f t="shared" si="12"/>
        <v>100</v>
      </c>
      <c r="X37" s="1069"/>
      <c r="Y37" s="3476" t="s">
        <v>1351</v>
      </c>
      <c r="Z37" s="1061" t="str">
        <f t="shared" si="13"/>
        <v>工程地质条件</v>
      </c>
      <c r="AA37" s="1086">
        <f t="shared" si="3"/>
        <v>1</v>
      </c>
      <c r="AB37" s="1086">
        <f t="shared" si="4"/>
        <v>1</v>
      </c>
      <c r="AC37" s="1086">
        <f t="shared" si="5"/>
        <v>1</v>
      </c>
    </row>
    <row r="38" spans="1:29" ht="15">
      <c r="A38" s="958"/>
      <c r="B38" s="962">
        <v>111</v>
      </c>
      <c r="C38" s="914"/>
      <c r="D38" s="916">
        <v>100</v>
      </c>
      <c r="E38" s="914"/>
      <c r="F38" s="916">
        <f>SUMIF(116:116,E38,117:117)-SUMIF(116:116,C38,117:117)+100</f>
        <v>100</v>
      </c>
      <c r="G38" s="914"/>
      <c r="H38" s="916">
        <f>SUMIF(116:116,G38,117:117)-SUMIF(116:116,C38,117:117)+100</f>
        <v>100</v>
      </c>
      <c r="I38" s="913"/>
      <c r="J38" s="916">
        <f>SUMIF(116:116,I38,117:117)-SUMIF(116:116,C38,117:117)+100</f>
        <v>100</v>
      </c>
      <c r="K38" s="1046"/>
      <c r="L38" s="1041"/>
      <c r="M38" s="1029"/>
      <c r="N38" s="1029"/>
      <c r="O38" s="1040"/>
      <c r="P38" s="3476"/>
      <c r="Q38" s="652">
        <f t="shared" si="14"/>
        <v>111</v>
      </c>
      <c r="R38" s="1075" t="s">
        <v>1336</v>
      </c>
      <c r="S38" s="1076">
        <f t="shared" si="10"/>
        <v>100</v>
      </c>
      <c r="T38" s="1075" t="s">
        <v>1336</v>
      </c>
      <c r="U38" s="1076">
        <f t="shared" si="11"/>
        <v>100</v>
      </c>
      <c r="V38" s="1075" t="s">
        <v>1336</v>
      </c>
      <c r="W38" s="1076">
        <f t="shared" si="12"/>
        <v>100</v>
      </c>
      <c r="X38" s="1069"/>
      <c r="Y38" s="3476"/>
      <c r="Z38" s="1061">
        <f t="shared" si="13"/>
        <v>111</v>
      </c>
      <c r="AA38" s="1086">
        <f t="shared" si="3"/>
        <v>1</v>
      </c>
      <c r="AB38" s="1086">
        <f t="shared" si="4"/>
        <v>1</v>
      </c>
      <c r="AC38" s="1086">
        <f t="shared" si="5"/>
        <v>1</v>
      </c>
    </row>
    <row r="39" spans="1:29" ht="15">
      <c r="A39" s="958"/>
      <c r="B39" s="962">
        <v>111</v>
      </c>
      <c r="C39" s="914"/>
      <c r="D39" s="916">
        <v>100</v>
      </c>
      <c r="E39" s="914"/>
      <c r="F39" s="916">
        <f>SUMIF(118:118,E39,119:119)-SUMIF(118:118,C39,119:119)+100</f>
        <v>100</v>
      </c>
      <c r="G39" s="914"/>
      <c r="H39" s="916">
        <f>SUMIF(118:118,G39,119:119)-SUMIF(118:118,C39,119:119)+100</f>
        <v>100</v>
      </c>
      <c r="I39" s="913"/>
      <c r="J39" s="916">
        <f>SUMIF(118:118,I39,119:119)-SUMIF(118:118,C39,119:119)+100</f>
        <v>100</v>
      </c>
      <c r="K39" s="1046"/>
      <c r="L39" s="1041"/>
      <c r="M39" s="1029"/>
      <c r="N39" s="1029"/>
      <c r="O39" s="1040"/>
      <c r="P39" s="3476"/>
      <c r="Q39" s="652">
        <f t="shared" si="14"/>
        <v>111</v>
      </c>
      <c r="R39" s="1075" t="s">
        <v>1336</v>
      </c>
      <c r="S39" s="1076">
        <f t="shared" si="10"/>
        <v>100</v>
      </c>
      <c r="T39" s="1075" t="s">
        <v>1336</v>
      </c>
      <c r="U39" s="1076">
        <f t="shared" si="11"/>
        <v>100</v>
      </c>
      <c r="V39" s="1075" t="s">
        <v>1336</v>
      </c>
      <c r="W39" s="1076">
        <f t="shared" si="12"/>
        <v>100</v>
      </c>
      <c r="X39" s="1069"/>
      <c r="Y39" s="3476"/>
      <c r="Z39" s="1061">
        <f t="shared" si="13"/>
        <v>111</v>
      </c>
      <c r="AA39" s="1086">
        <f t="shared" si="3"/>
        <v>1</v>
      </c>
      <c r="AB39" s="1086">
        <f t="shared" si="4"/>
        <v>1</v>
      </c>
      <c r="AC39" s="1086">
        <f t="shared" si="5"/>
        <v>1</v>
      </c>
    </row>
    <row r="40" spans="1:29" s="868" customFormat="1" ht="15">
      <c r="A40" s="963"/>
      <c r="B40" s="962">
        <v>111</v>
      </c>
      <c r="C40" s="964"/>
      <c r="D40" s="953">
        <v>100</v>
      </c>
      <c r="E40" s="914"/>
      <c r="F40" s="920">
        <f>SUMIF(120:120,E40,121:121)-SUMIF(120:120,C40,121:121)+100</f>
        <v>100</v>
      </c>
      <c r="G40" s="914"/>
      <c r="H40" s="920">
        <f>SUMIF(120:120,G40,121:121)-SUMIF(120:120,C40,121:121)+100</f>
        <v>100</v>
      </c>
      <c r="I40" s="913"/>
      <c r="J40" s="920">
        <f>SUMIF(120:120,I40,121:121)-SUMIF(120:120,C40,121:121)+100</f>
        <v>100</v>
      </c>
      <c r="K40" s="1051"/>
      <c r="L40" s="1039"/>
      <c r="M40" s="1048"/>
      <c r="N40" s="1048"/>
      <c r="O40" s="1049"/>
      <c r="P40" s="3476"/>
      <c r="Q40" s="652">
        <f t="shared" si="14"/>
        <v>111</v>
      </c>
      <c r="R40" s="1077" t="s">
        <v>1336</v>
      </c>
      <c r="S40" s="1078">
        <f t="shared" si="10"/>
        <v>100</v>
      </c>
      <c r="T40" s="1077" t="s">
        <v>1336</v>
      </c>
      <c r="U40" s="1078">
        <f t="shared" si="11"/>
        <v>100</v>
      </c>
      <c r="V40" s="1077" t="s">
        <v>1336</v>
      </c>
      <c r="W40" s="1078">
        <f t="shared" si="12"/>
        <v>100</v>
      </c>
      <c r="X40" s="1079"/>
      <c r="Y40" s="3476"/>
      <c r="Z40" s="1087">
        <f t="shared" si="13"/>
        <v>111</v>
      </c>
      <c r="AA40" s="1086">
        <f t="shared" si="3"/>
        <v>1</v>
      </c>
      <c r="AB40" s="1086">
        <f t="shared" si="4"/>
        <v>1</v>
      </c>
      <c r="AC40" s="1086">
        <f t="shared" si="5"/>
        <v>1</v>
      </c>
    </row>
    <row r="41" spans="1:29" ht="15">
      <c r="A41" s="965" t="s">
        <v>1436</v>
      </c>
      <c r="B41" s="966" t="s">
        <v>1849</v>
      </c>
      <c r="C41" s="967" t="s">
        <v>124</v>
      </c>
      <c r="D41" s="968"/>
      <c r="E41" s="969"/>
      <c r="F41" s="970"/>
      <c r="G41" s="971"/>
      <c r="H41" s="972"/>
      <c r="I41" s="969"/>
      <c r="J41" s="972"/>
      <c r="K41" s="1052"/>
      <c r="L41" s="1053"/>
      <c r="M41" s="1029"/>
      <c r="N41" s="1029"/>
      <c r="O41" s="982"/>
      <c r="P41" s="3472" t="str">
        <f>A41</f>
        <v>成交单价</v>
      </c>
      <c r="Q41" s="3472"/>
      <c r="R41" s="3481">
        <f>E41</f>
        <v>0</v>
      </c>
      <c r="S41" s="3481"/>
      <c r="T41" s="3481">
        <f>G41</f>
        <v>0</v>
      </c>
      <c r="U41" s="3481"/>
      <c r="V41" s="3481">
        <f>I41</f>
        <v>0</v>
      </c>
      <c r="W41" s="3481"/>
      <c r="X41" s="1017"/>
      <c r="Y41" s="1088"/>
      <c r="Z41" s="1017"/>
      <c r="AA41" s="1017"/>
      <c r="AB41" s="1017"/>
      <c r="AC41" s="1017"/>
    </row>
    <row r="42" spans="1:29" ht="15">
      <c r="A42" s="973" t="s">
        <v>1363</v>
      </c>
      <c r="B42" s="974"/>
      <c r="C42" s="975" t="e">
        <f>R43</f>
        <v>#DIV/0!</v>
      </c>
      <c r="D42" s="976"/>
      <c r="E42" s="975" t="e">
        <f>R42</f>
        <v>#DIV/0!</v>
      </c>
      <c r="F42" s="977"/>
      <c r="G42" s="978" t="e">
        <f>T42</f>
        <v>#DIV/0!</v>
      </c>
      <c r="H42" s="976"/>
      <c r="I42" s="975" t="e">
        <f>V42</f>
        <v>#DIV/0!</v>
      </c>
      <c r="J42" s="976"/>
      <c r="K42" s="1054"/>
      <c r="L42" s="1053"/>
      <c r="M42" s="1029"/>
      <c r="N42" s="1029"/>
      <c r="O42" s="982"/>
      <c r="P42" s="3472" t="str">
        <f>A42</f>
        <v>比较价值（元/平方米）</v>
      </c>
      <c r="Q42" s="3472"/>
      <c r="R42" s="3477" t="e">
        <f>ROUND(PRODUCT(R41,AA7:AA40),0)</f>
        <v>#DIV/0!</v>
      </c>
      <c r="S42" s="3477"/>
      <c r="T42" s="3477" t="e">
        <f>ROUND(PRODUCT(T41,AB7:AB40),0)</f>
        <v>#DIV/0!</v>
      </c>
      <c r="U42" s="3477"/>
      <c r="V42" s="3477" t="e">
        <f>ROUND(PRODUCT(V41,AC7:AC40),0)</f>
        <v>#DIV/0!</v>
      </c>
      <c r="W42" s="3477"/>
      <c r="X42" s="1017"/>
      <c r="Y42" s="1017"/>
      <c r="Z42" s="1017"/>
      <c r="AA42" s="1017"/>
      <c r="AB42" s="1017"/>
      <c r="AC42" s="1017"/>
    </row>
    <row r="43" spans="1:29" ht="15">
      <c r="A43" s="979" t="s">
        <v>1364</v>
      </c>
      <c r="B43" s="980"/>
      <c r="C43" s="981" t="e">
        <f>R43</f>
        <v>#DIV/0!</v>
      </c>
      <c r="D43" s="981"/>
      <c r="E43" s="981"/>
      <c r="F43" s="981"/>
      <c r="G43" s="981"/>
      <c r="H43" s="981"/>
      <c r="I43" s="981"/>
      <c r="J43" s="981"/>
      <c r="K43" s="1055"/>
      <c r="L43" s="1053"/>
      <c r="M43" s="1029"/>
      <c r="N43" s="1029"/>
      <c r="O43" s="982"/>
      <c r="P43" s="3478" t="str">
        <f>A43</f>
        <v>估价对象XX用房的比较价值（楼面单价，元/平方米）</v>
      </c>
      <c r="Q43" s="3479"/>
      <c r="R43" s="3480" t="e">
        <f>ROUND(AVERAGE(R42:V42),0)</f>
        <v>#DIV/0!</v>
      </c>
      <c r="S43" s="3480"/>
      <c r="T43" s="3480"/>
      <c r="U43" s="3480"/>
      <c r="V43" s="3480"/>
      <c r="W43" s="3480"/>
      <c r="X43" s="1017"/>
      <c r="Y43" s="1017"/>
      <c r="Z43" s="1017"/>
      <c r="AA43" s="1017"/>
      <c r="AB43" s="1017"/>
      <c r="AC43" s="1017"/>
    </row>
    <row r="44" spans="1:29">
      <c r="A44" s="982"/>
      <c r="B44" s="982"/>
      <c r="C44" s="982"/>
      <c r="D44" s="982"/>
      <c r="E44" s="982"/>
      <c r="F44" s="982"/>
      <c r="G44" s="983"/>
      <c r="H44" s="982"/>
      <c r="I44" s="982"/>
      <c r="J44" s="982"/>
      <c r="K44" s="1057"/>
      <c r="L44" s="1058"/>
      <c r="M44" s="1029"/>
      <c r="N44" s="1029"/>
      <c r="O44" s="982"/>
    </row>
    <row r="45" spans="1:29">
      <c r="A45" s="982"/>
      <c r="B45" s="982"/>
      <c r="C45" s="982"/>
      <c r="D45" s="982"/>
      <c r="E45" s="982"/>
      <c r="F45" s="982"/>
      <c r="G45" s="982"/>
      <c r="H45" s="982"/>
      <c r="I45" s="982"/>
      <c r="J45" s="982"/>
      <c r="K45" s="1057"/>
      <c r="L45" s="1058"/>
      <c r="M45" s="1029"/>
      <c r="N45" s="1029"/>
      <c r="O45" s="982"/>
    </row>
    <row r="46" spans="1:29" ht="13.5" customHeight="1">
      <c r="A46" s="982"/>
      <c r="B46" s="982"/>
      <c r="C46" s="984" t="s">
        <v>1365</v>
      </c>
      <c r="D46" s="692"/>
      <c r="E46" s="985" t="e">
        <f>IF(E41&lt;E42,E42/E41-1,E41/E42-1)</f>
        <v>#DIV/0!</v>
      </c>
      <c r="F46" s="986" t="e">
        <f>IF(OR(E46&gt;=0.3,E46&lt;=-0.3),"超过30%","")</f>
        <v>#DIV/0!</v>
      </c>
      <c r="G46" s="985" t="e">
        <f>IF(G41&lt;G42,G42/G41-1,G41/G42-1)</f>
        <v>#DIV/0!</v>
      </c>
      <c r="H46" s="986" t="e">
        <f>IF(OR(G46&gt;=0.3,G46&lt;=-0.3),"超过30%","")</f>
        <v>#DIV/0!</v>
      </c>
      <c r="I46" s="985" t="e">
        <f>IF(I41&lt;I42,I42/I41-1,I41/I42-1)</f>
        <v>#DIV/0!</v>
      </c>
      <c r="J46" s="986" t="e">
        <f>IF(OR(I46&gt;=0.3,I46&lt;=-0.3),"超过30%","")</f>
        <v>#DIV/0!</v>
      </c>
      <c r="K46" s="1057"/>
      <c r="L46" s="1058"/>
      <c r="M46" s="1029"/>
      <c r="N46" s="1029"/>
      <c r="O46" s="982"/>
    </row>
    <row r="47" spans="1:29" ht="13.5" customHeight="1">
      <c r="A47" s="982"/>
      <c r="B47" s="982"/>
      <c r="C47" s="984" t="s">
        <v>1366</v>
      </c>
      <c r="D47" s="691"/>
      <c r="E47" s="985" t="e">
        <f>IF(E42&lt;G42,G42/E42-1,E42/G42-1)</f>
        <v>#DIV/0!</v>
      </c>
      <c r="F47" s="986" t="e">
        <f>IF(OR(E47&gt;=0.2,E47&lt;=-0.2),"超过20%","")</f>
        <v>#DIV/0!</v>
      </c>
      <c r="G47" s="985" t="e">
        <f>IF(G42&lt;I42,I42/G42-1,G42/I42-1)</f>
        <v>#DIV/0!</v>
      </c>
      <c r="H47" s="986" t="e">
        <f>IF(OR(G47&gt;=0.2,G47&lt;=-0.2),"超过20%","")</f>
        <v>#DIV/0!</v>
      </c>
      <c r="I47" s="985" t="e">
        <f>IF(I42&lt;E42,E42/I42-1,I42/E42-1)</f>
        <v>#DIV/0!</v>
      </c>
      <c r="J47" s="986" t="e">
        <f>IF(OR(I47&gt;=0.2,I47&lt;=-0.2),"超过20%","")</f>
        <v>#DIV/0!</v>
      </c>
      <c r="K47" s="1057"/>
      <c r="L47" s="1058"/>
      <c r="M47" s="982"/>
      <c r="N47" s="982"/>
      <c r="O47" s="982"/>
    </row>
    <row r="48" spans="1:29" s="869" customFormat="1" ht="13.5" customHeight="1">
      <c r="A48" s="987"/>
      <c r="B48" s="987"/>
      <c r="C48" s="984" t="s">
        <v>1367</v>
      </c>
      <c r="D48" s="691"/>
      <c r="E48" s="985" t="e">
        <f>IF(E41&lt;G41,G41/E41-1,E41/G41-1)</f>
        <v>#DIV/0!</v>
      </c>
      <c r="F48" s="986" t="e">
        <f>IF(OR(E48&gt;=0.3,E48&lt;=-0.3),"超过30%","")</f>
        <v>#DIV/0!</v>
      </c>
      <c r="G48" s="985" t="e">
        <f>IF(G41&lt;I41,I41/G41-1,G41/I41-1)</f>
        <v>#DIV/0!</v>
      </c>
      <c r="H48" s="986" t="e">
        <f>IF(OR(G48&gt;=0.3,G48&lt;=-0.3),"超过30%","")</f>
        <v>#DIV/0!</v>
      </c>
      <c r="I48" s="985" t="e">
        <f>IF(I41&lt;E41,E41/I41-1,I41/E41-1)</f>
        <v>#DIV/0!</v>
      </c>
      <c r="J48" s="986" t="e">
        <f>IF(OR(I48&gt;=0.3,I48&lt;=-0.3),"超过30%","")</f>
        <v>#DIV/0!</v>
      </c>
      <c r="K48" s="1059"/>
      <c r="L48" s="1060"/>
      <c r="M48" s="987"/>
      <c r="N48" s="987"/>
      <c r="O48" s="987"/>
    </row>
    <row r="49" spans="1:17" s="869" customFormat="1">
      <c r="A49" s="987"/>
      <c r="B49" s="988"/>
      <c r="C49" s="989"/>
      <c r="D49" s="990"/>
      <c r="E49" s="990"/>
      <c r="F49" s="990"/>
      <c r="G49" s="990"/>
      <c r="H49" s="990"/>
      <c r="I49" s="990"/>
      <c r="J49" s="990"/>
      <c r="K49" s="1059"/>
      <c r="L49" s="1060"/>
      <c r="M49" s="987"/>
      <c r="N49" s="987"/>
      <c r="O49" s="987"/>
    </row>
    <row r="50" spans="1:17" ht="27">
      <c r="A50" s="991" t="s">
        <v>1453</v>
      </c>
      <c r="B50" s="992" t="s">
        <v>1454</v>
      </c>
      <c r="C50" s="993" t="s">
        <v>1455</v>
      </c>
      <c r="D50" s="994" t="s">
        <v>1456</v>
      </c>
      <c r="E50" s="995" t="s">
        <v>1457</v>
      </c>
      <c r="F50" s="996" t="s">
        <v>1458</v>
      </c>
      <c r="G50" s="3457" t="s">
        <v>1459</v>
      </c>
      <c r="H50" s="3485"/>
      <c r="I50" s="1061" t="s">
        <v>1850</v>
      </c>
      <c r="J50" s="1061" t="str">
        <f>项目基本情况!F35</f>
        <v>贵州省贵阳市</v>
      </c>
      <c r="K50" s="1062" t="s">
        <v>1461</v>
      </c>
      <c r="L50" s="1058"/>
      <c r="M50" s="982"/>
      <c r="N50" s="982"/>
      <c r="O50" s="982"/>
    </row>
    <row r="51" spans="1:17" s="870" customFormat="1">
      <c r="A51" s="997" t="s">
        <v>1462</v>
      </c>
      <c r="B51" s="998" t="e">
        <f>C43</f>
        <v>#DIV/0!</v>
      </c>
      <c r="C51" s="999">
        <v>1</v>
      </c>
      <c r="D51" s="1000">
        <v>1</v>
      </c>
      <c r="E51" s="999">
        <f>'数据-汇总表'!E8+'数据-汇总表'!E9</f>
        <v>98873.18</v>
      </c>
      <c r="F51" s="1001" t="e">
        <f t="shared" ref="F51:F60" si="15">ROUND(B51*E51/10000,0)</f>
        <v>#DIV/0!</v>
      </c>
      <c r="G51" s="3486"/>
      <c r="H51" s="3472"/>
      <c r="I51" s="679">
        <v>1</v>
      </c>
      <c r="J51" s="679">
        <v>1</v>
      </c>
      <c r="K51" s="987"/>
      <c r="L51" s="1063"/>
      <c r="M51" s="1063"/>
      <c r="N51" s="1063"/>
      <c r="O51" s="1063"/>
    </row>
    <row r="52" spans="1:17" s="870" customFormat="1">
      <c r="A52" s="1002" t="s">
        <v>1463</v>
      </c>
      <c r="B52" s="161" t="e">
        <f>ROUND($C$43*C52*D52,0)</f>
        <v>#DIV/0!</v>
      </c>
      <c r="C52" s="597">
        <f t="shared" ref="C52:C60" si="16">IF($C$50="北京市系数",I52,J52)</f>
        <v>0</v>
      </c>
      <c r="D52" s="1003">
        <v>0.25</v>
      </c>
      <c r="E52" s="1004"/>
      <c r="F52" s="1001" t="e">
        <f t="shared" si="15"/>
        <v>#DIV/0!</v>
      </c>
      <c r="G52" s="3471" t="s">
        <v>1464</v>
      </c>
      <c r="H52" s="1006">
        <f>项目基本情况!B37</f>
        <v>0</v>
      </c>
      <c r="I52" s="679">
        <f>SUMIF(修正!A45:A56,H52,修正!B45:B56)</f>
        <v>0</v>
      </c>
      <c r="J52" s="1064"/>
      <c r="K52" s="982"/>
      <c r="L52" s="1063"/>
      <c r="M52" s="1063"/>
      <c r="N52" s="1063"/>
      <c r="O52" s="1063"/>
    </row>
    <row r="53" spans="1:17" s="870" customFormat="1">
      <c r="A53" s="1002" t="s">
        <v>1465</v>
      </c>
      <c r="B53" s="161" t="e">
        <f t="shared" ref="B53:B60" si="17">ROUND($C$43*C53*D53,0)</f>
        <v>#DIV/0!</v>
      </c>
      <c r="C53" s="597">
        <f t="shared" si="16"/>
        <v>0</v>
      </c>
      <c r="D53" s="1003">
        <v>0.25</v>
      </c>
      <c r="E53" s="1004"/>
      <c r="F53" s="1001" t="e">
        <f t="shared" si="15"/>
        <v>#DIV/0!</v>
      </c>
      <c r="G53" s="3471"/>
      <c r="H53" s="1006">
        <f>项目基本情况!B37</f>
        <v>0</v>
      </c>
      <c r="I53" s="679">
        <f>SUMIF(修正!A45:A56,H53,修正!C45:C56)</f>
        <v>0</v>
      </c>
      <c r="J53" s="1064"/>
      <c r="K53" s="987"/>
      <c r="L53" s="1063"/>
      <c r="M53" s="1063"/>
      <c r="N53" s="1063"/>
      <c r="O53" s="1063"/>
    </row>
    <row r="54" spans="1:17" s="870" customFormat="1">
      <c r="A54" s="1002" t="s">
        <v>1466</v>
      </c>
      <c r="B54" s="161" t="e">
        <f t="shared" si="17"/>
        <v>#DIV/0!</v>
      </c>
      <c r="C54" s="597">
        <f t="shared" si="16"/>
        <v>0</v>
      </c>
      <c r="D54" s="1003">
        <v>0.25</v>
      </c>
      <c r="E54" s="1004"/>
      <c r="F54" s="1001" t="e">
        <f t="shared" si="15"/>
        <v>#DIV/0!</v>
      </c>
      <c r="G54" s="3471"/>
      <c r="H54" s="1006">
        <f>项目基本情况!B37</f>
        <v>0</v>
      </c>
      <c r="I54" s="679">
        <f>SUMIF(修正!A45:A56,H54,修正!D45:D56)</f>
        <v>0</v>
      </c>
      <c r="J54" s="1064"/>
      <c r="K54" s="982"/>
      <c r="L54" s="1063"/>
      <c r="M54" s="1063"/>
      <c r="N54" s="1063"/>
      <c r="O54" s="1063"/>
    </row>
    <row r="55" spans="1:17" s="870" customFormat="1">
      <c r="A55" s="1002" t="s">
        <v>1467</v>
      </c>
      <c r="B55" s="161" t="e">
        <f t="shared" si="17"/>
        <v>#DIV/0!</v>
      </c>
      <c r="C55" s="597">
        <f t="shared" si="16"/>
        <v>0</v>
      </c>
      <c r="D55" s="1003">
        <v>0.25</v>
      </c>
      <c r="E55" s="1004"/>
      <c r="F55" s="1001" t="e">
        <f t="shared" si="15"/>
        <v>#DIV/0!</v>
      </c>
      <c r="G55" s="3471"/>
      <c r="H55" s="1006">
        <f>项目基本情况!B37</f>
        <v>0</v>
      </c>
      <c r="I55" s="679">
        <f>SUMIF(修正!A45:A56,H55,修正!E45:E56)</f>
        <v>0</v>
      </c>
      <c r="J55" s="1064"/>
      <c r="K55" s="987"/>
      <c r="L55" s="1063"/>
      <c r="M55" s="1063"/>
      <c r="N55" s="1063"/>
      <c r="O55" s="1063"/>
    </row>
    <row r="56" spans="1:17" s="870" customFormat="1">
      <c r="A56" s="1002" t="s">
        <v>1468</v>
      </c>
      <c r="B56" s="161" t="e">
        <f t="shared" si="17"/>
        <v>#DIV/0!</v>
      </c>
      <c r="C56" s="597">
        <f t="shared" si="16"/>
        <v>0</v>
      </c>
      <c r="D56" s="1003">
        <v>0.25</v>
      </c>
      <c r="E56" s="160">
        <f>'数据-汇总表'!E11</f>
        <v>0</v>
      </c>
      <c r="F56" s="1001" t="e">
        <f t="shared" si="15"/>
        <v>#DIV/0!</v>
      </c>
      <c r="G56" s="1005" t="s">
        <v>1469</v>
      </c>
      <c r="H56" s="1006">
        <f>项目基本情况!C37</f>
        <v>0</v>
      </c>
      <c r="I56" s="679">
        <f>SUMIF(修正!A45:A56,H56,修正!F45:F56)</f>
        <v>0</v>
      </c>
      <c r="J56" s="1064"/>
      <c r="K56" s="982"/>
      <c r="L56" s="1063"/>
      <c r="M56" s="1063"/>
      <c r="N56" s="1063"/>
      <c r="O56" s="1063"/>
    </row>
    <row r="57" spans="1:17" s="870" customFormat="1">
      <c r="A57" s="1002" t="s">
        <v>1470</v>
      </c>
      <c r="B57" s="161" t="e">
        <f t="shared" si="17"/>
        <v>#DIV/0!</v>
      </c>
      <c r="C57" s="597">
        <f t="shared" si="16"/>
        <v>0</v>
      </c>
      <c r="D57" s="1003">
        <v>0.25</v>
      </c>
      <c r="E57" s="160">
        <f>'数据-汇总表'!E12</f>
        <v>0</v>
      </c>
      <c r="F57" s="1001" t="e">
        <f t="shared" si="15"/>
        <v>#DIV/0!</v>
      </c>
      <c r="G57" s="1007" t="s">
        <v>1471</v>
      </c>
      <c r="H57" s="1006">
        <f>IF(G57="商业",项目基本情况!B37,IF(G57="办公",项目基本情况!C37,IF(G57="住宅",项目基本情况!D37,项目基本情况!E37)))</f>
        <v>0</v>
      </c>
      <c r="I57" s="679">
        <f>SUMIF(修正!A45:A56,H57,修正!G45:G56)</f>
        <v>0</v>
      </c>
      <c r="J57" s="1064"/>
      <c r="K57" s="987"/>
      <c r="L57" s="1063"/>
      <c r="M57" s="1063"/>
      <c r="N57" s="1063"/>
      <c r="O57" s="1063"/>
    </row>
    <row r="58" spans="1:17" s="870" customFormat="1">
      <c r="A58" s="1002" t="s">
        <v>1472</v>
      </c>
      <c r="B58" s="161" t="e">
        <f t="shared" si="17"/>
        <v>#DIV/0!</v>
      </c>
      <c r="C58" s="597">
        <f t="shared" si="16"/>
        <v>0</v>
      </c>
      <c r="D58" s="1003">
        <v>0.25</v>
      </c>
      <c r="E58" s="160">
        <f>'数据-汇总表'!E13</f>
        <v>0</v>
      </c>
      <c r="F58" s="1001" t="e">
        <f t="shared" si="15"/>
        <v>#DIV/0!</v>
      </c>
      <c r="G58" s="1007" t="s">
        <v>1473</v>
      </c>
      <c r="H58" s="1006">
        <f>IF(G58="商业",项目基本情况!B37,IF(G58="办公",项目基本情况!C37,IF(G58="住宅",项目基本情况!D37,项目基本情况!E37)))</f>
        <v>0</v>
      </c>
      <c r="I58" s="679">
        <f>SUMIF(修正!A45:A56,H58,修正!H45:H56)</f>
        <v>0</v>
      </c>
      <c r="J58" s="1064"/>
      <c r="K58" s="982"/>
      <c r="L58" s="1063"/>
      <c r="M58" s="1063"/>
      <c r="N58" s="1063"/>
      <c r="O58" s="1063"/>
    </row>
    <row r="59" spans="1:17" s="870" customFormat="1">
      <c r="A59" s="1002" t="s">
        <v>1474</v>
      </c>
      <c r="B59" s="161" t="e">
        <f t="shared" si="17"/>
        <v>#DIV/0!</v>
      </c>
      <c r="C59" s="597">
        <f t="shared" si="16"/>
        <v>0</v>
      </c>
      <c r="D59" s="1003">
        <v>0.25</v>
      </c>
      <c r="E59" s="160">
        <f>'数据-汇总表'!E14</f>
        <v>0</v>
      </c>
      <c r="F59" s="1001" t="e">
        <f t="shared" si="15"/>
        <v>#DIV/0!</v>
      </c>
      <c r="G59" s="1005" t="s">
        <v>1464</v>
      </c>
      <c r="H59" s="1006">
        <f>项目基本情况!B37</f>
        <v>0</v>
      </c>
      <c r="I59" s="679">
        <f>SUMIF(修正!A45:A56,H59,修正!H45:H56)</f>
        <v>0</v>
      </c>
      <c r="J59" s="1064"/>
      <c r="K59" s="987"/>
      <c r="L59" s="1063"/>
      <c r="M59" s="1063"/>
      <c r="N59" s="1063"/>
      <c r="O59" s="1063"/>
    </row>
    <row r="60" spans="1:17" s="870" customFormat="1">
      <c r="A60" s="1002" t="s">
        <v>1475</v>
      </c>
      <c r="B60" s="161" t="e">
        <f t="shared" si="17"/>
        <v>#DIV/0!</v>
      </c>
      <c r="C60" s="597">
        <f t="shared" si="16"/>
        <v>0</v>
      </c>
      <c r="D60" s="1003">
        <v>0.25</v>
      </c>
      <c r="E60" s="160">
        <f>'数据-汇总表'!E15</f>
        <v>0</v>
      </c>
      <c r="F60" s="1001" t="e">
        <f t="shared" si="15"/>
        <v>#DIV/0!</v>
      </c>
      <c r="G60" s="1008" t="s">
        <v>1469</v>
      </c>
      <c r="H60" s="1009">
        <f>项目基本情况!C37</f>
        <v>0</v>
      </c>
      <c r="I60" s="679">
        <f>SUMIF(修正!A45:A56,H60,修正!H45:H56)</f>
        <v>0</v>
      </c>
      <c r="J60" s="1064"/>
      <c r="K60" s="982"/>
      <c r="L60" s="1063"/>
      <c r="M60" s="1063"/>
      <c r="N60" s="1063"/>
      <c r="O60" s="1063"/>
    </row>
    <row r="61" spans="1:17" s="870" customFormat="1">
      <c r="A61" s="1010" t="s">
        <v>1476</v>
      </c>
      <c r="B61" s="1011" t="s">
        <v>1417</v>
      </c>
      <c r="C61" s="1011" t="s">
        <v>1417</v>
      </c>
      <c r="D61" s="1011" t="s">
        <v>1417</v>
      </c>
      <c r="E61" s="1011">
        <f>IF(B41="楼面地价",SUM(E51:E60),'数据-汇总表'!D3)</f>
        <v>45839.15</v>
      </c>
      <c r="F61" s="1012" t="e">
        <f>IF(B41="楼面地价",SUM(F51:F60),ROUND(C43*E61/10000,0))</f>
        <v>#DIV/0!</v>
      </c>
      <c r="G61" s="1013"/>
      <c r="H61" s="1013"/>
      <c r="I61" s="1013"/>
      <c r="J61" s="1013"/>
      <c r="K61" s="1057"/>
      <c r="L61" s="1063"/>
      <c r="M61" s="1063"/>
      <c r="N61" s="1063"/>
      <c r="O61" s="1063"/>
    </row>
    <row r="62" spans="1:17">
      <c r="A62" s="982"/>
      <c r="B62" s="988"/>
      <c r="C62" s="1014"/>
      <c r="D62" s="982"/>
      <c r="E62" s="982"/>
      <c r="F62" s="982"/>
      <c r="G62" s="982"/>
      <c r="H62" s="982"/>
      <c r="I62" s="982"/>
      <c r="J62" s="982"/>
      <c r="K62" s="1057"/>
      <c r="L62" s="1058"/>
      <c r="M62" s="982"/>
      <c r="N62" s="982"/>
      <c r="O62" s="982"/>
    </row>
    <row r="63" spans="1:17">
      <c r="A63" s="982"/>
      <c r="B63" s="988"/>
      <c r="C63" s="1015" t="str">
        <f>YEAR(C7)&amp;"-"&amp;MONTH(C7)&amp;"-1"</f>
        <v>2018-9-1</v>
      </c>
      <c r="D63" s="1015">
        <f>EDATE(C63,-3)</f>
        <v>43252</v>
      </c>
      <c r="E63" s="1015">
        <f>EDATE(D63,-3)</f>
        <v>43160</v>
      </c>
      <c r="F63" s="1015">
        <f t="shared" ref="F63:O63" si="18">EDATE(E63,-3)</f>
        <v>43070</v>
      </c>
      <c r="G63" s="1015">
        <f t="shared" si="18"/>
        <v>42979</v>
      </c>
      <c r="H63" s="1015">
        <f t="shared" si="18"/>
        <v>42887</v>
      </c>
      <c r="I63" s="1015">
        <f t="shared" si="18"/>
        <v>42795</v>
      </c>
      <c r="J63" s="1015">
        <f t="shared" si="18"/>
        <v>42705</v>
      </c>
      <c r="K63" s="1015">
        <f t="shared" si="18"/>
        <v>42614</v>
      </c>
      <c r="L63" s="1015">
        <f t="shared" si="18"/>
        <v>42522</v>
      </c>
      <c r="M63" s="1015">
        <f t="shared" si="18"/>
        <v>42430</v>
      </c>
      <c r="N63" s="1015">
        <f t="shared" si="18"/>
        <v>42339</v>
      </c>
      <c r="O63" s="1015">
        <f t="shared" si="18"/>
        <v>42248</v>
      </c>
    </row>
    <row r="64" spans="1:17" ht="21">
      <c r="A64" s="1016" t="s">
        <v>1368</v>
      </c>
      <c r="B64" s="1017"/>
      <c r="C64" s="1018"/>
      <c r="D64" s="1018"/>
      <c r="E64" s="1018"/>
      <c r="F64" s="1019"/>
      <c r="G64" s="1019"/>
      <c r="H64" s="1018"/>
      <c r="I64" s="1018"/>
      <c r="J64" s="1018"/>
      <c r="K64" s="1065"/>
      <c r="L64" s="1066"/>
      <c r="M64" s="1018"/>
      <c r="N64" s="1018"/>
      <c r="O64" s="1067"/>
      <c r="P64" s="1068"/>
      <c r="Q64" s="1080"/>
    </row>
    <row r="65" spans="1:17" s="871" customFormat="1" ht="15">
      <c r="A65" s="1089" t="s">
        <v>1477</v>
      </c>
      <c r="B65" s="1090"/>
      <c r="C65" s="1091" t="str">
        <f>YEAR(C63)&amp;"-"&amp;ROUNDUP(MONTH(C63)/3,0)</f>
        <v>2018-3</v>
      </c>
      <c r="D65" s="1091" t="str">
        <f t="shared" ref="D65:O65" si="19">YEAR(D63)&amp;"-"&amp;ROUNDUP(MONTH(D63)/3,0)</f>
        <v>2018-2</v>
      </c>
      <c r="E65" s="1091" t="str">
        <f t="shared" si="19"/>
        <v>2018-1</v>
      </c>
      <c r="F65" s="1091" t="str">
        <f t="shared" si="19"/>
        <v>2017-4</v>
      </c>
      <c r="G65" s="1091" t="str">
        <f t="shared" si="19"/>
        <v>2017-3</v>
      </c>
      <c r="H65" s="1091" t="str">
        <f t="shared" si="19"/>
        <v>2017-2</v>
      </c>
      <c r="I65" s="1091" t="str">
        <f t="shared" si="19"/>
        <v>2017-1</v>
      </c>
      <c r="J65" s="1091" t="str">
        <f t="shared" si="19"/>
        <v>2016-4</v>
      </c>
      <c r="K65" s="1091" t="str">
        <f t="shared" si="19"/>
        <v>2016-3</v>
      </c>
      <c r="L65" s="1091" t="str">
        <f t="shared" si="19"/>
        <v>2016-2</v>
      </c>
      <c r="M65" s="1091" t="str">
        <f t="shared" si="19"/>
        <v>2016-1</v>
      </c>
      <c r="N65" s="1091" t="str">
        <f t="shared" si="19"/>
        <v>2015-4</v>
      </c>
      <c r="O65" s="1091" t="str">
        <f t="shared" si="19"/>
        <v>2015-3</v>
      </c>
      <c r="P65" s="1143"/>
    </row>
    <row r="66" spans="1:17" s="866" customFormat="1" ht="30.75" customHeight="1">
      <c r="A66" s="1092" t="s">
        <v>640</v>
      </c>
      <c r="B66" s="1093" t="str">
        <f>"北京市平均增长率"&amp;TEXT(基准地价修正!P24,"0.00%")</f>
        <v>北京市平均增长率1.41%</v>
      </c>
      <c r="C66" s="801">
        <v>100</v>
      </c>
      <c r="D66" s="1094"/>
      <c r="E66" s="1094"/>
      <c r="F66" s="1094"/>
      <c r="G66" s="1094"/>
      <c r="H66" s="1094"/>
      <c r="I66" s="1094"/>
      <c r="J66" s="1094"/>
      <c r="K66" s="1094"/>
      <c r="L66" s="1094"/>
      <c r="M66" s="1144"/>
      <c r="N66" s="1144"/>
      <c r="O66" s="1145"/>
      <c r="P66" s="1080"/>
    </row>
    <row r="67" spans="1:17" s="866" customFormat="1" ht="15">
      <c r="A67" s="1095" t="s">
        <v>1369</v>
      </c>
      <c r="B67" s="1096"/>
      <c r="C67" s="1097"/>
      <c r="D67" s="1098"/>
      <c r="E67" s="1098"/>
      <c r="F67" s="1098"/>
      <c r="G67" s="1098"/>
      <c r="H67" s="1098"/>
      <c r="I67" s="1098"/>
      <c r="J67" s="1098"/>
      <c r="K67" s="1098"/>
      <c r="L67" s="1098"/>
      <c r="M67" s="1146"/>
      <c r="N67" s="1146"/>
      <c r="O67" s="1147"/>
      <c r="P67" s="1080"/>
      <c r="Q67" s="1080"/>
    </row>
    <row r="68" spans="1:17" s="866" customFormat="1" ht="15">
      <c r="A68" s="1099" t="s">
        <v>1337</v>
      </c>
      <c r="B68" s="1100"/>
      <c r="C68" s="1101" t="s">
        <v>1338</v>
      </c>
      <c r="D68" s="1102"/>
      <c r="E68" s="1102"/>
      <c r="F68" s="1102"/>
      <c r="G68" s="1102"/>
      <c r="H68" s="1102"/>
      <c r="I68" s="1102"/>
      <c r="J68" s="1102"/>
      <c r="K68" s="1102"/>
      <c r="L68" s="1148"/>
      <c r="M68" s="1149"/>
      <c r="N68" s="1150"/>
      <c r="O68" s="1150"/>
      <c r="P68" s="1151"/>
      <c r="Q68" s="1080"/>
    </row>
    <row r="69" spans="1:17" s="866" customFormat="1" ht="15">
      <c r="A69" s="1099"/>
      <c r="B69" s="1100"/>
      <c r="C69" s="1103">
        <v>100</v>
      </c>
      <c r="D69" s="1104"/>
      <c r="E69" s="1104"/>
      <c r="F69" s="1104"/>
      <c r="G69" s="1104"/>
      <c r="H69" s="1104"/>
      <c r="I69" s="1104"/>
      <c r="J69" s="1104"/>
      <c r="K69" s="1104"/>
      <c r="L69" s="1104"/>
      <c r="M69" s="1152"/>
      <c r="N69" s="1150"/>
      <c r="O69" s="1150"/>
      <c r="P69" s="1080"/>
      <c r="Q69" s="1080"/>
    </row>
    <row r="70" spans="1:17">
      <c r="A70" s="1105" t="s">
        <v>1370</v>
      </c>
      <c r="B70" s="1106" t="s">
        <v>346</v>
      </c>
      <c r="C70" s="1050"/>
      <c r="D70" s="1050"/>
      <c r="E70" s="1050"/>
      <c r="F70" s="1050"/>
      <c r="G70" s="1050"/>
      <c r="H70" s="1050"/>
      <c r="I70" s="1050"/>
      <c r="J70" s="1050"/>
      <c r="K70" s="1153"/>
      <c r="L70" s="1154"/>
      <c r="M70" s="1155"/>
      <c r="N70" s="1156"/>
      <c r="O70" s="1156"/>
      <c r="P70" s="1157"/>
      <c r="Q70" s="1080"/>
    </row>
    <row r="71" spans="1:17" ht="15">
      <c r="A71" s="1107"/>
      <c r="B71" s="1108"/>
      <c r="C71" s="1109"/>
      <c r="D71" s="1109"/>
      <c r="E71" s="1109"/>
      <c r="F71" s="1109"/>
      <c r="G71" s="1109"/>
      <c r="H71" s="1109"/>
      <c r="I71" s="1109"/>
      <c r="J71" s="1109"/>
      <c r="K71" s="1109"/>
      <c r="L71" s="1109"/>
      <c r="M71" s="1158"/>
      <c r="N71" s="1159"/>
      <c r="O71" s="1159"/>
      <c r="P71" s="1157"/>
      <c r="Q71" s="1080"/>
    </row>
    <row r="72" spans="1:17" ht="27">
      <c r="A72" s="1107"/>
      <c r="B72" s="1110" t="s">
        <v>1343</v>
      </c>
      <c r="C72" s="1111"/>
      <c r="D72" s="1111"/>
      <c r="E72" s="1111"/>
      <c r="F72" s="1111"/>
      <c r="G72" s="1111"/>
      <c r="H72" s="1111"/>
      <c r="I72" s="1111"/>
      <c r="J72" s="1111"/>
      <c r="K72" s="1160"/>
      <c r="L72" s="1161"/>
      <c r="M72" s="1162"/>
      <c r="N72" s="1156"/>
      <c r="O72" s="1156"/>
      <c r="P72" s="1157"/>
      <c r="Q72" s="1080"/>
    </row>
    <row r="73" spans="1:17" ht="15">
      <c r="A73" s="1107"/>
      <c r="B73" s="1112"/>
      <c r="C73" s="1113"/>
      <c r="D73" s="1113"/>
      <c r="E73" s="1113"/>
      <c r="F73" s="1113"/>
      <c r="G73" s="1113"/>
      <c r="H73" s="1113"/>
      <c r="I73" s="1113"/>
      <c r="J73" s="1113"/>
      <c r="K73" s="1113"/>
      <c r="L73" s="1113"/>
      <c r="M73" s="1163"/>
      <c r="N73" s="1159"/>
      <c r="O73" s="1159"/>
      <c r="P73" s="1157"/>
      <c r="Q73" s="1080"/>
    </row>
    <row r="74" spans="1:17" ht="15">
      <c r="A74" s="1107"/>
      <c r="B74" s="1114" t="s">
        <v>1344</v>
      </c>
      <c r="C74" s="1115" t="str">
        <f>C75&amp;"（含）"&amp;"-"&amp;D75</f>
        <v>（含）-</v>
      </c>
      <c r="D74" s="1115" t="str">
        <f t="shared" ref="D74:L74" si="20">D75&amp;"（含）"&amp;"-"&amp;E75</f>
        <v>（含）-</v>
      </c>
      <c r="E74" s="1115" t="str">
        <f t="shared" si="20"/>
        <v>（含）-</v>
      </c>
      <c r="F74" s="1115" t="str">
        <f t="shared" si="20"/>
        <v>（含）-</v>
      </c>
      <c r="G74" s="1115" t="str">
        <f t="shared" si="20"/>
        <v>（含）-</v>
      </c>
      <c r="H74" s="1115" t="str">
        <f t="shared" si="20"/>
        <v>（含）-</v>
      </c>
      <c r="I74" s="1115" t="str">
        <f t="shared" si="20"/>
        <v>（含）-</v>
      </c>
      <c r="J74" s="1115" t="str">
        <f t="shared" si="20"/>
        <v>（含）-</v>
      </c>
      <c r="K74" s="1115" t="str">
        <f t="shared" si="20"/>
        <v>（含）-</v>
      </c>
      <c r="L74" s="1115" t="str">
        <f t="shared" si="20"/>
        <v>（含）-</v>
      </c>
      <c r="M74" s="928" t="str">
        <f>M75&amp;"（含）"&amp;"-"&amp;P75</f>
        <v>（含）-</v>
      </c>
      <c r="N74" s="1159"/>
      <c r="O74" s="1159"/>
      <c r="P74" s="1157"/>
      <c r="Q74" s="1080"/>
    </row>
    <row r="75" spans="1:17" ht="15">
      <c r="A75" s="1107"/>
      <c r="B75" s="1116"/>
      <c r="C75" s="913"/>
      <c r="D75" s="913"/>
      <c r="E75" s="913"/>
      <c r="F75" s="913"/>
      <c r="G75" s="913"/>
      <c r="H75" s="913"/>
      <c r="I75" s="913"/>
      <c r="J75" s="913"/>
      <c r="K75" s="1164"/>
      <c r="L75" s="1165"/>
      <c r="M75" s="1166"/>
      <c r="N75" s="1156"/>
      <c r="O75" s="1156"/>
      <c r="P75" s="1157"/>
      <c r="Q75" s="1080"/>
    </row>
    <row r="76" spans="1:17" ht="15">
      <c r="A76" s="1107"/>
      <c r="B76" s="1108"/>
      <c r="C76" s="1113">
        <v>100</v>
      </c>
      <c r="D76" s="1113">
        <f>IF($B$41="单位面积地价",C76+$K11,C76-$K11)</f>
        <v>100</v>
      </c>
      <c r="E76" s="1113">
        <f t="shared" ref="E76:M76" si="21">IF($B$41="单位面积地价",D76+$K11,D76-$K11)</f>
        <v>100</v>
      </c>
      <c r="F76" s="1113">
        <f t="shared" si="21"/>
        <v>100</v>
      </c>
      <c r="G76" s="1113">
        <f t="shared" si="21"/>
        <v>100</v>
      </c>
      <c r="H76" s="1113">
        <f t="shared" si="21"/>
        <v>100</v>
      </c>
      <c r="I76" s="1113">
        <f t="shared" si="21"/>
        <v>100</v>
      </c>
      <c r="J76" s="1113">
        <f t="shared" si="21"/>
        <v>100</v>
      </c>
      <c r="K76" s="1113">
        <f t="shared" si="21"/>
        <v>100</v>
      </c>
      <c r="L76" s="1113">
        <f t="shared" si="21"/>
        <v>100</v>
      </c>
      <c r="M76" s="1113">
        <f t="shared" si="21"/>
        <v>100</v>
      </c>
      <c r="N76" s="1159"/>
      <c r="O76" s="1159"/>
      <c r="P76" s="1157"/>
      <c r="Q76" s="1080"/>
    </row>
    <row r="77" spans="1:17" s="868" customFormat="1" ht="15">
      <c r="A77" s="1117"/>
      <c r="B77" s="1110">
        <f>B12</f>
        <v>111</v>
      </c>
      <c r="C77" s="1118"/>
      <c r="D77" s="1118"/>
      <c r="E77" s="1118"/>
      <c r="F77" s="1118"/>
      <c r="G77" s="1118"/>
      <c r="H77" s="1119"/>
      <c r="I77" s="1119"/>
      <c r="J77" s="1119"/>
      <c r="K77" s="1119"/>
      <c r="L77" s="1167"/>
      <c r="M77" s="1168"/>
      <c r="N77" s="1169"/>
      <c r="O77" s="1169"/>
      <c r="P77" s="1170"/>
      <c r="Q77" s="1200"/>
    </row>
    <row r="78" spans="1:17" s="868" customFormat="1" ht="15">
      <c r="A78" s="1117"/>
      <c r="B78" s="1112"/>
      <c r="C78" s="1120"/>
      <c r="D78" s="1109"/>
      <c r="E78" s="1109"/>
      <c r="F78" s="1109"/>
      <c r="G78" s="1109"/>
      <c r="H78" s="1109"/>
      <c r="I78" s="1109"/>
      <c r="J78" s="1109"/>
      <c r="K78" s="1109"/>
      <c r="L78" s="1109"/>
      <c r="M78" s="1158"/>
      <c r="N78" s="1159"/>
      <c r="O78" s="1159"/>
      <c r="P78" s="1170"/>
      <c r="Q78" s="1200"/>
    </row>
    <row r="79" spans="1:17" s="868" customFormat="1" ht="15">
      <c r="A79" s="1117"/>
      <c r="B79" s="1110">
        <f>B13</f>
        <v>111</v>
      </c>
      <c r="C79" s="1118"/>
      <c r="D79" s="1118"/>
      <c r="E79" s="1118"/>
      <c r="F79" s="1118"/>
      <c r="G79" s="1118"/>
      <c r="H79" s="1119"/>
      <c r="I79" s="1119"/>
      <c r="J79" s="1119"/>
      <c r="K79" s="1119"/>
      <c r="L79" s="1167"/>
      <c r="M79" s="1168"/>
      <c r="N79" s="1169"/>
      <c r="O79" s="1169"/>
      <c r="P79" s="1171"/>
      <c r="Q79" s="1201"/>
    </row>
    <row r="80" spans="1:17" s="868" customFormat="1" ht="15">
      <c r="A80" s="1117"/>
      <c r="B80" s="1112"/>
      <c r="C80" s="1120"/>
      <c r="D80" s="1120"/>
      <c r="E80" s="1120"/>
      <c r="F80" s="1120"/>
      <c r="G80" s="1120"/>
      <c r="H80" s="1121"/>
      <c r="I80" s="1121"/>
      <c r="J80" s="1121"/>
      <c r="K80" s="1121"/>
      <c r="L80" s="1121"/>
      <c r="M80" s="1172"/>
      <c r="N80" s="1169"/>
      <c r="O80" s="1169"/>
      <c r="P80" s="1170"/>
      <c r="Q80" s="1200"/>
    </row>
    <row r="81" spans="1:17" s="868" customFormat="1" ht="15">
      <c r="A81" s="1117"/>
      <c r="B81" s="1114">
        <f>B14</f>
        <v>111</v>
      </c>
      <c r="C81" s="1102"/>
      <c r="D81" s="1102"/>
      <c r="E81" s="1102"/>
      <c r="F81" s="1102"/>
      <c r="G81" s="1102"/>
      <c r="H81" s="1122"/>
      <c r="I81" s="1122"/>
      <c r="J81" s="1122"/>
      <c r="K81" s="1122"/>
      <c r="L81" s="1173"/>
      <c r="M81" s="1174"/>
      <c r="N81" s="1169"/>
      <c r="O81" s="1169"/>
      <c r="P81" s="1175"/>
      <c r="Q81" s="1200"/>
    </row>
    <row r="82" spans="1:17" s="868" customFormat="1" ht="15">
      <c r="A82" s="1123"/>
      <c r="B82" s="1124"/>
      <c r="C82" s="1125"/>
      <c r="D82" s="1125"/>
      <c r="E82" s="1125"/>
      <c r="F82" s="1125"/>
      <c r="G82" s="1125"/>
      <c r="H82" s="1126"/>
      <c r="I82" s="1126"/>
      <c r="J82" s="1126"/>
      <c r="K82" s="1126"/>
      <c r="L82" s="1126"/>
      <c r="M82" s="1176"/>
      <c r="N82" s="1169"/>
      <c r="O82" s="1169"/>
      <c r="P82" s="1170"/>
      <c r="Q82" s="1200"/>
    </row>
    <row r="83" spans="1:17">
      <c r="A83" s="1105" t="s">
        <v>1345</v>
      </c>
      <c r="B83" s="1106" t="s">
        <v>644</v>
      </c>
      <c r="C83" s="1127" t="s">
        <v>1378</v>
      </c>
      <c r="D83" s="1127" t="s">
        <v>1379</v>
      </c>
      <c r="E83" s="1127" t="s">
        <v>1380</v>
      </c>
      <c r="F83" s="1127" t="s">
        <v>1381</v>
      </c>
      <c r="G83" s="1127" t="s">
        <v>1382</v>
      </c>
      <c r="H83" s="1128"/>
      <c r="I83" s="1128"/>
      <c r="J83" s="1128"/>
      <c r="K83" s="1177"/>
      <c r="L83" s="1178"/>
      <c r="M83" s="1179"/>
      <c r="N83" s="1156"/>
      <c r="O83" s="1156"/>
      <c r="P83" s="1180"/>
      <c r="Q83" s="1080"/>
    </row>
    <row r="84" spans="1:17" ht="15">
      <c r="A84" s="1107"/>
      <c r="B84" s="1112"/>
      <c r="C84" s="1113">
        <v>100</v>
      </c>
      <c r="D84" s="1113">
        <f>C84-$K15</f>
        <v>100</v>
      </c>
      <c r="E84" s="1113">
        <f>D84-$K15</f>
        <v>100</v>
      </c>
      <c r="F84" s="1113">
        <f>E84-$K15</f>
        <v>100</v>
      </c>
      <c r="G84" s="1113">
        <f>F84-$K15</f>
        <v>100</v>
      </c>
      <c r="H84" s="1113"/>
      <c r="I84" s="1113"/>
      <c r="J84" s="1113"/>
      <c r="K84" s="1113"/>
      <c r="L84" s="1113"/>
      <c r="M84" s="1163"/>
      <c r="N84" s="1159"/>
      <c r="O84" s="1159"/>
      <c r="P84" s="1157"/>
      <c r="Q84" s="1080"/>
    </row>
    <row r="85" spans="1:17" ht="15">
      <c r="A85" s="1107"/>
      <c r="B85" s="1110" t="s">
        <v>648</v>
      </c>
      <c r="C85" s="1129" t="s">
        <v>1378</v>
      </c>
      <c r="D85" s="1129" t="s">
        <v>1379</v>
      </c>
      <c r="E85" s="1129" t="s">
        <v>1380</v>
      </c>
      <c r="F85" s="1129" t="s">
        <v>1381</v>
      </c>
      <c r="G85" s="1129" t="s">
        <v>1382</v>
      </c>
      <c r="H85" s="1111"/>
      <c r="I85" s="1111"/>
      <c r="J85" s="1111"/>
      <c r="K85" s="1160"/>
      <c r="L85" s="1161"/>
      <c r="M85" s="1162"/>
      <c r="N85" s="1156"/>
      <c r="O85" s="1156"/>
      <c r="P85" s="1157"/>
      <c r="Q85" s="1080"/>
    </row>
    <row r="86" spans="1:17" ht="15">
      <c r="A86" s="1107"/>
      <c r="B86" s="1112"/>
      <c r="C86" s="1113">
        <v>100</v>
      </c>
      <c r="D86" s="1113">
        <f>C86-$K17</f>
        <v>100</v>
      </c>
      <c r="E86" s="1113">
        <f>D86-$K17</f>
        <v>100</v>
      </c>
      <c r="F86" s="1113">
        <f>E86-$K17</f>
        <v>100</v>
      </c>
      <c r="G86" s="1113">
        <f>F86-$K17</f>
        <v>100</v>
      </c>
      <c r="H86" s="1113"/>
      <c r="I86" s="1113"/>
      <c r="J86" s="1113"/>
      <c r="K86" s="1113"/>
      <c r="L86" s="1113"/>
      <c r="M86" s="1163"/>
      <c r="N86" s="1159"/>
      <c r="O86" s="1159"/>
      <c r="P86" s="1157"/>
      <c r="Q86" s="1080"/>
    </row>
    <row r="87" spans="1:17" s="866" customFormat="1" ht="15">
      <c r="A87" s="1130"/>
      <c r="B87" s="1110" t="s">
        <v>662</v>
      </c>
      <c r="C87" s="1127" t="s">
        <v>1378</v>
      </c>
      <c r="D87" s="1127" t="s">
        <v>1379</v>
      </c>
      <c r="E87" s="1127" t="s">
        <v>1380</v>
      </c>
      <c r="F87" s="1127" t="s">
        <v>1381</v>
      </c>
      <c r="G87" s="1127" t="s">
        <v>1382</v>
      </c>
      <c r="H87" s="1129"/>
      <c r="I87" s="1129"/>
      <c r="J87" s="1129"/>
      <c r="K87" s="1129"/>
      <c r="L87" s="1181"/>
      <c r="M87" s="1182"/>
      <c r="N87" s="1150"/>
      <c r="O87" s="1150"/>
      <c r="P87" s="1157"/>
      <c r="Q87" s="1080"/>
    </row>
    <row r="88" spans="1:17" s="866" customFormat="1" ht="15">
      <c r="A88" s="1130"/>
      <c r="B88" s="1112"/>
      <c r="C88" s="1131">
        <v>100</v>
      </c>
      <c r="D88" s="1113">
        <f>C88-$K19</f>
        <v>100</v>
      </c>
      <c r="E88" s="1113">
        <f>D88-$K19</f>
        <v>100</v>
      </c>
      <c r="F88" s="1113">
        <f>E88-$K19</f>
        <v>100</v>
      </c>
      <c r="G88" s="1113">
        <f>F88-$K19</f>
        <v>100</v>
      </c>
      <c r="H88" s="1113"/>
      <c r="I88" s="1113"/>
      <c r="J88" s="1113"/>
      <c r="K88" s="1113"/>
      <c r="L88" s="1113"/>
      <c r="M88" s="1163"/>
      <c r="N88" s="1159"/>
      <c r="O88" s="1159"/>
      <c r="P88" s="1157"/>
      <c r="Q88" s="1080"/>
    </row>
    <row r="89" spans="1:17" s="866" customFormat="1" ht="27">
      <c r="A89" s="1130"/>
      <c r="B89" s="1110" t="s">
        <v>663</v>
      </c>
      <c r="C89" s="1127" t="s">
        <v>1378</v>
      </c>
      <c r="D89" s="1127" t="s">
        <v>1379</v>
      </c>
      <c r="E89" s="1127" t="s">
        <v>1380</v>
      </c>
      <c r="F89" s="1127" t="s">
        <v>1381</v>
      </c>
      <c r="G89" s="1127" t="s">
        <v>1382</v>
      </c>
      <c r="H89" s="1129"/>
      <c r="I89" s="1129"/>
      <c r="J89" s="1129"/>
      <c r="K89" s="1129"/>
      <c r="L89" s="1129"/>
      <c r="M89" s="1182"/>
      <c r="N89" s="1150"/>
      <c r="O89" s="1150"/>
      <c r="P89" s="1157"/>
      <c r="Q89" s="1080"/>
    </row>
    <row r="90" spans="1:17" s="866" customFormat="1" ht="15">
      <c r="A90" s="1130"/>
      <c r="B90" s="1112"/>
      <c r="C90" s="1113">
        <v>100</v>
      </c>
      <c r="D90" s="1113">
        <f>C90-$K21</f>
        <v>100</v>
      </c>
      <c r="E90" s="1113">
        <f>D90-$K21</f>
        <v>100</v>
      </c>
      <c r="F90" s="1113">
        <f>E90-$K21</f>
        <v>100</v>
      </c>
      <c r="G90" s="1113">
        <f>F90-$K21</f>
        <v>100</v>
      </c>
      <c r="H90" s="1113"/>
      <c r="I90" s="1113"/>
      <c r="J90" s="1113"/>
      <c r="K90" s="1113"/>
      <c r="L90" s="1113"/>
      <c r="M90" s="1163"/>
      <c r="N90" s="1159"/>
      <c r="O90" s="1159"/>
      <c r="P90" s="1157"/>
      <c r="Q90" s="1080"/>
    </row>
    <row r="91" spans="1:17" s="868" customFormat="1" ht="15">
      <c r="A91" s="1117"/>
      <c r="B91" s="1110" t="s">
        <v>652</v>
      </c>
      <c r="C91" s="1127" t="s">
        <v>1378</v>
      </c>
      <c r="D91" s="1127" t="s">
        <v>1379</v>
      </c>
      <c r="E91" s="1127" t="s">
        <v>1380</v>
      </c>
      <c r="F91" s="1127" t="s">
        <v>1381</v>
      </c>
      <c r="G91" s="1127" t="s">
        <v>1382</v>
      </c>
      <c r="H91" s="1132"/>
      <c r="I91" s="1132"/>
      <c r="J91" s="1132"/>
      <c r="K91" s="1132"/>
      <c r="L91" s="1183"/>
      <c r="M91" s="1184"/>
      <c r="N91" s="1169"/>
      <c r="O91" s="1169"/>
      <c r="P91" s="1170"/>
      <c r="Q91" s="1200"/>
    </row>
    <row r="92" spans="1:17" s="868" customFormat="1" ht="15">
      <c r="A92" s="1117"/>
      <c r="B92" s="1112"/>
      <c r="C92" s="1113">
        <v>100</v>
      </c>
      <c r="D92" s="1113">
        <f>C92-$K23</f>
        <v>100</v>
      </c>
      <c r="E92" s="1113">
        <f>D92-$K23</f>
        <v>100</v>
      </c>
      <c r="F92" s="1113">
        <f>E92-$K23</f>
        <v>100</v>
      </c>
      <c r="G92" s="1113">
        <f>F92-$K23</f>
        <v>100</v>
      </c>
      <c r="H92" s="1133"/>
      <c r="I92" s="1133"/>
      <c r="J92" s="1133"/>
      <c r="K92" s="1133"/>
      <c r="L92" s="1133"/>
      <c r="M92" s="1185"/>
      <c r="N92" s="1169"/>
      <c r="O92" s="1169"/>
      <c r="P92" s="1170"/>
      <c r="Q92" s="1200"/>
    </row>
    <row r="93" spans="1:17" s="868" customFormat="1" ht="15">
      <c r="A93" s="1117"/>
      <c r="B93" s="1114" t="s">
        <v>654</v>
      </c>
      <c r="C93" s="1134" t="s">
        <v>1383</v>
      </c>
      <c r="D93" s="1134" t="s">
        <v>1384</v>
      </c>
      <c r="E93" s="1134" t="s">
        <v>1385</v>
      </c>
      <c r="F93" s="1134" t="s">
        <v>1386</v>
      </c>
      <c r="G93" s="1134" t="s">
        <v>1387</v>
      </c>
      <c r="H93" s="1132"/>
      <c r="I93" s="1132"/>
      <c r="J93" s="1132"/>
      <c r="K93" s="1132"/>
      <c r="L93" s="1132"/>
      <c r="M93" s="1184"/>
      <c r="N93" s="1169"/>
      <c r="O93" s="1169"/>
      <c r="P93" s="1170"/>
      <c r="Q93" s="1200"/>
    </row>
    <row r="94" spans="1:17" s="868" customFormat="1" ht="15">
      <c r="A94" s="1117"/>
      <c r="B94" s="1114"/>
      <c r="C94" s="1113">
        <v>100</v>
      </c>
      <c r="D94" s="1113">
        <f>C94-$K25</f>
        <v>100</v>
      </c>
      <c r="E94" s="1113">
        <f>D94-$K25</f>
        <v>100</v>
      </c>
      <c r="F94" s="1113">
        <f>E94-$K25</f>
        <v>100</v>
      </c>
      <c r="G94" s="1113">
        <f>F94-$K25</f>
        <v>100</v>
      </c>
      <c r="H94" s="1116"/>
      <c r="I94" s="1116"/>
      <c r="J94" s="1116"/>
      <c r="K94" s="1116"/>
      <c r="L94" s="1116"/>
      <c r="M94" s="1186"/>
      <c r="N94" s="1169"/>
      <c r="O94" s="1169"/>
      <c r="P94" s="1170"/>
      <c r="Q94" s="1200"/>
    </row>
    <row r="95" spans="1:17" ht="15">
      <c r="A95" s="1107"/>
      <c r="B95" s="1110" t="str">
        <f>B27</f>
        <v>临街状况</v>
      </c>
      <c r="C95" s="1111" t="s">
        <v>1479</v>
      </c>
      <c r="D95" s="1111" t="s">
        <v>1480</v>
      </c>
      <c r="E95" s="1111" t="s">
        <v>1481</v>
      </c>
      <c r="F95" s="1111" t="s">
        <v>1482</v>
      </c>
      <c r="G95" s="1111"/>
      <c r="H95" s="1111"/>
      <c r="I95" s="1111"/>
      <c r="J95" s="1111"/>
      <c r="K95" s="1160"/>
      <c r="L95" s="1161"/>
      <c r="M95" s="1162"/>
      <c r="N95" s="1156"/>
      <c r="O95" s="1156"/>
      <c r="P95" s="1157"/>
      <c r="Q95" s="1080"/>
    </row>
    <row r="96" spans="1:17" ht="15">
      <c r="A96" s="1107"/>
      <c r="B96" s="1112"/>
      <c r="C96" s="1113">
        <v>100</v>
      </c>
      <c r="D96" s="1113">
        <f t="shared" ref="D96:M96" si="22">C96-$K27</f>
        <v>100</v>
      </c>
      <c r="E96" s="1113">
        <f t="shared" si="22"/>
        <v>100</v>
      </c>
      <c r="F96" s="1113">
        <f t="shared" si="22"/>
        <v>100</v>
      </c>
      <c r="G96" s="1113">
        <f t="shared" si="22"/>
        <v>100</v>
      </c>
      <c r="H96" s="1113">
        <f t="shared" si="22"/>
        <v>100</v>
      </c>
      <c r="I96" s="1113">
        <f t="shared" si="22"/>
        <v>100</v>
      </c>
      <c r="J96" s="1113">
        <f t="shared" si="22"/>
        <v>100</v>
      </c>
      <c r="K96" s="1113">
        <f t="shared" si="22"/>
        <v>100</v>
      </c>
      <c r="L96" s="1113">
        <f t="shared" si="22"/>
        <v>100</v>
      </c>
      <c r="M96" s="1113">
        <f t="shared" si="22"/>
        <v>100</v>
      </c>
      <c r="N96" s="1159"/>
      <c r="O96" s="1159"/>
      <c r="P96" s="1157"/>
      <c r="Q96" s="1080"/>
    </row>
    <row r="97" spans="1:17" ht="27">
      <c r="A97" s="1107"/>
      <c r="B97" s="1110" t="s">
        <v>660</v>
      </c>
      <c r="C97" s="1118"/>
      <c r="D97" s="1118"/>
      <c r="E97" s="1118"/>
      <c r="F97" s="1118"/>
      <c r="G97" s="1118"/>
      <c r="H97" s="1135"/>
      <c r="I97" s="1135"/>
      <c r="J97" s="1135"/>
      <c r="K97" s="1187"/>
      <c r="L97" s="1188"/>
      <c r="M97" s="1189"/>
      <c r="N97" s="1156"/>
      <c r="O97" s="1156"/>
      <c r="P97" s="1157"/>
      <c r="Q97" s="1080"/>
    </row>
    <row r="98" spans="1:17" ht="15">
      <c r="A98" s="1107"/>
      <c r="B98" s="1112"/>
      <c r="C98" s="1113">
        <v>100</v>
      </c>
      <c r="D98" s="1113">
        <f t="shared" ref="D98:M98" si="23">C98-$K28</f>
        <v>100</v>
      </c>
      <c r="E98" s="1113">
        <f t="shared" si="23"/>
        <v>100</v>
      </c>
      <c r="F98" s="1113">
        <f t="shared" si="23"/>
        <v>100</v>
      </c>
      <c r="G98" s="1113">
        <f t="shared" si="23"/>
        <v>100</v>
      </c>
      <c r="H98" s="1113">
        <f t="shared" si="23"/>
        <v>100</v>
      </c>
      <c r="I98" s="1113">
        <f t="shared" si="23"/>
        <v>100</v>
      </c>
      <c r="J98" s="1113">
        <f t="shared" si="23"/>
        <v>100</v>
      </c>
      <c r="K98" s="1113">
        <f t="shared" si="23"/>
        <v>100</v>
      </c>
      <c r="L98" s="1113">
        <f t="shared" si="23"/>
        <v>100</v>
      </c>
      <c r="M98" s="1113">
        <f t="shared" si="23"/>
        <v>100</v>
      </c>
      <c r="N98" s="1159"/>
      <c r="O98" s="1159"/>
      <c r="P98" s="1157"/>
      <c r="Q98" s="1080"/>
    </row>
    <row r="99" spans="1:17" ht="15">
      <c r="A99" s="1107"/>
      <c r="B99" s="1110" t="s">
        <v>665</v>
      </c>
      <c r="C99" s="1135"/>
      <c r="D99" s="1135"/>
      <c r="E99" s="1135"/>
      <c r="F99" s="1135"/>
      <c r="G99" s="1135"/>
      <c r="H99" s="1135"/>
      <c r="I99" s="1135"/>
      <c r="J99" s="1135"/>
      <c r="K99" s="1187"/>
      <c r="L99" s="1188"/>
      <c r="M99" s="1189"/>
      <c r="N99" s="1156"/>
      <c r="O99" s="1156"/>
      <c r="P99" s="1157"/>
      <c r="Q99" s="1080"/>
    </row>
    <row r="100" spans="1:17" ht="15">
      <c r="A100" s="1107"/>
      <c r="B100" s="1112"/>
      <c r="C100" s="1113">
        <v>100</v>
      </c>
      <c r="D100" s="1113">
        <f t="shared" ref="D100:M100" si="24">C100-$K30</f>
        <v>100</v>
      </c>
      <c r="E100" s="1113">
        <f t="shared" si="24"/>
        <v>100</v>
      </c>
      <c r="F100" s="1113">
        <f t="shared" si="24"/>
        <v>100</v>
      </c>
      <c r="G100" s="1113">
        <f t="shared" si="24"/>
        <v>100</v>
      </c>
      <c r="H100" s="1113">
        <f t="shared" si="24"/>
        <v>100</v>
      </c>
      <c r="I100" s="1113">
        <f t="shared" si="24"/>
        <v>100</v>
      </c>
      <c r="J100" s="1113">
        <f t="shared" si="24"/>
        <v>100</v>
      </c>
      <c r="K100" s="1113">
        <f t="shared" si="24"/>
        <v>100</v>
      </c>
      <c r="L100" s="1113">
        <f t="shared" si="24"/>
        <v>100</v>
      </c>
      <c r="M100" s="1113">
        <f t="shared" si="24"/>
        <v>100</v>
      </c>
      <c r="N100" s="1159"/>
      <c r="O100" s="1159"/>
      <c r="P100" s="1157"/>
      <c r="Q100" s="1080"/>
    </row>
    <row r="101" spans="1:17" ht="15">
      <c r="A101" s="1107"/>
      <c r="B101" s="1114">
        <f>B31</f>
        <v>111</v>
      </c>
      <c r="C101" s="1118"/>
      <c r="D101" s="1118"/>
      <c r="E101" s="1118"/>
      <c r="F101" s="1118"/>
      <c r="G101" s="1136"/>
      <c r="H101" s="1136"/>
      <c r="I101" s="1136"/>
      <c r="J101" s="1136"/>
      <c r="K101" s="1190"/>
      <c r="L101" s="1191"/>
      <c r="M101" s="1192"/>
      <c r="N101" s="1156"/>
      <c r="O101" s="1156"/>
      <c r="P101" s="1157"/>
      <c r="Q101" s="1080"/>
    </row>
    <row r="102" spans="1:17" ht="15">
      <c r="A102" s="1107"/>
      <c r="B102" s="1124"/>
      <c r="C102" s="1120"/>
      <c r="D102" s="1109"/>
      <c r="E102" s="1109"/>
      <c r="F102" s="1109"/>
      <c r="G102" s="1137"/>
      <c r="H102" s="1137"/>
      <c r="I102" s="1137"/>
      <c r="J102" s="1137"/>
      <c r="K102" s="1137"/>
      <c r="L102" s="1137"/>
      <c r="M102" s="1193"/>
      <c r="N102" s="1159"/>
      <c r="O102" s="1159"/>
      <c r="P102" s="1157"/>
      <c r="Q102" s="1080"/>
    </row>
    <row r="103" spans="1:17">
      <c r="A103" s="948"/>
      <c r="B103" s="1110">
        <f>B32</f>
        <v>111</v>
      </c>
      <c r="C103" s="1118"/>
      <c r="D103" s="1118"/>
      <c r="E103" s="1118"/>
      <c r="F103" s="1118"/>
      <c r="G103" s="1135"/>
      <c r="H103" s="1135"/>
      <c r="I103" s="1135"/>
      <c r="J103" s="1135"/>
      <c r="K103" s="1187"/>
      <c r="L103" s="1188"/>
      <c r="M103" s="1189"/>
      <c r="N103" s="1156"/>
      <c r="O103" s="1156"/>
      <c r="P103" s="1157"/>
      <c r="Q103" s="1080"/>
    </row>
    <row r="104" spans="1:17" ht="15">
      <c r="A104" s="1107"/>
      <c r="B104" s="1112"/>
      <c r="C104" s="1120"/>
      <c r="D104" s="1120"/>
      <c r="E104" s="1120"/>
      <c r="F104" s="1120"/>
      <c r="G104" s="1109"/>
      <c r="H104" s="1109"/>
      <c r="I104" s="1109"/>
      <c r="J104" s="1109"/>
      <c r="K104" s="1109"/>
      <c r="L104" s="1109"/>
      <c r="M104" s="1158"/>
      <c r="N104" s="1159"/>
      <c r="O104" s="1159"/>
      <c r="P104" s="1157"/>
      <c r="Q104" s="1080"/>
    </row>
    <row r="105" spans="1:17" s="868" customFormat="1">
      <c r="A105" s="1138"/>
      <c r="B105" s="1139">
        <f>B33</f>
        <v>111</v>
      </c>
      <c r="C105" s="1102"/>
      <c r="D105" s="1102"/>
      <c r="E105" s="1102"/>
      <c r="F105" s="1102"/>
      <c r="G105" s="1094"/>
      <c r="H105" s="1094"/>
      <c r="I105" s="1094"/>
      <c r="J105" s="1194"/>
      <c r="K105" s="1194"/>
      <c r="L105" s="1195"/>
      <c r="M105" s="1196"/>
      <c r="N105" s="1169"/>
      <c r="O105" s="1169"/>
      <c r="P105" s="1170"/>
      <c r="Q105" s="1200"/>
    </row>
    <row r="106" spans="1:17" s="868" customFormat="1" ht="15">
      <c r="A106" s="1117"/>
      <c r="B106" s="1114"/>
      <c r="C106" s="1125"/>
      <c r="D106" s="1125"/>
      <c r="E106" s="1125"/>
      <c r="F106" s="1125"/>
      <c r="G106" s="1140"/>
      <c r="H106" s="1140"/>
      <c r="I106" s="1140"/>
      <c r="J106" s="1140"/>
      <c r="K106" s="1140"/>
      <c r="L106" s="1140"/>
      <c r="M106" s="1197"/>
      <c r="N106" s="1159"/>
      <c r="O106" s="1159"/>
      <c r="P106" s="1170"/>
      <c r="Q106" s="1200"/>
    </row>
    <row r="107" spans="1:17">
      <c r="A107" s="1105" t="s">
        <v>1349</v>
      </c>
      <c r="B107" s="1106" t="s">
        <v>1446</v>
      </c>
      <c r="C107" s="1128" t="str">
        <f t="shared" ref="C107:L107" si="25">C108&amp;"(含)"&amp;"-"&amp;D108</f>
        <v>(含)-</v>
      </c>
      <c r="D107" s="1128" t="str">
        <f t="shared" si="25"/>
        <v>(含)-</v>
      </c>
      <c r="E107" s="1128" t="str">
        <f t="shared" si="25"/>
        <v>(含)-</v>
      </c>
      <c r="F107" s="1128" t="str">
        <f t="shared" si="25"/>
        <v>(含)-</v>
      </c>
      <c r="G107" s="1128" t="str">
        <f t="shared" si="25"/>
        <v>(含)-</v>
      </c>
      <c r="H107" s="1128" t="str">
        <f t="shared" si="25"/>
        <v>(含)-</v>
      </c>
      <c r="I107" s="1128" t="str">
        <f t="shared" si="25"/>
        <v>(含)-</v>
      </c>
      <c r="J107" s="1128" t="str">
        <f t="shared" si="25"/>
        <v>(含)-</v>
      </c>
      <c r="K107" s="1198" t="str">
        <f t="shared" si="25"/>
        <v>(含)-</v>
      </c>
      <c r="L107" s="1198" t="str">
        <f t="shared" si="25"/>
        <v>(含)-</v>
      </c>
      <c r="M107" s="1199" t="str">
        <f>M108&amp;"(含)"&amp;"-"&amp;P108</f>
        <v>(含)-</v>
      </c>
      <c r="N107" s="1156"/>
      <c r="O107" s="1156"/>
      <c r="P107" s="1157"/>
      <c r="Q107" s="1080"/>
    </row>
    <row r="108" spans="1:17" ht="15">
      <c r="A108" s="1107"/>
      <c r="B108" s="1114"/>
      <c r="C108" s="1094"/>
      <c r="D108" s="1094"/>
      <c r="E108" s="1094"/>
      <c r="F108" s="1094"/>
      <c r="G108" s="1094"/>
      <c r="H108" s="1094"/>
      <c r="I108" s="1094"/>
      <c r="J108" s="1194"/>
      <c r="K108" s="1194"/>
      <c r="L108" s="1195"/>
      <c r="M108" s="1196"/>
      <c r="N108" s="1156"/>
      <c r="O108" s="1156"/>
      <c r="P108" s="1157"/>
      <c r="Q108" s="1080"/>
    </row>
    <row r="109" spans="1:17" ht="15">
      <c r="A109" s="1107"/>
      <c r="B109" s="1112"/>
      <c r="C109" s="1125"/>
      <c r="D109" s="1137"/>
      <c r="E109" s="1137"/>
      <c r="F109" s="1137"/>
      <c r="G109" s="1137"/>
      <c r="H109" s="1137"/>
      <c r="I109" s="1137"/>
      <c r="J109" s="1137"/>
      <c r="K109" s="1137"/>
      <c r="L109" s="1137"/>
      <c r="M109" s="1193"/>
      <c r="N109" s="1159"/>
      <c r="O109" s="1159"/>
      <c r="P109" s="1157"/>
      <c r="Q109" s="1080"/>
    </row>
    <row r="110" spans="1:17">
      <c r="A110" s="1141"/>
      <c r="B110" s="1110" t="s">
        <v>1447</v>
      </c>
      <c r="C110" s="1135"/>
      <c r="D110" s="1135"/>
      <c r="E110" s="1135"/>
      <c r="F110" s="1135"/>
      <c r="G110" s="1135"/>
      <c r="H110" s="1135"/>
      <c r="I110" s="1135"/>
      <c r="J110" s="1135"/>
      <c r="K110" s="1187"/>
      <c r="L110" s="1188"/>
      <c r="M110" s="1189"/>
      <c r="N110" s="1156"/>
      <c r="O110" s="1156"/>
      <c r="P110" s="1157"/>
      <c r="Q110" s="1080"/>
    </row>
    <row r="111" spans="1:17" ht="15">
      <c r="A111" s="1107"/>
      <c r="B111" s="1112"/>
      <c r="C111" s="1113">
        <v>100</v>
      </c>
      <c r="D111" s="1113">
        <f t="shared" ref="D111:M111" si="26">C111-$K35</f>
        <v>100</v>
      </c>
      <c r="E111" s="1113">
        <f t="shared" si="26"/>
        <v>100</v>
      </c>
      <c r="F111" s="1113">
        <f t="shared" si="26"/>
        <v>100</v>
      </c>
      <c r="G111" s="1113">
        <f t="shared" si="26"/>
        <v>100</v>
      </c>
      <c r="H111" s="1113">
        <f t="shared" si="26"/>
        <v>100</v>
      </c>
      <c r="I111" s="1113">
        <f t="shared" si="26"/>
        <v>100</v>
      </c>
      <c r="J111" s="1113">
        <f t="shared" si="26"/>
        <v>100</v>
      </c>
      <c r="K111" s="1113">
        <f t="shared" si="26"/>
        <v>100</v>
      </c>
      <c r="L111" s="1113">
        <f t="shared" si="26"/>
        <v>100</v>
      </c>
      <c r="M111" s="1163">
        <f t="shared" si="26"/>
        <v>100</v>
      </c>
      <c r="N111" s="1159"/>
      <c r="O111" s="1159"/>
      <c r="P111" s="1157"/>
      <c r="Q111" s="1080"/>
    </row>
    <row r="112" spans="1:17" s="868" customFormat="1">
      <c r="A112" s="1138"/>
      <c r="B112" s="1110" t="s">
        <v>1449</v>
      </c>
      <c r="C112" s="1118"/>
      <c r="D112" s="1118"/>
      <c r="E112" s="1118"/>
      <c r="F112" s="1118"/>
      <c r="G112" s="1118"/>
      <c r="H112" s="1135"/>
      <c r="I112" s="1135"/>
      <c r="J112" s="1135"/>
      <c r="K112" s="1187"/>
      <c r="L112" s="1188"/>
      <c r="M112" s="1189"/>
      <c r="N112" s="1169"/>
      <c r="O112" s="1169"/>
      <c r="P112" s="1170"/>
      <c r="Q112" s="1200"/>
    </row>
    <row r="113" spans="1:17" s="868" customFormat="1" ht="15">
      <c r="A113" s="1117"/>
      <c r="B113" s="1112"/>
      <c r="C113" s="1113">
        <v>100</v>
      </c>
      <c r="D113" s="1113">
        <f t="shared" ref="D113:M113" si="27">C113-$K36</f>
        <v>100</v>
      </c>
      <c r="E113" s="1113">
        <f t="shared" si="27"/>
        <v>100</v>
      </c>
      <c r="F113" s="1113">
        <f t="shared" si="27"/>
        <v>100</v>
      </c>
      <c r="G113" s="1113">
        <f t="shared" si="27"/>
        <v>100</v>
      </c>
      <c r="H113" s="1113">
        <f t="shared" si="27"/>
        <v>100</v>
      </c>
      <c r="I113" s="1113">
        <f t="shared" si="27"/>
        <v>100</v>
      </c>
      <c r="J113" s="1113">
        <f t="shared" si="27"/>
        <v>100</v>
      </c>
      <c r="K113" s="1113">
        <f t="shared" si="27"/>
        <v>100</v>
      </c>
      <c r="L113" s="1113">
        <f t="shared" si="27"/>
        <v>100</v>
      </c>
      <c r="M113" s="1163">
        <f t="shared" si="27"/>
        <v>100</v>
      </c>
      <c r="N113" s="1169"/>
      <c r="O113" s="1169"/>
      <c r="P113" s="1170"/>
      <c r="Q113" s="1200"/>
    </row>
    <row r="114" spans="1:17">
      <c r="A114" s="1141"/>
      <c r="B114" s="1110" t="s">
        <v>1450</v>
      </c>
      <c r="C114" s="1118"/>
      <c r="D114" s="1118"/>
      <c r="E114" s="1135"/>
      <c r="F114" s="1135"/>
      <c r="G114" s="1135"/>
      <c r="H114" s="1135"/>
      <c r="I114" s="1135"/>
      <c r="J114" s="1135"/>
      <c r="K114" s="1187"/>
      <c r="L114" s="1188"/>
      <c r="M114" s="1189"/>
      <c r="N114" s="1156"/>
      <c r="O114" s="1156"/>
      <c r="P114" s="1157"/>
      <c r="Q114" s="1080"/>
    </row>
    <row r="115" spans="1:17" ht="15">
      <c r="A115" s="1107"/>
      <c r="B115" s="1112"/>
      <c r="C115" s="1113">
        <v>100</v>
      </c>
      <c r="D115" s="1113">
        <f t="shared" ref="D115:M115" si="28">C115-$K37</f>
        <v>100</v>
      </c>
      <c r="E115" s="1113">
        <f t="shared" si="28"/>
        <v>100</v>
      </c>
      <c r="F115" s="1113">
        <f t="shared" si="28"/>
        <v>100</v>
      </c>
      <c r="G115" s="1113">
        <f t="shared" si="28"/>
        <v>100</v>
      </c>
      <c r="H115" s="1113">
        <f t="shared" si="28"/>
        <v>100</v>
      </c>
      <c r="I115" s="1113">
        <f t="shared" si="28"/>
        <v>100</v>
      </c>
      <c r="J115" s="1113">
        <f t="shared" si="28"/>
        <v>100</v>
      </c>
      <c r="K115" s="1113">
        <f t="shared" si="28"/>
        <v>100</v>
      </c>
      <c r="L115" s="1113">
        <f t="shared" si="28"/>
        <v>100</v>
      </c>
      <c r="M115" s="1163">
        <f t="shared" si="28"/>
        <v>100</v>
      </c>
      <c r="N115" s="1159"/>
      <c r="O115" s="1159"/>
      <c r="P115" s="1157"/>
      <c r="Q115" s="1080"/>
    </row>
    <row r="116" spans="1:17">
      <c r="A116" s="1141"/>
      <c r="B116" s="1110">
        <f>B38</f>
        <v>111</v>
      </c>
      <c r="C116" s="1118"/>
      <c r="D116" s="1118"/>
      <c r="E116" s="1118"/>
      <c r="F116" s="1118"/>
      <c r="G116" s="1118"/>
      <c r="H116" s="1135"/>
      <c r="I116" s="1135"/>
      <c r="J116" s="1135"/>
      <c r="K116" s="1187"/>
      <c r="L116" s="1188"/>
      <c r="M116" s="1189"/>
      <c r="N116" s="1156"/>
      <c r="O116" s="1156"/>
      <c r="P116" s="1157"/>
      <c r="Q116" s="1080"/>
    </row>
    <row r="117" spans="1:17" ht="15">
      <c r="A117" s="1107"/>
      <c r="B117" s="1112"/>
      <c r="C117" s="1120"/>
      <c r="D117" s="1109"/>
      <c r="E117" s="1109"/>
      <c r="F117" s="1109"/>
      <c r="G117" s="1109"/>
      <c r="H117" s="1109"/>
      <c r="I117" s="1109"/>
      <c r="J117" s="1109"/>
      <c r="K117" s="1109"/>
      <c r="L117" s="1109"/>
      <c r="M117" s="1158"/>
      <c r="N117" s="1159"/>
      <c r="O117" s="1159"/>
      <c r="P117" s="1157"/>
      <c r="Q117" s="1080"/>
    </row>
    <row r="118" spans="1:17">
      <c r="A118" s="1141"/>
      <c r="B118" s="1110">
        <f>B39</f>
        <v>111</v>
      </c>
      <c r="C118" s="1118"/>
      <c r="D118" s="1118"/>
      <c r="E118" s="1118"/>
      <c r="F118" s="1118"/>
      <c r="G118" s="1135"/>
      <c r="H118" s="1135"/>
      <c r="I118" s="1135"/>
      <c r="J118" s="1135"/>
      <c r="K118" s="1187"/>
      <c r="L118" s="1188"/>
      <c r="M118" s="1189"/>
      <c r="N118" s="1156"/>
      <c r="O118" s="1156"/>
      <c r="P118" s="1157"/>
      <c r="Q118" s="1080"/>
    </row>
    <row r="119" spans="1:17" ht="15">
      <c r="A119" s="1107"/>
      <c r="B119" s="1112"/>
      <c r="C119" s="1120"/>
      <c r="D119" s="1120"/>
      <c r="E119" s="1120"/>
      <c r="F119" s="1120"/>
      <c r="G119" s="1109"/>
      <c r="H119" s="1109"/>
      <c r="I119" s="1109"/>
      <c r="J119" s="1109"/>
      <c r="K119" s="1109"/>
      <c r="L119" s="1109"/>
      <c r="M119" s="1158"/>
      <c r="N119" s="1159"/>
      <c r="O119" s="1159"/>
      <c r="P119" s="1157"/>
      <c r="Q119" s="1080"/>
    </row>
    <row r="120" spans="1:17" s="868" customFormat="1">
      <c r="A120" s="1138"/>
      <c r="B120" s="1110">
        <f>B40</f>
        <v>111</v>
      </c>
      <c r="C120" s="1102"/>
      <c r="D120" s="1102"/>
      <c r="E120" s="1102"/>
      <c r="F120" s="1102"/>
      <c r="G120" s="1119"/>
      <c r="H120" s="1119"/>
      <c r="I120" s="1119"/>
      <c r="J120" s="1119"/>
      <c r="K120" s="1119"/>
      <c r="L120" s="1167"/>
      <c r="M120" s="1168"/>
      <c r="N120" s="1169"/>
      <c r="O120" s="1169"/>
      <c r="P120" s="1170"/>
      <c r="Q120" s="1200"/>
    </row>
    <row r="121" spans="1:17" s="868" customFormat="1" ht="15">
      <c r="A121" s="1123"/>
      <c r="B121" s="1142"/>
      <c r="C121" s="1125"/>
      <c r="D121" s="1125"/>
      <c r="E121" s="1125"/>
      <c r="F121" s="1125"/>
      <c r="G121" s="1137"/>
      <c r="H121" s="1137"/>
      <c r="I121" s="1137"/>
      <c r="J121" s="1137"/>
      <c r="K121" s="1137"/>
      <c r="L121" s="1137"/>
      <c r="M121" s="1193"/>
      <c r="N121" s="1169"/>
      <c r="O121" s="1169"/>
      <c r="P121" s="1170"/>
      <c r="Q121" s="1200"/>
    </row>
  </sheetData>
  <sheetProtection password="C66D" sheet="1" objects="1" scenarios="1" formatCells="0" formatColumns="0" formatRows="0"/>
  <mergeCells count="42">
    <mergeCell ref="AA4:AA6"/>
    <mergeCell ref="AB4:AB6"/>
    <mergeCell ref="AC4:AC6"/>
    <mergeCell ref="G50:H51"/>
    <mergeCell ref="P4:Q6"/>
    <mergeCell ref="R4:S6"/>
    <mergeCell ref="T4:U6"/>
    <mergeCell ref="V4:W6"/>
    <mergeCell ref="Y4:Z6"/>
    <mergeCell ref="Y7:Z7"/>
    <mergeCell ref="P8:Q8"/>
    <mergeCell ref="Y8:Z8"/>
    <mergeCell ref="V41:W41"/>
    <mergeCell ref="G52:G55"/>
    <mergeCell ref="P9:P14"/>
    <mergeCell ref="P15:P31"/>
    <mergeCell ref="P32:P40"/>
    <mergeCell ref="Y9:Y14"/>
    <mergeCell ref="Y15:Y31"/>
    <mergeCell ref="Y32:Y40"/>
    <mergeCell ref="P42:Q42"/>
    <mergeCell ref="R42:S42"/>
    <mergeCell ref="T42:U42"/>
    <mergeCell ref="V42:W42"/>
    <mergeCell ref="P43:Q43"/>
    <mergeCell ref="R43:W43"/>
    <mergeCell ref="P41:Q41"/>
    <mergeCell ref="R41:S41"/>
    <mergeCell ref="T41:U41"/>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E46">
    <cfRule type="expression" dxfId="18" priority="9" stopIfTrue="1">
      <formula>$F$46="超过30%"</formula>
    </cfRule>
  </conditionalFormatting>
  <conditionalFormatting sqref="G46">
    <cfRule type="expression" dxfId="17" priority="5" stopIfTrue="1">
      <formula>$H$46="超过30%"</formula>
    </cfRule>
  </conditionalFormatting>
  <conditionalFormatting sqref="I46">
    <cfRule type="expression" dxfId="16" priority="3" stopIfTrue="1">
      <formula>$J$46="超过30%"</formula>
    </cfRule>
  </conditionalFormatting>
  <conditionalFormatting sqref="E47">
    <cfRule type="expression" dxfId="15" priority="49" stopIfTrue="1">
      <formula>#REF!+$F$47="超过20%"</formula>
    </cfRule>
  </conditionalFormatting>
  <conditionalFormatting sqref="G47">
    <cfRule type="expression" dxfId="14" priority="4" stopIfTrue="1">
      <formula>$H$47="超过20%"</formula>
    </cfRule>
  </conditionalFormatting>
  <conditionalFormatting sqref="I47">
    <cfRule type="expression" dxfId="13" priority="2" stopIfTrue="1">
      <formula>$J$47="超过20%"</formula>
    </cfRule>
  </conditionalFormatting>
  <conditionalFormatting sqref="E48">
    <cfRule type="expression" dxfId="12" priority="6" stopIfTrue="1">
      <formula>$F$48="超过30%"</formula>
    </cfRule>
  </conditionalFormatting>
  <conditionalFormatting sqref="F48">
    <cfRule type="containsText" dxfId="11" priority="11" stopIfTrue="1" operator="containsText" text="超过">
      <formula>NOT(ISERROR(SEARCH("超过",F48)))</formula>
    </cfRule>
  </conditionalFormatting>
  <conditionalFormatting sqref="G48">
    <cfRule type="expression" dxfId="10" priority="8" stopIfTrue="1">
      <formula>$H$48="超过30%"</formula>
    </cfRule>
  </conditionalFormatting>
  <conditionalFormatting sqref="H48">
    <cfRule type="containsText" dxfId="9" priority="12" stopIfTrue="1" operator="containsText" text="超过">
      <formula>NOT(ISERROR(SEARCH("超过",H48)))</formula>
    </cfRule>
  </conditionalFormatting>
  <conditionalFormatting sqref="I48">
    <cfRule type="expression" dxfId="8" priority="1" stopIfTrue="1">
      <formula>$J$48="超过30%"</formula>
    </cfRule>
  </conditionalFormatting>
  <conditionalFormatting sqref="J48">
    <cfRule type="containsText" dxfId="7" priority="13" stopIfTrue="1" operator="containsText" text="超过">
      <formula>NOT(ISERROR(SEARCH("超过",J48)))</formula>
    </cfRule>
  </conditionalFormatting>
  <conditionalFormatting sqref="F46 H46 J46">
    <cfRule type="containsText" dxfId="6" priority="14" stopIfTrue="1" operator="containsText" text="超过">
      <formula>NOT(ISERROR(SEARCH("超过",F46)))</formula>
    </cfRule>
  </conditionalFormatting>
  <conditionalFormatting sqref="F47 H47 J47">
    <cfRule type="containsText" dxfId="5" priority="10" stopIfTrue="1" operator="containsText" text="超过">
      <formula>NOT(ISERROR(SEARCH("超过",F47)))</formula>
    </cfRule>
  </conditionalFormatting>
  <dataValidations count="19">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33333333333304" right="0.70833333333333304" top="1.0625" bottom="0.94444444444444398" header="0.31458333333333299" footer="0.31458333333333299"/>
  <pageSetup paperSize="9" scale="28" fitToHeight="0" orientation="portrait"/>
  <legacyDrawing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9" zoomScale="80" zoomScaleNormal="80" workbookViewId="0">
      <selection activeCell="F36" sqref="F36"/>
    </sheetView>
  </sheetViews>
  <sheetFormatPr defaultColWidth="12" defaultRowHeight="12.75"/>
  <cols>
    <col min="1" max="1" width="9.75" style="558" customWidth="1"/>
    <col min="2" max="2" width="19.25" style="559" customWidth="1"/>
    <col min="3" max="4" width="12" style="560"/>
    <col min="5" max="5" width="14.625" style="560" customWidth="1"/>
    <col min="6" max="8" width="12" style="560"/>
    <col min="9" max="9" width="12.25" style="560" customWidth="1"/>
    <col min="10" max="10" width="12" style="560"/>
    <col min="11" max="11" width="8.125" style="561" customWidth="1"/>
    <col min="12" max="12" width="12" style="560"/>
    <col min="13" max="13" width="8.5" style="560" customWidth="1"/>
    <col min="14" max="14" width="9.75" style="560" customWidth="1"/>
    <col min="15" max="25" width="12" style="560"/>
    <col min="26" max="26" width="9.375" style="558" customWidth="1"/>
    <col min="27" max="32" width="9.375" style="562" customWidth="1"/>
    <col min="33" max="36" width="9.375" style="558" customWidth="1"/>
    <col min="37" max="38" width="9.375" style="560" customWidth="1"/>
    <col min="39" max="16384" width="12" style="560"/>
  </cols>
  <sheetData>
    <row r="1" spans="1:36" ht="28.5">
      <c r="A1" s="140" t="s">
        <v>1851</v>
      </c>
      <c r="B1" s="141"/>
      <c r="C1" s="144" t="s">
        <v>1320</v>
      </c>
      <c r="D1" s="563">
        <f>SUM(D29:D30,D33:D39)</f>
        <v>0</v>
      </c>
      <c r="E1" s="564"/>
      <c r="F1" s="564"/>
      <c r="G1" s="564"/>
      <c r="H1" s="564"/>
      <c r="I1" s="564"/>
      <c r="J1" s="564"/>
      <c r="K1" s="556"/>
      <c r="L1" s="729" t="s">
        <v>1852</v>
      </c>
      <c r="M1" s="730">
        <f>SUMPRODUCT((区片价!B5:B9=I2)*(区片价!C3:F3=E2)*(区片价!C5:F9))</f>
        <v>0</v>
      </c>
      <c r="N1" s="731">
        <f>SUMPRODUCT((因素修正幅度!B5:B9=I2)*(因素修正幅度!C3:F3=E2)*(因素修正幅度!C5:F9))</f>
        <v>0</v>
      </c>
      <c r="O1" s="557"/>
      <c r="P1" s="557"/>
      <c r="Q1" s="556"/>
      <c r="R1" s="805" t="s">
        <v>1853</v>
      </c>
      <c r="S1" s="805" t="s">
        <v>1854</v>
      </c>
      <c r="T1" s="805" t="s">
        <v>1855</v>
      </c>
      <c r="U1" s="805" t="s">
        <v>1856</v>
      </c>
      <c r="V1" s="805" t="s">
        <v>1857</v>
      </c>
      <c r="W1" s="806"/>
      <c r="X1" s="806"/>
      <c r="Y1" s="806"/>
      <c r="Z1" s="806"/>
      <c r="AA1" s="806"/>
      <c r="AB1" s="806"/>
      <c r="AC1" s="814"/>
      <c r="AD1" s="815"/>
      <c r="AE1" s="815"/>
      <c r="AF1" s="815"/>
      <c r="AG1" s="815"/>
      <c r="AH1" s="815"/>
      <c r="AI1" s="815"/>
      <c r="AJ1" s="826"/>
    </row>
    <row r="2" spans="1:36" ht="15.75">
      <c r="A2" s="144" t="s">
        <v>895</v>
      </c>
      <c r="B2" s="148" t="e">
        <f>C26</f>
        <v>#DIV/0!</v>
      </c>
      <c r="C2" s="565" t="s">
        <v>896</v>
      </c>
      <c r="D2" s="566" t="s">
        <v>1858</v>
      </c>
      <c r="E2" s="567"/>
      <c r="F2" s="566" t="s">
        <v>1859</v>
      </c>
      <c r="G2" s="568">
        <f>IF(E2="商业",项目基本情况!B37,IF(E2="办公",项目基本情况!C37,IF(E2="住宅",项目基本情况!D37,项目基本情况!E37)))</f>
        <v>0</v>
      </c>
      <c r="H2" s="566" t="s">
        <v>1860</v>
      </c>
      <c r="I2" s="568">
        <f>IF(E2="商业",项目基本情况!B38,IF(E2="办公",项目基本情况!C38,IF(E2="住宅",项目基本情况!D38,项目基本情况!E38)))</f>
        <v>0</v>
      </c>
      <c r="J2" s="732"/>
      <c r="K2" s="556"/>
      <c r="L2" s="733" t="s">
        <v>1861</v>
      </c>
      <c r="M2" s="734">
        <f>SUMPRODUCT((区片价!B10:B28=I2)*(区片价!C3:F3=E2)*(区片价!C10:F28))</f>
        <v>0</v>
      </c>
      <c r="N2" s="731">
        <f>SUMPRODUCT((因素修正幅度!B10:B28=I2)*(因素修正幅度!C3:F3=E2)*(因素修正幅度!C10:F28))</f>
        <v>0</v>
      </c>
      <c r="O2" s="556"/>
      <c r="P2" s="556"/>
      <c r="Q2" s="556"/>
      <c r="R2" s="805">
        <v>1</v>
      </c>
      <c r="S2" s="805">
        <f>ROUND(IF(G3&gt;1,IF(R2&lt;7,SUMPRODUCT((B93:B98=R2)*(C92:N92=G2)*(C93:N98)),SUMIF(C92:N92,G2,C100:N100)),IF(R2&lt;7,SUMPRODUCT((B102:B107=R2)*(C92:N92=G2)*(C102:N107)),SUMIF(C92:N92,G2,C109:N109))),4)</f>
        <v>0</v>
      </c>
      <c r="T2" s="805" t="e">
        <f>ROUND($C$5*$C$18*$C$19*$C$20*S2*$C$24,0)</f>
        <v>#DIV/0!</v>
      </c>
      <c r="U2" s="807"/>
      <c r="V2" s="805" t="e">
        <f>ROUND(T2*U2/10000,0)</f>
        <v>#DIV/0!</v>
      </c>
      <c r="W2" s="806"/>
      <c r="X2" s="806"/>
      <c r="Y2" s="806"/>
      <c r="Z2" s="806"/>
      <c r="AA2" s="806"/>
      <c r="AB2" s="806"/>
      <c r="AC2" s="814"/>
      <c r="AD2" s="815"/>
      <c r="AE2" s="815"/>
      <c r="AF2" s="815"/>
      <c r="AG2" s="815"/>
      <c r="AH2" s="815"/>
      <c r="AI2" s="815"/>
      <c r="AJ2" s="826"/>
    </row>
    <row r="3" spans="1:36" ht="15.75">
      <c r="A3" s="147" t="s">
        <v>897</v>
      </c>
      <c r="B3" s="148" t="e">
        <f>ROUND(B2*10000/D1,0)</f>
        <v>#DIV/0!</v>
      </c>
      <c r="C3" s="565" t="s">
        <v>898</v>
      </c>
      <c r="D3" s="566" t="s">
        <v>1862</v>
      </c>
      <c r="E3" s="569"/>
      <c r="F3" s="570" t="s">
        <v>1863</v>
      </c>
      <c r="G3" s="571">
        <f>IF(F3="宗地容积率",'数据-汇总表'!I4,IF(F3="估价对象容积率",'数据-汇总表'!I6,'数据-汇总表'!I7))</f>
        <v>2.16</v>
      </c>
      <c r="H3" s="572" t="s">
        <v>1864</v>
      </c>
      <c r="I3" s="735"/>
      <c r="J3" s="732" t="s">
        <v>1865</v>
      </c>
      <c r="K3" s="556"/>
      <c r="L3" s="733" t="s">
        <v>1866</v>
      </c>
      <c r="M3" s="734">
        <f>SUMPRODUCT((区片价!B29:B48=I2)*(区片价!C3:F3=E2)*(区片价!C29:F48))</f>
        <v>0</v>
      </c>
      <c r="N3" s="731">
        <f>SUMPRODUCT((因素修正幅度!B29:B48=I2)*(因素修正幅度!C3:F3=E2)*(因素修正幅度!C29:F48))</f>
        <v>0</v>
      </c>
      <c r="O3" s="556"/>
      <c r="P3" s="556"/>
      <c r="Q3" s="556"/>
      <c r="R3" s="805">
        <v>2</v>
      </c>
      <c r="S3" s="805">
        <f>ROUND(IF(G3&gt;1,IF(R3&lt;7,SUMPRODUCT((B93:B98=R3)*(C92:N92=G2)*(C93:N98)),SUMIF(C92:N92,G2,C100:N100)),IF(R3&lt;7,SUMPRODUCT((B102:B107=R3)*(C92:N92=G2)*(C102:N107)),SUMIF(C92:N92,G2,C109:N109))),4)</f>
        <v>0</v>
      </c>
      <c r="T3" s="805" t="e">
        <f t="shared" ref="T3:T16" si="0">ROUND($C$5*$C$18*$C$19*$C$20*S3*$C$24,0)</f>
        <v>#DIV/0!</v>
      </c>
      <c r="U3" s="807"/>
      <c r="V3" s="805" t="e">
        <f t="shared" ref="V3:V16" si="1">ROUND(T3*U3/10000,0)</f>
        <v>#DIV/0!</v>
      </c>
      <c r="W3" s="806"/>
      <c r="X3" s="806"/>
      <c r="Y3" s="806"/>
      <c r="Z3" s="806"/>
      <c r="AA3" s="806"/>
      <c r="AB3" s="806"/>
      <c r="AC3" s="814"/>
      <c r="AD3" s="815"/>
      <c r="AE3" s="815"/>
      <c r="AF3" s="815"/>
      <c r="AG3" s="815"/>
      <c r="AH3" s="815"/>
      <c r="AI3" s="815"/>
      <c r="AJ3" s="826"/>
    </row>
    <row r="4" spans="1:36" ht="15.75">
      <c r="A4" s="3563"/>
      <c r="B4" s="3564"/>
      <c r="C4" s="3564"/>
      <c r="D4" s="3565"/>
      <c r="E4" s="3565"/>
      <c r="F4" s="3565"/>
      <c r="G4" s="3565"/>
      <c r="H4" s="3565"/>
      <c r="I4" s="3565"/>
      <c r="J4" s="3566"/>
      <c r="K4" s="556"/>
      <c r="L4" s="733" t="s">
        <v>1867</v>
      </c>
      <c r="M4" s="734">
        <f>SUMPRODUCT((区片价!B49:B75=I2)*(区片价!C3:F3=E2)*(区片价!C49:F75))</f>
        <v>0</v>
      </c>
      <c r="N4" s="731">
        <f>SUMPRODUCT((因素修正幅度!B49:B75=I2)*(因素修正幅度!C3:F3=E2)*(因素修正幅度!C49:F75))</f>
        <v>0</v>
      </c>
      <c r="O4" s="556"/>
      <c r="P4" s="556"/>
      <c r="Q4" s="556"/>
      <c r="R4" s="805">
        <v>3</v>
      </c>
      <c r="S4" s="805">
        <f>ROUND(IF(G3&gt;1,IF(R4&lt;7,SUMPRODUCT((B93:B98=R4)*(C92:N92=G2)*(C93:N98)),SUMIF(C92:N92,G2,C100:N100)),IF(R4&lt;7,SUMPRODUCT((B102:B107=R4)*(C92:N92=G2)*(C102:N107)),SUMIF(C92:N92,G2,C109:N109))),4)</f>
        <v>0</v>
      </c>
      <c r="T4" s="805" t="e">
        <f t="shared" si="0"/>
        <v>#DIV/0!</v>
      </c>
      <c r="U4" s="807"/>
      <c r="V4" s="805" t="e">
        <f t="shared" si="1"/>
        <v>#DIV/0!</v>
      </c>
      <c r="W4" s="806"/>
      <c r="X4" s="806"/>
      <c r="Y4" s="806"/>
      <c r="Z4" s="806"/>
      <c r="AA4" s="806"/>
      <c r="AB4" s="806"/>
      <c r="AC4" s="814"/>
      <c r="AD4" s="815"/>
      <c r="AE4" s="815"/>
      <c r="AF4" s="815"/>
      <c r="AG4" s="815"/>
      <c r="AH4" s="815"/>
      <c r="AI4" s="815"/>
      <c r="AJ4" s="826"/>
    </row>
    <row r="5" spans="1:36" s="555" customFormat="1" ht="15">
      <c r="A5" s="573" t="s">
        <v>802</v>
      </c>
      <c r="B5" s="574" t="s">
        <v>1868</v>
      </c>
      <c r="C5" s="575" t="e">
        <f>ROUND(IF(E2="商业",IF(F16="增加",C6*C7+C16,C6*C7-C16),IF(E2="住宅",IF(F16="增加",C6*C12+C16,C6*C12-C16),IF(F16="增加",C6+C16,C6-C16))),0)</f>
        <v>#DIV/0!</v>
      </c>
      <c r="D5" s="576">
        <f>ROUND(IF(E2="商业",IF(F16="增加",C6+C16,C6-C16)),0)</f>
        <v>0</v>
      </c>
      <c r="E5" s="577"/>
      <c r="F5" s="577"/>
      <c r="G5" s="578"/>
      <c r="H5" s="578"/>
      <c r="I5" s="578"/>
      <c r="J5" s="736"/>
      <c r="K5" s="737"/>
      <c r="L5" s="733" t="s">
        <v>1869</v>
      </c>
      <c r="M5" s="734">
        <f>SUMPRODUCT((区片价!B76:B109=I2)*(区片价!C3:F3=E2)*(区片价!C76:F109))</f>
        <v>0</v>
      </c>
      <c r="N5" s="731">
        <f>SUMPRODUCT((因素修正幅度!B76:B109=I2)*(因素修正幅度!C3:F3=E2)*(因素修正幅度!C76:F109))</f>
        <v>0</v>
      </c>
      <c r="O5" s="556"/>
      <c r="P5" s="556"/>
      <c r="Q5" s="556"/>
      <c r="R5" s="805">
        <v>4</v>
      </c>
      <c r="S5" s="805">
        <f>ROUND(IF(G3&gt;1,IF(R5&lt;7,SUMPRODUCT((B93:B98=R5)*(C92:N92=G2)*(C93:N98)),SUMIF(C92:N92,G2,C100:N100)),IF(R5&lt;7,SUMPRODUCT((B102:B107=R5)*(C92:N92=G2)*(C102:N107)),SUMIF(C92:N92,G2,C109:N109))),4)</f>
        <v>0</v>
      </c>
      <c r="T5" s="805" t="e">
        <f t="shared" si="0"/>
        <v>#DIV/0!</v>
      </c>
      <c r="U5" s="807"/>
      <c r="V5" s="805" t="e">
        <f t="shared" si="1"/>
        <v>#DIV/0!</v>
      </c>
      <c r="W5" s="806"/>
      <c r="X5" s="806"/>
      <c r="Y5" s="806"/>
      <c r="Z5" s="806"/>
      <c r="AA5" s="806"/>
      <c r="AB5" s="806"/>
      <c r="AC5" s="816"/>
      <c r="AD5" s="817"/>
      <c r="AE5" s="817"/>
      <c r="AF5" s="817"/>
      <c r="AG5" s="817"/>
      <c r="AH5" s="817"/>
      <c r="AI5" s="817"/>
      <c r="AJ5" s="827"/>
    </row>
    <row r="6" spans="1:36" ht="15">
      <c r="A6" s="579" t="s">
        <v>900</v>
      </c>
      <c r="B6" s="580" t="s">
        <v>1870</v>
      </c>
      <c r="C6" s="581">
        <f>SUMIF(L1:L12,G2,M1:M12)</f>
        <v>0</v>
      </c>
      <c r="D6" s="582" t="s">
        <v>1871</v>
      </c>
      <c r="E6" s="583"/>
      <c r="F6" s="583"/>
      <c r="G6" s="584"/>
      <c r="H6" s="584"/>
      <c r="I6" s="584"/>
      <c r="J6" s="738"/>
      <c r="K6" s="739"/>
      <c r="L6" s="733" t="s">
        <v>1872</v>
      </c>
      <c r="M6" s="734">
        <f>SUMPRODUCT((区片价!B110:B157=I2)*(区片价!C3:F3=E2)*(区片价!C110:F157))</f>
        <v>0</v>
      </c>
      <c r="N6" s="731">
        <f>SUMPRODUCT((因素修正幅度!B110:B157=I2)*(因素修正幅度!C3:F3=E2)*(因素修正幅度!C110:F157))</f>
        <v>0</v>
      </c>
      <c r="O6" s="556"/>
      <c r="P6" s="556"/>
      <c r="Q6" s="556"/>
      <c r="R6" s="805">
        <v>5</v>
      </c>
      <c r="S6" s="805">
        <f>ROUND(IF(G3&gt;1,IF(R6&lt;7,SUMPRODUCT((B93:B98=R6)*(C92:N92=G2)*(C93:N98)),SUMIF(C92:N92,G2,C100:N100)),IF(R6&lt;7,SUMPRODUCT((B102:B107=R6)*(C92:N92=G2)*(C102:N107)),SUMIF(C92:N92,G2,C109:N109))),4)</f>
        <v>0</v>
      </c>
      <c r="T6" s="805" t="e">
        <f t="shared" si="0"/>
        <v>#DIV/0!</v>
      </c>
      <c r="U6" s="807"/>
      <c r="V6" s="805" t="e">
        <f t="shared" si="1"/>
        <v>#DIV/0!</v>
      </c>
      <c r="W6" s="806"/>
      <c r="X6" s="806"/>
      <c r="Y6" s="806"/>
      <c r="Z6" s="806"/>
      <c r="AA6" s="806"/>
      <c r="AB6" s="806"/>
      <c r="AC6" s="816"/>
      <c r="AD6" s="817"/>
      <c r="AE6" s="817"/>
      <c r="AF6" s="817"/>
      <c r="AG6" s="817"/>
      <c r="AH6" s="817"/>
      <c r="AI6" s="817"/>
      <c r="AJ6" s="827"/>
    </row>
    <row r="7" spans="1:36" ht="24">
      <c r="A7" s="3571" t="str">
        <f>IF(E2="商业",IF(C8="不临58条商业街","",2),"")</f>
        <v/>
      </c>
      <c r="B7" s="585" t="s">
        <v>1873</v>
      </c>
      <c r="C7" s="586" t="e">
        <f>IF(C8="不临58条商业街",1,ROUND(1+(1.6*E8+1.2*E9+0.8*E10+0.4*E11)*C9,4))</f>
        <v>#DIV/0!</v>
      </c>
      <c r="D7" s="587" t="s">
        <v>1874</v>
      </c>
      <c r="E7" s="588"/>
      <c r="F7" s="589"/>
      <c r="G7" s="590"/>
      <c r="H7" s="590"/>
      <c r="I7" s="590"/>
      <c r="J7" s="740"/>
      <c r="K7" s="739"/>
      <c r="L7" s="733" t="s">
        <v>1875</v>
      </c>
      <c r="M7" s="734">
        <f>SUMPRODUCT((区片价!B158:B205=I2)*(区片价!C3:F3=E2)*(区片价!C158:F205))</f>
        <v>0</v>
      </c>
      <c r="N7" s="731">
        <f>SUMPRODUCT((因素修正幅度!B158:B205=I2)*(因素修正幅度!C3:F3=E2)*(因素修正幅度!C158:F205))</f>
        <v>0</v>
      </c>
      <c r="O7" s="556"/>
      <c r="P7" s="556"/>
      <c r="Q7" s="556"/>
      <c r="R7" s="805">
        <v>6</v>
      </c>
      <c r="S7" s="805">
        <f>ROUND(IF(G3&gt;1,IF(R7&lt;7,SUMPRODUCT((B93:B98=R7)*(C92:N92=G2)*(C93:N98)),SUMIF(C92:N92,G2,C100:N100)),IF(R7&lt;7,SUMPRODUCT((B102:B107=R7)*(C92:N92=G2)*(C102:N107)),SUMIF(C92:N92,G2,C109:N109))),4)</f>
        <v>0</v>
      </c>
      <c r="T7" s="805" t="e">
        <f t="shared" si="0"/>
        <v>#DIV/0!</v>
      </c>
      <c r="U7" s="807"/>
      <c r="V7" s="805" t="e">
        <f t="shared" si="1"/>
        <v>#DIV/0!</v>
      </c>
      <c r="W7" s="808" t="s">
        <v>1876</v>
      </c>
      <c r="X7" s="809">
        <f>G2</f>
        <v>0</v>
      </c>
      <c r="Y7" s="809" t="s">
        <v>1877</v>
      </c>
      <c r="Z7" s="818">
        <f>G3</f>
        <v>2.16</v>
      </c>
      <c r="AA7" s="806"/>
      <c r="AB7" s="806"/>
      <c r="AC7" s="814"/>
      <c r="AD7" s="815"/>
      <c r="AE7" s="815"/>
      <c r="AF7" s="815"/>
      <c r="AG7" s="815"/>
      <c r="AH7" s="815"/>
      <c r="AI7" s="815"/>
      <c r="AJ7" s="826"/>
    </row>
    <row r="8" spans="1:36" ht="15">
      <c r="A8" s="3572"/>
      <c r="B8" s="572" t="s">
        <v>1878</v>
      </c>
      <c r="C8" s="591"/>
      <c r="D8" s="592" t="s">
        <v>1879</v>
      </c>
      <c r="E8" s="593" t="e">
        <f>ROUND(C11/E7,4)</f>
        <v>#DIV/0!</v>
      </c>
      <c r="F8" s="594" t="s">
        <v>1880</v>
      </c>
      <c r="G8" s="595"/>
      <c r="H8" s="595"/>
      <c r="I8" s="595"/>
      <c r="J8" s="741"/>
      <c r="K8" s="556"/>
      <c r="L8" s="733" t="s">
        <v>1881</v>
      </c>
      <c r="M8" s="734">
        <f>SUMPRODUCT((区片价!B206:B244=I2)*(区片价!C3:F3=E2)*(区片价!C206:F244))</f>
        <v>0</v>
      </c>
      <c r="N8" s="731">
        <f>SUMPRODUCT((因素修正幅度!B206:B244=I2)*(因素修正幅度!C3:F3=E2)*(因素修正幅度!C206:F244))</f>
        <v>0</v>
      </c>
      <c r="O8" s="556"/>
      <c r="P8" s="556"/>
      <c r="Q8" s="556"/>
      <c r="R8" s="805">
        <v>7</v>
      </c>
      <c r="S8" s="807"/>
      <c r="T8" s="805" t="e">
        <f t="shared" si="0"/>
        <v>#DIV/0!</v>
      </c>
      <c r="U8" s="807"/>
      <c r="V8" s="805" t="e">
        <f t="shared" si="1"/>
        <v>#DIV/0!</v>
      </c>
      <c r="W8" s="3567" t="s">
        <v>1882</v>
      </c>
      <c r="X8" s="3568"/>
      <c r="Y8" s="819" t="s">
        <v>1883</v>
      </c>
      <c r="Z8" s="819" t="s">
        <v>1884</v>
      </c>
      <c r="AA8" s="819" t="s">
        <v>1885</v>
      </c>
      <c r="AB8" s="819" t="s">
        <v>1886</v>
      </c>
      <c r="AC8" s="819" t="s">
        <v>1887</v>
      </c>
      <c r="AD8" s="819" t="s">
        <v>1888</v>
      </c>
      <c r="AE8" s="819" t="s">
        <v>1889</v>
      </c>
      <c r="AF8" s="819" t="s">
        <v>1890</v>
      </c>
      <c r="AG8" s="819" t="s">
        <v>1891</v>
      </c>
      <c r="AH8" s="819" t="s">
        <v>1892</v>
      </c>
      <c r="AI8" s="819" t="s">
        <v>1893</v>
      </c>
      <c r="AJ8" s="819" t="s">
        <v>1894</v>
      </c>
    </row>
    <row r="9" spans="1:36" ht="15">
      <c r="A9" s="3572"/>
      <c r="B9" s="572" t="s">
        <v>1895</v>
      </c>
      <c r="C9" s="596">
        <f>SUMIF(修正!C59:C119,C8,修正!E59:E119)</f>
        <v>0</v>
      </c>
      <c r="D9" s="597" t="s">
        <v>1896</v>
      </c>
      <c r="E9" s="597" t="e">
        <f>ROUND(C11/E7,4)</f>
        <v>#DIV/0!</v>
      </c>
      <c r="F9" s="594" t="s">
        <v>1897</v>
      </c>
      <c r="G9" s="595"/>
      <c r="H9" s="595"/>
      <c r="I9" s="595"/>
      <c r="J9" s="741"/>
      <c r="K9" s="556"/>
      <c r="L9" s="733" t="s">
        <v>1898</v>
      </c>
      <c r="M9" s="734">
        <f>SUMPRODUCT((区片价!B245:B289=I2)*(区片价!C3:F3=E2)*(区片价!C245:F289))</f>
        <v>0</v>
      </c>
      <c r="N9" s="731">
        <f>SUMPRODUCT((因素修正幅度!B245:B289=I2)*(因素修正幅度!C3:F3=E2)*(因素修正幅度!C245:F289))</f>
        <v>0</v>
      </c>
      <c r="O9" s="556"/>
      <c r="P9" s="556"/>
      <c r="Q9" s="556"/>
      <c r="R9" s="805">
        <v>8</v>
      </c>
      <c r="S9" s="807"/>
      <c r="T9" s="805" t="e">
        <f t="shared" si="0"/>
        <v>#DIV/0!</v>
      </c>
      <c r="U9" s="807"/>
      <c r="V9" s="805" t="e">
        <f t="shared" si="1"/>
        <v>#DIV/0!</v>
      </c>
      <c r="W9" s="3582" t="s">
        <v>1899</v>
      </c>
      <c r="X9" s="810" t="s">
        <v>1900</v>
      </c>
      <c r="Y9" s="820"/>
      <c r="Z9" s="821">
        <f>$Y$9</f>
        <v>0</v>
      </c>
      <c r="AA9" s="821">
        <f t="shared" ref="AA9:AJ9" si="2">$Y$9</f>
        <v>0</v>
      </c>
      <c r="AB9" s="821">
        <f t="shared" si="2"/>
        <v>0</v>
      </c>
      <c r="AC9" s="821">
        <f t="shared" si="2"/>
        <v>0</v>
      </c>
      <c r="AD9" s="821">
        <f t="shared" si="2"/>
        <v>0</v>
      </c>
      <c r="AE9" s="821">
        <f t="shared" si="2"/>
        <v>0</v>
      </c>
      <c r="AF9" s="821">
        <f t="shared" si="2"/>
        <v>0</v>
      </c>
      <c r="AG9" s="821">
        <f t="shared" si="2"/>
        <v>0</v>
      </c>
      <c r="AH9" s="821">
        <f t="shared" si="2"/>
        <v>0</v>
      </c>
      <c r="AI9" s="821">
        <f t="shared" si="2"/>
        <v>0</v>
      </c>
      <c r="AJ9" s="821">
        <f t="shared" si="2"/>
        <v>0</v>
      </c>
    </row>
    <row r="10" spans="1:36" ht="15">
      <c r="A10" s="3572"/>
      <c r="B10" s="572" t="s">
        <v>1901</v>
      </c>
      <c r="C10" s="597">
        <f>SUMIF(修正!C59:C119,C8,修正!F59:F119)</f>
        <v>0</v>
      </c>
      <c r="D10" s="597" t="s">
        <v>1902</v>
      </c>
      <c r="E10" s="597" t="e">
        <f>ROUND(C11/E7,4)</f>
        <v>#DIV/0!</v>
      </c>
      <c r="F10" s="594" t="s">
        <v>1903</v>
      </c>
      <c r="G10" s="595"/>
      <c r="H10" s="595"/>
      <c r="I10" s="595"/>
      <c r="J10" s="741"/>
      <c r="K10" s="556"/>
      <c r="L10" s="733" t="s">
        <v>1904</v>
      </c>
      <c r="M10" s="734">
        <f>SUMPRODUCT((区片价!B290:B316=I2)*(区片价!C3:F3=E2)*(区片价!C290:F316))</f>
        <v>0</v>
      </c>
      <c r="N10" s="731">
        <f>SUMPRODUCT((因素修正幅度!B290:B316=I2)*(因素修正幅度!C3:F3=E2)*(因素修正幅度!C290:F316))</f>
        <v>0</v>
      </c>
      <c r="O10" s="556"/>
      <c r="P10" s="556"/>
      <c r="Q10" s="556"/>
      <c r="R10" s="805">
        <v>9</v>
      </c>
      <c r="S10" s="807"/>
      <c r="T10" s="805" t="e">
        <f t="shared" si="0"/>
        <v>#DIV/0!</v>
      </c>
      <c r="U10" s="807"/>
      <c r="V10" s="805" t="e">
        <f t="shared" si="1"/>
        <v>#DIV/0!</v>
      </c>
      <c r="W10" s="3582"/>
      <c r="X10" s="810">
        <v>7</v>
      </c>
      <c r="Y10" s="822">
        <f>(-0.163*(Y9^2)-0.59*Y9+7617)*(10^(-4))</f>
        <v>0.76170000000000004</v>
      </c>
      <c r="Z10" s="822">
        <f>(-0.163*(Z9^2)-0.59*Z9+7617)*(10^(-4))</f>
        <v>0.76170000000000004</v>
      </c>
      <c r="AA10" s="822">
        <f>(-0.161*(AA9^2)-7.509*AA9+6533)*(10^(-4))</f>
        <v>0.65329999999999999</v>
      </c>
      <c r="AB10" s="822">
        <f>(-0.161*(AB9^2)-7.509*AB9+6533)*(10^(-4))</f>
        <v>0.65329999999999999</v>
      </c>
      <c r="AC10" s="822">
        <f>(-0.161*(AC9^2)-7.509*AC9+6533)*(10^(-4))</f>
        <v>0.65329999999999999</v>
      </c>
      <c r="AD10" s="822">
        <f>(-0.161*(AD9^2)-7.509*AD9+6533)*(10^(-4))</f>
        <v>0.65329999999999999</v>
      </c>
      <c r="AE10" s="822">
        <f>(-0.161*(AE9^2)-7.509*AE9+6533)*(10^(-4))</f>
        <v>0.65329999999999999</v>
      </c>
      <c r="AF10" s="822">
        <f>(-0.214*(AF9^2)-21.991*AF9+4665)*(10^(-4))</f>
        <v>0.46650000000000003</v>
      </c>
      <c r="AG10" s="822">
        <f>(-0.214*(AG9^2)-21.991*AG9+4665)*(10^(-4))</f>
        <v>0.46650000000000003</v>
      </c>
      <c r="AH10" s="822">
        <f>(-0.214*(AH9^2)-21.991*AH9+4665)*(10^(-4))</f>
        <v>0.46650000000000003</v>
      </c>
      <c r="AI10" s="822">
        <f>(-0.214*(AI9^2)-21.991*AI9+4665)*(10^(-4))</f>
        <v>0.46650000000000003</v>
      </c>
      <c r="AJ10" s="822">
        <f>(-0.214*(AJ9^2)-21.991*AJ9+4665)*(10^(-4))</f>
        <v>0.46650000000000003</v>
      </c>
    </row>
    <row r="11" spans="1:36" ht="15">
      <c r="A11" s="3572"/>
      <c r="B11" s="598" t="s">
        <v>1905</v>
      </c>
      <c r="C11" s="599">
        <f>C10/4</f>
        <v>0</v>
      </c>
      <c r="D11" s="599" t="s">
        <v>1906</v>
      </c>
      <c r="E11" s="599" t="e">
        <f>ROUND(C11/E7,4)</f>
        <v>#DIV/0!</v>
      </c>
      <c r="F11" s="600" t="s">
        <v>1907</v>
      </c>
      <c r="G11" s="601"/>
      <c r="H11" s="601"/>
      <c r="I11" s="601"/>
      <c r="J11" s="742"/>
      <c r="K11" s="556"/>
      <c r="L11" s="733" t="s">
        <v>1908</v>
      </c>
      <c r="M11" s="734">
        <f>SUMPRODUCT((区片价!B317:B337=I2)*(区片价!C3:F3=E2)*(区片价!C317:F337))</f>
        <v>0</v>
      </c>
      <c r="N11" s="731">
        <f>SUMPRODUCT((因素修正幅度!B317:B337=I2)*(因素修正幅度!C3:F3=E2)*(因素修正幅度!C317:F337))</f>
        <v>0</v>
      </c>
      <c r="O11" s="556"/>
      <c r="P11" s="556"/>
      <c r="Q11" s="556"/>
      <c r="R11" s="805">
        <v>10</v>
      </c>
      <c r="S11" s="807"/>
      <c r="T11" s="805" t="e">
        <f t="shared" si="0"/>
        <v>#DIV/0!</v>
      </c>
      <c r="U11" s="807"/>
      <c r="V11" s="805" t="e">
        <f t="shared" si="1"/>
        <v>#DIV/0!</v>
      </c>
      <c r="W11" s="3582" t="s">
        <v>1909</v>
      </c>
      <c r="X11" s="811" t="s">
        <v>1877</v>
      </c>
      <c r="Y11" s="823">
        <f>$G$3</f>
        <v>2.16</v>
      </c>
      <c r="Z11" s="823">
        <f t="shared" ref="Z11:AJ11" si="3">$G$3</f>
        <v>2.16</v>
      </c>
      <c r="AA11" s="823">
        <f t="shared" si="3"/>
        <v>2.16</v>
      </c>
      <c r="AB11" s="823">
        <f t="shared" si="3"/>
        <v>2.16</v>
      </c>
      <c r="AC11" s="823">
        <f t="shared" si="3"/>
        <v>2.16</v>
      </c>
      <c r="AD11" s="823">
        <f t="shared" si="3"/>
        <v>2.16</v>
      </c>
      <c r="AE11" s="823">
        <f t="shared" si="3"/>
        <v>2.16</v>
      </c>
      <c r="AF11" s="823">
        <f t="shared" si="3"/>
        <v>2.16</v>
      </c>
      <c r="AG11" s="823">
        <f t="shared" si="3"/>
        <v>2.16</v>
      </c>
      <c r="AH11" s="823">
        <f t="shared" si="3"/>
        <v>2.16</v>
      </c>
      <c r="AI11" s="823">
        <f t="shared" si="3"/>
        <v>2.16</v>
      </c>
      <c r="AJ11" s="823">
        <f t="shared" si="3"/>
        <v>2.16</v>
      </c>
    </row>
    <row r="12" spans="1:36" ht="24.75">
      <c r="A12" s="3571" t="s">
        <v>1910</v>
      </c>
      <c r="B12" s="602" t="s">
        <v>1911</v>
      </c>
      <c r="C12" s="586">
        <f>ROUND(C15*D15*E15*F15*G15*H15*I15*J15,4)</f>
        <v>1</v>
      </c>
      <c r="D12" s="603" t="s">
        <v>1912</v>
      </c>
      <c r="E12" s="604"/>
      <c r="F12" s="604"/>
      <c r="G12" s="605"/>
      <c r="H12" s="605"/>
      <c r="I12" s="605"/>
      <c r="J12" s="743"/>
      <c r="K12" s="556"/>
      <c r="L12" s="744" t="s">
        <v>1913</v>
      </c>
      <c r="M12" s="745">
        <f>SUMPRODUCT((区片价!B338:B344=I2)*(区片价!C3:F3=E2)*(区片价!C338:F344))</f>
        <v>0</v>
      </c>
      <c r="N12" s="731">
        <f>SUMPRODUCT((因素修正幅度!B338:B344=I2)*(因素修正幅度!C3:F3=E2)*(因素修正幅度!C338:F344))</f>
        <v>0</v>
      </c>
      <c r="O12" s="556"/>
      <c r="P12" s="556"/>
      <c r="Q12" s="556"/>
      <c r="R12" s="805">
        <v>11</v>
      </c>
      <c r="S12" s="807"/>
      <c r="T12" s="805" t="e">
        <f t="shared" si="0"/>
        <v>#DIV/0!</v>
      </c>
      <c r="U12" s="807"/>
      <c r="V12" s="805" t="e">
        <f t="shared" si="1"/>
        <v>#DIV/0!</v>
      </c>
      <c r="W12" s="3582"/>
      <c r="X12" s="812" t="s">
        <v>1914</v>
      </c>
      <c r="Y12" s="821">
        <f t="shared" ref="Y12:AJ12" si="4">Y9</f>
        <v>0</v>
      </c>
      <c r="Z12" s="821">
        <f t="shared" si="4"/>
        <v>0</v>
      </c>
      <c r="AA12" s="821">
        <f t="shared" si="4"/>
        <v>0</v>
      </c>
      <c r="AB12" s="821">
        <f t="shared" si="4"/>
        <v>0</v>
      </c>
      <c r="AC12" s="821">
        <f t="shared" si="4"/>
        <v>0</v>
      </c>
      <c r="AD12" s="821">
        <f t="shared" si="4"/>
        <v>0</v>
      </c>
      <c r="AE12" s="821">
        <f t="shared" si="4"/>
        <v>0</v>
      </c>
      <c r="AF12" s="821">
        <f t="shared" si="4"/>
        <v>0</v>
      </c>
      <c r="AG12" s="821">
        <f t="shared" si="4"/>
        <v>0</v>
      </c>
      <c r="AH12" s="821">
        <f t="shared" si="4"/>
        <v>0</v>
      </c>
      <c r="AI12" s="821">
        <f t="shared" si="4"/>
        <v>0</v>
      </c>
      <c r="AJ12" s="821">
        <f t="shared" si="4"/>
        <v>0</v>
      </c>
    </row>
    <row r="13" spans="1:36" ht="24">
      <c r="A13" s="3573"/>
      <c r="B13" s="606" t="s">
        <v>1915</v>
      </c>
      <c r="C13" s="607" t="s">
        <v>1916</v>
      </c>
      <c r="D13" s="608" t="s">
        <v>1917</v>
      </c>
      <c r="E13" s="608" t="s">
        <v>1918</v>
      </c>
      <c r="F13" s="609" t="s">
        <v>1919</v>
      </c>
      <c r="G13" s="610" t="s">
        <v>1920</v>
      </c>
      <c r="H13" s="610" t="s">
        <v>1920</v>
      </c>
      <c r="I13" s="610" t="s">
        <v>1920</v>
      </c>
      <c r="J13" s="746" t="s">
        <v>1920</v>
      </c>
      <c r="K13" s="556"/>
      <c r="L13" s="556"/>
      <c r="M13" s="556"/>
      <c r="N13" s="556"/>
      <c r="O13" s="556"/>
      <c r="P13" s="556"/>
      <c r="Q13" s="556"/>
      <c r="R13" s="805">
        <v>12</v>
      </c>
      <c r="S13" s="807"/>
      <c r="T13" s="805" t="e">
        <f t="shared" si="0"/>
        <v>#DIV/0!</v>
      </c>
      <c r="U13" s="807"/>
      <c r="V13" s="805" t="e">
        <f t="shared" si="1"/>
        <v>#DIV/0!</v>
      </c>
      <c r="W13" s="3582"/>
      <c r="X13" s="812"/>
      <c r="Y13" s="822">
        <f>(-0.163*(Y12^2)-0.59*Y12+7617)*(10^(-4))/Y11</f>
        <v>0.35263888888888889</v>
      </c>
      <c r="Z13" s="822">
        <f t="shared" ref="Z13:AJ13" si="5">(-0.163*(Z12^2)-0.59*Z12+7617)*(10^(-4))/Z11</f>
        <v>0.35263888888888889</v>
      </c>
      <c r="AA13" s="822">
        <f t="shared" si="5"/>
        <v>0.35263888888888889</v>
      </c>
      <c r="AB13" s="822">
        <f t="shared" si="5"/>
        <v>0.35263888888888889</v>
      </c>
      <c r="AC13" s="822">
        <f t="shared" si="5"/>
        <v>0.35263888888888889</v>
      </c>
      <c r="AD13" s="822">
        <f t="shared" si="5"/>
        <v>0.35263888888888889</v>
      </c>
      <c r="AE13" s="822">
        <f t="shared" si="5"/>
        <v>0.35263888888888889</v>
      </c>
      <c r="AF13" s="822">
        <f t="shared" si="5"/>
        <v>0.35263888888888889</v>
      </c>
      <c r="AG13" s="822">
        <f t="shared" si="5"/>
        <v>0.35263888888888889</v>
      </c>
      <c r="AH13" s="822">
        <f t="shared" si="5"/>
        <v>0.35263888888888889</v>
      </c>
      <c r="AI13" s="822">
        <f t="shared" si="5"/>
        <v>0.35263888888888889</v>
      </c>
      <c r="AJ13" s="822">
        <f t="shared" si="5"/>
        <v>0.35263888888888889</v>
      </c>
    </row>
    <row r="14" spans="1:36" ht="15">
      <c r="A14" s="3573"/>
      <c r="B14" s="611"/>
      <c r="C14" s="612"/>
      <c r="D14" s="613"/>
      <c r="E14" s="613"/>
      <c r="F14" s="614"/>
      <c r="G14" s="615" t="s">
        <v>1921</v>
      </c>
      <c r="H14" s="616"/>
      <c r="I14" s="747"/>
      <c r="J14" s="748"/>
      <c r="K14" s="556"/>
      <c r="L14" s="556"/>
      <c r="M14" s="556"/>
      <c r="N14" s="556"/>
      <c r="O14" s="556"/>
      <c r="P14" s="556"/>
      <c r="Q14" s="556"/>
      <c r="R14" s="805">
        <v>13</v>
      </c>
      <c r="S14" s="807"/>
      <c r="T14" s="805" t="e">
        <f t="shared" si="0"/>
        <v>#DIV/0!</v>
      </c>
      <c r="U14" s="807"/>
      <c r="V14" s="805" t="e">
        <f t="shared" si="1"/>
        <v>#DIV/0!</v>
      </c>
      <c r="W14" s="806"/>
      <c r="X14" s="806"/>
      <c r="Y14" s="806"/>
      <c r="Z14" s="806"/>
      <c r="AA14" s="806"/>
      <c r="AB14" s="806"/>
      <c r="AC14" s="814"/>
      <c r="AD14" s="815"/>
      <c r="AE14" s="815"/>
      <c r="AF14" s="815"/>
      <c r="AG14" s="815"/>
      <c r="AH14" s="815"/>
      <c r="AI14" s="815"/>
      <c r="AJ14" s="826"/>
    </row>
    <row r="15" spans="1:36" ht="15">
      <c r="A15" s="3574"/>
      <c r="B15" s="617" t="s">
        <v>1922</v>
      </c>
      <c r="C15" s="618">
        <f>IF(C14="有",1.1,1)</f>
        <v>1</v>
      </c>
      <c r="D15" s="618">
        <f>IF(D14="有",1.1,1)</f>
        <v>1</v>
      </c>
      <c r="E15" s="618">
        <f>IF(E14="有",1.1,1)</f>
        <v>1</v>
      </c>
      <c r="F15" s="618">
        <f>IF(F14="500米范围内",1.2,IF(F14="500-1000米",1.1,1))</f>
        <v>1</v>
      </c>
      <c r="G15" s="619">
        <v>1</v>
      </c>
      <c r="H15" s="619">
        <v>1</v>
      </c>
      <c r="I15" s="619">
        <v>1</v>
      </c>
      <c r="J15" s="749">
        <v>1</v>
      </c>
      <c r="K15" s="556"/>
      <c r="L15" s="750" t="s">
        <v>1858</v>
      </c>
      <c r="M15" s="592" t="s">
        <v>1923</v>
      </c>
      <c r="N15" s="592" t="s">
        <v>1924</v>
      </c>
      <c r="O15" s="592" t="s">
        <v>1925</v>
      </c>
      <c r="P15" s="751" t="s">
        <v>1926</v>
      </c>
      <c r="Q15" s="556"/>
      <c r="R15" s="805">
        <v>14</v>
      </c>
      <c r="S15" s="807"/>
      <c r="T15" s="805" t="e">
        <f t="shared" si="0"/>
        <v>#DIV/0!</v>
      </c>
      <c r="U15" s="807"/>
      <c r="V15" s="805" t="e">
        <f t="shared" si="1"/>
        <v>#DIV/0!</v>
      </c>
      <c r="W15" s="806"/>
      <c r="X15" s="806"/>
      <c r="Y15" s="806"/>
      <c r="Z15" s="806"/>
      <c r="AA15" s="806"/>
      <c r="AB15" s="806"/>
      <c r="AC15" s="814"/>
      <c r="AD15" s="815"/>
      <c r="AE15" s="815"/>
      <c r="AF15" s="815"/>
      <c r="AG15" s="815"/>
      <c r="AH15" s="815"/>
      <c r="AI15" s="815"/>
      <c r="AJ15" s="826"/>
    </row>
    <row r="16" spans="1:36" ht="24">
      <c r="A16" s="3571" t="s">
        <v>1927</v>
      </c>
      <c r="B16" s="585" t="s">
        <v>1928</v>
      </c>
      <c r="C16" s="620" t="e">
        <f>ROUND(SUM(G17:J17)/C17,0)</f>
        <v>#DIV/0!</v>
      </c>
      <c r="D16" s="621" t="s">
        <v>1929</v>
      </c>
      <c r="E16" s="622"/>
      <c r="F16" s="623"/>
      <c r="G16" s="624"/>
      <c r="H16" s="624"/>
      <c r="I16" s="624"/>
      <c r="J16" s="752"/>
      <c r="K16" s="556"/>
      <c r="L16" s="753" t="s">
        <v>1930</v>
      </c>
      <c r="M16" s="596">
        <v>0.25</v>
      </c>
      <c r="N16" s="596">
        <v>0.2</v>
      </c>
      <c r="O16" s="596">
        <v>0.15</v>
      </c>
      <c r="P16" s="754">
        <v>0.1</v>
      </c>
      <c r="Q16" s="556"/>
      <c r="R16" s="805">
        <v>15</v>
      </c>
      <c r="S16" s="807"/>
      <c r="T16" s="805" t="e">
        <f t="shared" si="0"/>
        <v>#DIV/0!</v>
      </c>
      <c r="U16" s="807"/>
      <c r="V16" s="805" t="e">
        <f t="shared" si="1"/>
        <v>#DIV/0!</v>
      </c>
      <c r="W16" s="806"/>
      <c r="X16" s="806"/>
      <c r="Y16" s="806"/>
      <c r="Z16" s="806"/>
      <c r="AA16" s="806"/>
      <c r="AB16" s="806"/>
      <c r="AC16" s="814"/>
      <c r="AD16" s="815"/>
      <c r="AE16" s="815"/>
      <c r="AF16" s="815"/>
      <c r="AG16" s="815"/>
      <c r="AH16" s="815"/>
      <c r="AI16" s="815"/>
      <c r="AJ16" s="826"/>
    </row>
    <row r="17" spans="1:37">
      <c r="A17" s="3572"/>
      <c r="B17" s="625" t="s">
        <v>1931</v>
      </c>
      <c r="C17" s="626">
        <f>SUMPRODUCT((修正!A2:A5=E2)*(修正!B1:M1=G2)*(修正!B2:M5))</f>
        <v>0</v>
      </c>
      <c r="D17" s="627" t="s">
        <v>1932</v>
      </c>
      <c r="E17" s="599" t="str">
        <f>IF(OR(G2="八级",G2="九级",G2="十级",G2="十一级",G2="十二级"),"五通一平","七通一平")</f>
        <v>七通一平</v>
      </c>
      <c r="F17" s="626" t="s">
        <v>1933</v>
      </c>
      <c r="G17" s="626">
        <f>SUMPRODUCT((七通一平=G16)*(修正!B1:M1=G2)*(修正!B6:M14))</f>
        <v>0</v>
      </c>
      <c r="H17" s="626">
        <f>SUMPRODUCT((七通一平=H16)*(修正!B1:M1=G2)*(修正!B6:M14))</f>
        <v>0</v>
      </c>
      <c r="I17" s="626">
        <f>SUMPRODUCT((七通一平=I16)*(修正!B1:M1=G2)*(修正!B6:M14))</f>
        <v>0</v>
      </c>
      <c r="J17" s="755">
        <f>SUMPRODUCT((七通一平=J16)*(修正!B1:M1=G2)*(修正!B6:M14))</f>
        <v>0</v>
      </c>
      <c r="K17" s="556"/>
      <c r="L17" s="756" t="s">
        <v>1934</v>
      </c>
      <c r="M17" s="757">
        <f ca="1">ROUND($E$20*(1+M16),3)</f>
        <v>5.3999999999999999E-2</v>
      </c>
      <c r="N17" s="757">
        <f ca="1">ROUND($E$20*(1+N16),3)</f>
        <v>5.1999999999999998E-2</v>
      </c>
      <c r="O17" s="757">
        <f ca="1">ROUND($E$20*(1+O16),3)</f>
        <v>0.05</v>
      </c>
      <c r="P17" s="758">
        <f ca="1">ROUND($E$20*(1+P16),3)</f>
        <v>4.8000000000000001E-2</v>
      </c>
      <c r="Q17" s="556"/>
      <c r="R17" s="556"/>
      <c r="S17" s="556"/>
      <c r="T17" s="556"/>
      <c r="U17" s="556"/>
      <c r="V17" s="556"/>
      <c r="W17" s="556"/>
      <c r="X17" s="556"/>
      <c r="Y17" s="556"/>
      <c r="Z17" s="698"/>
      <c r="AE17" s="561"/>
      <c r="AF17" s="561"/>
      <c r="AG17" s="560"/>
      <c r="AH17" s="560"/>
      <c r="AI17" s="560"/>
      <c r="AJ17" s="560"/>
    </row>
    <row r="18" spans="1:37" s="555" customFormat="1" ht="15">
      <c r="A18" s="628" t="s">
        <v>813</v>
      </c>
      <c r="B18" s="629" t="s">
        <v>1935</v>
      </c>
      <c r="C18" s="630">
        <f>SUMIF(修正!C18:C39,E3,修正!E18:E39)</f>
        <v>0</v>
      </c>
      <c r="D18" s="631"/>
      <c r="E18" s="632"/>
      <c r="F18" s="633"/>
      <c r="G18" s="634"/>
      <c r="H18" s="634"/>
      <c r="I18" s="634"/>
      <c r="J18" s="759"/>
      <c r="K18" s="760"/>
      <c r="O18" s="761"/>
      <c r="P18" s="761"/>
      <c r="Q18" s="813"/>
      <c r="R18" s="813"/>
      <c r="S18" s="813"/>
      <c r="T18" s="698"/>
      <c r="U18" s="698"/>
      <c r="V18" s="698"/>
      <c r="W18" s="556"/>
      <c r="X18" s="556"/>
      <c r="Y18" s="556"/>
      <c r="Z18" s="760"/>
      <c r="AA18" s="824"/>
      <c r="AB18" s="824"/>
      <c r="AC18" s="824"/>
      <c r="AD18" s="824"/>
      <c r="AE18" s="562"/>
      <c r="AF18" s="562"/>
      <c r="AG18" s="558"/>
      <c r="AH18" s="558"/>
      <c r="AI18" s="558"/>
    </row>
    <row r="19" spans="1:37" s="555" customFormat="1" ht="27">
      <c r="A19" s="628" t="s">
        <v>818</v>
      </c>
      <c r="B19" s="629" t="s">
        <v>1936</v>
      </c>
      <c r="C19" s="635" t="e">
        <f>ROUND(IF(H19="按公示增长率计算",SUMPRODUCT((地价!A3:A23=YEAR(G19)&amp;"-"&amp;ROUNDUP(MONTH(G19)/3,0))*(地价!X2:AB2=E2)*(地价!X3:AB23)),IF(H19="地价指数",M20/M19,(1+I19)^O19)),4)</f>
        <v>#DIV/0!</v>
      </c>
      <c r="D19" s="636" t="s">
        <v>1937</v>
      </c>
      <c r="E19" s="637">
        <v>41640</v>
      </c>
      <c r="F19" s="636" t="s">
        <v>1938</v>
      </c>
      <c r="G19" s="638">
        <f>'数据-取费表'!B2</f>
        <v>43361</v>
      </c>
      <c r="H19" s="639" t="s">
        <v>1939</v>
      </c>
      <c r="I19" s="762" t="str">
        <f>IF(H19="季度增幅（自定义）",SUMIF(N21:N24,E2,O21:O24),"")</f>
        <v/>
      </c>
      <c r="J19" s="759"/>
      <c r="K19" s="760"/>
      <c r="L19" s="763" t="s">
        <v>1940</v>
      </c>
      <c r="M19" s="764">
        <f>ROUND(SUMIF(地价!B2:F2,E2,地价!B23:F23),0)</f>
        <v>0</v>
      </c>
      <c r="N19" s="765" t="s">
        <v>1941</v>
      </c>
      <c r="O19" s="766">
        <f>ROUNDDOWN(DATEDIF(E19,G19,"M")/3,0)</f>
        <v>18</v>
      </c>
      <c r="P19" s="767"/>
      <c r="Q19" s="813"/>
      <c r="R19" s="813"/>
      <c r="S19" s="813"/>
      <c r="T19" s="698"/>
      <c r="U19" s="698"/>
      <c r="V19" s="698"/>
      <c r="W19" s="556"/>
      <c r="X19" s="556"/>
      <c r="Y19" s="556"/>
      <c r="Z19" s="760"/>
      <c r="AA19" s="824"/>
      <c r="AB19" s="824"/>
      <c r="AC19" s="824"/>
      <c r="AD19" s="824"/>
      <c r="AE19" s="824"/>
      <c r="AF19" s="825"/>
      <c r="AG19" s="828"/>
      <c r="AH19" s="558"/>
      <c r="AI19" s="829"/>
      <c r="AJ19" s="829"/>
      <c r="AK19" s="829"/>
    </row>
    <row r="20" spans="1:37" s="555" customFormat="1" ht="27">
      <c r="A20" s="640" t="s">
        <v>821</v>
      </c>
      <c r="B20" s="641" t="s">
        <v>1942</v>
      </c>
      <c r="C20" s="642" t="e">
        <f>ROUND(POWER(1+G20,J20-I20)*(POWER(1+G20,I20)-1)/(POWER(1+G20,J20)-1),4)</f>
        <v>#DIV/0!</v>
      </c>
      <c r="D20" s="643" t="s">
        <v>1943</v>
      </c>
      <c r="E20" s="644">
        <f ca="1">存贷款利率!D4/100</f>
        <v>4.3499999999999997E-2</v>
      </c>
      <c r="F20" s="643" t="s">
        <v>1934</v>
      </c>
      <c r="G20" s="645">
        <f>SUMIF(M15:P15,E2,M17:P17)</f>
        <v>0</v>
      </c>
      <c r="H20" s="643" t="s">
        <v>1944</v>
      </c>
      <c r="I20" s="768" t="e">
        <f>SUMIF('数据-取费表'!C6:C15,E2,'数据-取费表'!F6:F15)/COUNTIF('数据-取费表'!C6:C15,E2)</f>
        <v>#DIV/0!</v>
      </c>
      <c r="J20" s="769">
        <f>IF(E2="住宅",70,IF(E2="商业",40,50))</f>
        <v>50</v>
      </c>
      <c r="K20" s="760"/>
      <c r="L20" s="770" t="s">
        <v>1945</v>
      </c>
      <c r="M20" s="771">
        <f>ROUND(SUMPRODUCT((地价!A4:A23=YEAR(G19)&amp;"-"&amp;ROUNDUP(MONTH(G19)/3,0))*(地价!B2:F2=E2)*(地价!B4:F23)),0)</f>
        <v>0</v>
      </c>
      <c r="N20" s="772" t="s">
        <v>1946</v>
      </c>
      <c r="O20" s="773" t="s">
        <v>1947</v>
      </c>
      <c r="P20" s="774" t="s">
        <v>1948</v>
      </c>
      <c r="R20" s="813"/>
      <c r="S20" s="813"/>
      <c r="T20" s="698"/>
      <c r="U20" s="698"/>
      <c r="V20" s="698"/>
      <c r="W20" s="556"/>
      <c r="X20" s="556"/>
      <c r="Y20" s="556"/>
      <c r="Z20" s="760"/>
      <c r="AA20" s="824"/>
      <c r="AB20" s="824"/>
      <c r="AC20" s="824"/>
      <c r="AD20" s="824"/>
      <c r="AE20" s="824"/>
      <c r="AF20" s="824"/>
    </row>
    <row r="21" spans="1:37" s="555" customFormat="1" ht="15">
      <c r="A21" s="646" t="s">
        <v>845</v>
      </c>
      <c r="B21" s="647" t="s">
        <v>1949</v>
      </c>
      <c r="C21" s="648">
        <f>IF(B21="容积率修正",IF(G3&lt;=10,D22,J22),C23)</f>
        <v>0</v>
      </c>
      <c r="D21" s="649"/>
      <c r="E21" s="649"/>
      <c r="F21" s="649"/>
      <c r="G21" s="649"/>
      <c r="H21" s="649"/>
      <c r="I21" s="649"/>
      <c r="J21" s="775"/>
      <c r="K21" s="760"/>
      <c r="N21" s="776" t="s">
        <v>1950</v>
      </c>
      <c r="O21" s="777"/>
      <c r="P21" s="778">
        <f>SUMPRODUCT((地价!A3:A23=YEAR(G19)&amp;"-"&amp;ROUNDUP(MONTH(G19)/3,0))*(地价!AD2:AH2=N21)*(地价!AD3:AH23))</f>
        <v>1.54E-2</v>
      </c>
      <c r="R21" s="813"/>
      <c r="S21" s="813"/>
      <c r="T21" s="698"/>
      <c r="U21" s="698"/>
      <c r="V21" s="698"/>
      <c r="W21" s="556"/>
      <c r="X21" s="556"/>
      <c r="Y21" s="556"/>
      <c r="Z21" s="760"/>
      <c r="AA21" s="824"/>
      <c r="AB21" s="824"/>
      <c r="AC21" s="824"/>
      <c r="AD21" s="824"/>
      <c r="AE21" s="824"/>
      <c r="AF21" s="824"/>
    </row>
    <row r="22" spans="1:37" s="555" customFormat="1" ht="14.25">
      <c r="A22" s="650" t="s">
        <v>1951</v>
      </c>
      <c r="B22" s="651" t="s">
        <v>1952</v>
      </c>
      <c r="C22" s="652" t="s">
        <v>1953</v>
      </c>
      <c r="D22" s="652">
        <f>IF(E22=G22,F22,IF(G3&lt;=10,ROUND(F22+(H22-F22)*(G3-E22)/(G22-E22),4),"——"))</f>
        <v>0</v>
      </c>
      <c r="E22" s="571">
        <f>ROUNDDOWN(G3,1)</f>
        <v>2.1</v>
      </c>
      <c r="F22" s="652"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571">
        <f>ROUNDUP(G3,1)</f>
        <v>2.2000000000000002</v>
      </c>
      <c r="H22" s="65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652" t="s">
        <v>1954</v>
      </c>
      <c r="J22" s="779" t="str">
        <f>IF(G3&gt;10,D113,"——")</f>
        <v>——</v>
      </c>
      <c r="K22" s="760"/>
      <c r="N22" s="776" t="s">
        <v>1955</v>
      </c>
      <c r="O22" s="777"/>
      <c r="P22" s="778">
        <f>SUMPRODUCT((地价!A3:A23=YEAR(G19)&amp;"-"&amp;ROUNDUP(MONTH(G19)/3,0))*(地价!AD2:AH2=N22)*(地价!AD3:AH23))</f>
        <v>1.54E-2</v>
      </c>
      <c r="R22" s="813"/>
      <c r="S22" s="813"/>
      <c r="T22" s="698"/>
      <c r="U22" s="698"/>
      <c r="V22" s="698"/>
      <c r="W22" s="556"/>
      <c r="X22" s="556"/>
      <c r="Y22" s="556"/>
      <c r="Z22" s="760"/>
      <c r="AA22" s="824"/>
      <c r="AB22" s="824"/>
      <c r="AC22" s="824"/>
      <c r="AD22" s="824"/>
      <c r="AE22" s="824"/>
      <c r="AF22" s="824"/>
    </row>
    <row r="23" spans="1:37" ht="27">
      <c r="A23" s="650" t="s">
        <v>1956</v>
      </c>
      <c r="B23" s="653" t="s">
        <v>1957</v>
      </c>
      <c r="C23" s="654">
        <f>ROUND(IF(G3&gt;1,IF(I3&lt;7,SUMPRODUCT((B93:B98=I3)*(C92:N92=G2)*(C93:N98)),SUMIF(C92:N92,G2,C100:N100)),IF(I3&lt;7,SUMPRODUCT((B102:B107=I3)*(C92:N92=G2)*(C102:N107)),SUMIF(C92:N92,G2,C109:N109))),4)</f>
        <v>0</v>
      </c>
      <c r="D23" s="616"/>
      <c r="E23" s="616"/>
      <c r="F23" s="655"/>
      <c r="G23" s="656"/>
      <c r="H23" s="657"/>
      <c r="I23" s="780"/>
      <c r="J23" s="781"/>
      <c r="K23" s="556"/>
      <c r="N23" s="776" t="s">
        <v>1958</v>
      </c>
      <c r="O23" s="777"/>
      <c r="P23" s="778">
        <f>SUMPRODUCT((地价!A3:A23=YEAR(G19)&amp;"-"&amp;ROUNDUP(MONTH(G19)/3,0))*(地价!AD2:AH2=N23)*(地价!AD3:AH23))</f>
        <v>2.4500000000000001E-2</v>
      </c>
      <c r="R23" s="813"/>
      <c r="S23" s="813"/>
      <c r="T23" s="698"/>
      <c r="U23" s="698"/>
      <c r="V23" s="698"/>
      <c r="W23" s="556"/>
      <c r="X23" s="556"/>
      <c r="Y23" s="556"/>
      <c r="Z23" s="760"/>
      <c r="AA23" s="824"/>
      <c r="AB23" s="824"/>
      <c r="AC23" s="824"/>
      <c r="AD23" s="824"/>
      <c r="AK23" s="558"/>
    </row>
    <row r="24" spans="1:37" s="555" customFormat="1" ht="15">
      <c r="A24" s="640" t="s">
        <v>1959</v>
      </c>
      <c r="B24" s="629" t="s">
        <v>1960</v>
      </c>
      <c r="C24" s="635">
        <f>SUMIF(A45:A88,E2,B45:B88)</f>
        <v>0</v>
      </c>
      <c r="D24" s="633"/>
      <c r="E24" s="658"/>
      <c r="F24" s="658"/>
      <c r="G24" s="658"/>
      <c r="H24" s="658"/>
      <c r="I24" s="658"/>
      <c r="J24" s="782"/>
      <c r="K24" s="760"/>
      <c r="N24" s="783" t="s">
        <v>1961</v>
      </c>
      <c r="O24" s="784"/>
      <c r="P24" s="785">
        <f>SUMPRODUCT((地价!A3:A23=YEAR(G19)&amp;"-"&amp;ROUNDUP(MONTH(G19)/3,0))*(地价!AD2:AH2=N24)*(地价!AD3:AH23))</f>
        <v>1.41E-2</v>
      </c>
      <c r="R24" s="813"/>
      <c r="S24" s="813"/>
      <c r="T24" s="698"/>
      <c r="U24" s="698"/>
      <c r="V24" s="698"/>
      <c r="W24" s="556"/>
      <c r="X24" s="556"/>
      <c r="Y24" s="556"/>
      <c r="Z24" s="760"/>
      <c r="AA24" s="824"/>
      <c r="AB24" s="824"/>
      <c r="AC24" s="824"/>
      <c r="AD24" s="824"/>
      <c r="AE24" s="824"/>
      <c r="AF24" s="824"/>
    </row>
    <row r="25" spans="1:37" ht="15">
      <c r="A25" s="640" t="s">
        <v>1962</v>
      </c>
      <c r="B25" s="659" t="s">
        <v>1963</v>
      </c>
      <c r="C25" s="660"/>
      <c r="D25" s="590"/>
      <c r="E25" s="590"/>
      <c r="F25" s="661"/>
      <c r="G25" s="590"/>
      <c r="H25" s="590"/>
      <c r="I25" s="590"/>
      <c r="J25" s="740"/>
      <c r="K25" s="556"/>
      <c r="N25" s="786" t="s">
        <v>1964</v>
      </c>
      <c r="O25" s="787"/>
      <c r="P25" s="785">
        <f>SUMPRODUCT((地价!A3:A23=YEAR(G19)&amp;"-"&amp;ROUNDUP(MONTH(G19)/3,0))*(地价!AD2:AH2=N25)*(地价!AD3:AH23))</f>
        <v>2.23E-2</v>
      </c>
      <c r="R25" s="813"/>
      <c r="S25" s="813"/>
      <c r="T25" s="698"/>
      <c r="U25" s="698"/>
      <c r="V25" s="698"/>
      <c r="W25" s="556"/>
      <c r="X25" s="556"/>
      <c r="Y25" s="556"/>
      <c r="Z25" s="760"/>
      <c r="AA25" s="824"/>
      <c r="AB25" s="824"/>
      <c r="AC25" s="824"/>
      <c r="AD25" s="824"/>
    </row>
    <row r="26" spans="1:37" ht="15">
      <c r="A26" s="662"/>
      <c r="B26" s="651" t="s">
        <v>1965</v>
      </c>
      <c r="C26" s="663" t="e">
        <f>E29+SUM(E33:E39)</f>
        <v>#DIV/0!</v>
      </c>
      <c r="D26" s="664"/>
      <c r="E26" s="616"/>
      <c r="F26" s="665"/>
      <c r="G26" s="616"/>
      <c r="H26" s="616"/>
      <c r="I26" s="616"/>
      <c r="J26" s="788"/>
      <c r="K26" s="556"/>
      <c r="R26" s="813"/>
      <c r="S26" s="813"/>
      <c r="T26" s="698"/>
      <c r="U26" s="698"/>
      <c r="V26" s="698"/>
      <c r="W26" s="556"/>
      <c r="X26" s="556"/>
      <c r="Y26" s="556"/>
      <c r="Z26" s="760"/>
      <c r="AA26" s="824"/>
      <c r="AB26" s="824"/>
      <c r="AC26" s="824"/>
      <c r="AD26" s="824"/>
    </row>
    <row r="27" spans="1:37" ht="15">
      <c r="A27" s="662"/>
      <c r="B27" s="666" t="s">
        <v>1966</v>
      </c>
      <c r="C27" s="667" t="e">
        <f>E30+SUM(I33:I39)</f>
        <v>#DIV/0!</v>
      </c>
      <c r="D27" s="668"/>
      <c r="E27" s="669"/>
      <c r="F27" s="670"/>
      <c r="G27" s="669"/>
      <c r="H27" s="669"/>
      <c r="I27" s="669"/>
      <c r="J27" s="789"/>
      <c r="K27" s="556"/>
      <c r="L27" s="556"/>
      <c r="M27" s="556"/>
      <c r="N27" s="556"/>
      <c r="O27" s="761"/>
      <c r="P27" s="761"/>
      <c r="Q27" s="813"/>
      <c r="R27" s="813"/>
      <c r="S27" s="813"/>
      <c r="T27" s="698"/>
      <c r="U27" s="698"/>
      <c r="V27" s="698"/>
      <c r="W27" s="556"/>
      <c r="X27" s="556"/>
      <c r="Y27" s="556"/>
      <c r="Z27" s="760"/>
      <c r="AA27" s="824"/>
      <c r="AB27" s="824"/>
      <c r="AC27" s="824"/>
      <c r="AD27" s="824"/>
    </row>
    <row r="28" spans="1:37" ht="15">
      <c r="A28" s="671"/>
      <c r="B28" s="672" t="s">
        <v>1967</v>
      </c>
      <c r="C28" s="673" t="s">
        <v>1968</v>
      </c>
      <c r="D28" s="673" t="s">
        <v>486</v>
      </c>
      <c r="E28" s="674" t="s">
        <v>1969</v>
      </c>
      <c r="F28" s="675"/>
      <c r="G28" s="605"/>
      <c r="H28" s="605"/>
      <c r="I28" s="605"/>
      <c r="J28" s="743"/>
      <c r="K28" s="556"/>
      <c r="L28" s="556"/>
      <c r="M28" s="556"/>
      <c r="N28" s="556"/>
      <c r="O28" s="761"/>
      <c r="P28" s="761"/>
      <c r="Q28" s="813"/>
      <c r="R28" s="813"/>
      <c r="S28" s="813"/>
      <c r="T28" s="698"/>
      <c r="U28" s="698"/>
      <c r="V28" s="698"/>
      <c r="W28" s="556"/>
      <c r="X28" s="556"/>
      <c r="Y28" s="556"/>
      <c r="Z28" s="760"/>
      <c r="AA28" s="824"/>
      <c r="AB28" s="824"/>
      <c r="AC28" s="824"/>
      <c r="AD28" s="824"/>
    </row>
    <row r="29" spans="1:37" ht="22.5" customHeight="1">
      <c r="A29" s="676"/>
      <c r="B29" s="677" t="s">
        <v>1970</v>
      </c>
      <c r="C29" s="663" t="e">
        <f>ROUND(C5*C18*C19*C20*C21*C24,0)</f>
        <v>#DIV/0!</v>
      </c>
      <c r="D29" s="678"/>
      <c r="E29" s="679" t="e">
        <f>ROUND(C29*D29/10000,0)</f>
        <v>#DIV/0!</v>
      </c>
      <c r="F29" s="680" t="s">
        <v>1971</v>
      </c>
      <c r="G29" s="681"/>
      <c r="H29" s="681"/>
      <c r="I29" s="681"/>
      <c r="J29" s="790"/>
      <c r="K29" s="556"/>
      <c r="L29" s="556"/>
      <c r="M29" s="556"/>
      <c r="N29" s="556"/>
      <c r="O29" s="761"/>
      <c r="P29" s="761"/>
      <c r="Q29" s="813"/>
      <c r="R29" s="813"/>
      <c r="S29" s="813"/>
      <c r="T29" s="698"/>
      <c r="U29" s="698"/>
      <c r="V29" s="698"/>
      <c r="W29" s="556"/>
      <c r="X29" s="556"/>
      <c r="Y29" s="556"/>
      <c r="Z29" s="760"/>
      <c r="AA29" s="824"/>
      <c r="AB29" s="824"/>
      <c r="AC29" s="824"/>
      <c r="AD29" s="824"/>
      <c r="AE29" s="561"/>
      <c r="AF29" s="561"/>
      <c r="AG29" s="560"/>
      <c r="AH29" s="560"/>
      <c r="AI29" s="560"/>
      <c r="AJ29" s="560"/>
    </row>
    <row r="30" spans="1:37" ht="24.75">
      <c r="A30" s="682"/>
      <c r="B30" s="683" t="s">
        <v>1972</v>
      </c>
      <c r="C30" s="618" t="e">
        <f>ROUND(IF(E2="工业",C29*M39,C29*M38),0)</f>
        <v>#DIV/0!</v>
      </c>
      <c r="D30" s="684"/>
      <c r="E30" s="679" t="e">
        <f>ROUND(C30*D30/10000,0)</f>
        <v>#DIV/0!</v>
      </c>
      <c r="F30" s="685" t="s">
        <v>1973</v>
      </c>
      <c r="G30" s="686"/>
      <c r="H30" s="686"/>
      <c r="I30" s="686"/>
      <c r="J30" s="791"/>
      <c r="K30" s="556"/>
      <c r="L30" s="556"/>
      <c r="M30" s="556"/>
      <c r="N30" s="556"/>
      <c r="O30" s="761"/>
      <c r="P30" s="761"/>
      <c r="Q30" s="813"/>
      <c r="R30" s="813"/>
      <c r="S30" s="813"/>
      <c r="T30" s="698"/>
      <c r="U30" s="698"/>
      <c r="V30" s="698"/>
      <c r="W30" s="556"/>
      <c r="X30" s="556"/>
      <c r="Y30" s="556"/>
      <c r="Z30" s="760"/>
      <c r="AA30" s="824"/>
      <c r="AB30" s="824"/>
      <c r="AC30" s="824"/>
      <c r="AD30" s="824"/>
      <c r="AE30" s="561"/>
      <c r="AF30" s="561"/>
      <c r="AG30" s="560"/>
      <c r="AH30" s="560"/>
      <c r="AI30" s="560"/>
      <c r="AJ30" s="560"/>
    </row>
    <row r="31" spans="1:37" ht="14.25">
      <c r="A31" s="687"/>
      <c r="B31" s="688" t="s">
        <v>1974</v>
      </c>
      <c r="C31" s="689" t="s">
        <v>1975</v>
      </c>
      <c r="D31" s="605"/>
      <c r="E31" s="689"/>
      <c r="F31" s="689"/>
      <c r="G31" s="603" t="s">
        <v>1973</v>
      </c>
      <c r="H31" s="605"/>
      <c r="I31" s="792"/>
      <c r="J31" s="743"/>
      <c r="K31" s="556"/>
      <c r="L31" s="556"/>
      <c r="M31" s="556"/>
      <c r="N31" s="556"/>
      <c r="O31" s="761"/>
      <c r="P31" s="761"/>
      <c r="Q31" s="813"/>
      <c r="R31" s="813"/>
      <c r="S31" s="813"/>
      <c r="T31" s="698"/>
      <c r="U31" s="698"/>
      <c r="V31" s="698"/>
      <c r="W31" s="556"/>
      <c r="X31" s="556"/>
      <c r="Y31" s="556"/>
      <c r="Z31" s="760"/>
      <c r="AA31" s="824"/>
      <c r="AB31" s="824"/>
      <c r="AC31" s="824"/>
      <c r="AD31" s="824"/>
      <c r="AE31" s="561"/>
      <c r="AF31" s="561"/>
      <c r="AG31" s="560"/>
      <c r="AH31" s="560"/>
      <c r="AI31" s="560"/>
      <c r="AJ31" s="560"/>
    </row>
    <row r="32" spans="1:37" ht="24">
      <c r="A32" s="676"/>
      <c r="B32" s="690"/>
      <c r="C32" s="691" t="s">
        <v>1968</v>
      </c>
      <c r="D32" s="692" t="s">
        <v>486</v>
      </c>
      <c r="E32" s="692" t="s">
        <v>1969</v>
      </c>
      <c r="F32" s="563" t="s">
        <v>1976</v>
      </c>
      <c r="G32" s="693" t="s">
        <v>1968</v>
      </c>
      <c r="H32" s="693" t="s">
        <v>486</v>
      </c>
      <c r="I32" s="693" t="s">
        <v>1969</v>
      </c>
      <c r="J32" s="195"/>
      <c r="K32" s="556"/>
      <c r="L32" s="556"/>
      <c r="M32" s="556"/>
      <c r="N32" s="556"/>
      <c r="O32" s="761"/>
      <c r="P32" s="761"/>
      <c r="Q32" s="813"/>
      <c r="R32" s="813"/>
      <c r="S32" s="813"/>
      <c r="T32" s="698"/>
      <c r="U32" s="698"/>
      <c r="V32" s="698"/>
      <c r="W32" s="556"/>
      <c r="X32" s="556"/>
      <c r="Y32" s="556"/>
      <c r="Z32" s="760"/>
      <c r="AA32" s="824"/>
      <c r="AB32" s="824"/>
      <c r="AC32" s="824"/>
      <c r="AD32" s="824"/>
      <c r="AE32" s="561"/>
      <c r="AF32" s="561"/>
      <c r="AG32" s="560"/>
      <c r="AH32" s="560"/>
      <c r="AI32" s="560"/>
      <c r="AJ32" s="560"/>
    </row>
    <row r="33" spans="1:37" ht="36" customHeight="1">
      <c r="A33" s="3575" t="s">
        <v>1977</v>
      </c>
      <c r="B33" s="694" t="s">
        <v>1978</v>
      </c>
      <c r="C33" s="663" t="e">
        <f>ROUND(D5*C19*C20*C24*F33,0)</f>
        <v>#DIV/0!</v>
      </c>
      <c r="D33" s="678"/>
      <c r="E33" s="597" t="e">
        <f>ROUND(C33*D33/10000,0)</f>
        <v>#DIV/0!</v>
      </c>
      <c r="F33" s="597">
        <f>SUMIF(修正!A45:A56,G2,修正!B45:B56)</f>
        <v>0</v>
      </c>
      <c r="G33" s="597" t="e">
        <f t="shared" ref="G33" si="6">ROUND(IF(E2="工业",C33*$M$39,C33*$M$38),0)</f>
        <v>#DIV/0!</v>
      </c>
      <c r="H33" s="597">
        <f>D33</f>
        <v>0</v>
      </c>
      <c r="I33" s="597" t="e">
        <f>ROUND(G33*H33/10000,0)</f>
        <v>#DIV/0!</v>
      </c>
      <c r="J33" s="793"/>
      <c r="K33" s="556"/>
      <c r="L33" s="556"/>
      <c r="M33" s="556"/>
      <c r="N33" s="556"/>
      <c r="O33" s="761"/>
      <c r="P33" s="761"/>
      <c r="Q33" s="813"/>
      <c r="R33" s="813"/>
      <c r="S33" s="813"/>
      <c r="T33" s="698"/>
      <c r="U33" s="698"/>
      <c r="V33" s="698"/>
      <c r="W33" s="556"/>
      <c r="X33" s="556"/>
      <c r="Y33" s="556"/>
      <c r="Z33" s="760"/>
      <c r="AA33" s="824"/>
      <c r="AB33" s="824"/>
      <c r="AC33" s="824"/>
      <c r="AD33" s="824"/>
    </row>
    <row r="34" spans="1:37" ht="14.25">
      <c r="A34" s="3576"/>
      <c r="B34" s="607" t="s">
        <v>1979</v>
      </c>
      <c r="C34" s="663" t="e">
        <f>ROUND(D5*C19*C20*C24*F34,0)</f>
        <v>#DIV/0!</v>
      </c>
      <c r="D34" s="678"/>
      <c r="E34" s="597" t="e">
        <f t="shared" ref="E34:E39" si="7">ROUND(C34*D34/10000,0)</f>
        <v>#DIV/0!</v>
      </c>
      <c r="F34" s="597">
        <f>SUMIF(修正!A45:A56,G2,修正!C45:C56)</f>
        <v>0</v>
      </c>
      <c r="G34" s="597" t="e">
        <f>ROUND(IF(E2="工业",C34*$M$39,C34*$M$38),0)</f>
        <v>#DIV/0!</v>
      </c>
      <c r="H34" s="597">
        <f t="shared" ref="H34:H39" si="8">D34</f>
        <v>0</v>
      </c>
      <c r="I34" s="597" t="e">
        <f t="shared" ref="I34:I39" si="9">ROUND(G34*H34/10000,0)</f>
        <v>#DIV/0!</v>
      </c>
      <c r="J34" s="793"/>
      <c r="K34" s="556"/>
      <c r="L34" s="556"/>
      <c r="M34" s="556"/>
      <c r="N34" s="556"/>
      <c r="O34" s="761"/>
      <c r="P34" s="761"/>
      <c r="Q34" s="813"/>
      <c r="R34" s="813"/>
      <c r="S34" s="813"/>
      <c r="T34" s="698"/>
      <c r="U34" s="698"/>
      <c r="V34" s="698"/>
      <c r="W34" s="556"/>
      <c r="X34" s="556"/>
      <c r="Y34" s="556"/>
      <c r="Z34" s="760"/>
      <c r="AA34" s="824"/>
      <c r="AB34" s="824"/>
      <c r="AC34" s="824"/>
      <c r="AD34" s="824"/>
    </row>
    <row r="35" spans="1:37">
      <c r="A35" s="3576"/>
      <c r="B35" s="607" t="s">
        <v>1980</v>
      </c>
      <c r="C35" s="663" t="e">
        <f>ROUND(D5*C19*C20*C24*F35,0)</f>
        <v>#DIV/0!</v>
      </c>
      <c r="D35" s="678"/>
      <c r="E35" s="597" t="e">
        <f t="shared" si="7"/>
        <v>#DIV/0!</v>
      </c>
      <c r="F35" s="597">
        <f>SUMIF(修正!A45:A56,G2,修正!D45:D56)</f>
        <v>0</v>
      </c>
      <c r="G35" s="597" t="e">
        <f>ROUND(IF(E2="工业",C35*$M$39,C35*$M$38),0)</f>
        <v>#DIV/0!</v>
      </c>
      <c r="H35" s="597">
        <f t="shared" si="8"/>
        <v>0</v>
      </c>
      <c r="I35" s="597" t="e">
        <f t="shared" si="9"/>
        <v>#DIV/0!</v>
      </c>
      <c r="J35" s="793"/>
      <c r="K35" s="556"/>
      <c r="L35" s="556"/>
      <c r="M35" s="556"/>
      <c r="N35" s="556"/>
      <c r="O35" s="556"/>
      <c r="P35" s="556"/>
      <c r="Q35" s="556"/>
      <c r="R35" s="556"/>
      <c r="S35" s="556"/>
      <c r="T35" s="556"/>
      <c r="U35" s="556"/>
      <c r="V35" s="556"/>
      <c r="W35" s="556"/>
      <c r="X35" s="556"/>
      <c r="Y35" s="556"/>
      <c r="Z35" s="698"/>
    </row>
    <row r="36" spans="1:37">
      <c r="A36" s="3577"/>
      <c r="B36" s="607" t="s">
        <v>1981</v>
      </c>
      <c r="C36" s="663" t="e">
        <f>ROUND(D5*C19*C20*C24*F36,0)</f>
        <v>#DIV/0!</v>
      </c>
      <c r="D36" s="678"/>
      <c r="E36" s="597" t="e">
        <f t="shared" si="7"/>
        <v>#DIV/0!</v>
      </c>
      <c r="F36" s="597">
        <f>SUMIF(修正!A45:A56,G2,修正!E45:E56)</f>
        <v>0</v>
      </c>
      <c r="G36" s="597" t="e">
        <f>ROUND(IF(E2="工业",C36*$M$39,C36*$M$38),0)</f>
        <v>#DIV/0!</v>
      </c>
      <c r="H36" s="597">
        <f t="shared" si="8"/>
        <v>0</v>
      </c>
      <c r="I36" s="597" t="e">
        <f t="shared" si="9"/>
        <v>#DIV/0!</v>
      </c>
      <c r="J36" s="793"/>
      <c r="K36" s="556"/>
      <c r="L36" s="557"/>
      <c r="M36" s="557"/>
      <c r="N36" s="556"/>
      <c r="O36" s="556"/>
      <c r="P36" s="556"/>
      <c r="Q36" s="556"/>
      <c r="R36" s="556"/>
      <c r="S36" s="556"/>
      <c r="T36" s="556"/>
      <c r="U36" s="556"/>
      <c r="V36" s="556"/>
      <c r="W36" s="556"/>
      <c r="X36" s="556"/>
      <c r="Y36" s="556"/>
      <c r="Z36" s="698"/>
    </row>
    <row r="37" spans="1:37">
      <c r="A37" s="695"/>
      <c r="B37" s="607" t="s">
        <v>1982</v>
      </c>
      <c r="C37" s="597" t="e">
        <f>ROUND(C5*C19*C20*C24*F37,0)</f>
        <v>#DIV/0!</v>
      </c>
      <c r="D37" s="678"/>
      <c r="E37" s="597" t="e">
        <f t="shared" si="7"/>
        <v>#DIV/0!</v>
      </c>
      <c r="F37" s="663">
        <f>SUMIF(修正!A45:A56,G2,修正!F45:F56)</f>
        <v>0</v>
      </c>
      <c r="G37" s="597" t="e">
        <f>ROUND(IF(E2="工业",C37*$M$39,C37*$M$38),0)</f>
        <v>#DIV/0!</v>
      </c>
      <c r="H37" s="597">
        <f t="shared" si="8"/>
        <v>0</v>
      </c>
      <c r="I37" s="597" t="e">
        <f t="shared" si="9"/>
        <v>#DIV/0!</v>
      </c>
      <c r="J37" s="793"/>
      <c r="K37" s="556"/>
      <c r="L37" s="794" t="s">
        <v>1983</v>
      </c>
      <c r="M37" s="795"/>
      <c r="N37" s="556"/>
      <c r="O37" s="556"/>
      <c r="P37" s="556"/>
      <c r="Q37" s="556"/>
      <c r="R37" s="556"/>
      <c r="S37" s="556"/>
      <c r="T37" s="556"/>
      <c r="U37" s="556"/>
      <c r="V37" s="556"/>
      <c r="W37" s="556"/>
      <c r="X37" s="556"/>
      <c r="Y37" s="556"/>
      <c r="Z37" s="698"/>
    </row>
    <row r="38" spans="1:37">
      <c r="A38" s="695"/>
      <c r="B38" s="607" t="s">
        <v>1984</v>
      </c>
      <c r="C38" s="597" t="e">
        <f>ROUND(C5*C19*C20*C24*F38,0)</f>
        <v>#DIV/0!</v>
      </c>
      <c r="D38" s="678"/>
      <c r="E38" s="597" t="e">
        <f t="shared" si="7"/>
        <v>#DIV/0!</v>
      </c>
      <c r="F38" s="663">
        <f>SUMIF(修正!A45:A56,G2,修正!G45:G56)</f>
        <v>0</v>
      </c>
      <c r="G38" s="597" t="e">
        <f>ROUND(IF(E2="工业",C38*$M$39,C38*$M$38),0)</f>
        <v>#DIV/0!</v>
      </c>
      <c r="H38" s="597">
        <f t="shared" si="8"/>
        <v>0</v>
      </c>
      <c r="I38" s="597" t="e">
        <f t="shared" si="9"/>
        <v>#DIV/0!</v>
      </c>
      <c r="J38" s="793"/>
      <c r="K38" s="556"/>
      <c r="L38" s="796" t="s">
        <v>1985</v>
      </c>
      <c r="M38" s="797">
        <v>0.25</v>
      </c>
      <c r="N38" s="556"/>
      <c r="O38" s="556"/>
      <c r="P38" s="556"/>
      <c r="Q38" s="556"/>
      <c r="R38" s="556"/>
      <c r="S38" s="556"/>
      <c r="T38" s="556"/>
      <c r="U38" s="556"/>
      <c r="V38" s="556"/>
      <c r="W38" s="556"/>
      <c r="X38" s="556"/>
      <c r="Y38" s="556"/>
      <c r="Z38" s="698"/>
    </row>
    <row r="39" spans="1:37">
      <c r="A39" s="682"/>
      <c r="B39" s="696" t="s">
        <v>1986</v>
      </c>
      <c r="C39" s="618" t="e">
        <f>ROUND(C5*C19*C20*C24*F39,0)</f>
        <v>#DIV/0!</v>
      </c>
      <c r="D39" s="684"/>
      <c r="E39" s="618" t="e">
        <f t="shared" si="7"/>
        <v>#DIV/0!</v>
      </c>
      <c r="F39" s="697">
        <f>SUMIF(修正!A45:A56,G2,修正!H45:H56)</f>
        <v>0</v>
      </c>
      <c r="G39" s="618" t="e">
        <f>ROUND(IF(E2="工业",C39*$M$39,C39*$M$38),0)</f>
        <v>#DIV/0!</v>
      </c>
      <c r="H39" s="618">
        <f t="shared" si="8"/>
        <v>0</v>
      </c>
      <c r="I39" s="618" t="e">
        <f t="shared" si="9"/>
        <v>#DIV/0!</v>
      </c>
      <c r="J39" s="798"/>
      <c r="K39" s="556"/>
      <c r="L39" s="799" t="s">
        <v>1926</v>
      </c>
      <c r="M39" s="800">
        <v>0.15</v>
      </c>
      <c r="N39" s="556"/>
      <c r="O39" s="556"/>
      <c r="P39" s="556"/>
      <c r="Q39" s="556"/>
      <c r="R39" s="556"/>
      <c r="S39" s="556"/>
      <c r="T39" s="556"/>
      <c r="U39" s="556"/>
      <c r="V39" s="556"/>
      <c r="W39" s="556"/>
      <c r="X39" s="556"/>
      <c r="Y39" s="556"/>
      <c r="Z39" s="698"/>
    </row>
    <row r="40" spans="1:37" s="556" customFormat="1">
      <c r="Z40" s="698"/>
      <c r="AA40" s="698"/>
      <c r="AB40" s="698"/>
      <c r="AC40" s="698"/>
      <c r="AD40" s="698"/>
      <c r="AE40" s="698"/>
      <c r="AF40" s="698"/>
      <c r="AG40" s="698"/>
      <c r="AH40" s="698"/>
      <c r="AI40" s="698"/>
      <c r="AJ40" s="698"/>
    </row>
    <row r="41" spans="1:37" s="556" customFormat="1">
      <c r="A41" s="698"/>
      <c r="B41" s="699"/>
      <c r="Z41" s="698"/>
      <c r="AA41" s="698"/>
      <c r="AB41" s="698"/>
      <c r="AC41" s="698"/>
      <c r="AD41" s="698"/>
      <c r="AE41" s="698"/>
      <c r="AF41" s="698"/>
      <c r="AG41" s="698"/>
      <c r="AH41" s="698"/>
      <c r="AI41" s="698"/>
      <c r="AJ41" s="698"/>
    </row>
    <row r="42" spans="1:37" s="556" customFormat="1">
      <c r="A42" s="698"/>
      <c r="B42" s="699"/>
      <c r="Z42" s="698"/>
      <c r="AA42" s="698"/>
      <c r="AB42" s="698"/>
      <c r="AC42" s="698"/>
      <c r="AD42" s="698"/>
      <c r="AE42" s="698"/>
      <c r="AF42" s="698"/>
      <c r="AG42" s="698"/>
      <c r="AH42" s="698"/>
      <c r="AI42" s="698"/>
      <c r="AJ42" s="698"/>
    </row>
    <row r="43" spans="1:37" s="556" customFormat="1">
      <c r="A43" s="698"/>
      <c r="B43" s="699"/>
      <c r="Z43" s="698"/>
      <c r="AA43" s="698"/>
      <c r="AB43" s="698"/>
      <c r="AC43" s="698"/>
      <c r="AD43" s="698"/>
      <c r="AE43" s="698"/>
      <c r="AF43" s="698"/>
      <c r="AG43" s="698"/>
      <c r="AH43" s="698"/>
      <c r="AI43" s="698"/>
      <c r="AJ43" s="698"/>
    </row>
    <row r="44" spans="1:37" s="556" customFormat="1">
      <c r="A44" s="698"/>
      <c r="B44" s="699"/>
      <c r="Z44" s="698"/>
      <c r="AA44" s="698"/>
      <c r="AB44" s="698"/>
      <c r="AC44" s="698"/>
      <c r="AD44" s="698"/>
      <c r="AE44" s="698"/>
      <c r="AF44" s="698"/>
      <c r="AG44" s="698"/>
      <c r="AH44" s="698"/>
      <c r="AI44" s="698"/>
      <c r="AJ44" s="698"/>
    </row>
    <row r="45" spans="1:37" s="556" customFormat="1" ht="15">
      <c r="A45" s="700" t="s">
        <v>1987</v>
      </c>
      <c r="B45" s="701"/>
      <c r="C45" s="702"/>
      <c r="D45" s="702"/>
      <c r="E45" s="702"/>
      <c r="F45" s="703"/>
      <c r="G45" s="703"/>
      <c r="H45" s="703"/>
      <c r="I45" s="702"/>
      <c r="J45" s="702"/>
      <c r="K45" s="702"/>
      <c r="L45" s="702"/>
      <c r="M45" s="702"/>
      <c r="N45" s="561"/>
      <c r="Z45" s="698"/>
      <c r="AA45" s="698"/>
      <c r="AB45" s="698"/>
      <c r="AC45" s="698"/>
      <c r="AD45" s="698"/>
      <c r="AE45" s="698"/>
      <c r="AF45" s="698"/>
      <c r="AG45" s="698"/>
      <c r="AH45" s="698"/>
      <c r="AI45" s="698"/>
      <c r="AJ45" s="698"/>
    </row>
    <row r="46" spans="1:37" s="556" customFormat="1" ht="15">
      <c r="A46" s="704" t="s">
        <v>1988</v>
      </c>
      <c r="B46" s="705">
        <f>1+E48</f>
        <v>1</v>
      </c>
      <c r="C46" s="706"/>
      <c r="D46" s="707"/>
      <c r="E46" s="708"/>
      <c r="F46" s="709"/>
      <c r="G46" s="703"/>
      <c r="H46" s="702"/>
      <c r="I46" s="702"/>
      <c r="J46" s="702"/>
      <c r="K46" s="702"/>
      <c r="L46" s="702"/>
      <c r="M46" s="702"/>
      <c r="N46" s="561"/>
      <c r="Z46" s="698"/>
      <c r="AA46" s="698"/>
      <c r="AB46" s="698"/>
      <c r="AC46" s="698"/>
      <c r="AD46" s="698"/>
      <c r="AE46" s="698"/>
      <c r="AF46" s="698"/>
      <c r="AG46" s="698"/>
      <c r="AH46" s="698"/>
      <c r="AI46" s="698"/>
      <c r="AJ46" s="698"/>
    </row>
    <row r="47" spans="1:37" s="556" customFormat="1" ht="24.75">
      <c r="A47" s="710" t="s">
        <v>1989</v>
      </c>
      <c r="B47" s="711" t="s">
        <v>1990</v>
      </c>
      <c r="C47" s="711" t="s">
        <v>1991</v>
      </c>
      <c r="D47" s="711" t="s">
        <v>1992</v>
      </c>
      <c r="E47" s="712" t="s">
        <v>1993</v>
      </c>
      <c r="F47" s="713" t="s">
        <v>1994</v>
      </c>
      <c r="G47" s="711" t="s">
        <v>1922</v>
      </c>
      <c r="H47" s="714" t="s">
        <v>1995</v>
      </c>
      <c r="I47" s="711" t="s">
        <v>1996</v>
      </c>
      <c r="J47" s="801" t="s">
        <v>1378</v>
      </c>
      <c r="K47" s="801" t="s">
        <v>1379</v>
      </c>
      <c r="L47" s="801" t="s">
        <v>1380</v>
      </c>
      <c r="M47" s="801" t="s">
        <v>1381</v>
      </c>
      <c r="N47" s="801" t="s">
        <v>1382</v>
      </c>
      <c r="AA47" s="698"/>
      <c r="AB47" s="698"/>
      <c r="AC47" s="698"/>
      <c r="AD47" s="698"/>
      <c r="AE47" s="698"/>
      <c r="AF47" s="698"/>
      <c r="AG47" s="698"/>
      <c r="AH47" s="698"/>
      <c r="AI47" s="698"/>
      <c r="AJ47" s="698"/>
      <c r="AK47" s="698"/>
    </row>
    <row r="48" spans="1:37" s="556" customFormat="1" ht="38.25">
      <c r="A48" s="710" t="s">
        <v>1997</v>
      </c>
      <c r="B48" s="715" t="str">
        <f>估价对象房地状况!C4</f>
        <v>估价对象位于XX商圈，周边商业氛围成熟，人流量大，商业繁华度好</v>
      </c>
      <c r="C48" s="613"/>
      <c r="D48" s="716">
        <f t="shared" ref="D48:D56" si="10">SUMIF($J$47:$N$47,C48,J48:N48)</f>
        <v>0</v>
      </c>
      <c r="E48" s="717">
        <f>ROUND(SUM(D48:D56),4)</f>
        <v>0</v>
      </c>
      <c r="F48" s="718" t="str">
        <f>IF(E2="商业",SUMIF(L1:L12,G2,N1:N12),"——")</f>
        <v>——</v>
      </c>
      <c r="G48" s="719"/>
      <c r="H48" s="720" t="str">
        <f t="shared" ref="H48:H56" si="11">IFERROR(ROUNDDOWN($F$48*I48/2,4),"——")</f>
        <v>——</v>
      </c>
      <c r="I48" s="802">
        <v>0.33</v>
      </c>
      <c r="J48" s="803">
        <f t="shared" ref="J48:J56" si="12">K48+$G48</f>
        <v>0</v>
      </c>
      <c r="K48" s="803">
        <f t="shared" ref="K48:K56" si="13">$L48+$G48</f>
        <v>0</v>
      </c>
      <c r="L48" s="803">
        <v>0</v>
      </c>
      <c r="M48" s="803">
        <f t="shared" ref="M48:N56" si="14">L48-$G48</f>
        <v>0</v>
      </c>
      <c r="N48" s="803">
        <f t="shared" si="14"/>
        <v>0</v>
      </c>
      <c r="AA48" s="698"/>
      <c r="AB48" s="698"/>
      <c r="AC48" s="698"/>
      <c r="AD48" s="698"/>
      <c r="AE48" s="698"/>
      <c r="AF48" s="698"/>
      <c r="AG48" s="698"/>
      <c r="AH48" s="698"/>
      <c r="AI48" s="698"/>
      <c r="AJ48" s="698"/>
      <c r="AK48" s="698"/>
    </row>
    <row r="49" spans="1:37" s="556" customFormat="1" ht="51">
      <c r="A49" s="710" t="s">
        <v>1998</v>
      </c>
      <c r="B49" s="721" t="str">
        <f>估价对象房地状况!C18</f>
        <v>估价对象周边道路状况、公共交通通达情况、停车便捷程度，综合评价交通便捷度较好</v>
      </c>
      <c r="C49" s="613"/>
      <c r="D49" s="716">
        <f t="shared" si="10"/>
        <v>0</v>
      </c>
      <c r="E49" s="722"/>
      <c r="F49" s="718"/>
      <c r="G49" s="719"/>
      <c r="H49" s="720" t="str">
        <f t="shared" si="11"/>
        <v>——</v>
      </c>
      <c r="I49" s="802">
        <v>0.25</v>
      </c>
      <c r="J49" s="803">
        <f t="shared" si="12"/>
        <v>0</v>
      </c>
      <c r="K49" s="803">
        <f t="shared" si="13"/>
        <v>0</v>
      </c>
      <c r="L49" s="803">
        <v>0</v>
      </c>
      <c r="M49" s="803">
        <f t="shared" si="14"/>
        <v>0</v>
      </c>
      <c r="N49" s="803">
        <f t="shared" si="14"/>
        <v>0</v>
      </c>
      <c r="AA49" s="698"/>
      <c r="AB49" s="698"/>
      <c r="AC49" s="698"/>
      <c r="AD49" s="698"/>
      <c r="AE49" s="698"/>
      <c r="AF49" s="698"/>
      <c r="AG49" s="698"/>
      <c r="AH49" s="698"/>
      <c r="AI49" s="698"/>
      <c r="AJ49" s="698"/>
      <c r="AK49" s="698"/>
    </row>
    <row r="50" spans="1:37" s="556" customFormat="1" ht="24">
      <c r="A50" s="710" t="s">
        <v>1999</v>
      </c>
      <c r="B50" s="721">
        <f>估价对象房地状况!C19</f>
        <v>0</v>
      </c>
      <c r="C50" s="613"/>
      <c r="D50" s="716">
        <f t="shared" si="10"/>
        <v>0</v>
      </c>
      <c r="E50" s="722"/>
      <c r="F50" s="718"/>
      <c r="G50" s="719"/>
      <c r="H50" s="720" t="str">
        <f t="shared" si="11"/>
        <v>——</v>
      </c>
      <c r="I50" s="802">
        <v>0.05</v>
      </c>
      <c r="J50" s="803">
        <f t="shared" si="12"/>
        <v>0</v>
      </c>
      <c r="K50" s="803">
        <f t="shared" si="13"/>
        <v>0</v>
      </c>
      <c r="L50" s="803">
        <v>0</v>
      </c>
      <c r="M50" s="803">
        <f t="shared" si="14"/>
        <v>0</v>
      </c>
      <c r="N50" s="803">
        <f t="shared" si="14"/>
        <v>0</v>
      </c>
      <c r="AA50" s="698"/>
      <c r="AB50" s="698"/>
      <c r="AC50" s="698"/>
      <c r="AD50" s="698"/>
      <c r="AE50" s="698"/>
      <c r="AF50" s="698"/>
      <c r="AG50" s="698"/>
      <c r="AH50" s="698"/>
      <c r="AI50" s="698"/>
      <c r="AJ50" s="698"/>
      <c r="AK50" s="698"/>
    </row>
    <row r="51" spans="1:37" s="556" customFormat="1" ht="36.75">
      <c r="A51" s="710" t="s">
        <v>2000</v>
      </c>
      <c r="B51" s="723" t="s">
        <v>2001</v>
      </c>
      <c r="C51" s="613"/>
      <c r="D51" s="716">
        <f t="shared" si="10"/>
        <v>0</v>
      </c>
      <c r="E51" s="722"/>
      <c r="F51" s="718"/>
      <c r="G51" s="719"/>
      <c r="H51" s="720" t="str">
        <f t="shared" si="11"/>
        <v>——</v>
      </c>
      <c r="I51" s="802">
        <v>0.05</v>
      </c>
      <c r="J51" s="803">
        <f t="shared" si="12"/>
        <v>0</v>
      </c>
      <c r="K51" s="803">
        <f t="shared" si="13"/>
        <v>0</v>
      </c>
      <c r="L51" s="803">
        <v>0</v>
      </c>
      <c r="M51" s="803">
        <f t="shared" si="14"/>
        <v>0</v>
      </c>
      <c r="N51" s="803">
        <f t="shared" si="14"/>
        <v>0</v>
      </c>
      <c r="AA51" s="698"/>
      <c r="AB51" s="698"/>
      <c r="AC51" s="698"/>
      <c r="AD51" s="698"/>
      <c r="AE51" s="698"/>
      <c r="AF51" s="698"/>
      <c r="AG51" s="698"/>
      <c r="AH51" s="698"/>
      <c r="AI51" s="698"/>
      <c r="AJ51" s="698"/>
      <c r="AK51" s="698"/>
    </row>
    <row r="52" spans="1:37" s="556" customFormat="1" ht="24">
      <c r="A52" s="710" t="s">
        <v>2002</v>
      </c>
      <c r="B52" s="721">
        <f>估价对象房地状况!C24</f>
        <v>0</v>
      </c>
      <c r="C52" s="613"/>
      <c r="D52" s="716">
        <f t="shared" si="10"/>
        <v>0</v>
      </c>
      <c r="E52" s="722"/>
      <c r="F52" s="718"/>
      <c r="G52" s="719"/>
      <c r="H52" s="720" t="str">
        <f t="shared" si="11"/>
        <v>——</v>
      </c>
      <c r="I52" s="802">
        <v>0.08</v>
      </c>
      <c r="J52" s="803">
        <f t="shared" si="12"/>
        <v>0</v>
      </c>
      <c r="K52" s="803">
        <f t="shared" si="13"/>
        <v>0</v>
      </c>
      <c r="L52" s="803">
        <v>0</v>
      </c>
      <c r="M52" s="803">
        <f t="shared" si="14"/>
        <v>0</v>
      </c>
      <c r="N52" s="803">
        <f t="shared" si="14"/>
        <v>0</v>
      </c>
      <c r="AA52" s="698"/>
      <c r="AB52" s="698"/>
      <c r="AC52" s="698"/>
      <c r="AD52" s="698"/>
      <c r="AE52" s="698"/>
      <c r="AF52" s="698"/>
      <c r="AG52" s="698"/>
      <c r="AH52" s="698"/>
      <c r="AI52" s="698"/>
      <c r="AJ52" s="698"/>
      <c r="AK52" s="698"/>
    </row>
    <row r="53" spans="1:37" s="556" customFormat="1" ht="24">
      <c r="A53" s="710" t="s">
        <v>2003</v>
      </c>
      <c r="B53" s="724" t="s">
        <v>2004</v>
      </c>
      <c r="C53" s="613"/>
      <c r="D53" s="716">
        <f t="shared" si="10"/>
        <v>0</v>
      </c>
      <c r="E53" s="722"/>
      <c r="F53" s="718"/>
      <c r="G53" s="719"/>
      <c r="H53" s="720" t="str">
        <f t="shared" si="11"/>
        <v>——</v>
      </c>
      <c r="I53" s="802">
        <v>0.03</v>
      </c>
      <c r="J53" s="803">
        <f t="shared" si="12"/>
        <v>0</v>
      </c>
      <c r="K53" s="803">
        <f t="shared" si="13"/>
        <v>0</v>
      </c>
      <c r="L53" s="803">
        <v>0</v>
      </c>
      <c r="M53" s="803">
        <f t="shared" si="14"/>
        <v>0</v>
      </c>
      <c r="N53" s="803">
        <f t="shared" si="14"/>
        <v>0</v>
      </c>
      <c r="AA53" s="698"/>
      <c r="AB53" s="698"/>
      <c r="AC53" s="698"/>
      <c r="AD53" s="698"/>
      <c r="AE53" s="698"/>
      <c r="AF53" s="698"/>
      <c r="AG53" s="698"/>
      <c r="AH53" s="698"/>
      <c r="AI53" s="698"/>
      <c r="AJ53" s="698"/>
      <c r="AK53" s="698"/>
    </row>
    <row r="54" spans="1:37" s="556" customFormat="1" ht="25.5">
      <c r="A54" s="725" t="s">
        <v>2005</v>
      </c>
      <c r="B54" s="264" t="str">
        <f>估价对象房地状况!C21</f>
        <v>估价对象所在区域公共配套设施齐备情况</v>
      </c>
      <c r="C54" s="613"/>
      <c r="D54" s="716">
        <f t="shared" si="10"/>
        <v>0</v>
      </c>
      <c r="E54" s="722"/>
      <c r="F54" s="718"/>
      <c r="G54" s="719"/>
      <c r="H54" s="720" t="str">
        <f t="shared" si="11"/>
        <v>——</v>
      </c>
      <c r="I54" s="802">
        <v>0.05</v>
      </c>
      <c r="J54" s="803">
        <f t="shared" si="12"/>
        <v>0</v>
      </c>
      <c r="K54" s="803">
        <f t="shared" si="13"/>
        <v>0</v>
      </c>
      <c r="L54" s="803">
        <v>0</v>
      </c>
      <c r="M54" s="803">
        <f t="shared" si="14"/>
        <v>0</v>
      </c>
      <c r="N54" s="803">
        <f t="shared" si="14"/>
        <v>0</v>
      </c>
      <c r="AA54" s="698"/>
      <c r="AB54" s="698"/>
      <c r="AC54" s="698"/>
      <c r="AD54" s="698"/>
      <c r="AE54" s="698"/>
      <c r="AF54" s="698"/>
      <c r="AG54" s="698"/>
      <c r="AH54" s="698"/>
      <c r="AI54" s="698"/>
      <c r="AJ54" s="698"/>
      <c r="AK54" s="698"/>
    </row>
    <row r="55" spans="1:37" s="556" customFormat="1" ht="25.5">
      <c r="A55" s="725" t="s">
        <v>2006</v>
      </c>
      <c r="B55" s="721" t="str">
        <f>估价对象房地状况!C22</f>
        <v>估价对象所在区域基础设施水平</v>
      </c>
      <c r="C55" s="613"/>
      <c r="D55" s="716">
        <f t="shared" si="10"/>
        <v>0</v>
      </c>
      <c r="E55" s="722"/>
      <c r="F55" s="718"/>
      <c r="G55" s="719"/>
      <c r="H55" s="720" t="str">
        <f t="shared" si="11"/>
        <v>——</v>
      </c>
      <c r="I55" s="802">
        <v>0.1</v>
      </c>
      <c r="J55" s="803">
        <f t="shared" si="12"/>
        <v>0</v>
      </c>
      <c r="K55" s="803">
        <f t="shared" si="13"/>
        <v>0</v>
      </c>
      <c r="L55" s="803">
        <v>0</v>
      </c>
      <c r="M55" s="803">
        <f t="shared" si="14"/>
        <v>0</v>
      </c>
      <c r="N55" s="803">
        <f t="shared" si="14"/>
        <v>0</v>
      </c>
      <c r="AA55" s="698"/>
      <c r="AB55" s="698"/>
      <c r="AC55" s="698"/>
      <c r="AD55" s="698"/>
      <c r="AE55" s="698"/>
      <c r="AF55" s="698"/>
      <c r="AG55" s="698"/>
      <c r="AH55" s="698"/>
      <c r="AI55" s="698"/>
      <c r="AJ55" s="698"/>
      <c r="AK55" s="698"/>
    </row>
    <row r="56" spans="1:37" s="556" customFormat="1" ht="38.25">
      <c r="A56" s="726" t="s">
        <v>2007</v>
      </c>
      <c r="B56" s="727" t="str">
        <f>估价对象房地状况!C20</f>
        <v>区域自然环境：；人文环境；综合评价环境状况一般</v>
      </c>
      <c r="C56" s="613"/>
      <c r="D56" s="716">
        <f t="shared" si="10"/>
        <v>0</v>
      </c>
      <c r="E56" s="728"/>
      <c r="F56" s="718"/>
      <c r="G56" s="719"/>
      <c r="H56" s="720" t="str">
        <f t="shared" si="11"/>
        <v>——</v>
      </c>
      <c r="I56" s="804">
        <v>0.06</v>
      </c>
      <c r="J56" s="803">
        <f t="shared" si="12"/>
        <v>0</v>
      </c>
      <c r="K56" s="803">
        <f t="shared" si="13"/>
        <v>0</v>
      </c>
      <c r="L56" s="803">
        <v>0</v>
      </c>
      <c r="M56" s="803">
        <f t="shared" si="14"/>
        <v>0</v>
      </c>
      <c r="N56" s="803">
        <f t="shared" si="14"/>
        <v>0</v>
      </c>
      <c r="AA56" s="698"/>
      <c r="AB56" s="698"/>
      <c r="AC56" s="698"/>
      <c r="AD56" s="698"/>
      <c r="AE56" s="698"/>
      <c r="AF56" s="698"/>
      <c r="AG56" s="698"/>
      <c r="AH56" s="698"/>
      <c r="AI56" s="698"/>
      <c r="AJ56" s="698"/>
      <c r="AK56" s="698"/>
    </row>
    <row r="57" spans="1:37" s="556" customFormat="1" ht="15">
      <c r="A57" s="704" t="s">
        <v>2008</v>
      </c>
      <c r="B57" s="705">
        <f>1+E59</f>
        <v>1</v>
      </c>
      <c r="C57" s="707"/>
      <c r="D57" s="707"/>
      <c r="E57" s="708"/>
      <c r="F57" s="709"/>
      <c r="G57" s="703"/>
      <c r="H57" s="703"/>
      <c r="I57" s="703"/>
      <c r="J57" s="702"/>
      <c r="K57" s="702"/>
      <c r="L57" s="702"/>
      <c r="M57" s="702"/>
      <c r="N57" s="702"/>
      <c r="AA57" s="698"/>
      <c r="AB57" s="698"/>
      <c r="AC57" s="698"/>
      <c r="AD57" s="698"/>
      <c r="AE57" s="698"/>
      <c r="AF57" s="698"/>
      <c r="AG57" s="698"/>
      <c r="AH57" s="698"/>
      <c r="AI57" s="698"/>
      <c r="AJ57" s="698"/>
      <c r="AK57" s="698"/>
    </row>
    <row r="58" spans="1:37" s="556" customFormat="1" ht="24.75">
      <c r="A58" s="710" t="s">
        <v>1989</v>
      </c>
      <c r="B58" s="711"/>
      <c r="C58" s="711" t="s">
        <v>1991</v>
      </c>
      <c r="D58" s="711" t="s">
        <v>1992</v>
      </c>
      <c r="E58" s="712" t="s">
        <v>1993</v>
      </c>
      <c r="F58" s="713" t="s">
        <v>2009</v>
      </c>
      <c r="G58" s="711" t="s">
        <v>1922</v>
      </c>
      <c r="H58" s="714" t="s">
        <v>1995</v>
      </c>
      <c r="I58" s="711" t="s">
        <v>1996</v>
      </c>
      <c r="J58" s="801" t="s">
        <v>1378</v>
      </c>
      <c r="K58" s="801" t="s">
        <v>1379</v>
      </c>
      <c r="L58" s="801" t="s">
        <v>1380</v>
      </c>
      <c r="M58" s="801" t="s">
        <v>1381</v>
      </c>
      <c r="N58" s="801" t="s">
        <v>1382</v>
      </c>
      <c r="AA58" s="698"/>
      <c r="AB58" s="698"/>
      <c r="AC58" s="698"/>
      <c r="AD58" s="698"/>
      <c r="AE58" s="698"/>
      <c r="AF58" s="698"/>
      <c r="AG58" s="698"/>
      <c r="AH58" s="698"/>
      <c r="AI58" s="698"/>
      <c r="AJ58" s="698"/>
      <c r="AK58" s="698"/>
    </row>
    <row r="59" spans="1:37" s="556" customFormat="1" ht="38.25">
      <c r="A59" s="710" t="s">
        <v>2010</v>
      </c>
      <c r="B59" s="715" t="str">
        <f>估价对象房地状况!C17</f>
        <v>估价对象位于XX商圈，周边办公楼项目较多，入驻率高，办公集聚程度较好</v>
      </c>
      <c r="C59" s="613"/>
      <c r="D59" s="716">
        <f t="shared" ref="D59:D67" si="15">SUMIF($J$58:$N$58,C59,J59:N59)</f>
        <v>0</v>
      </c>
      <c r="E59" s="717">
        <f>ROUND(SUM(D59:D67),4)</f>
        <v>0</v>
      </c>
      <c r="F59" s="718" t="str">
        <f>IF(E2="办公",SUMIF(L1:L12,G2,N1:N12),"——")</f>
        <v>——</v>
      </c>
      <c r="G59" s="719"/>
      <c r="H59" s="720" t="str">
        <f t="shared" ref="H59:H67" si="16">IFERROR(ROUNDDOWN($F$59*I59/2,4),"——")</f>
        <v>——</v>
      </c>
      <c r="I59" s="802">
        <v>0.24</v>
      </c>
      <c r="J59" s="803">
        <f t="shared" ref="J59:J67" si="17">K59+$G59</f>
        <v>0</v>
      </c>
      <c r="K59" s="803">
        <f t="shared" ref="K59:K67" si="18">$L59+$G59</f>
        <v>0</v>
      </c>
      <c r="L59" s="803">
        <v>0</v>
      </c>
      <c r="M59" s="803">
        <f t="shared" ref="M59:N67" si="19">L59-$G59</f>
        <v>0</v>
      </c>
      <c r="N59" s="803">
        <f t="shared" si="19"/>
        <v>0</v>
      </c>
      <c r="AA59" s="698"/>
      <c r="AB59" s="698"/>
      <c r="AC59" s="698"/>
      <c r="AD59" s="698"/>
      <c r="AE59" s="698"/>
      <c r="AF59" s="698"/>
      <c r="AG59" s="698"/>
      <c r="AH59" s="698"/>
      <c r="AI59" s="698"/>
      <c r="AJ59" s="698"/>
      <c r="AK59" s="698"/>
    </row>
    <row r="60" spans="1:37" s="556" customFormat="1" ht="51">
      <c r="A60" s="710" t="s">
        <v>1998</v>
      </c>
      <c r="B60" s="721" t="str">
        <f>估价对象房地状况!C18</f>
        <v>估价对象周边道路状况、公共交通通达情况、停车便捷程度，综合评价交通便捷度较好</v>
      </c>
      <c r="C60" s="613"/>
      <c r="D60" s="716">
        <f t="shared" si="15"/>
        <v>0</v>
      </c>
      <c r="E60" s="722"/>
      <c r="F60" s="718"/>
      <c r="G60" s="719"/>
      <c r="H60" s="720" t="str">
        <f t="shared" si="16"/>
        <v>——</v>
      </c>
      <c r="I60" s="802">
        <v>0.3</v>
      </c>
      <c r="J60" s="803">
        <f t="shared" si="17"/>
        <v>0</v>
      </c>
      <c r="K60" s="803">
        <f t="shared" si="18"/>
        <v>0</v>
      </c>
      <c r="L60" s="803">
        <v>0</v>
      </c>
      <c r="M60" s="803">
        <f t="shared" si="19"/>
        <v>0</v>
      </c>
      <c r="N60" s="803">
        <f t="shared" si="19"/>
        <v>0</v>
      </c>
      <c r="AA60" s="698"/>
      <c r="AB60" s="698"/>
      <c r="AC60" s="698"/>
      <c r="AD60" s="698"/>
      <c r="AE60" s="698"/>
      <c r="AF60" s="698"/>
      <c r="AG60" s="698"/>
      <c r="AH60" s="698"/>
      <c r="AI60" s="698"/>
      <c r="AJ60" s="698"/>
      <c r="AK60" s="698"/>
    </row>
    <row r="61" spans="1:37" s="556" customFormat="1" ht="24">
      <c r="A61" s="710" t="s">
        <v>1999</v>
      </c>
      <c r="B61" s="721">
        <f>估价对象房地状况!C19</f>
        <v>0</v>
      </c>
      <c r="C61" s="613"/>
      <c r="D61" s="716">
        <f t="shared" si="15"/>
        <v>0</v>
      </c>
      <c r="E61" s="722"/>
      <c r="F61" s="718"/>
      <c r="G61" s="719"/>
      <c r="H61" s="720" t="str">
        <f t="shared" si="16"/>
        <v>——</v>
      </c>
      <c r="I61" s="802">
        <v>0.08</v>
      </c>
      <c r="J61" s="803">
        <f t="shared" si="17"/>
        <v>0</v>
      </c>
      <c r="K61" s="803">
        <f t="shared" si="18"/>
        <v>0</v>
      </c>
      <c r="L61" s="803">
        <v>0</v>
      </c>
      <c r="M61" s="803">
        <f t="shared" si="19"/>
        <v>0</v>
      </c>
      <c r="N61" s="803">
        <f t="shared" si="19"/>
        <v>0</v>
      </c>
      <c r="AA61" s="698"/>
      <c r="AB61" s="698"/>
      <c r="AC61" s="698"/>
      <c r="AD61" s="698"/>
      <c r="AE61" s="698"/>
      <c r="AF61" s="698"/>
      <c r="AG61" s="698"/>
      <c r="AH61" s="698"/>
      <c r="AI61" s="698"/>
      <c r="AJ61" s="698"/>
      <c r="AK61" s="698"/>
    </row>
    <row r="62" spans="1:37" s="556" customFormat="1" ht="36.75">
      <c r="A62" s="710" t="s">
        <v>2000</v>
      </c>
      <c r="B62" s="723" t="s">
        <v>2001</v>
      </c>
      <c r="C62" s="613"/>
      <c r="D62" s="716">
        <f t="shared" si="15"/>
        <v>0</v>
      </c>
      <c r="E62" s="722"/>
      <c r="F62" s="718"/>
      <c r="G62" s="719"/>
      <c r="H62" s="720" t="str">
        <f t="shared" si="16"/>
        <v>——</v>
      </c>
      <c r="I62" s="802">
        <v>0.04</v>
      </c>
      <c r="J62" s="803">
        <f t="shared" si="17"/>
        <v>0</v>
      </c>
      <c r="K62" s="803">
        <f t="shared" si="18"/>
        <v>0</v>
      </c>
      <c r="L62" s="803">
        <v>0</v>
      </c>
      <c r="M62" s="803">
        <f t="shared" si="19"/>
        <v>0</v>
      </c>
      <c r="N62" s="803">
        <f t="shared" si="19"/>
        <v>0</v>
      </c>
      <c r="AA62" s="698"/>
      <c r="AB62" s="698"/>
      <c r="AC62" s="698"/>
      <c r="AD62" s="698"/>
      <c r="AE62" s="698"/>
      <c r="AF62" s="698"/>
      <c r="AG62" s="698"/>
      <c r="AH62" s="698"/>
      <c r="AI62" s="698"/>
      <c r="AJ62" s="698"/>
      <c r="AK62" s="698"/>
    </row>
    <row r="63" spans="1:37" s="556" customFormat="1" ht="24">
      <c r="A63" s="710" t="s">
        <v>2002</v>
      </c>
      <c r="B63" s="721">
        <f>估价对象房地状况!C24</f>
        <v>0</v>
      </c>
      <c r="C63" s="613"/>
      <c r="D63" s="716">
        <f t="shared" si="15"/>
        <v>0</v>
      </c>
      <c r="E63" s="722"/>
      <c r="F63" s="718"/>
      <c r="G63" s="719"/>
      <c r="H63" s="720" t="str">
        <f t="shared" si="16"/>
        <v>——</v>
      </c>
      <c r="I63" s="802">
        <v>0.05</v>
      </c>
      <c r="J63" s="803">
        <f t="shared" si="17"/>
        <v>0</v>
      </c>
      <c r="K63" s="803">
        <f t="shared" si="18"/>
        <v>0</v>
      </c>
      <c r="L63" s="803">
        <v>0</v>
      </c>
      <c r="M63" s="803">
        <f t="shared" si="19"/>
        <v>0</v>
      </c>
      <c r="N63" s="803">
        <f t="shared" si="19"/>
        <v>0</v>
      </c>
      <c r="AA63" s="698"/>
      <c r="AB63" s="698"/>
      <c r="AC63" s="698"/>
      <c r="AD63" s="698"/>
      <c r="AE63" s="698"/>
      <c r="AF63" s="698"/>
      <c r="AG63" s="698"/>
      <c r="AH63" s="698"/>
      <c r="AI63" s="698"/>
      <c r="AJ63" s="698"/>
      <c r="AK63" s="698"/>
    </row>
    <row r="64" spans="1:37" s="556" customFormat="1" ht="24">
      <c r="A64" s="710" t="s">
        <v>2003</v>
      </c>
      <c r="B64" s="724" t="s">
        <v>2004</v>
      </c>
      <c r="C64" s="613"/>
      <c r="D64" s="716">
        <f t="shared" si="15"/>
        <v>0</v>
      </c>
      <c r="E64" s="722"/>
      <c r="F64" s="718"/>
      <c r="G64" s="719"/>
      <c r="H64" s="720" t="str">
        <f t="shared" si="16"/>
        <v>——</v>
      </c>
      <c r="I64" s="802">
        <v>0.05</v>
      </c>
      <c r="J64" s="803">
        <f t="shared" si="17"/>
        <v>0</v>
      </c>
      <c r="K64" s="803">
        <f t="shared" si="18"/>
        <v>0</v>
      </c>
      <c r="L64" s="803">
        <v>0</v>
      </c>
      <c r="M64" s="803">
        <f t="shared" si="19"/>
        <v>0</v>
      </c>
      <c r="N64" s="803">
        <f t="shared" si="19"/>
        <v>0</v>
      </c>
      <c r="AA64" s="698"/>
      <c r="AB64" s="698"/>
      <c r="AC64" s="698"/>
      <c r="AD64" s="698"/>
      <c r="AE64" s="698"/>
      <c r="AF64" s="698"/>
      <c r="AG64" s="698"/>
      <c r="AH64" s="698"/>
      <c r="AI64" s="698"/>
      <c r="AJ64" s="698"/>
      <c r="AK64" s="698"/>
    </row>
    <row r="65" spans="1:37" s="556" customFormat="1" ht="25.5">
      <c r="A65" s="710" t="s">
        <v>2005</v>
      </c>
      <c r="B65" s="264" t="str">
        <f>估价对象房地状况!C21</f>
        <v>估价对象所在区域公共配套设施齐备情况</v>
      </c>
      <c r="C65" s="613"/>
      <c r="D65" s="716">
        <f t="shared" si="15"/>
        <v>0</v>
      </c>
      <c r="E65" s="722"/>
      <c r="F65" s="718"/>
      <c r="G65" s="719"/>
      <c r="H65" s="720" t="str">
        <f t="shared" si="16"/>
        <v>——</v>
      </c>
      <c r="I65" s="802">
        <v>0.06</v>
      </c>
      <c r="J65" s="803">
        <f t="shared" si="17"/>
        <v>0</v>
      </c>
      <c r="K65" s="803">
        <f t="shared" si="18"/>
        <v>0</v>
      </c>
      <c r="L65" s="803">
        <v>0</v>
      </c>
      <c r="M65" s="803">
        <f t="shared" si="19"/>
        <v>0</v>
      </c>
      <c r="N65" s="803">
        <f t="shared" si="19"/>
        <v>0</v>
      </c>
      <c r="AA65" s="698"/>
      <c r="AB65" s="698"/>
      <c r="AC65" s="698"/>
      <c r="AD65" s="698"/>
      <c r="AE65" s="698"/>
      <c r="AF65" s="698"/>
      <c r="AG65" s="698"/>
      <c r="AH65" s="698"/>
      <c r="AI65" s="698"/>
      <c r="AJ65" s="698"/>
      <c r="AK65" s="698"/>
    </row>
    <row r="66" spans="1:37" s="556" customFormat="1" ht="25.5">
      <c r="A66" s="710" t="s">
        <v>2006</v>
      </c>
      <c r="B66" s="264" t="str">
        <f>估价对象房地状况!C22</f>
        <v>估价对象所在区域基础设施水平</v>
      </c>
      <c r="C66" s="613"/>
      <c r="D66" s="716">
        <f t="shared" si="15"/>
        <v>0</v>
      </c>
      <c r="E66" s="722"/>
      <c r="F66" s="718"/>
      <c r="G66" s="719"/>
      <c r="H66" s="720" t="str">
        <f t="shared" si="16"/>
        <v>——</v>
      </c>
      <c r="I66" s="802">
        <v>0.12</v>
      </c>
      <c r="J66" s="803">
        <f t="shared" si="17"/>
        <v>0</v>
      </c>
      <c r="K66" s="803">
        <f t="shared" si="18"/>
        <v>0</v>
      </c>
      <c r="L66" s="803">
        <v>0</v>
      </c>
      <c r="M66" s="803">
        <f t="shared" si="19"/>
        <v>0</v>
      </c>
      <c r="N66" s="803">
        <f t="shared" si="19"/>
        <v>0</v>
      </c>
      <c r="AA66" s="698"/>
      <c r="AB66" s="698"/>
      <c r="AC66" s="698"/>
      <c r="AD66" s="698"/>
      <c r="AE66" s="698"/>
      <c r="AF66" s="698"/>
      <c r="AG66" s="698"/>
      <c r="AH66" s="698"/>
      <c r="AI66" s="698"/>
      <c r="AJ66" s="698"/>
      <c r="AK66" s="698"/>
    </row>
    <row r="67" spans="1:37" s="556" customFormat="1" ht="38.25">
      <c r="A67" s="726" t="s">
        <v>2007</v>
      </c>
      <c r="B67" s="830" t="str">
        <f>估价对象房地状况!C20</f>
        <v>区域自然环境：；人文环境；综合评价环境状况一般</v>
      </c>
      <c r="C67" s="613"/>
      <c r="D67" s="716">
        <f t="shared" si="15"/>
        <v>0</v>
      </c>
      <c r="E67" s="728"/>
      <c r="F67" s="718"/>
      <c r="G67" s="719"/>
      <c r="H67" s="720" t="str">
        <f t="shared" si="16"/>
        <v>——</v>
      </c>
      <c r="I67" s="804">
        <v>0.06</v>
      </c>
      <c r="J67" s="803">
        <f t="shared" si="17"/>
        <v>0</v>
      </c>
      <c r="K67" s="803">
        <f t="shared" si="18"/>
        <v>0</v>
      </c>
      <c r="L67" s="803">
        <v>0</v>
      </c>
      <c r="M67" s="803">
        <f t="shared" si="19"/>
        <v>0</v>
      </c>
      <c r="N67" s="803">
        <f t="shared" si="19"/>
        <v>0</v>
      </c>
      <c r="AA67" s="698"/>
      <c r="AB67" s="698"/>
      <c r="AC67" s="698"/>
      <c r="AD67" s="698"/>
      <c r="AE67" s="698"/>
      <c r="AF67" s="698"/>
      <c r="AG67" s="698"/>
      <c r="AH67" s="698"/>
      <c r="AI67" s="698"/>
      <c r="AJ67" s="698"/>
      <c r="AK67" s="698"/>
    </row>
    <row r="68" spans="1:37" s="556" customFormat="1" ht="15">
      <c r="A68" s="704" t="s">
        <v>2011</v>
      </c>
      <c r="B68" s="705">
        <f>1+E70</f>
        <v>1</v>
      </c>
      <c r="C68" s="707"/>
      <c r="D68" s="707"/>
      <c r="E68" s="708"/>
      <c r="F68" s="709"/>
      <c r="G68" s="703"/>
      <c r="H68" s="703"/>
      <c r="I68" s="703"/>
      <c r="J68" s="702"/>
      <c r="K68" s="702"/>
      <c r="L68" s="702"/>
      <c r="M68" s="702"/>
      <c r="N68" s="702"/>
      <c r="AA68" s="698"/>
      <c r="AB68" s="698"/>
      <c r="AC68" s="698"/>
      <c r="AD68" s="698"/>
      <c r="AE68" s="698"/>
      <c r="AF68" s="698"/>
      <c r="AG68" s="698"/>
      <c r="AH68" s="698"/>
      <c r="AI68" s="698"/>
      <c r="AJ68" s="698"/>
      <c r="AK68" s="698"/>
    </row>
    <row r="69" spans="1:37" s="556" customFormat="1" ht="24.75">
      <c r="A69" s="710" t="s">
        <v>1989</v>
      </c>
      <c r="B69" s="711"/>
      <c r="C69" s="711" t="s">
        <v>1991</v>
      </c>
      <c r="D69" s="711" t="s">
        <v>1992</v>
      </c>
      <c r="E69" s="712" t="s">
        <v>1993</v>
      </c>
      <c r="F69" s="713" t="s">
        <v>2009</v>
      </c>
      <c r="G69" s="711" t="s">
        <v>1922</v>
      </c>
      <c r="H69" s="714" t="s">
        <v>1995</v>
      </c>
      <c r="I69" s="711" t="s">
        <v>1996</v>
      </c>
      <c r="J69" s="801" t="s">
        <v>1378</v>
      </c>
      <c r="K69" s="801" t="s">
        <v>1379</v>
      </c>
      <c r="L69" s="801" t="s">
        <v>1380</v>
      </c>
      <c r="M69" s="801" t="s">
        <v>1381</v>
      </c>
      <c r="N69" s="801" t="s">
        <v>1382</v>
      </c>
      <c r="AA69" s="698"/>
      <c r="AB69" s="698"/>
      <c r="AC69" s="698"/>
      <c r="AD69" s="698"/>
      <c r="AE69" s="698"/>
      <c r="AF69" s="698"/>
      <c r="AG69" s="698"/>
      <c r="AH69" s="698"/>
      <c r="AI69" s="698"/>
      <c r="AJ69" s="698"/>
      <c r="AK69" s="698"/>
    </row>
    <row r="70" spans="1:37" s="556" customFormat="1" ht="51">
      <c r="A70" s="710" t="s">
        <v>2012</v>
      </c>
      <c r="B70" s="715" t="str">
        <f>估价对象房地状况!C15</f>
        <v>估价对象周边居住用地比例、居住小区规模和社区发展完善程度，综合评价居住社区成熟度一般</v>
      </c>
      <c r="C70" s="613"/>
      <c r="D70" s="716">
        <f t="shared" ref="D70:D78" si="20">SUMIF($J$69:$N$69,C70,J70:N70)</f>
        <v>0</v>
      </c>
      <c r="E70" s="717">
        <f>ROUND(SUM(D70:D78),4)</f>
        <v>0</v>
      </c>
      <c r="F70" s="718" t="str">
        <f>IF(E2="住宅",SUMIF(L1:L12,G2,N1:N12),"——")</f>
        <v>——</v>
      </c>
      <c r="G70" s="719"/>
      <c r="H70" s="720" t="str">
        <f t="shared" ref="H70:H78" si="21">IFERROR(ROUNDDOWN($F$70*I70/2,4),"——")</f>
        <v>——</v>
      </c>
      <c r="I70" s="802">
        <v>0.14000000000000001</v>
      </c>
      <c r="J70" s="803">
        <f t="shared" ref="J70:J78" si="22">K70+$G70</f>
        <v>0</v>
      </c>
      <c r="K70" s="803">
        <f t="shared" ref="K70:K78" si="23">$L70+$G70</f>
        <v>0</v>
      </c>
      <c r="L70" s="803">
        <v>0</v>
      </c>
      <c r="M70" s="803">
        <f t="shared" ref="M70:N78" si="24">L70-$G70</f>
        <v>0</v>
      </c>
      <c r="N70" s="803">
        <f t="shared" si="24"/>
        <v>0</v>
      </c>
      <c r="AA70" s="698"/>
      <c r="AB70" s="698"/>
      <c r="AC70" s="698"/>
      <c r="AD70" s="698"/>
      <c r="AE70" s="698"/>
      <c r="AF70" s="698"/>
      <c r="AG70" s="698"/>
      <c r="AH70" s="698"/>
      <c r="AI70" s="698"/>
      <c r="AJ70" s="698"/>
      <c r="AK70" s="698"/>
    </row>
    <row r="71" spans="1:37" s="556" customFormat="1" ht="51">
      <c r="A71" s="710" t="s">
        <v>1998</v>
      </c>
      <c r="B71" s="721" t="str">
        <f>估价对象房地状况!C18</f>
        <v>估价对象周边道路状况、公共交通通达情况、停车便捷程度，综合评价交通便捷度较好</v>
      </c>
      <c r="C71" s="613"/>
      <c r="D71" s="716">
        <f t="shared" si="20"/>
        <v>0</v>
      </c>
      <c r="E71" s="831"/>
      <c r="F71" s="718"/>
      <c r="G71" s="719"/>
      <c r="H71" s="720" t="str">
        <f t="shared" si="21"/>
        <v>——</v>
      </c>
      <c r="I71" s="802">
        <v>0.3</v>
      </c>
      <c r="J71" s="803">
        <f t="shared" si="22"/>
        <v>0</v>
      </c>
      <c r="K71" s="803">
        <f t="shared" si="23"/>
        <v>0</v>
      </c>
      <c r="L71" s="803">
        <v>0</v>
      </c>
      <c r="M71" s="803">
        <f t="shared" si="24"/>
        <v>0</v>
      </c>
      <c r="N71" s="803">
        <f t="shared" si="24"/>
        <v>0</v>
      </c>
      <c r="AA71" s="698"/>
      <c r="AB71" s="698"/>
      <c r="AC71" s="698"/>
      <c r="AD71" s="698"/>
      <c r="AE71" s="698"/>
      <c r="AF71" s="698"/>
      <c r="AG71" s="698"/>
      <c r="AH71" s="698"/>
      <c r="AI71" s="698"/>
      <c r="AJ71" s="698"/>
      <c r="AK71" s="698"/>
    </row>
    <row r="72" spans="1:37" s="556" customFormat="1" ht="24">
      <c r="A72" s="710" t="s">
        <v>1999</v>
      </c>
      <c r="B72" s="721">
        <f>估价对象房地状况!C19</f>
        <v>0</v>
      </c>
      <c r="C72" s="613"/>
      <c r="D72" s="716">
        <f t="shared" si="20"/>
        <v>0</v>
      </c>
      <c r="E72" s="831"/>
      <c r="F72" s="718"/>
      <c r="G72" s="719"/>
      <c r="H72" s="720" t="str">
        <f t="shared" si="21"/>
        <v>——</v>
      </c>
      <c r="I72" s="802">
        <v>0.08</v>
      </c>
      <c r="J72" s="803">
        <f t="shared" si="22"/>
        <v>0</v>
      </c>
      <c r="K72" s="803">
        <f t="shared" si="23"/>
        <v>0</v>
      </c>
      <c r="L72" s="803">
        <v>0</v>
      </c>
      <c r="M72" s="803">
        <f t="shared" si="24"/>
        <v>0</v>
      </c>
      <c r="N72" s="803">
        <f t="shared" si="24"/>
        <v>0</v>
      </c>
      <c r="AA72" s="698"/>
      <c r="AB72" s="698"/>
      <c r="AC72" s="698"/>
      <c r="AD72" s="698"/>
      <c r="AE72" s="698"/>
      <c r="AF72" s="698"/>
      <c r="AG72" s="698"/>
      <c r="AH72" s="698"/>
      <c r="AI72" s="698"/>
      <c r="AJ72" s="698"/>
      <c r="AK72" s="698"/>
    </row>
    <row r="73" spans="1:37" s="556" customFormat="1" ht="14.25">
      <c r="A73" s="710" t="s">
        <v>2013</v>
      </c>
      <c r="B73" s="721">
        <f>估价对象房地状况!C24</f>
        <v>0</v>
      </c>
      <c r="C73" s="613"/>
      <c r="D73" s="716">
        <f t="shared" si="20"/>
        <v>0</v>
      </c>
      <c r="E73" s="831"/>
      <c r="F73" s="718"/>
      <c r="G73" s="719"/>
      <c r="H73" s="720" t="str">
        <f t="shared" si="21"/>
        <v>——</v>
      </c>
      <c r="I73" s="802">
        <v>0.04</v>
      </c>
      <c r="J73" s="803">
        <f t="shared" si="22"/>
        <v>0</v>
      </c>
      <c r="K73" s="803">
        <f t="shared" si="23"/>
        <v>0</v>
      </c>
      <c r="L73" s="803">
        <v>0</v>
      </c>
      <c r="M73" s="803">
        <f t="shared" si="24"/>
        <v>0</v>
      </c>
      <c r="N73" s="803">
        <f t="shared" si="24"/>
        <v>0</v>
      </c>
      <c r="AA73" s="698"/>
      <c r="AB73" s="698"/>
      <c r="AC73" s="698"/>
      <c r="AD73" s="698"/>
      <c r="AE73" s="698"/>
      <c r="AF73" s="698"/>
      <c r="AG73" s="698"/>
      <c r="AH73" s="698"/>
      <c r="AI73" s="698"/>
      <c r="AJ73" s="698"/>
      <c r="AK73" s="698"/>
    </row>
    <row r="74" spans="1:37" s="556" customFormat="1" ht="25.5">
      <c r="A74" s="710" t="s">
        <v>2005</v>
      </c>
      <c r="B74" s="264" t="str">
        <f>估价对象房地状况!C21</f>
        <v>估价对象所在区域公共配套设施齐备情况</v>
      </c>
      <c r="C74" s="613"/>
      <c r="D74" s="716">
        <f t="shared" si="20"/>
        <v>0</v>
      </c>
      <c r="E74" s="831"/>
      <c r="F74" s="718"/>
      <c r="G74" s="719"/>
      <c r="H74" s="720" t="str">
        <f t="shared" si="21"/>
        <v>——</v>
      </c>
      <c r="I74" s="802">
        <v>0.08</v>
      </c>
      <c r="J74" s="803">
        <f t="shared" si="22"/>
        <v>0</v>
      </c>
      <c r="K74" s="803">
        <f t="shared" si="23"/>
        <v>0</v>
      </c>
      <c r="L74" s="803">
        <v>0</v>
      </c>
      <c r="M74" s="803">
        <f t="shared" si="24"/>
        <v>0</v>
      </c>
      <c r="N74" s="803">
        <f t="shared" si="24"/>
        <v>0</v>
      </c>
      <c r="AA74" s="698"/>
      <c r="AB74" s="698"/>
      <c r="AC74" s="698"/>
      <c r="AD74" s="698"/>
      <c r="AE74" s="698"/>
      <c r="AF74" s="698"/>
      <c r="AG74" s="698"/>
      <c r="AH74" s="698"/>
      <c r="AI74" s="698"/>
      <c r="AJ74" s="698"/>
      <c r="AK74" s="698"/>
    </row>
    <row r="75" spans="1:37" s="556" customFormat="1" ht="25.5">
      <c r="A75" s="710" t="s">
        <v>2006</v>
      </c>
      <c r="B75" s="264" t="str">
        <f>估价对象房地状况!C22</f>
        <v>估价对象所在区域基础设施水平</v>
      </c>
      <c r="C75" s="613"/>
      <c r="D75" s="716">
        <f t="shared" si="20"/>
        <v>0</v>
      </c>
      <c r="E75" s="831"/>
      <c r="F75" s="718"/>
      <c r="G75" s="719"/>
      <c r="H75" s="720" t="str">
        <f t="shared" si="21"/>
        <v>——</v>
      </c>
      <c r="I75" s="802">
        <v>0.12</v>
      </c>
      <c r="J75" s="803">
        <f t="shared" si="22"/>
        <v>0</v>
      </c>
      <c r="K75" s="803">
        <f t="shared" si="23"/>
        <v>0</v>
      </c>
      <c r="L75" s="803">
        <v>0</v>
      </c>
      <c r="M75" s="803">
        <f t="shared" si="24"/>
        <v>0</v>
      </c>
      <c r="N75" s="803">
        <f t="shared" si="24"/>
        <v>0</v>
      </c>
      <c r="AA75" s="698"/>
      <c r="AB75" s="698"/>
      <c r="AC75" s="698"/>
      <c r="AD75" s="698"/>
      <c r="AE75" s="698"/>
      <c r="AF75" s="698"/>
      <c r="AG75" s="698"/>
      <c r="AH75" s="698"/>
      <c r="AI75" s="698"/>
      <c r="AJ75" s="698"/>
      <c r="AK75" s="698"/>
    </row>
    <row r="76" spans="1:37" s="557" customFormat="1" ht="24">
      <c r="A76" s="710" t="s">
        <v>2003</v>
      </c>
      <c r="B76" s="724" t="s">
        <v>2004</v>
      </c>
      <c r="C76" s="613"/>
      <c r="D76" s="716">
        <f t="shared" si="20"/>
        <v>0</v>
      </c>
      <c r="E76" s="831"/>
      <c r="F76" s="718"/>
      <c r="G76" s="719"/>
      <c r="H76" s="720" t="str">
        <f t="shared" si="21"/>
        <v>——</v>
      </c>
      <c r="I76" s="802">
        <v>0.05</v>
      </c>
      <c r="J76" s="803">
        <f t="shared" si="22"/>
        <v>0</v>
      </c>
      <c r="K76" s="803">
        <f t="shared" si="23"/>
        <v>0</v>
      </c>
      <c r="L76" s="803">
        <v>0</v>
      </c>
      <c r="M76" s="803">
        <f t="shared" si="24"/>
        <v>0</v>
      </c>
      <c r="N76" s="803">
        <f t="shared" si="24"/>
        <v>0</v>
      </c>
      <c r="AA76" s="864"/>
      <c r="AB76" s="698"/>
      <c r="AC76" s="698"/>
      <c r="AD76" s="698"/>
      <c r="AE76" s="698"/>
      <c r="AF76" s="698"/>
      <c r="AG76" s="698"/>
      <c r="AH76" s="864"/>
      <c r="AI76" s="864"/>
      <c r="AJ76" s="864"/>
      <c r="AK76" s="864"/>
    </row>
    <row r="77" spans="1:37" ht="38.25">
      <c r="A77" s="710" t="s">
        <v>2007</v>
      </c>
      <c r="B77" s="715" t="str">
        <f>估价对象房地状况!C20</f>
        <v>区域自然环境：；人文环境；综合评价环境状况一般</v>
      </c>
      <c r="C77" s="613"/>
      <c r="D77" s="716">
        <f t="shared" si="20"/>
        <v>0</v>
      </c>
      <c r="E77" s="831"/>
      <c r="F77" s="718"/>
      <c r="G77" s="719"/>
      <c r="H77" s="720" t="str">
        <f t="shared" si="21"/>
        <v>——</v>
      </c>
      <c r="I77" s="802">
        <v>0.15</v>
      </c>
      <c r="J77" s="803">
        <f t="shared" si="22"/>
        <v>0</v>
      </c>
      <c r="K77" s="803">
        <f t="shared" si="23"/>
        <v>0</v>
      </c>
      <c r="L77" s="803">
        <v>0</v>
      </c>
      <c r="M77" s="803">
        <f t="shared" si="24"/>
        <v>0</v>
      </c>
      <c r="N77" s="803">
        <f t="shared" si="24"/>
        <v>0</v>
      </c>
      <c r="Z77" s="560"/>
      <c r="AA77" s="558"/>
      <c r="AG77" s="562"/>
      <c r="AK77" s="558"/>
    </row>
    <row r="78" spans="1:37" ht="24">
      <c r="A78" s="726" t="s">
        <v>2014</v>
      </c>
      <c r="B78" s="832"/>
      <c r="C78" s="613"/>
      <c r="D78" s="716">
        <f t="shared" si="20"/>
        <v>0</v>
      </c>
      <c r="E78" s="833"/>
      <c r="F78" s="718"/>
      <c r="G78" s="719"/>
      <c r="H78" s="720" t="str">
        <f t="shared" si="21"/>
        <v>——</v>
      </c>
      <c r="I78" s="804">
        <v>0.04</v>
      </c>
      <c r="J78" s="803">
        <f t="shared" si="22"/>
        <v>0</v>
      </c>
      <c r="K78" s="803">
        <f t="shared" si="23"/>
        <v>0</v>
      </c>
      <c r="L78" s="803">
        <v>0</v>
      </c>
      <c r="M78" s="803">
        <f t="shared" si="24"/>
        <v>0</v>
      </c>
      <c r="N78" s="803">
        <f t="shared" si="24"/>
        <v>0</v>
      </c>
      <c r="Z78" s="560"/>
      <c r="AA78" s="558"/>
      <c r="AG78" s="562"/>
      <c r="AK78" s="558"/>
    </row>
    <row r="79" spans="1:37" ht="15">
      <c r="A79" s="704" t="s">
        <v>2015</v>
      </c>
      <c r="B79" s="705">
        <f>1+E81</f>
        <v>1</v>
      </c>
      <c r="C79" s="707"/>
      <c r="D79" s="707"/>
      <c r="E79" s="708"/>
      <c r="F79" s="709"/>
      <c r="G79" s="703"/>
      <c r="H79" s="703"/>
      <c r="I79" s="703"/>
      <c r="J79" s="702"/>
      <c r="K79" s="702"/>
      <c r="L79" s="702"/>
      <c r="M79" s="702"/>
      <c r="N79" s="702"/>
      <c r="Z79" s="560"/>
      <c r="AA79" s="558"/>
      <c r="AG79" s="562"/>
      <c r="AK79" s="558"/>
    </row>
    <row r="80" spans="1:37" ht="24.75">
      <c r="A80" s="710" t="s">
        <v>1989</v>
      </c>
      <c r="B80" s="711"/>
      <c r="C80" s="711" t="s">
        <v>1991</v>
      </c>
      <c r="D80" s="711" t="s">
        <v>1992</v>
      </c>
      <c r="E80" s="712" t="s">
        <v>1993</v>
      </c>
      <c r="F80" s="713" t="s">
        <v>2009</v>
      </c>
      <c r="G80" s="711" t="s">
        <v>1922</v>
      </c>
      <c r="H80" s="714" t="s">
        <v>1995</v>
      </c>
      <c r="I80" s="711" t="s">
        <v>1996</v>
      </c>
      <c r="J80" s="801" t="s">
        <v>1378</v>
      </c>
      <c r="K80" s="801" t="s">
        <v>1379</v>
      </c>
      <c r="L80" s="801" t="s">
        <v>1380</v>
      </c>
      <c r="M80" s="801" t="s">
        <v>1381</v>
      </c>
      <c r="N80" s="801" t="s">
        <v>1382</v>
      </c>
      <c r="Z80" s="560"/>
      <c r="AA80" s="558"/>
      <c r="AG80" s="562"/>
      <c r="AK80" s="558"/>
    </row>
    <row r="81" spans="1:37" ht="38.25">
      <c r="A81" s="710" t="s">
        <v>2016</v>
      </c>
      <c r="B81" s="721" t="str">
        <f>估价对象房地状况!G15</f>
        <v>估价对象位于XX开发区，园区建设成熟度XX，产业集聚程度XX</v>
      </c>
      <c r="C81" s="613"/>
      <c r="D81" s="716">
        <f t="shared" ref="D81:D88" si="25">SUMIF($J$80:$N$80,C81,J81:N81)</f>
        <v>0</v>
      </c>
      <c r="E81" s="717">
        <f>ROUND(SUM(D81:D88),4)</f>
        <v>0</v>
      </c>
      <c r="F81" s="718" t="str">
        <f>IF(E2="工业",SUMIF(L1:L12,G2,N1:N12),"——")</f>
        <v>——</v>
      </c>
      <c r="G81" s="719"/>
      <c r="H81" s="720" t="str">
        <f t="shared" ref="H81:H88" si="26">IFERROR(ROUNDDOWN($F$81*I81/2,4),"——")</f>
        <v>——</v>
      </c>
      <c r="I81" s="802">
        <v>0.26</v>
      </c>
      <c r="J81" s="803">
        <f t="shared" ref="J81:J88" si="27">K81+$G81</f>
        <v>0</v>
      </c>
      <c r="K81" s="803">
        <f t="shared" ref="K81:K88" si="28">$L81+$G81</f>
        <v>0</v>
      </c>
      <c r="L81" s="803">
        <v>0</v>
      </c>
      <c r="M81" s="803">
        <f t="shared" ref="M81:N88" si="29">L81-$G81</f>
        <v>0</v>
      </c>
      <c r="N81" s="803">
        <f t="shared" si="29"/>
        <v>0</v>
      </c>
      <c r="Z81" s="560"/>
      <c r="AA81" s="558"/>
      <c r="AG81" s="562"/>
      <c r="AK81" s="558"/>
    </row>
    <row r="82" spans="1:37" ht="51">
      <c r="A82" s="710" t="s">
        <v>1998</v>
      </c>
      <c r="B82" s="721" t="str">
        <f>估价对象房地状况!G16</f>
        <v>估价对象周边道路状况、公共交通通达情况、停车便捷程度，综合评价交通便捷度较好</v>
      </c>
      <c r="C82" s="613"/>
      <c r="D82" s="716">
        <f t="shared" si="25"/>
        <v>0</v>
      </c>
      <c r="E82" s="831"/>
      <c r="F82" s="718"/>
      <c r="G82" s="719"/>
      <c r="H82" s="720" t="str">
        <f t="shared" si="26"/>
        <v>——</v>
      </c>
      <c r="I82" s="802">
        <v>0.33</v>
      </c>
      <c r="J82" s="803">
        <f t="shared" si="27"/>
        <v>0</v>
      </c>
      <c r="K82" s="803">
        <f t="shared" si="28"/>
        <v>0</v>
      </c>
      <c r="L82" s="803">
        <v>0</v>
      </c>
      <c r="M82" s="803">
        <f t="shared" si="29"/>
        <v>0</v>
      </c>
      <c r="N82" s="803">
        <f t="shared" si="29"/>
        <v>0</v>
      </c>
      <c r="Z82" s="560"/>
      <c r="AA82" s="558"/>
      <c r="AG82" s="562"/>
      <c r="AK82" s="558"/>
    </row>
    <row r="83" spans="1:37" ht="24">
      <c r="A83" s="710" t="s">
        <v>1999</v>
      </c>
      <c r="B83" s="721">
        <f>估价对象房地状况!G17</f>
        <v>0</v>
      </c>
      <c r="C83" s="613"/>
      <c r="D83" s="716">
        <f t="shared" si="25"/>
        <v>0</v>
      </c>
      <c r="E83" s="831"/>
      <c r="F83" s="718"/>
      <c r="G83" s="719"/>
      <c r="H83" s="720" t="str">
        <f t="shared" si="26"/>
        <v>——</v>
      </c>
      <c r="I83" s="802">
        <v>0.05</v>
      </c>
      <c r="J83" s="803">
        <f t="shared" si="27"/>
        <v>0</v>
      </c>
      <c r="K83" s="803">
        <f t="shared" si="28"/>
        <v>0</v>
      </c>
      <c r="L83" s="803">
        <v>0</v>
      </c>
      <c r="M83" s="803">
        <f t="shared" si="29"/>
        <v>0</v>
      </c>
      <c r="N83" s="803">
        <f t="shared" si="29"/>
        <v>0</v>
      </c>
      <c r="Z83" s="560"/>
      <c r="AA83" s="558"/>
      <c r="AG83" s="562"/>
      <c r="AK83" s="558"/>
    </row>
    <row r="84" spans="1:37" ht="14.25">
      <c r="A84" s="710" t="s">
        <v>2013</v>
      </c>
      <c r="B84" s="721">
        <f>估价对象房地状况!G22</f>
        <v>0</v>
      </c>
      <c r="C84" s="613"/>
      <c r="D84" s="716">
        <f t="shared" si="25"/>
        <v>0</v>
      </c>
      <c r="E84" s="831"/>
      <c r="F84" s="718"/>
      <c r="G84" s="719"/>
      <c r="H84" s="720" t="str">
        <f t="shared" si="26"/>
        <v>——</v>
      </c>
      <c r="I84" s="802">
        <v>0.04</v>
      </c>
      <c r="J84" s="803">
        <f t="shared" si="27"/>
        <v>0</v>
      </c>
      <c r="K84" s="803">
        <f t="shared" si="28"/>
        <v>0</v>
      </c>
      <c r="L84" s="803">
        <v>0</v>
      </c>
      <c r="M84" s="803">
        <f t="shared" si="29"/>
        <v>0</v>
      </c>
      <c r="N84" s="803">
        <f t="shared" si="29"/>
        <v>0</v>
      </c>
      <c r="Z84" s="560"/>
      <c r="AA84" s="558"/>
      <c r="AG84" s="562"/>
      <c r="AK84" s="558"/>
    </row>
    <row r="85" spans="1:37" ht="25.5">
      <c r="A85" s="710" t="s">
        <v>2005</v>
      </c>
      <c r="B85" s="264" t="str">
        <f>估价对象房地状况!G19</f>
        <v>估价对象所在区域公共配套设施齐备情况</v>
      </c>
      <c r="C85" s="613"/>
      <c r="D85" s="716">
        <f t="shared" si="25"/>
        <v>0</v>
      </c>
      <c r="E85" s="831"/>
      <c r="F85" s="718"/>
      <c r="G85" s="719"/>
      <c r="H85" s="720" t="str">
        <f t="shared" si="26"/>
        <v>——</v>
      </c>
      <c r="I85" s="802">
        <v>0.06</v>
      </c>
      <c r="J85" s="803">
        <f t="shared" si="27"/>
        <v>0</v>
      </c>
      <c r="K85" s="803">
        <f t="shared" si="28"/>
        <v>0</v>
      </c>
      <c r="L85" s="803">
        <v>0</v>
      </c>
      <c r="M85" s="803">
        <f t="shared" si="29"/>
        <v>0</v>
      </c>
      <c r="N85" s="803">
        <f t="shared" si="29"/>
        <v>0</v>
      </c>
      <c r="Z85" s="560"/>
      <c r="AA85" s="558"/>
      <c r="AG85" s="562"/>
      <c r="AK85" s="558"/>
    </row>
    <row r="86" spans="1:37" ht="25.5">
      <c r="A86" s="710" t="s">
        <v>2006</v>
      </c>
      <c r="B86" s="264" t="str">
        <f>估价对象房地状况!G20</f>
        <v>估价对象所在区域基础设施水平</v>
      </c>
      <c r="C86" s="613"/>
      <c r="D86" s="716">
        <f t="shared" si="25"/>
        <v>0</v>
      </c>
      <c r="E86" s="831"/>
      <c r="F86" s="718"/>
      <c r="G86" s="719"/>
      <c r="H86" s="720" t="str">
        <f t="shared" si="26"/>
        <v>——</v>
      </c>
      <c r="I86" s="802">
        <v>0.15</v>
      </c>
      <c r="J86" s="803">
        <f t="shared" si="27"/>
        <v>0</v>
      </c>
      <c r="K86" s="803">
        <f t="shared" si="28"/>
        <v>0</v>
      </c>
      <c r="L86" s="803">
        <v>0</v>
      </c>
      <c r="M86" s="803">
        <f t="shared" si="29"/>
        <v>0</v>
      </c>
      <c r="N86" s="803">
        <f t="shared" si="29"/>
        <v>0</v>
      </c>
      <c r="Z86" s="560"/>
      <c r="AA86" s="558"/>
      <c r="AG86" s="562"/>
      <c r="AK86" s="558"/>
    </row>
    <row r="87" spans="1:37" ht="24">
      <c r="A87" s="710" t="s">
        <v>2003</v>
      </c>
      <c r="B87" s="724" t="s">
        <v>2017</v>
      </c>
      <c r="C87" s="613"/>
      <c r="D87" s="716">
        <f t="shared" si="25"/>
        <v>0</v>
      </c>
      <c r="E87" s="831"/>
      <c r="F87" s="718"/>
      <c r="G87" s="719"/>
      <c r="H87" s="720" t="str">
        <f t="shared" si="26"/>
        <v>——</v>
      </c>
      <c r="I87" s="802">
        <v>0.05</v>
      </c>
      <c r="J87" s="803">
        <f t="shared" si="27"/>
        <v>0</v>
      </c>
      <c r="K87" s="803">
        <f t="shared" si="28"/>
        <v>0</v>
      </c>
      <c r="L87" s="803">
        <v>0</v>
      </c>
      <c r="M87" s="803">
        <f t="shared" si="29"/>
        <v>0</v>
      </c>
      <c r="N87" s="803">
        <f t="shared" si="29"/>
        <v>0</v>
      </c>
      <c r="Z87" s="560"/>
      <c r="AA87" s="558"/>
      <c r="AG87" s="562"/>
      <c r="AK87" s="558"/>
    </row>
    <row r="88" spans="1:37" ht="38.25">
      <c r="A88" s="726" t="s">
        <v>2018</v>
      </c>
      <c r="B88" s="834" t="str">
        <f>估价对象房地状况!G18</f>
        <v>该园区内是否有污染型企业，绿化情况，卫生条件，整体环境状况判断</v>
      </c>
      <c r="C88" s="613"/>
      <c r="D88" s="716">
        <f t="shared" si="25"/>
        <v>0</v>
      </c>
      <c r="E88" s="833"/>
      <c r="F88" s="718"/>
      <c r="G88" s="719"/>
      <c r="H88" s="720" t="str">
        <f t="shared" si="26"/>
        <v>——</v>
      </c>
      <c r="I88" s="804">
        <v>0.06</v>
      </c>
      <c r="J88" s="803">
        <f t="shared" si="27"/>
        <v>0</v>
      </c>
      <c r="K88" s="803">
        <f t="shared" si="28"/>
        <v>0</v>
      </c>
      <c r="L88" s="803">
        <v>0</v>
      </c>
      <c r="M88" s="803">
        <f t="shared" si="29"/>
        <v>0</v>
      </c>
      <c r="N88" s="803">
        <f t="shared" si="29"/>
        <v>0</v>
      </c>
      <c r="Z88" s="560"/>
      <c r="AA88" s="558"/>
      <c r="AG88" s="562"/>
      <c r="AK88" s="558"/>
    </row>
    <row r="90" spans="1:37">
      <c r="A90" s="3569" t="s">
        <v>2019</v>
      </c>
      <c r="B90" s="3569"/>
      <c r="C90" s="3569"/>
      <c r="D90" s="3569"/>
      <c r="E90" s="3569"/>
      <c r="F90" s="3569"/>
      <c r="G90" s="3569"/>
      <c r="H90" s="3569"/>
      <c r="I90" s="3569"/>
      <c r="J90" s="3569"/>
      <c r="K90" s="835"/>
      <c r="L90" s="835"/>
      <c r="M90" s="835"/>
      <c r="N90" s="835"/>
    </row>
    <row r="91" spans="1:37">
      <c r="A91" s="3578" t="s">
        <v>2020</v>
      </c>
      <c r="B91" s="3578" t="s">
        <v>2021</v>
      </c>
      <c r="C91" s="680" t="s">
        <v>2022</v>
      </c>
      <c r="D91" s="681"/>
      <c r="E91" s="681"/>
      <c r="F91" s="681"/>
      <c r="G91" s="681"/>
      <c r="H91" s="681"/>
      <c r="I91" s="681"/>
      <c r="J91" s="857"/>
      <c r="K91" s="858"/>
      <c r="L91" s="858"/>
      <c r="M91" s="858"/>
      <c r="N91" s="858"/>
    </row>
    <row r="92" spans="1:37">
      <c r="A92" s="3578"/>
      <c r="B92" s="3578"/>
      <c r="C92" s="679" t="s">
        <v>1883</v>
      </c>
      <c r="D92" s="679" t="s">
        <v>1884</v>
      </c>
      <c r="E92" s="679" t="s">
        <v>1885</v>
      </c>
      <c r="F92" s="679" t="s">
        <v>1886</v>
      </c>
      <c r="G92" s="679" t="s">
        <v>1887</v>
      </c>
      <c r="H92" s="679" t="s">
        <v>1888</v>
      </c>
      <c r="I92" s="679" t="s">
        <v>1889</v>
      </c>
      <c r="J92" s="679" t="s">
        <v>1890</v>
      </c>
      <c r="K92" s="679" t="s">
        <v>1891</v>
      </c>
      <c r="L92" s="679" t="s">
        <v>1892</v>
      </c>
      <c r="M92" s="679" t="s">
        <v>1893</v>
      </c>
      <c r="N92" s="679" t="s">
        <v>1894</v>
      </c>
    </row>
    <row r="93" spans="1:37">
      <c r="A93" s="3579" t="s">
        <v>2023</v>
      </c>
      <c r="B93" s="836">
        <v>1</v>
      </c>
      <c r="C93" s="837">
        <v>1.9361999999999999</v>
      </c>
      <c r="D93" s="837">
        <v>1.9361999999999999</v>
      </c>
      <c r="E93" s="837">
        <v>1.8629</v>
      </c>
      <c r="F93" s="837">
        <v>1.8629</v>
      </c>
      <c r="G93" s="837">
        <v>1.8629</v>
      </c>
      <c r="H93" s="837">
        <v>1.8629</v>
      </c>
      <c r="I93" s="837">
        <v>1.8629</v>
      </c>
      <c r="J93" s="837">
        <v>1.9419999999999999</v>
      </c>
      <c r="K93" s="837">
        <v>1.9419999999999999</v>
      </c>
      <c r="L93" s="837">
        <v>1.9419999999999999</v>
      </c>
      <c r="M93" s="837">
        <v>1.9419999999999999</v>
      </c>
      <c r="N93" s="837">
        <v>1.9419999999999999</v>
      </c>
    </row>
    <row r="94" spans="1:37">
      <c r="A94" s="3580"/>
      <c r="B94" s="836">
        <v>2</v>
      </c>
      <c r="C94" s="837">
        <v>1.4198</v>
      </c>
      <c r="D94" s="837">
        <v>1.4198</v>
      </c>
      <c r="E94" s="837">
        <v>1.3371999999999999</v>
      </c>
      <c r="F94" s="837">
        <v>1.3371999999999999</v>
      </c>
      <c r="G94" s="837">
        <v>1.3371999999999999</v>
      </c>
      <c r="H94" s="837">
        <v>1.3371999999999999</v>
      </c>
      <c r="I94" s="837">
        <v>1.3371999999999999</v>
      </c>
      <c r="J94" s="837">
        <v>1.2799</v>
      </c>
      <c r="K94" s="837">
        <v>1.2799</v>
      </c>
      <c r="L94" s="837">
        <v>1.2799</v>
      </c>
      <c r="M94" s="837">
        <v>1.2799</v>
      </c>
      <c r="N94" s="837">
        <v>1.2799</v>
      </c>
    </row>
    <row r="95" spans="1:37">
      <c r="A95" s="3580"/>
      <c r="B95" s="836">
        <v>3</v>
      </c>
      <c r="C95" s="837">
        <v>1.1594</v>
      </c>
      <c r="D95" s="837">
        <v>1.1594</v>
      </c>
      <c r="E95" s="837">
        <v>1.0788</v>
      </c>
      <c r="F95" s="837">
        <v>1.0788</v>
      </c>
      <c r="G95" s="837">
        <v>1.0788</v>
      </c>
      <c r="H95" s="837">
        <v>1.0788</v>
      </c>
      <c r="I95" s="837">
        <v>1.0788</v>
      </c>
      <c r="J95" s="837">
        <v>1.0072000000000001</v>
      </c>
      <c r="K95" s="837">
        <v>1.0072000000000001</v>
      </c>
      <c r="L95" s="837">
        <v>1.0072000000000001</v>
      </c>
      <c r="M95" s="837">
        <v>1.0072000000000001</v>
      </c>
      <c r="N95" s="837">
        <v>1.0072000000000001</v>
      </c>
    </row>
    <row r="96" spans="1:37">
      <c r="A96" s="3580"/>
      <c r="B96" s="836">
        <v>4</v>
      </c>
      <c r="C96" s="837">
        <v>0.96220000000000006</v>
      </c>
      <c r="D96" s="837">
        <v>0.96220000000000006</v>
      </c>
      <c r="E96" s="837">
        <v>0.86560000000000004</v>
      </c>
      <c r="F96" s="837">
        <v>0.86560000000000004</v>
      </c>
      <c r="G96" s="837">
        <v>0.86560000000000004</v>
      </c>
      <c r="H96" s="837">
        <v>0.86560000000000004</v>
      </c>
      <c r="I96" s="837">
        <v>0.86560000000000004</v>
      </c>
      <c r="J96" s="837">
        <v>0.75249999999999995</v>
      </c>
      <c r="K96" s="837">
        <v>0.75249999999999995</v>
      </c>
      <c r="L96" s="837">
        <v>0.75249999999999995</v>
      </c>
      <c r="M96" s="837">
        <v>0.75249999999999995</v>
      </c>
      <c r="N96" s="837">
        <v>0.75249999999999995</v>
      </c>
    </row>
    <row r="97" spans="1:14">
      <c r="A97" s="3580"/>
      <c r="B97" s="836">
        <v>5</v>
      </c>
      <c r="C97" s="837">
        <v>0.8417</v>
      </c>
      <c r="D97" s="837">
        <v>0.8417</v>
      </c>
      <c r="E97" s="837">
        <v>0.73709999999999998</v>
      </c>
      <c r="F97" s="837">
        <v>0.73709999999999998</v>
      </c>
      <c r="G97" s="837">
        <v>0.73709999999999998</v>
      </c>
      <c r="H97" s="837">
        <v>0.73709999999999998</v>
      </c>
      <c r="I97" s="837">
        <v>0.73709999999999998</v>
      </c>
      <c r="J97" s="837">
        <v>0.56589999999999996</v>
      </c>
      <c r="K97" s="837">
        <v>0.56589999999999996</v>
      </c>
      <c r="L97" s="837">
        <v>0.56589999999999996</v>
      </c>
      <c r="M97" s="837">
        <v>0.56589999999999996</v>
      </c>
      <c r="N97" s="837">
        <v>0.56589999999999996</v>
      </c>
    </row>
    <row r="98" spans="1:14">
      <c r="A98" s="3580"/>
      <c r="B98" s="836">
        <v>6</v>
      </c>
      <c r="C98" s="837">
        <v>0.76080000000000003</v>
      </c>
      <c r="D98" s="837">
        <v>0.76080000000000003</v>
      </c>
      <c r="E98" s="837">
        <v>0.6482</v>
      </c>
      <c r="F98" s="837">
        <v>0.6482</v>
      </c>
      <c r="G98" s="837">
        <v>0.6482</v>
      </c>
      <c r="H98" s="837">
        <v>0.6482</v>
      </c>
      <c r="I98" s="837">
        <v>0.6482</v>
      </c>
      <c r="J98" s="837">
        <v>0.45250000000000001</v>
      </c>
      <c r="K98" s="837">
        <v>0.45250000000000001</v>
      </c>
      <c r="L98" s="837">
        <v>0.45250000000000001</v>
      </c>
      <c r="M98" s="837">
        <v>0.45250000000000001</v>
      </c>
      <c r="N98" s="837">
        <v>0.45250000000000001</v>
      </c>
    </row>
    <row r="99" spans="1:14">
      <c r="A99" s="3580"/>
      <c r="B99" s="836" t="s">
        <v>1900</v>
      </c>
      <c r="C99" s="838">
        <f>$I$3</f>
        <v>0</v>
      </c>
      <c r="D99" s="838">
        <f t="shared" ref="D99:N99" si="30">$I$3</f>
        <v>0</v>
      </c>
      <c r="E99" s="838">
        <f t="shared" si="30"/>
        <v>0</v>
      </c>
      <c r="F99" s="838">
        <f t="shared" si="30"/>
        <v>0</v>
      </c>
      <c r="G99" s="838">
        <f t="shared" si="30"/>
        <v>0</v>
      </c>
      <c r="H99" s="838">
        <f t="shared" si="30"/>
        <v>0</v>
      </c>
      <c r="I99" s="838">
        <f t="shared" si="30"/>
        <v>0</v>
      </c>
      <c r="J99" s="838">
        <f t="shared" si="30"/>
        <v>0</v>
      </c>
      <c r="K99" s="838">
        <f t="shared" si="30"/>
        <v>0</v>
      </c>
      <c r="L99" s="838">
        <f t="shared" si="30"/>
        <v>0</v>
      </c>
      <c r="M99" s="838">
        <f t="shared" si="30"/>
        <v>0</v>
      </c>
      <c r="N99" s="838">
        <f t="shared" si="30"/>
        <v>0</v>
      </c>
    </row>
    <row r="100" spans="1:14">
      <c r="A100" s="3581"/>
      <c r="B100" s="836">
        <v>7</v>
      </c>
      <c r="C100" s="839">
        <f>(-0.163*(C99^2)-0.59*C99+7617)*(10^(-4))</f>
        <v>0.76170000000000004</v>
      </c>
      <c r="D100" s="839">
        <f>(-0.163*(D99^2)-0.59*D99+7617)*(10^(-4))</f>
        <v>0.76170000000000004</v>
      </c>
      <c r="E100" s="839">
        <f>(-0.161*(E99^2)-7.509*E99+6533)*(10^(-4))</f>
        <v>0.65329999999999999</v>
      </c>
      <c r="F100" s="839">
        <f>(-0.161*(F99^2)-7.509*F99+6533)*(10^(-4))</f>
        <v>0.65329999999999999</v>
      </c>
      <c r="G100" s="839">
        <f>(-0.161*(G99^2)-7.509*G99+6533)*(10^(-4))</f>
        <v>0.65329999999999999</v>
      </c>
      <c r="H100" s="839">
        <f>(-0.161*(H99^2)-7.509*H99+6533)*(10^(-4))</f>
        <v>0.65329999999999999</v>
      </c>
      <c r="I100" s="839">
        <f>(-0.161*(I99^2)-7.509*I99+6533)*(10^(-4))</f>
        <v>0.65329999999999999</v>
      </c>
      <c r="J100" s="839">
        <f>(-0.214*(J99^2)-21.991*J99+4665)*(10^(-4))</f>
        <v>0.46650000000000003</v>
      </c>
      <c r="K100" s="839">
        <f>(-0.214*(K99^2)-21.991*K99+4665)*(10^(-4))</f>
        <v>0.46650000000000003</v>
      </c>
      <c r="L100" s="839">
        <f>(-0.214*(L99^2)-21.991*L99+4665)*(10^(-4))</f>
        <v>0.46650000000000003</v>
      </c>
      <c r="M100" s="839">
        <f>(-0.214*(M99^2)-21.991*M99+4665)*(10^(-4))</f>
        <v>0.46650000000000003</v>
      </c>
      <c r="N100" s="839">
        <f>(-0.214*(N99^2)-21.991*N99+4665)*(10^(-4))</f>
        <v>0.46650000000000003</v>
      </c>
    </row>
    <row r="101" spans="1:14">
      <c r="A101" s="3579" t="s">
        <v>2024</v>
      </c>
      <c r="B101" s="840" t="s">
        <v>2025</v>
      </c>
      <c r="C101" s="841">
        <f>$G$3</f>
        <v>2.16</v>
      </c>
      <c r="D101" s="841">
        <f t="shared" ref="D101:N101" si="31">$G$3</f>
        <v>2.16</v>
      </c>
      <c r="E101" s="841">
        <f t="shared" si="31"/>
        <v>2.16</v>
      </c>
      <c r="F101" s="841">
        <f t="shared" si="31"/>
        <v>2.16</v>
      </c>
      <c r="G101" s="841">
        <f t="shared" si="31"/>
        <v>2.16</v>
      </c>
      <c r="H101" s="841">
        <f t="shared" si="31"/>
        <v>2.16</v>
      </c>
      <c r="I101" s="841">
        <f t="shared" si="31"/>
        <v>2.16</v>
      </c>
      <c r="J101" s="841">
        <f t="shared" si="31"/>
        <v>2.16</v>
      </c>
      <c r="K101" s="841">
        <f t="shared" si="31"/>
        <v>2.16</v>
      </c>
      <c r="L101" s="841">
        <f t="shared" si="31"/>
        <v>2.16</v>
      </c>
      <c r="M101" s="841">
        <f t="shared" si="31"/>
        <v>2.16</v>
      </c>
      <c r="N101" s="841">
        <f t="shared" si="31"/>
        <v>2.16</v>
      </c>
    </row>
    <row r="102" spans="1:14">
      <c r="A102" s="3580"/>
      <c r="B102" s="836">
        <v>1</v>
      </c>
      <c r="C102" s="837">
        <f>1.9362/C101</f>
        <v>0.89638888888888879</v>
      </c>
      <c r="D102" s="837">
        <f>1.9362/D101</f>
        <v>0.89638888888888879</v>
      </c>
      <c r="E102" s="837">
        <f>1.8629/E101</f>
        <v>0.86245370370370367</v>
      </c>
      <c r="F102" s="837">
        <f>1.8629/F101</f>
        <v>0.86245370370370367</v>
      </c>
      <c r="G102" s="837">
        <f>1.8629/G101</f>
        <v>0.86245370370370367</v>
      </c>
      <c r="H102" s="837">
        <f>1.8629/H101</f>
        <v>0.86245370370370367</v>
      </c>
      <c r="I102" s="837">
        <f>1.8629/I101</f>
        <v>0.86245370370370367</v>
      </c>
      <c r="J102" s="837">
        <f>1.942/J101</f>
        <v>0.89907407407407403</v>
      </c>
      <c r="K102" s="837">
        <f>1.942/K101</f>
        <v>0.89907407407407403</v>
      </c>
      <c r="L102" s="837">
        <f>1.942/L101</f>
        <v>0.89907407407407403</v>
      </c>
      <c r="M102" s="837">
        <f>1.942/M101</f>
        <v>0.89907407407407403</v>
      </c>
      <c r="N102" s="837">
        <f>1.942/N101</f>
        <v>0.89907407407407403</v>
      </c>
    </row>
    <row r="103" spans="1:14">
      <c r="A103" s="3580"/>
      <c r="B103" s="836">
        <v>2</v>
      </c>
      <c r="C103" s="837">
        <f>1.4198/C101</f>
        <v>0.6573148148148148</v>
      </c>
      <c r="D103" s="837">
        <f>1.4198/D101</f>
        <v>0.6573148148148148</v>
      </c>
      <c r="E103" s="837">
        <f>1.3372/E101</f>
        <v>0.619074074074074</v>
      </c>
      <c r="F103" s="837">
        <f>1.3372/F101</f>
        <v>0.619074074074074</v>
      </c>
      <c r="G103" s="837">
        <f>1.3372/G101</f>
        <v>0.619074074074074</v>
      </c>
      <c r="H103" s="837">
        <f>1.3372/H101</f>
        <v>0.619074074074074</v>
      </c>
      <c r="I103" s="837">
        <f>1.3372/I101</f>
        <v>0.619074074074074</v>
      </c>
      <c r="J103" s="837">
        <f>1.2799/J101</f>
        <v>0.59254629629629629</v>
      </c>
      <c r="K103" s="837">
        <f>1.2799/K101</f>
        <v>0.59254629629629629</v>
      </c>
      <c r="L103" s="837">
        <f>1.2799/L101</f>
        <v>0.59254629629629629</v>
      </c>
      <c r="M103" s="837">
        <f>1.2799/M101</f>
        <v>0.59254629629629629</v>
      </c>
      <c r="N103" s="837">
        <f>1.2799/N101</f>
        <v>0.59254629629629629</v>
      </c>
    </row>
    <row r="104" spans="1:14">
      <c r="A104" s="3580"/>
      <c r="B104" s="836">
        <v>3</v>
      </c>
      <c r="C104" s="837">
        <f>1.1594/C101</f>
        <v>0.53675925925925927</v>
      </c>
      <c r="D104" s="837">
        <f>1.1594/D101</f>
        <v>0.53675925925925927</v>
      </c>
      <c r="E104" s="837">
        <f>1.0788/E101</f>
        <v>0.49944444444444441</v>
      </c>
      <c r="F104" s="837">
        <f>1.0788/F101</f>
        <v>0.49944444444444441</v>
      </c>
      <c r="G104" s="837">
        <f>1.0788/G101</f>
        <v>0.49944444444444441</v>
      </c>
      <c r="H104" s="837">
        <f>1.0788/H101</f>
        <v>0.49944444444444441</v>
      </c>
      <c r="I104" s="837">
        <f>1.0788/I101</f>
        <v>0.49944444444444441</v>
      </c>
      <c r="J104" s="837">
        <f>1.0072/J101</f>
        <v>0.46629629629629632</v>
      </c>
      <c r="K104" s="837">
        <f>1.0072/K101</f>
        <v>0.46629629629629632</v>
      </c>
      <c r="L104" s="837">
        <f>1.0072/L101</f>
        <v>0.46629629629629632</v>
      </c>
      <c r="M104" s="837">
        <f>1.0072/M101</f>
        <v>0.46629629629629632</v>
      </c>
      <c r="N104" s="837">
        <f>1.0072/N101</f>
        <v>0.46629629629629632</v>
      </c>
    </row>
    <row r="105" spans="1:14">
      <c r="A105" s="3580"/>
      <c r="B105" s="836">
        <v>4</v>
      </c>
      <c r="C105" s="837">
        <f>0.9622/C101</f>
        <v>0.44546296296296295</v>
      </c>
      <c r="D105" s="837">
        <f>0.9622/D101</f>
        <v>0.44546296296296295</v>
      </c>
      <c r="E105" s="837">
        <f>0.8656/E101</f>
        <v>0.40074074074074073</v>
      </c>
      <c r="F105" s="837">
        <f>0.8656/F101</f>
        <v>0.40074074074074073</v>
      </c>
      <c r="G105" s="837">
        <f>0.8656/G101</f>
        <v>0.40074074074074073</v>
      </c>
      <c r="H105" s="837">
        <f>0.8656/H101</f>
        <v>0.40074074074074073</v>
      </c>
      <c r="I105" s="837">
        <f>0.8656/I101</f>
        <v>0.40074074074074073</v>
      </c>
      <c r="J105" s="837">
        <f>0.7525/J101</f>
        <v>0.34837962962962959</v>
      </c>
      <c r="K105" s="837">
        <f>0.7525/K101</f>
        <v>0.34837962962962959</v>
      </c>
      <c r="L105" s="837">
        <f>0.7525/L101</f>
        <v>0.34837962962962959</v>
      </c>
      <c r="M105" s="837">
        <f>0.7525/M101</f>
        <v>0.34837962962962959</v>
      </c>
      <c r="N105" s="837">
        <f>0.7525/N101</f>
        <v>0.34837962962962959</v>
      </c>
    </row>
    <row r="106" spans="1:14">
      <c r="A106" s="3580"/>
      <c r="B106" s="836">
        <v>5</v>
      </c>
      <c r="C106" s="837">
        <f>0.8417/C101</f>
        <v>0.38967592592592593</v>
      </c>
      <c r="D106" s="837">
        <f>0.8417/D101</f>
        <v>0.38967592592592593</v>
      </c>
      <c r="E106" s="837">
        <f>0.7371/E101</f>
        <v>0.34124999999999994</v>
      </c>
      <c r="F106" s="837">
        <f>0.7371/F101</f>
        <v>0.34124999999999994</v>
      </c>
      <c r="G106" s="837">
        <f>0.7371/G101</f>
        <v>0.34124999999999994</v>
      </c>
      <c r="H106" s="837">
        <f>0.7371/H101</f>
        <v>0.34124999999999994</v>
      </c>
      <c r="I106" s="837">
        <f>0.7371/I101</f>
        <v>0.34124999999999994</v>
      </c>
      <c r="J106" s="837">
        <f>0.5659/J101</f>
        <v>0.26199074074074069</v>
      </c>
      <c r="K106" s="837">
        <f>0.5659/K101</f>
        <v>0.26199074074074069</v>
      </c>
      <c r="L106" s="837">
        <f>0.5659/L101</f>
        <v>0.26199074074074069</v>
      </c>
      <c r="M106" s="837">
        <f>0.5659/M101</f>
        <v>0.26199074074074069</v>
      </c>
      <c r="N106" s="837">
        <f>0.5659/N101</f>
        <v>0.26199074074074069</v>
      </c>
    </row>
    <row r="107" spans="1:14">
      <c r="A107" s="3580"/>
      <c r="B107" s="836">
        <v>6</v>
      </c>
      <c r="C107" s="837">
        <f>0.7608/C101</f>
        <v>0.35222222222222221</v>
      </c>
      <c r="D107" s="837">
        <f>0.7608/D101</f>
        <v>0.35222222222222221</v>
      </c>
      <c r="E107" s="837">
        <f>0.6482/E101</f>
        <v>0.30009259259259258</v>
      </c>
      <c r="F107" s="837">
        <f>0.6482/F101</f>
        <v>0.30009259259259258</v>
      </c>
      <c r="G107" s="837">
        <f>0.6482/G101</f>
        <v>0.30009259259259258</v>
      </c>
      <c r="H107" s="837">
        <f>0.6482/H101</f>
        <v>0.30009259259259258</v>
      </c>
      <c r="I107" s="837">
        <f>0.6482/I101</f>
        <v>0.30009259259259258</v>
      </c>
      <c r="J107" s="837">
        <f>0.4525/J101</f>
        <v>0.20949074074074073</v>
      </c>
      <c r="K107" s="837">
        <f>0.4525/K101</f>
        <v>0.20949074074074073</v>
      </c>
      <c r="L107" s="837">
        <f>0.4525/L101</f>
        <v>0.20949074074074073</v>
      </c>
      <c r="M107" s="837">
        <f>0.4525/M101</f>
        <v>0.20949074074074073</v>
      </c>
      <c r="N107" s="837">
        <f>0.4525/N101</f>
        <v>0.20949074074074073</v>
      </c>
    </row>
    <row r="108" spans="1:14">
      <c r="A108" s="3580"/>
      <c r="B108" s="3404" t="s">
        <v>1914</v>
      </c>
      <c r="C108" s="838">
        <f>C99</f>
        <v>0</v>
      </c>
      <c r="D108" s="838">
        <f t="shared" ref="D108:N108" si="32">D99</f>
        <v>0</v>
      </c>
      <c r="E108" s="838">
        <f t="shared" si="32"/>
        <v>0</v>
      </c>
      <c r="F108" s="838">
        <f t="shared" si="32"/>
        <v>0</v>
      </c>
      <c r="G108" s="838">
        <f t="shared" si="32"/>
        <v>0</v>
      </c>
      <c r="H108" s="838">
        <f t="shared" si="32"/>
        <v>0</v>
      </c>
      <c r="I108" s="838">
        <f t="shared" si="32"/>
        <v>0</v>
      </c>
      <c r="J108" s="838">
        <f t="shared" si="32"/>
        <v>0</v>
      </c>
      <c r="K108" s="838">
        <f t="shared" si="32"/>
        <v>0</v>
      </c>
      <c r="L108" s="838">
        <f t="shared" si="32"/>
        <v>0</v>
      </c>
      <c r="M108" s="838">
        <f t="shared" si="32"/>
        <v>0</v>
      </c>
      <c r="N108" s="838">
        <f t="shared" si="32"/>
        <v>0</v>
      </c>
    </row>
    <row r="109" spans="1:14">
      <c r="A109" s="3581"/>
      <c r="B109" s="3405"/>
      <c r="C109" s="839">
        <f>(-0.163*(C108^2)-0.59*C108+7617)*(10^(-4))/C101</f>
        <v>0.35263888888888889</v>
      </c>
      <c r="D109" s="839">
        <f>(-0.163*(D108^2)-0.59*D108+7617)*(10^(-4))/D101</f>
        <v>0.35263888888888889</v>
      </c>
      <c r="E109" s="839">
        <f>(-0.161*(E108^2)-7.509*E108+6533)*(10^(-4))/E101</f>
        <v>0.30245370370370367</v>
      </c>
      <c r="F109" s="839">
        <f>(-0.161*(F108^2)-7.509*F108+6533)*(10^(-4))/F101</f>
        <v>0.30245370370370367</v>
      </c>
      <c r="G109" s="839">
        <f>(-0.161*(G108^2)-7.509*G108+6533)*(10^(-4))/G101</f>
        <v>0.30245370370370367</v>
      </c>
      <c r="H109" s="839">
        <f>(-0.161*(H108^2)-7.509*H108+6533)*(10^(-4))/H101</f>
        <v>0.30245370370370367</v>
      </c>
      <c r="I109" s="839">
        <f>(-0.161*(I108^2)-7.509*I108+6533)*(10^(-4))/I101</f>
        <v>0.30245370370370367</v>
      </c>
      <c r="J109" s="839">
        <f>(-0.214*(J108^2)-21.991*J108+4665)*(10^(-4))/J101</f>
        <v>0.21597222222222223</v>
      </c>
      <c r="K109" s="839">
        <f>(-0.214*(K108^2)-21.991*K108+4665)*(10^(-4))/K101</f>
        <v>0.21597222222222223</v>
      </c>
      <c r="L109" s="839">
        <f>(-0.214*(L108^2)-21.991*L108+4665)*(10^(-4))/L101</f>
        <v>0.21597222222222223</v>
      </c>
      <c r="M109" s="839">
        <f>(-0.214*(M108^2)-21.991*M108+4665)*(10^(-4))/M101</f>
        <v>0.21597222222222223</v>
      </c>
      <c r="N109" s="839">
        <f>(-0.214*(N108^2)-21.991*N108+4665)*(10^(-4))/N101</f>
        <v>0.21597222222222223</v>
      </c>
    </row>
    <row r="110" spans="1:14">
      <c r="A110" s="3570" t="s">
        <v>2026</v>
      </c>
      <c r="B110" s="3570"/>
      <c r="C110" s="3570"/>
      <c r="D110" s="3570"/>
      <c r="E110" s="3570"/>
      <c r="F110" s="3570"/>
      <c r="G110" s="3570"/>
      <c r="H110" s="3570"/>
      <c r="I110" s="3570"/>
      <c r="J110" s="3570"/>
      <c r="K110" s="843"/>
      <c r="L110" s="843"/>
      <c r="M110" s="843"/>
      <c r="N110" s="843"/>
    </row>
    <row r="113" spans="1:13" ht="24.75">
      <c r="A113" s="844" t="s">
        <v>2027</v>
      </c>
      <c r="B113" s="845">
        <f>G3</f>
        <v>2.16</v>
      </c>
      <c r="C113" s="846" t="s">
        <v>2028</v>
      </c>
      <c r="D113" s="847">
        <f>SUMPRODUCT((A115:A118=F113)*(B114:M114=H113)*B115:M118)</f>
        <v>0</v>
      </c>
      <c r="E113" s="568" t="s">
        <v>1858</v>
      </c>
      <c r="F113" s="848">
        <f>E2</f>
        <v>0</v>
      </c>
      <c r="G113" s="568" t="s">
        <v>1859</v>
      </c>
      <c r="H113" s="848">
        <f>G2</f>
        <v>0</v>
      </c>
      <c r="I113" s="568"/>
      <c r="J113" s="859"/>
      <c r="K113" s="859"/>
      <c r="L113" s="859"/>
      <c r="M113" s="859"/>
    </row>
    <row r="114" spans="1:13">
      <c r="A114" s="849"/>
      <c r="B114" s="850" t="s">
        <v>2029</v>
      </c>
      <c r="C114" s="850" t="s">
        <v>2030</v>
      </c>
      <c r="D114" s="850" t="s">
        <v>2031</v>
      </c>
      <c r="E114" s="851" t="s">
        <v>2032</v>
      </c>
      <c r="F114" s="851" t="s">
        <v>2033</v>
      </c>
      <c r="G114" s="851" t="s">
        <v>2034</v>
      </c>
      <c r="H114" s="852" t="s">
        <v>2035</v>
      </c>
      <c r="I114" s="852" t="s">
        <v>2036</v>
      </c>
      <c r="J114" s="860" t="s">
        <v>2037</v>
      </c>
      <c r="K114" s="860" t="s">
        <v>2038</v>
      </c>
      <c r="L114" s="860" t="s">
        <v>2039</v>
      </c>
      <c r="M114" s="861" t="s">
        <v>2040</v>
      </c>
    </row>
    <row r="115" spans="1:13">
      <c r="A115" s="853" t="s">
        <v>1923</v>
      </c>
      <c r="B115" s="854">
        <f>ROUND(0.9335-0.0094*B113,4)</f>
        <v>0.91320000000000001</v>
      </c>
      <c r="C115" s="854">
        <f>B115</f>
        <v>0.91320000000000001</v>
      </c>
      <c r="D115" s="854">
        <f>ROUND(0.8331-0.0109*B113,4)</f>
        <v>0.80959999999999999</v>
      </c>
      <c r="E115" s="854">
        <f>D115</f>
        <v>0.80959999999999999</v>
      </c>
      <c r="F115" s="854">
        <f>E115</f>
        <v>0.80959999999999999</v>
      </c>
      <c r="G115" s="854">
        <f>F115</f>
        <v>0.80959999999999999</v>
      </c>
      <c r="H115" s="854">
        <f>G115</f>
        <v>0.80959999999999999</v>
      </c>
      <c r="I115" s="854">
        <f>ROUND(0.689-0.0155*B113,4)</f>
        <v>0.65549999999999997</v>
      </c>
      <c r="J115" s="854">
        <f t="shared" ref="J115:M118" si="33">I115</f>
        <v>0.65549999999999997</v>
      </c>
      <c r="K115" s="854">
        <f t="shared" si="33"/>
        <v>0.65549999999999997</v>
      </c>
      <c r="L115" s="854">
        <f t="shared" si="33"/>
        <v>0.65549999999999997</v>
      </c>
      <c r="M115" s="862">
        <f t="shared" si="33"/>
        <v>0.65549999999999997</v>
      </c>
    </row>
    <row r="116" spans="1:13">
      <c r="A116" s="853" t="s">
        <v>1924</v>
      </c>
      <c r="B116" s="854">
        <f>ROUND(0.949-0.012*B113,4)</f>
        <v>0.92310000000000003</v>
      </c>
      <c r="C116" s="854">
        <f>B116</f>
        <v>0.92310000000000003</v>
      </c>
      <c r="D116" s="854">
        <f>ROUND(0.8567-0.013*B113,4)</f>
        <v>0.8286</v>
      </c>
      <c r="E116" s="854">
        <f t="shared" ref="E116:H117" si="34">D116</f>
        <v>0.8286</v>
      </c>
      <c r="F116" s="854">
        <f t="shared" si="34"/>
        <v>0.8286</v>
      </c>
      <c r="G116" s="854">
        <f t="shared" si="34"/>
        <v>0.8286</v>
      </c>
      <c r="H116" s="854">
        <f t="shared" si="34"/>
        <v>0.8286</v>
      </c>
      <c r="I116" s="854">
        <f>ROUND(0.7694-0.014*B113,4)</f>
        <v>0.73919999999999997</v>
      </c>
      <c r="J116" s="854">
        <f t="shared" si="33"/>
        <v>0.73919999999999997</v>
      </c>
      <c r="K116" s="854">
        <f t="shared" si="33"/>
        <v>0.73919999999999997</v>
      </c>
      <c r="L116" s="854">
        <f t="shared" si="33"/>
        <v>0.73919999999999997</v>
      </c>
      <c r="M116" s="862">
        <f t="shared" si="33"/>
        <v>0.73919999999999997</v>
      </c>
    </row>
    <row r="117" spans="1:13">
      <c r="A117" s="853" t="s">
        <v>1925</v>
      </c>
      <c r="B117" s="854">
        <f>ROUND(0.8808-0.006*B113,4)</f>
        <v>0.86780000000000002</v>
      </c>
      <c r="C117" s="854">
        <f>B117</f>
        <v>0.86780000000000002</v>
      </c>
      <c r="D117" s="854">
        <f>ROUND(0.8748-0.008*B113,4)</f>
        <v>0.85750000000000004</v>
      </c>
      <c r="E117" s="854">
        <f t="shared" si="34"/>
        <v>0.85750000000000004</v>
      </c>
      <c r="F117" s="854">
        <f t="shared" si="34"/>
        <v>0.85750000000000004</v>
      </c>
      <c r="G117" s="854">
        <f t="shared" si="34"/>
        <v>0.85750000000000004</v>
      </c>
      <c r="H117" s="854">
        <f t="shared" si="34"/>
        <v>0.85750000000000004</v>
      </c>
      <c r="I117" s="854">
        <f>ROUND(0.7412-0.0095*B113,4)</f>
        <v>0.72070000000000001</v>
      </c>
      <c r="J117" s="854">
        <f t="shared" si="33"/>
        <v>0.72070000000000001</v>
      </c>
      <c r="K117" s="854">
        <f t="shared" si="33"/>
        <v>0.72070000000000001</v>
      </c>
      <c r="L117" s="854">
        <f t="shared" si="33"/>
        <v>0.72070000000000001</v>
      </c>
      <c r="M117" s="862">
        <f t="shared" si="33"/>
        <v>0.72070000000000001</v>
      </c>
    </row>
    <row r="118" spans="1:13">
      <c r="A118" s="855" t="s">
        <v>1926</v>
      </c>
      <c r="B118" s="856">
        <f>ROUND(0.7275-0.01*B113,4)</f>
        <v>0.70589999999999997</v>
      </c>
      <c r="C118" s="856">
        <f>B118</f>
        <v>0.70589999999999997</v>
      </c>
      <c r="D118" s="856">
        <f>ROUND(0.7043-0.012*B113,4)</f>
        <v>0.6784</v>
      </c>
      <c r="E118" s="856">
        <f>D118</f>
        <v>0.6784</v>
      </c>
      <c r="F118" s="856">
        <f>E118</f>
        <v>0.6784</v>
      </c>
      <c r="G118" s="856">
        <f>ROUND(0.6299-0.0122*B113,4)</f>
        <v>0.60350000000000004</v>
      </c>
      <c r="H118" s="856">
        <f>G118</f>
        <v>0.60350000000000004</v>
      </c>
      <c r="I118" s="856">
        <f>ROUND(0.5667-0.0136*B113,4)</f>
        <v>0.5373</v>
      </c>
      <c r="J118" s="856">
        <f t="shared" si="33"/>
        <v>0.5373</v>
      </c>
      <c r="K118" s="856">
        <f t="shared" si="33"/>
        <v>0.5373</v>
      </c>
      <c r="L118" s="856">
        <f t="shared" si="33"/>
        <v>0.5373</v>
      </c>
      <c r="M118" s="863">
        <f t="shared" si="33"/>
        <v>0.5373</v>
      </c>
    </row>
  </sheetData>
  <sheetProtection password="C66D" sheet="1" objects="1" scenarios="1" formatCells="0" formatColumns="0" formatRows="0"/>
  <mergeCells count="15">
    <mergeCell ref="A4:J4"/>
    <mergeCell ref="W8:X8"/>
    <mergeCell ref="A90:J90"/>
    <mergeCell ref="A110:J110"/>
    <mergeCell ref="A7:A11"/>
    <mergeCell ref="A12:A15"/>
    <mergeCell ref="A16:A17"/>
    <mergeCell ref="A33:A36"/>
    <mergeCell ref="A91:A92"/>
    <mergeCell ref="A93:A100"/>
    <mergeCell ref="A101:A109"/>
    <mergeCell ref="B91:B92"/>
    <mergeCell ref="B108:B109"/>
    <mergeCell ref="W9:W10"/>
    <mergeCell ref="W11:W13"/>
  </mergeCells>
  <phoneticPr fontId="225"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G16:J16">
      <formula1>七通一平</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69930555555555596" right="0.69930555555555596" top="0.75" bottom="0.75" header="0.3" footer="0.3"/>
  <pageSetup paperSize="9" scale="58" orientation="portrait"/>
  <colBreaks count="1" manualBreakCount="1">
    <brk id="10" max="1048575" man="1"/>
  </colBreaks>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513" customWidth="1"/>
    <col min="2" max="9" width="8.25" style="512" customWidth="1"/>
    <col min="10" max="13" width="8.25" style="513"/>
    <col min="14" max="14" width="10" style="513" customWidth="1"/>
    <col min="15" max="16" width="8.25" style="513"/>
    <col min="17" max="17" width="34.125" style="513" customWidth="1"/>
    <col min="18" max="18" width="8.25" style="513" customWidth="1"/>
    <col min="19" max="19" width="8.25" style="513"/>
    <col min="20" max="20" width="11.625" style="513" customWidth="1"/>
    <col min="21" max="16384" width="8.25" style="513"/>
  </cols>
  <sheetData>
    <row r="1" spans="1:13" ht="19.5" customHeight="1">
      <c r="A1" s="514" t="s">
        <v>211</v>
      </c>
      <c r="B1" s="128" t="s">
        <v>233</v>
      </c>
      <c r="C1" s="128" t="s">
        <v>244</v>
      </c>
      <c r="D1" s="128" t="s">
        <v>254</v>
      </c>
      <c r="E1" s="128" t="s">
        <v>262</v>
      </c>
      <c r="F1" s="128" t="s">
        <v>270</v>
      </c>
      <c r="G1" s="128" t="s">
        <v>276</v>
      </c>
      <c r="H1" s="128" t="s">
        <v>281</v>
      </c>
      <c r="I1" s="128" t="s">
        <v>286</v>
      </c>
      <c r="J1" s="128" t="s">
        <v>289</v>
      </c>
      <c r="K1" s="128" t="s">
        <v>292</v>
      </c>
      <c r="L1" s="128" t="s">
        <v>295</v>
      </c>
      <c r="M1" s="129" t="s">
        <v>298</v>
      </c>
    </row>
    <row r="2" spans="1:13" ht="19.5" customHeight="1">
      <c r="A2" s="515" t="s">
        <v>2041</v>
      </c>
      <c r="B2" s="516">
        <v>3.5</v>
      </c>
      <c r="C2" s="516">
        <v>3.5</v>
      </c>
      <c r="D2" s="517">
        <v>2.5</v>
      </c>
      <c r="E2" s="517">
        <v>2.5</v>
      </c>
      <c r="F2" s="517">
        <v>2.5</v>
      </c>
      <c r="G2" s="517">
        <v>2.5</v>
      </c>
      <c r="H2" s="517">
        <v>2.5</v>
      </c>
      <c r="I2" s="516">
        <v>2</v>
      </c>
      <c r="J2" s="516">
        <v>2</v>
      </c>
      <c r="K2" s="516">
        <v>2</v>
      </c>
      <c r="L2" s="516">
        <v>2</v>
      </c>
      <c r="M2" s="549">
        <v>2</v>
      </c>
    </row>
    <row r="3" spans="1:13" ht="19.5" customHeight="1">
      <c r="A3" s="518" t="s">
        <v>2042</v>
      </c>
      <c r="B3" s="519">
        <v>3.5</v>
      </c>
      <c r="C3" s="519">
        <v>3.5</v>
      </c>
      <c r="D3" s="520">
        <v>2.5</v>
      </c>
      <c r="E3" s="520">
        <v>2.5</v>
      </c>
      <c r="F3" s="520">
        <v>2.5</v>
      </c>
      <c r="G3" s="520">
        <v>2.5</v>
      </c>
      <c r="H3" s="520">
        <v>2.5</v>
      </c>
      <c r="I3" s="519">
        <v>2</v>
      </c>
      <c r="J3" s="519">
        <v>2</v>
      </c>
      <c r="K3" s="519">
        <v>2</v>
      </c>
      <c r="L3" s="519">
        <v>2</v>
      </c>
      <c r="M3" s="550">
        <v>2</v>
      </c>
    </row>
    <row r="4" spans="1:13" ht="19.5" customHeight="1">
      <c r="A4" s="518" t="s">
        <v>2043</v>
      </c>
      <c r="B4" s="520">
        <v>2.5</v>
      </c>
      <c r="C4" s="520">
        <v>2.5</v>
      </c>
      <c r="D4" s="520">
        <v>2.5</v>
      </c>
      <c r="E4" s="520">
        <v>2.5</v>
      </c>
      <c r="F4" s="520">
        <v>2.5</v>
      </c>
      <c r="G4" s="520">
        <v>2.5</v>
      </c>
      <c r="H4" s="520">
        <v>2.5</v>
      </c>
      <c r="I4" s="519">
        <v>1.5</v>
      </c>
      <c r="J4" s="519">
        <v>1.5</v>
      </c>
      <c r="K4" s="519">
        <v>1.5</v>
      </c>
      <c r="L4" s="519">
        <v>1.5</v>
      </c>
      <c r="M4" s="550">
        <v>1.5</v>
      </c>
    </row>
    <row r="5" spans="1:13" ht="19.5" customHeight="1">
      <c r="A5" s="521" t="s">
        <v>2044</v>
      </c>
      <c r="B5" s="522">
        <v>1.5</v>
      </c>
      <c r="C5" s="522">
        <v>1.5</v>
      </c>
      <c r="D5" s="522">
        <v>1.5</v>
      </c>
      <c r="E5" s="522">
        <v>1.5</v>
      </c>
      <c r="F5" s="522">
        <v>1.5</v>
      </c>
      <c r="G5" s="523">
        <v>1.2</v>
      </c>
      <c r="H5" s="523">
        <v>1.2</v>
      </c>
      <c r="I5" s="523">
        <v>1</v>
      </c>
      <c r="J5" s="523">
        <v>1</v>
      </c>
      <c r="K5" s="523">
        <v>1</v>
      </c>
      <c r="L5" s="523">
        <v>1</v>
      </c>
      <c r="M5" s="551">
        <v>1</v>
      </c>
    </row>
    <row r="6" spans="1:13" ht="19.5" customHeight="1">
      <c r="A6" s="524" t="s">
        <v>2045</v>
      </c>
      <c r="B6" s="525">
        <v>80</v>
      </c>
      <c r="C6" s="525">
        <v>80</v>
      </c>
      <c r="D6" s="525">
        <v>65</v>
      </c>
      <c r="E6" s="525">
        <v>65</v>
      </c>
      <c r="F6" s="525">
        <v>65</v>
      </c>
      <c r="G6" s="525">
        <v>65</v>
      </c>
      <c r="H6" s="525">
        <v>65</v>
      </c>
      <c r="I6" s="525">
        <v>50</v>
      </c>
      <c r="J6" s="525">
        <v>50</v>
      </c>
      <c r="K6" s="525">
        <v>50</v>
      </c>
      <c r="L6" s="525">
        <v>50</v>
      </c>
      <c r="M6" s="552">
        <v>50</v>
      </c>
    </row>
    <row r="7" spans="1:13" ht="19.5" customHeight="1">
      <c r="A7" s="526" t="s">
        <v>2046</v>
      </c>
      <c r="B7" s="527">
        <v>70</v>
      </c>
      <c r="C7" s="527">
        <v>70</v>
      </c>
      <c r="D7" s="527">
        <v>55</v>
      </c>
      <c r="E7" s="527">
        <v>55</v>
      </c>
      <c r="F7" s="527">
        <v>55</v>
      </c>
      <c r="G7" s="527">
        <v>55</v>
      </c>
      <c r="H7" s="527">
        <v>55</v>
      </c>
      <c r="I7" s="527">
        <v>40</v>
      </c>
      <c r="J7" s="527">
        <v>40</v>
      </c>
      <c r="K7" s="527">
        <v>40</v>
      </c>
      <c r="L7" s="527">
        <v>40</v>
      </c>
      <c r="M7" s="553">
        <v>40</v>
      </c>
    </row>
    <row r="8" spans="1:13" ht="19.5" customHeight="1">
      <c r="A8" s="526" t="s">
        <v>2047</v>
      </c>
      <c r="B8" s="527">
        <v>20</v>
      </c>
      <c r="C8" s="527">
        <v>20</v>
      </c>
      <c r="D8" s="527">
        <v>15</v>
      </c>
      <c r="E8" s="527">
        <v>15</v>
      </c>
      <c r="F8" s="527">
        <v>15</v>
      </c>
      <c r="G8" s="527">
        <v>15</v>
      </c>
      <c r="H8" s="527">
        <v>15</v>
      </c>
      <c r="I8" s="527">
        <v>10</v>
      </c>
      <c r="J8" s="527">
        <v>10</v>
      </c>
      <c r="K8" s="527">
        <v>10</v>
      </c>
      <c r="L8" s="527">
        <v>10</v>
      </c>
      <c r="M8" s="553">
        <v>10</v>
      </c>
    </row>
    <row r="9" spans="1:13" ht="19.5" customHeight="1">
      <c r="A9" s="526" t="s">
        <v>2048</v>
      </c>
      <c r="B9" s="527">
        <v>30</v>
      </c>
      <c r="C9" s="527">
        <v>30</v>
      </c>
      <c r="D9" s="527">
        <v>25</v>
      </c>
      <c r="E9" s="527">
        <v>25</v>
      </c>
      <c r="F9" s="527">
        <v>25</v>
      </c>
      <c r="G9" s="527">
        <v>25</v>
      </c>
      <c r="H9" s="527">
        <v>25</v>
      </c>
      <c r="I9" s="527">
        <v>20</v>
      </c>
      <c r="J9" s="527">
        <v>20</v>
      </c>
      <c r="K9" s="527">
        <v>20</v>
      </c>
      <c r="L9" s="527">
        <v>20</v>
      </c>
      <c r="M9" s="553">
        <v>20</v>
      </c>
    </row>
    <row r="10" spans="1:13" ht="19.5" customHeight="1">
      <c r="A10" s="526" t="s">
        <v>2049</v>
      </c>
      <c r="B10" s="527">
        <v>45</v>
      </c>
      <c r="C10" s="527">
        <v>45</v>
      </c>
      <c r="D10" s="527">
        <v>35</v>
      </c>
      <c r="E10" s="527">
        <v>35</v>
      </c>
      <c r="F10" s="527">
        <v>35</v>
      </c>
      <c r="G10" s="527">
        <v>35</v>
      </c>
      <c r="H10" s="527">
        <v>35</v>
      </c>
      <c r="I10" s="527">
        <v>25</v>
      </c>
      <c r="J10" s="527">
        <v>25</v>
      </c>
      <c r="K10" s="527">
        <v>25</v>
      </c>
      <c r="L10" s="527">
        <v>25</v>
      </c>
      <c r="M10" s="553">
        <v>25</v>
      </c>
    </row>
    <row r="11" spans="1:13" ht="19.5" customHeight="1">
      <c r="A11" s="526" t="s">
        <v>2050</v>
      </c>
      <c r="B11" s="527">
        <v>60</v>
      </c>
      <c r="C11" s="527">
        <v>60</v>
      </c>
      <c r="D11" s="527">
        <v>50</v>
      </c>
      <c r="E11" s="527">
        <v>50</v>
      </c>
      <c r="F11" s="527">
        <v>50</v>
      </c>
      <c r="G11" s="527">
        <v>50</v>
      </c>
      <c r="H11" s="527">
        <v>50</v>
      </c>
      <c r="I11" s="527">
        <v>40</v>
      </c>
      <c r="J11" s="527">
        <v>40</v>
      </c>
      <c r="K11" s="527">
        <v>40</v>
      </c>
      <c r="L11" s="527">
        <v>40</v>
      </c>
      <c r="M11" s="553">
        <v>40</v>
      </c>
    </row>
    <row r="12" spans="1:13" ht="19.5" customHeight="1">
      <c r="A12" s="526" t="s">
        <v>2051</v>
      </c>
      <c r="B12" s="527">
        <v>50</v>
      </c>
      <c r="C12" s="527">
        <v>50</v>
      </c>
      <c r="D12" s="527">
        <v>40</v>
      </c>
      <c r="E12" s="527">
        <v>40</v>
      </c>
      <c r="F12" s="527">
        <v>40</v>
      </c>
      <c r="G12" s="527">
        <v>40</v>
      </c>
      <c r="H12" s="527">
        <v>40</v>
      </c>
      <c r="I12" s="527">
        <v>30</v>
      </c>
      <c r="J12" s="527">
        <v>30</v>
      </c>
      <c r="K12" s="527">
        <v>30</v>
      </c>
      <c r="L12" s="527">
        <v>30</v>
      </c>
      <c r="M12" s="553">
        <v>30</v>
      </c>
    </row>
    <row r="13" spans="1:13" ht="19.5" customHeight="1">
      <c r="A13" s="528" t="s">
        <v>2052</v>
      </c>
      <c r="B13" s="529">
        <v>20</v>
      </c>
      <c r="C13" s="529">
        <v>20</v>
      </c>
      <c r="D13" s="529">
        <v>15</v>
      </c>
      <c r="E13" s="529">
        <v>15</v>
      </c>
      <c r="F13" s="529">
        <v>15</v>
      </c>
      <c r="G13" s="529">
        <v>15</v>
      </c>
      <c r="H13" s="529">
        <v>15</v>
      </c>
      <c r="I13" s="529">
        <v>10</v>
      </c>
      <c r="J13" s="529">
        <v>10</v>
      </c>
      <c r="K13" s="529">
        <v>10</v>
      </c>
      <c r="L13" s="529">
        <v>10</v>
      </c>
      <c r="M13" s="554">
        <v>10</v>
      </c>
    </row>
    <row r="14" spans="1:13" ht="19.5" customHeight="1">
      <c r="A14" s="527" t="s">
        <v>124</v>
      </c>
      <c r="B14" s="530">
        <v>0</v>
      </c>
      <c r="C14" s="530">
        <v>0</v>
      </c>
      <c r="D14" s="530">
        <v>0</v>
      </c>
      <c r="E14" s="530">
        <v>0</v>
      </c>
      <c r="F14" s="530">
        <v>0</v>
      </c>
      <c r="G14" s="530">
        <v>0</v>
      </c>
      <c r="H14" s="530">
        <v>0</v>
      </c>
      <c r="I14" s="530">
        <v>0</v>
      </c>
      <c r="J14" s="530">
        <v>0</v>
      </c>
      <c r="K14" s="530">
        <v>0</v>
      </c>
      <c r="L14" s="530">
        <v>0</v>
      </c>
      <c r="M14" s="530">
        <v>0</v>
      </c>
    </row>
    <row r="16" spans="1:13" ht="19.5" customHeight="1">
      <c r="A16" s="531" t="s">
        <v>2053</v>
      </c>
      <c r="B16" s="531"/>
      <c r="C16" s="532"/>
      <c r="D16" s="532"/>
      <c r="E16" s="531"/>
      <c r="F16" s="532"/>
      <c r="G16" s="532"/>
    </row>
    <row r="17" spans="1:9" ht="19.5" customHeight="1">
      <c r="A17" s="527" t="s">
        <v>1625</v>
      </c>
      <c r="B17" s="533" t="s">
        <v>2054</v>
      </c>
      <c r="C17" s="533" t="s">
        <v>2055</v>
      </c>
      <c r="D17" s="534"/>
      <c r="E17" s="527" t="s">
        <v>2056</v>
      </c>
      <c r="F17" s="535"/>
      <c r="G17" s="535"/>
    </row>
    <row r="18" spans="1:9" s="511" customFormat="1" ht="19.5" customHeight="1">
      <c r="A18" s="3583" t="s">
        <v>2041</v>
      </c>
      <c r="B18" s="536" t="s">
        <v>2057</v>
      </c>
      <c r="C18" s="537" t="s">
        <v>2058</v>
      </c>
      <c r="D18" s="538"/>
      <c r="E18" s="536">
        <v>1</v>
      </c>
      <c r="F18" s="539" t="s">
        <v>2059</v>
      </c>
      <c r="G18" s="540"/>
      <c r="H18" s="512"/>
      <c r="I18" s="512"/>
    </row>
    <row r="19" spans="1:9" s="511" customFormat="1" ht="19.5" customHeight="1">
      <c r="A19" s="3583"/>
      <c r="B19" s="3583" t="s">
        <v>2060</v>
      </c>
      <c r="C19" s="537" t="s">
        <v>2061</v>
      </c>
      <c r="D19" s="538"/>
      <c r="E19" s="536">
        <v>0.9</v>
      </c>
      <c r="F19" s="539" t="s">
        <v>2062</v>
      </c>
      <c r="G19" s="540"/>
      <c r="H19" s="512"/>
      <c r="I19" s="512"/>
    </row>
    <row r="20" spans="1:9" s="511" customFormat="1" ht="19.5" customHeight="1">
      <c r="A20" s="3583"/>
      <c r="B20" s="3583"/>
      <c r="C20" s="537" t="s">
        <v>2063</v>
      </c>
      <c r="D20" s="538"/>
      <c r="E20" s="536">
        <v>1.1000000000000001</v>
      </c>
      <c r="F20" s="539" t="s">
        <v>2064</v>
      </c>
      <c r="G20" s="540"/>
      <c r="H20" s="512"/>
      <c r="I20" s="512"/>
    </row>
    <row r="21" spans="1:9" s="511" customFormat="1" ht="19.5" customHeight="1">
      <c r="A21" s="3583"/>
      <c r="B21" s="3583"/>
      <c r="C21" s="537" t="s">
        <v>1639</v>
      </c>
      <c r="D21" s="538"/>
      <c r="E21" s="536">
        <v>0.8</v>
      </c>
      <c r="F21" s="539" t="s">
        <v>2065</v>
      </c>
      <c r="G21" s="540"/>
      <c r="H21" s="512"/>
      <c r="I21" s="512"/>
    </row>
    <row r="22" spans="1:9" s="511" customFormat="1" ht="19.5" customHeight="1">
      <c r="A22" s="3583"/>
      <c r="B22" s="3583"/>
      <c r="C22" s="537" t="s">
        <v>2066</v>
      </c>
      <c r="D22" s="538"/>
      <c r="E22" s="536">
        <v>0.5</v>
      </c>
      <c r="F22" s="539"/>
      <c r="G22" s="540"/>
      <c r="H22" s="512"/>
      <c r="I22" s="512"/>
    </row>
    <row r="23" spans="1:9" s="511" customFormat="1" ht="19.5" customHeight="1">
      <c r="A23" s="3583" t="s">
        <v>2042</v>
      </c>
      <c r="B23" s="536" t="s">
        <v>2057</v>
      </c>
      <c r="C23" s="537" t="s">
        <v>2067</v>
      </c>
      <c r="D23" s="538"/>
      <c r="E23" s="536">
        <v>1</v>
      </c>
      <c r="F23" s="539" t="s">
        <v>2068</v>
      </c>
      <c r="G23" s="540"/>
      <c r="H23" s="512"/>
      <c r="I23" s="512"/>
    </row>
    <row r="24" spans="1:9" s="511" customFormat="1" ht="19.5" customHeight="1">
      <c r="A24" s="3583"/>
      <c r="B24" s="3583" t="s">
        <v>2060</v>
      </c>
      <c r="C24" s="537" t="s">
        <v>2069</v>
      </c>
      <c r="D24" s="538"/>
      <c r="E24" s="536">
        <v>0.5</v>
      </c>
      <c r="F24" s="539"/>
      <c r="G24" s="540"/>
      <c r="H24" s="512"/>
      <c r="I24" s="512"/>
    </row>
    <row r="25" spans="1:9" s="511" customFormat="1" ht="19.5" customHeight="1">
      <c r="A25" s="3583"/>
      <c r="B25" s="3583"/>
      <c r="C25" s="537" t="s">
        <v>2070</v>
      </c>
      <c r="D25" s="538"/>
      <c r="E25" s="536">
        <v>1.1000000000000001</v>
      </c>
      <c r="F25" s="539"/>
      <c r="G25" s="540"/>
      <c r="H25" s="512"/>
      <c r="I25" s="512"/>
    </row>
    <row r="26" spans="1:9" s="511" customFormat="1" ht="19.5" customHeight="1">
      <c r="A26" s="3583"/>
      <c r="B26" s="3583"/>
      <c r="C26" s="537" t="s">
        <v>2071</v>
      </c>
      <c r="D26" s="538"/>
      <c r="E26" s="536">
        <v>1.1000000000000001</v>
      </c>
      <c r="F26" s="539"/>
      <c r="G26" s="540"/>
      <c r="H26" s="512"/>
      <c r="I26" s="512"/>
    </row>
    <row r="27" spans="1:9" s="511" customFormat="1" ht="19.5" customHeight="1">
      <c r="A27" s="3583"/>
      <c r="B27" s="3583"/>
      <c r="C27" s="537" t="s">
        <v>2072</v>
      </c>
      <c r="D27" s="538"/>
      <c r="E27" s="536">
        <v>0.9</v>
      </c>
      <c r="F27" s="539" t="s">
        <v>2073</v>
      </c>
      <c r="G27" s="540"/>
      <c r="H27" s="512"/>
      <c r="I27" s="512"/>
    </row>
    <row r="28" spans="1:9" s="511" customFormat="1" ht="19.5" customHeight="1">
      <c r="A28" s="3583"/>
      <c r="B28" s="3583"/>
      <c r="C28" s="537" t="s">
        <v>2074</v>
      </c>
      <c r="D28" s="538"/>
      <c r="E28" s="536">
        <v>0.9</v>
      </c>
      <c r="F28" s="539" t="s">
        <v>2075</v>
      </c>
      <c r="G28" s="540"/>
      <c r="H28" s="512"/>
      <c r="I28" s="512"/>
    </row>
    <row r="29" spans="1:9" s="511" customFormat="1" ht="19.5" customHeight="1">
      <c r="A29" s="3583"/>
      <c r="B29" s="3583"/>
      <c r="C29" s="537" t="s">
        <v>2076</v>
      </c>
      <c r="D29" s="538"/>
      <c r="E29" s="536">
        <v>0.9</v>
      </c>
      <c r="F29" s="539" t="s">
        <v>2077</v>
      </c>
      <c r="G29" s="540"/>
      <c r="H29" s="512"/>
      <c r="I29" s="512"/>
    </row>
    <row r="30" spans="1:9" s="511" customFormat="1" ht="19.5" customHeight="1">
      <c r="A30" s="3583"/>
      <c r="B30" s="3583"/>
      <c r="C30" s="537" t="s">
        <v>2078</v>
      </c>
      <c r="D30" s="538"/>
      <c r="E30" s="536">
        <v>0.9</v>
      </c>
      <c r="F30" s="539" t="s">
        <v>2079</v>
      </c>
      <c r="G30" s="540"/>
      <c r="H30" s="512"/>
      <c r="I30" s="512"/>
    </row>
    <row r="31" spans="1:9" s="511" customFormat="1" ht="19.5" customHeight="1">
      <c r="A31" s="3583"/>
      <c r="B31" s="3583"/>
      <c r="C31" s="537" t="s">
        <v>2080</v>
      </c>
      <c r="D31" s="538"/>
      <c r="E31" s="536">
        <v>0.8</v>
      </c>
      <c r="F31" s="539" t="s">
        <v>2081</v>
      </c>
      <c r="G31" s="540"/>
      <c r="H31" s="512"/>
      <c r="I31" s="512"/>
    </row>
    <row r="32" spans="1:9" s="511" customFormat="1" ht="19.5" customHeight="1">
      <c r="A32" s="3583"/>
      <c r="B32" s="3583"/>
      <c r="C32" s="537" t="s">
        <v>2082</v>
      </c>
      <c r="D32" s="538"/>
      <c r="E32" s="536">
        <v>0.8</v>
      </c>
      <c r="F32" s="539" t="s">
        <v>2083</v>
      </c>
      <c r="G32" s="540"/>
      <c r="H32" s="512"/>
      <c r="I32" s="512"/>
    </row>
    <row r="33" spans="1:9" s="511" customFormat="1" ht="19.5" customHeight="1">
      <c r="A33" s="3583" t="s">
        <v>2084</v>
      </c>
      <c r="B33" s="536" t="s">
        <v>2057</v>
      </c>
      <c r="C33" s="537" t="s">
        <v>2085</v>
      </c>
      <c r="D33" s="538"/>
      <c r="E33" s="536">
        <v>1</v>
      </c>
      <c r="F33" s="539" t="s">
        <v>2086</v>
      </c>
      <c r="G33" s="540"/>
      <c r="H33" s="512"/>
      <c r="I33" s="512"/>
    </row>
    <row r="34" spans="1:9" s="511" customFormat="1" ht="19.5" customHeight="1">
      <c r="A34" s="3583"/>
      <c r="B34" s="536" t="s">
        <v>2060</v>
      </c>
      <c r="C34" s="537" t="s">
        <v>2087</v>
      </c>
      <c r="D34" s="538"/>
      <c r="E34" s="536">
        <v>1.5</v>
      </c>
      <c r="F34" s="539" t="s">
        <v>2088</v>
      </c>
      <c r="G34" s="540"/>
      <c r="H34" s="512"/>
      <c r="I34" s="512"/>
    </row>
    <row r="35" spans="1:9" s="511" customFormat="1" ht="19.5" customHeight="1">
      <c r="A35" s="3583" t="s">
        <v>2044</v>
      </c>
      <c r="B35" s="536" t="s">
        <v>2057</v>
      </c>
      <c r="C35" s="537" t="s">
        <v>2089</v>
      </c>
      <c r="D35" s="538"/>
      <c r="E35" s="536">
        <v>1</v>
      </c>
      <c r="F35" s="539" t="s">
        <v>2090</v>
      </c>
      <c r="G35" s="540"/>
      <c r="H35" s="512"/>
      <c r="I35" s="512"/>
    </row>
    <row r="36" spans="1:9" s="511" customFormat="1" ht="19.5" customHeight="1">
      <c r="A36" s="3583"/>
      <c r="B36" s="3583" t="s">
        <v>2060</v>
      </c>
      <c r="C36" s="537" t="s">
        <v>2091</v>
      </c>
      <c r="D36" s="538"/>
      <c r="E36" s="536">
        <v>1</v>
      </c>
      <c r="F36" s="539" t="s">
        <v>2092</v>
      </c>
      <c r="G36" s="540"/>
      <c r="H36" s="512"/>
      <c r="I36" s="512"/>
    </row>
    <row r="37" spans="1:9" s="511" customFormat="1" ht="19.5" customHeight="1">
      <c r="A37" s="3583"/>
      <c r="B37" s="3583"/>
      <c r="C37" s="537" t="s">
        <v>2093</v>
      </c>
      <c r="D37" s="538"/>
      <c r="E37" s="536">
        <v>1.5</v>
      </c>
      <c r="F37" s="539" t="s">
        <v>2094</v>
      </c>
      <c r="G37" s="540"/>
      <c r="H37" s="512"/>
      <c r="I37" s="512"/>
    </row>
    <row r="38" spans="1:9" s="511" customFormat="1" ht="19.5" customHeight="1">
      <c r="A38" s="3583"/>
      <c r="B38" s="3583"/>
      <c r="C38" s="537" t="s">
        <v>2095</v>
      </c>
      <c r="D38" s="538"/>
      <c r="E38" s="536">
        <v>1</v>
      </c>
      <c r="F38" s="539" t="s">
        <v>2096</v>
      </c>
      <c r="G38" s="540"/>
      <c r="H38" s="512"/>
      <c r="I38" s="512"/>
    </row>
    <row r="39" spans="1:9" s="511" customFormat="1" ht="19.5" customHeight="1">
      <c r="A39" s="3583"/>
      <c r="B39" s="3583"/>
      <c r="C39" s="537" t="s">
        <v>2097</v>
      </c>
      <c r="D39" s="538"/>
      <c r="E39" s="536">
        <v>1</v>
      </c>
      <c r="F39" s="539" t="s">
        <v>2098</v>
      </c>
      <c r="G39" s="540"/>
      <c r="H39" s="512"/>
      <c r="I39" s="512"/>
    </row>
    <row r="40" spans="1:9" s="511" customFormat="1" ht="19.5" customHeight="1">
      <c r="A40" s="541" t="s">
        <v>2099</v>
      </c>
      <c r="B40" s="541"/>
      <c r="C40" s="541"/>
      <c r="D40" s="541"/>
      <c r="E40" s="541"/>
      <c r="F40" s="542"/>
      <c r="G40" s="542"/>
      <c r="H40" s="512"/>
      <c r="I40" s="512"/>
    </row>
    <row r="42" spans="1:9" ht="19.5" customHeight="1">
      <c r="A42" s="543"/>
      <c r="B42" s="527" t="s">
        <v>2100</v>
      </c>
      <c r="C42" s="527" t="s">
        <v>2100</v>
      </c>
      <c r="D42" s="527" t="s">
        <v>2100</v>
      </c>
      <c r="E42" s="529" t="s">
        <v>2100</v>
      </c>
      <c r="F42" s="529" t="s">
        <v>2100</v>
      </c>
      <c r="G42" s="529" t="s">
        <v>2101</v>
      </c>
      <c r="H42" s="529" t="s">
        <v>2100</v>
      </c>
    </row>
    <row r="43" spans="1:9" ht="19.5" customHeight="1">
      <c r="A43" s="544"/>
      <c r="B43" s="529" t="s">
        <v>2041</v>
      </c>
      <c r="C43" s="529" t="s">
        <v>2041</v>
      </c>
      <c r="D43" s="529" t="s">
        <v>2041</v>
      </c>
      <c r="E43" s="529" t="s">
        <v>2041</v>
      </c>
      <c r="F43" s="527" t="s">
        <v>2042</v>
      </c>
      <c r="G43" s="527" t="s">
        <v>2044</v>
      </c>
      <c r="H43" s="527" t="s">
        <v>2102</v>
      </c>
    </row>
    <row r="44" spans="1:9" ht="19.5" customHeight="1">
      <c r="A44" s="545"/>
      <c r="B44" s="527">
        <v>1</v>
      </c>
      <c r="C44" s="527">
        <v>2</v>
      </c>
      <c r="D44" s="527">
        <v>3</v>
      </c>
      <c r="E44" s="529">
        <v>4</v>
      </c>
      <c r="F44" s="534" t="s">
        <v>2103</v>
      </c>
      <c r="G44" s="534" t="s">
        <v>2103</v>
      </c>
      <c r="H44" s="534" t="s">
        <v>2103</v>
      </c>
    </row>
    <row r="45" spans="1:9" ht="19.5" customHeight="1">
      <c r="A45" s="546" t="s">
        <v>233</v>
      </c>
      <c r="B45" s="527">
        <v>0.8</v>
      </c>
      <c r="C45" s="527">
        <v>0.5</v>
      </c>
      <c r="D45" s="527">
        <v>0.36</v>
      </c>
      <c r="E45" s="527">
        <v>0.3</v>
      </c>
      <c r="F45" s="534">
        <v>0.3</v>
      </c>
      <c r="G45" s="527">
        <v>0.3</v>
      </c>
      <c r="H45" s="527">
        <v>0.25</v>
      </c>
    </row>
    <row r="46" spans="1:9" ht="19.5" customHeight="1">
      <c r="A46" s="546" t="s">
        <v>244</v>
      </c>
      <c r="B46" s="527">
        <v>0.8</v>
      </c>
      <c r="C46" s="527">
        <v>0.5</v>
      </c>
      <c r="D46" s="527">
        <v>0.36</v>
      </c>
      <c r="E46" s="527">
        <v>0.3</v>
      </c>
      <c r="F46" s="527">
        <v>0.3</v>
      </c>
      <c r="G46" s="527">
        <v>0.3</v>
      </c>
      <c r="H46" s="527">
        <v>0.25</v>
      </c>
    </row>
    <row r="47" spans="1:9" ht="19.5" customHeight="1">
      <c r="A47" s="546" t="s">
        <v>254</v>
      </c>
      <c r="B47" s="527">
        <v>0.7</v>
      </c>
      <c r="C47" s="527">
        <v>0.4</v>
      </c>
      <c r="D47" s="527">
        <v>0.28000000000000003</v>
      </c>
      <c r="E47" s="527">
        <v>0.25</v>
      </c>
      <c r="F47" s="527">
        <v>0.25</v>
      </c>
      <c r="G47" s="527">
        <v>0.25</v>
      </c>
      <c r="H47" s="527">
        <v>0.2</v>
      </c>
    </row>
    <row r="48" spans="1:9" ht="19.5" customHeight="1">
      <c r="A48" s="546" t="s">
        <v>262</v>
      </c>
      <c r="B48" s="527">
        <v>0.7</v>
      </c>
      <c r="C48" s="527">
        <v>0.4</v>
      </c>
      <c r="D48" s="527">
        <v>0.28000000000000003</v>
      </c>
      <c r="E48" s="527">
        <v>0.25</v>
      </c>
      <c r="F48" s="527">
        <v>0.25</v>
      </c>
      <c r="G48" s="527">
        <v>0.25</v>
      </c>
      <c r="H48" s="527">
        <v>0.2</v>
      </c>
    </row>
    <row r="49" spans="1:8" s="512" customFormat="1" ht="19.5" customHeight="1">
      <c r="A49" s="546" t="s">
        <v>270</v>
      </c>
      <c r="B49" s="527">
        <v>0.7</v>
      </c>
      <c r="C49" s="527">
        <v>0.4</v>
      </c>
      <c r="D49" s="527">
        <v>0.28000000000000003</v>
      </c>
      <c r="E49" s="527">
        <v>0.25</v>
      </c>
      <c r="F49" s="527">
        <v>0.25</v>
      </c>
      <c r="G49" s="527">
        <v>0.25</v>
      </c>
      <c r="H49" s="527">
        <v>0.2</v>
      </c>
    </row>
    <row r="50" spans="1:8" s="512" customFormat="1" ht="19.5" customHeight="1">
      <c r="A50" s="546" t="s">
        <v>276</v>
      </c>
      <c r="B50" s="527">
        <v>0.7</v>
      </c>
      <c r="C50" s="527">
        <v>0.4</v>
      </c>
      <c r="D50" s="527">
        <v>0.28000000000000003</v>
      </c>
      <c r="E50" s="527">
        <v>0.25</v>
      </c>
      <c r="F50" s="527">
        <v>0.25</v>
      </c>
      <c r="G50" s="527">
        <v>0.25</v>
      </c>
      <c r="H50" s="527">
        <v>0.2</v>
      </c>
    </row>
    <row r="51" spans="1:8" s="512" customFormat="1" ht="19.5" customHeight="1">
      <c r="A51" s="546" t="s">
        <v>281</v>
      </c>
      <c r="B51" s="527">
        <v>0.7</v>
      </c>
      <c r="C51" s="527">
        <v>0.4</v>
      </c>
      <c r="D51" s="527">
        <v>0.28000000000000003</v>
      </c>
      <c r="E51" s="527">
        <v>0.25</v>
      </c>
      <c r="F51" s="527">
        <v>0.25</v>
      </c>
      <c r="G51" s="527">
        <v>0.25</v>
      </c>
      <c r="H51" s="527">
        <v>0.2</v>
      </c>
    </row>
    <row r="52" spans="1:8" s="512" customFormat="1" ht="19.5" customHeight="1">
      <c r="A52" s="546" t="s">
        <v>286</v>
      </c>
      <c r="B52" s="527">
        <v>0.6</v>
      </c>
      <c r="C52" s="527">
        <v>0.3</v>
      </c>
      <c r="D52" s="527">
        <v>0.2</v>
      </c>
      <c r="E52" s="527">
        <v>0.2</v>
      </c>
      <c r="F52" s="527">
        <v>0.2</v>
      </c>
      <c r="G52" s="527">
        <v>0.2</v>
      </c>
      <c r="H52" s="527">
        <v>0.15</v>
      </c>
    </row>
    <row r="53" spans="1:8" s="512" customFormat="1" ht="19.5" customHeight="1">
      <c r="A53" s="546" t="s">
        <v>289</v>
      </c>
      <c r="B53" s="527">
        <v>0.6</v>
      </c>
      <c r="C53" s="527">
        <v>0.3</v>
      </c>
      <c r="D53" s="527">
        <v>0.2</v>
      </c>
      <c r="E53" s="527">
        <v>0.2</v>
      </c>
      <c r="F53" s="527">
        <v>0.2</v>
      </c>
      <c r="G53" s="527">
        <v>0.2</v>
      </c>
      <c r="H53" s="527">
        <v>0.15</v>
      </c>
    </row>
    <row r="54" spans="1:8" s="512" customFormat="1" ht="19.5" customHeight="1">
      <c r="A54" s="546" t="s">
        <v>292</v>
      </c>
      <c r="B54" s="527">
        <v>0.6</v>
      </c>
      <c r="C54" s="527">
        <v>0.3</v>
      </c>
      <c r="D54" s="527">
        <v>0.2</v>
      </c>
      <c r="E54" s="527">
        <v>0.2</v>
      </c>
      <c r="F54" s="527">
        <v>0.2</v>
      </c>
      <c r="G54" s="527">
        <v>0.2</v>
      </c>
      <c r="H54" s="527">
        <v>0.15</v>
      </c>
    </row>
    <row r="55" spans="1:8" s="512" customFormat="1" ht="19.5" customHeight="1">
      <c r="A55" s="546" t="s">
        <v>295</v>
      </c>
      <c r="B55" s="527">
        <v>0.6</v>
      </c>
      <c r="C55" s="527">
        <v>0.3</v>
      </c>
      <c r="D55" s="527">
        <v>0.2</v>
      </c>
      <c r="E55" s="527">
        <v>0.2</v>
      </c>
      <c r="F55" s="527">
        <v>0.2</v>
      </c>
      <c r="G55" s="527">
        <v>0.2</v>
      </c>
      <c r="H55" s="527">
        <v>0.15</v>
      </c>
    </row>
    <row r="56" spans="1:8" s="512" customFormat="1" ht="19.5" customHeight="1">
      <c r="A56" s="546" t="s">
        <v>298</v>
      </c>
      <c r="B56" s="527">
        <v>0.6</v>
      </c>
      <c r="C56" s="527">
        <v>0.3</v>
      </c>
      <c r="D56" s="527">
        <v>0.2</v>
      </c>
      <c r="E56" s="527">
        <v>0.2</v>
      </c>
      <c r="F56" s="527">
        <v>0.2</v>
      </c>
      <c r="G56" s="527">
        <v>0.2</v>
      </c>
      <c r="H56" s="527">
        <v>0.15</v>
      </c>
    </row>
    <row r="58" spans="1:8" s="512" customFormat="1" ht="19.5" customHeight="1">
      <c r="A58" s="547"/>
      <c r="B58" s="531"/>
      <c r="C58" s="531"/>
      <c r="D58" s="531" t="s">
        <v>2104</v>
      </c>
      <c r="E58" s="531"/>
      <c r="F58" s="531"/>
    </row>
    <row r="59" spans="1:8" s="512" customFormat="1" ht="19.5" customHeight="1">
      <c r="A59" s="536" t="s">
        <v>2105</v>
      </c>
      <c r="B59" s="536" t="s">
        <v>2106</v>
      </c>
      <c r="C59" s="536" t="s">
        <v>2107</v>
      </c>
      <c r="D59" s="536" t="s">
        <v>2108</v>
      </c>
      <c r="E59" s="536" t="s">
        <v>2109</v>
      </c>
      <c r="F59" s="536" t="s">
        <v>2110</v>
      </c>
    </row>
    <row r="60" spans="1:8" ht="13.5">
      <c r="A60" s="536"/>
      <c r="B60" s="536"/>
      <c r="C60" s="536" t="s">
        <v>2111</v>
      </c>
      <c r="D60" s="536"/>
      <c r="E60" s="548" t="s">
        <v>124</v>
      </c>
      <c r="F60" s="536" t="s">
        <v>124</v>
      </c>
    </row>
    <row r="61" spans="1:8" s="512" customFormat="1" ht="24">
      <c r="A61" s="536">
        <v>1</v>
      </c>
      <c r="B61" s="3583" t="s">
        <v>2112</v>
      </c>
      <c r="C61" s="527" t="s">
        <v>2113</v>
      </c>
      <c r="D61" s="527" t="s">
        <v>2114</v>
      </c>
      <c r="E61" s="548">
        <v>0.5</v>
      </c>
      <c r="F61" s="536">
        <v>80</v>
      </c>
    </row>
    <row r="62" spans="1:8" s="512" customFormat="1" ht="24">
      <c r="A62" s="536">
        <v>2</v>
      </c>
      <c r="B62" s="3583"/>
      <c r="C62" s="527" t="s">
        <v>2115</v>
      </c>
      <c r="D62" s="527" t="s">
        <v>2116</v>
      </c>
      <c r="E62" s="548">
        <v>0.5</v>
      </c>
      <c r="F62" s="536">
        <v>80</v>
      </c>
    </row>
    <row r="63" spans="1:8" s="512" customFormat="1" ht="36">
      <c r="A63" s="536">
        <v>3</v>
      </c>
      <c r="B63" s="3583"/>
      <c r="C63" s="527" t="s">
        <v>2117</v>
      </c>
      <c r="D63" s="527" t="s">
        <v>2118</v>
      </c>
      <c r="E63" s="548">
        <v>0.5</v>
      </c>
      <c r="F63" s="536">
        <v>80</v>
      </c>
    </row>
    <row r="64" spans="1:8" s="512" customFormat="1" ht="36">
      <c r="A64" s="536">
        <v>4</v>
      </c>
      <c r="B64" s="3583"/>
      <c r="C64" s="527" t="s">
        <v>2119</v>
      </c>
      <c r="D64" s="527" t="s">
        <v>2120</v>
      </c>
      <c r="E64" s="548">
        <v>0.4</v>
      </c>
      <c r="F64" s="536">
        <v>60</v>
      </c>
    </row>
    <row r="65" spans="1:6" s="512" customFormat="1" ht="36">
      <c r="A65" s="536">
        <v>5</v>
      </c>
      <c r="B65" s="3583"/>
      <c r="C65" s="527" t="s">
        <v>2121</v>
      </c>
      <c r="D65" s="527" t="s">
        <v>2122</v>
      </c>
      <c r="E65" s="548">
        <v>0.2</v>
      </c>
      <c r="F65" s="536">
        <v>30</v>
      </c>
    </row>
    <row r="66" spans="1:6" s="512" customFormat="1" ht="36">
      <c r="A66" s="536">
        <v>6</v>
      </c>
      <c r="B66" s="3583"/>
      <c r="C66" s="527" t="s">
        <v>2123</v>
      </c>
      <c r="D66" s="527" t="s">
        <v>2124</v>
      </c>
      <c r="E66" s="548">
        <v>0.3</v>
      </c>
      <c r="F66" s="536">
        <v>50</v>
      </c>
    </row>
    <row r="67" spans="1:6" s="512" customFormat="1" ht="36">
      <c r="A67" s="536">
        <v>7</v>
      </c>
      <c r="B67" s="3583"/>
      <c r="C67" s="527" t="s">
        <v>2125</v>
      </c>
      <c r="D67" s="527" t="s">
        <v>2126</v>
      </c>
      <c r="E67" s="548">
        <v>0.2</v>
      </c>
      <c r="F67" s="536">
        <v>30</v>
      </c>
    </row>
    <row r="68" spans="1:6" s="512" customFormat="1" ht="36">
      <c r="A68" s="536">
        <v>8</v>
      </c>
      <c r="B68" s="3583"/>
      <c r="C68" s="527" t="s">
        <v>2127</v>
      </c>
      <c r="D68" s="527" t="s">
        <v>2128</v>
      </c>
      <c r="E68" s="548">
        <v>0.2</v>
      </c>
      <c r="F68" s="536">
        <v>30</v>
      </c>
    </row>
    <row r="69" spans="1:6" s="512" customFormat="1" ht="36">
      <c r="A69" s="536">
        <v>9</v>
      </c>
      <c r="B69" s="3583"/>
      <c r="C69" s="527" t="s">
        <v>2129</v>
      </c>
      <c r="D69" s="527" t="s">
        <v>2130</v>
      </c>
      <c r="E69" s="548">
        <v>0.2</v>
      </c>
      <c r="F69" s="536">
        <v>30</v>
      </c>
    </row>
    <row r="70" spans="1:6" s="512" customFormat="1" ht="48">
      <c r="A70" s="536">
        <v>10</v>
      </c>
      <c r="B70" s="3583"/>
      <c r="C70" s="527" t="s">
        <v>2131</v>
      </c>
      <c r="D70" s="527" t="s">
        <v>2132</v>
      </c>
      <c r="E70" s="548">
        <v>0.2</v>
      </c>
      <c r="F70" s="536">
        <v>30</v>
      </c>
    </row>
    <row r="71" spans="1:6" s="512" customFormat="1" ht="48">
      <c r="A71" s="536">
        <v>11</v>
      </c>
      <c r="B71" s="3583"/>
      <c r="C71" s="527" t="s">
        <v>2133</v>
      </c>
      <c r="D71" s="527" t="s">
        <v>2134</v>
      </c>
      <c r="E71" s="548">
        <v>0.2</v>
      </c>
      <c r="F71" s="536">
        <v>30</v>
      </c>
    </row>
    <row r="72" spans="1:6" s="512" customFormat="1" ht="36">
      <c r="A72" s="536">
        <v>12</v>
      </c>
      <c r="B72" s="3583"/>
      <c r="C72" s="527" t="s">
        <v>2135</v>
      </c>
      <c r="D72" s="527" t="s">
        <v>2136</v>
      </c>
      <c r="E72" s="548">
        <v>0.5</v>
      </c>
      <c r="F72" s="536">
        <v>80</v>
      </c>
    </row>
    <row r="73" spans="1:6" s="512" customFormat="1" ht="24">
      <c r="A73" s="536">
        <v>13</v>
      </c>
      <c r="B73" s="3583"/>
      <c r="C73" s="527" t="s">
        <v>2137</v>
      </c>
      <c r="D73" s="527" t="s">
        <v>2138</v>
      </c>
      <c r="E73" s="548">
        <v>0.4</v>
      </c>
      <c r="F73" s="536">
        <v>60</v>
      </c>
    </row>
    <row r="74" spans="1:6" s="512" customFormat="1" ht="24">
      <c r="A74" s="536">
        <v>14</v>
      </c>
      <c r="B74" s="3583"/>
      <c r="C74" s="527" t="s">
        <v>2139</v>
      </c>
      <c r="D74" s="527" t="s">
        <v>2140</v>
      </c>
      <c r="E74" s="548">
        <v>0.2</v>
      </c>
      <c r="F74" s="536">
        <v>30</v>
      </c>
    </row>
    <row r="75" spans="1:6" s="512" customFormat="1" ht="24">
      <c r="A75" s="536">
        <v>15</v>
      </c>
      <c r="B75" s="3583"/>
      <c r="C75" s="527" t="s">
        <v>2141</v>
      </c>
      <c r="D75" s="527" t="s">
        <v>2142</v>
      </c>
      <c r="E75" s="548">
        <v>0.2</v>
      </c>
      <c r="F75" s="536">
        <v>30</v>
      </c>
    </row>
    <row r="76" spans="1:6" s="512" customFormat="1" ht="24">
      <c r="A76" s="536">
        <v>16</v>
      </c>
      <c r="B76" s="3583" t="s">
        <v>2143</v>
      </c>
      <c r="C76" s="527" t="s">
        <v>2144</v>
      </c>
      <c r="D76" s="527" t="s">
        <v>2145</v>
      </c>
      <c r="E76" s="548">
        <v>0.5</v>
      </c>
      <c r="F76" s="536">
        <v>80</v>
      </c>
    </row>
    <row r="77" spans="1:6" s="512" customFormat="1" ht="24">
      <c r="A77" s="536">
        <v>17</v>
      </c>
      <c r="B77" s="3583"/>
      <c r="C77" s="527" t="s">
        <v>2146</v>
      </c>
      <c r="D77" s="527" t="s">
        <v>2147</v>
      </c>
      <c r="E77" s="548">
        <v>0.5</v>
      </c>
      <c r="F77" s="536">
        <v>80</v>
      </c>
    </row>
    <row r="78" spans="1:6" s="512" customFormat="1" ht="24">
      <c r="A78" s="536">
        <v>18</v>
      </c>
      <c r="B78" s="3583"/>
      <c r="C78" s="527" t="s">
        <v>2148</v>
      </c>
      <c r="D78" s="527" t="s">
        <v>2149</v>
      </c>
      <c r="E78" s="548">
        <v>0.2</v>
      </c>
      <c r="F78" s="536">
        <v>30</v>
      </c>
    </row>
    <row r="79" spans="1:6" s="512" customFormat="1" ht="24">
      <c r="A79" s="536">
        <v>19</v>
      </c>
      <c r="B79" s="3583"/>
      <c r="C79" s="527" t="s">
        <v>2150</v>
      </c>
      <c r="D79" s="527" t="s">
        <v>2151</v>
      </c>
      <c r="E79" s="548">
        <v>0.5</v>
      </c>
      <c r="F79" s="536">
        <v>80</v>
      </c>
    </row>
    <row r="80" spans="1:6" s="512" customFormat="1" ht="36">
      <c r="A80" s="536">
        <v>20</v>
      </c>
      <c r="B80" s="3583"/>
      <c r="C80" s="527" t="s">
        <v>2152</v>
      </c>
      <c r="D80" s="527" t="s">
        <v>2153</v>
      </c>
      <c r="E80" s="548">
        <v>0.2</v>
      </c>
      <c r="F80" s="536">
        <v>30</v>
      </c>
    </row>
    <row r="81" spans="1:6" s="512" customFormat="1" ht="36">
      <c r="A81" s="536">
        <v>21</v>
      </c>
      <c r="B81" s="3583"/>
      <c r="C81" s="527" t="s">
        <v>2154</v>
      </c>
      <c r="D81" s="527" t="s">
        <v>2155</v>
      </c>
      <c r="E81" s="548">
        <v>0.2</v>
      </c>
      <c r="F81" s="536">
        <v>30</v>
      </c>
    </row>
    <row r="82" spans="1:6" s="512" customFormat="1" ht="48">
      <c r="A82" s="536">
        <v>22</v>
      </c>
      <c r="B82" s="3583"/>
      <c r="C82" s="527" t="s">
        <v>2156</v>
      </c>
      <c r="D82" s="527" t="s">
        <v>2157</v>
      </c>
      <c r="E82" s="548">
        <v>0.2</v>
      </c>
      <c r="F82" s="536">
        <v>30</v>
      </c>
    </row>
    <row r="83" spans="1:6" s="512" customFormat="1" ht="48">
      <c r="A83" s="536">
        <v>23</v>
      </c>
      <c r="B83" s="3583"/>
      <c r="C83" s="527" t="s">
        <v>2158</v>
      </c>
      <c r="D83" s="527" t="s">
        <v>2159</v>
      </c>
      <c r="E83" s="548">
        <v>0.2</v>
      </c>
      <c r="F83" s="536">
        <v>30</v>
      </c>
    </row>
    <row r="84" spans="1:6" s="512" customFormat="1" ht="36">
      <c r="A84" s="536">
        <v>24</v>
      </c>
      <c r="B84" s="3583"/>
      <c r="C84" s="527" t="s">
        <v>2160</v>
      </c>
      <c r="D84" s="527" t="s">
        <v>2161</v>
      </c>
      <c r="E84" s="548">
        <v>0.2</v>
      </c>
      <c r="F84" s="536">
        <v>30</v>
      </c>
    </row>
    <row r="85" spans="1:6" s="512" customFormat="1" ht="36">
      <c r="A85" s="536">
        <v>25</v>
      </c>
      <c r="B85" s="3583"/>
      <c r="C85" s="527" t="s">
        <v>2162</v>
      </c>
      <c r="D85" s="527" t="s">
        <v>2163</v>
      </c>
      <c r="E85" s="548">
        <v>0.5</v>
      </c>
      <c r="F85" s="536">
        <v>80</v>
      </c>
    </row>
    <row r="86" spans="1:6" s="512" customFormat="1" ht="36">
      <c r="A86" s="536">
        <v>26</v>
      </c>
      <c r="B86" s="3583"/>
      <c r="C86" s="527" t="s">
        <v>2164</v>
      </c>
      <c r="D86" s="527" t="s">
        <v>2165</v>
      </c>
      <c r="E86" s="548">
        <v>0.2</v>
      </c>
      <c r="F86" s="536">
        <v>30</v>
      </c>
    </row>
    <row r="87" spans="1:6" s="512" customFormat="1" ht="36">
      <c r="A87" s="536">
        <v>27</v>
      </c>
      <c r="B87" s="3583"/>
      <c r="C87" s="527" t="s">
        <v>2166</v>
      </c>
      <c r="D87" s="527" t="s">
        <v>2167</v>
      </c>
      <c r="E87" s="548">
        <v>0.2</v>
      </c>
      <c r="F87" s="536">
        <v>30</v>
      </c>
    </row>
    <row r="88" spans="1:6" s="512" customFormat="1" ht="36">
      <c r="A88" s="536">
        <v>28</v>
      </c>
      <c r="B88" s="3583"/>
      <c r="C88" s="527" t="s">
        <v>2168</v>
      </c>
      <c r="D88" s="527" t="s">
        <v>2169</v>
      </c>
      <c r="E88" s="548">
        <v>0.2</v>
      </c>
      <c r="F88" s="536">
        <v>30</v>
      </c>
    </row>
    <row r="89" spans="1:6" s="512" customFormat="1" ht="24">
      <c r="A89" s="536">
        <v>29</v>
      </c>
      <c r="B89" s="3583"/>
      <c r="C89" s="527" t="s">
        <v>2170</v>
      </c>
      <c r="D89" s="527" t="s">
        <v>2171</v>
      </c>
      <c r="E89" s="548">
        <v>0.2</v>
      </c>
      <c r="F89" s="536">
        <v>30</v>
      </c>
    </row>
    <row r="90" spans="1:6" s="512" customFormat="1" ht="24">
      <c r="A90" s="536">
        <v>30</v>
      </c>
      <c r="B90" s="3583"/>
      <c r="C90" s="527" t="s">
        <v>2172</v>
      </c>
      <c r="D90" s="527" t="s">
        <v>2173</v>
      </c>
      <c r="E90" s="548">
        <v>0.2</v>
      </c>
      <c r="F90" s="536">
        <v>30</v>
      </c>
    </row>
    <row r="91" spans="1:6" s="512" customFormat="1" ht="36">
      <c r="A91" s="536">
        <v>31</v>
      </c>
      <c r="B91" s="3583"/>
      <c r="C91" s="527" t="s">
        <v>2174</v>
      </c>
      <c r="D91" s="527" t="s">
        <v>2175</v>
      </c>
      <c r="E91" s="548">
        <v>0.2</v>
      </c>
      <c r="F91" s="536">
        <v>30</v>
      </c>
    </row>
    <row r="92" spans="1:6" s="512" customFormat="1" ht="24">
      <c r="A92" s="536">
        <v>32</v>
      </c>
      <c r="B92" s="3583" t="s">
        <v>2176</v>
      </c>
      <c r="C92" s="536" t="s">
        <v>2177</v>
      </c>
      <c r="D92" s="527" t="s">
        <v>2178</v>
      </c>
      <c r="E92" s="548">
        <v>0.2</v>
      </c>
      <c r="F92" s="536">
        <v>30</v>
      </c>
    </row>
    <row r="93" spans="1:6" s="512" customFormat="1" ht="36">
      <c r="A93" s="536">
        <v>33</v>
      </c>
      <c r="B93" s="3583"/>
      <c r="C93" s="536" t="s">
        <v>2179</v>
      </c>
      <c r="D93" s="527" t="s">
        <v>2180</v>
      </c>
      <c r="E93" s="548">
        <v>0.2</v>
      </c>
      <c r="F93" s="536">
        <v>30</v>
      </c>
    </row>
    <row r="94" spans="1:6" s="512" customFormat="1" ht="48">
      <c r="A94" s="536">
        <v>34</v>
      </c>
      <c r="B94" s="3583"/>
      <c r="C94" s="536" t="s">
        <v>2181</v>
      </c>
      <c r="D94" s="527" t="s">
        <v>2182</v>
      </c>
      <c r="E94" s="548">
        <v>0.2</v>
      </c>
      <c r="F94" s="536">
        <v>30</v>
      </c>
    </row>
    <row r="95" spans="1:6" s="512" customFormat="1" ht="36">
      <c r="A95" s="536">
        <v>35</v>
      </c>
      <c r="B95" s="3583"/>
      <c r="C95" s="536" t="s">
        <v>2183</v>
      </c>
      <c r="D95" s="527" t="s">
        <v>2184</v>
      </c>
      <c r="E95" s="548">
        <v>0.2</v>
      </c>
      <c r="F95" s="536">
        <v>30</v>
      </c>
    </row>
    <row r="96" spans="1:6" s="512" customFormat="1" ht="48">
      <c r="A96" s="536">
        <v>36</v>
      </c>
      <c r="B96" s="3583"/>
      <c r="C96" s="527" t="s">
        <v>2185</v>
      </c>
      <c r="D96" s="527" t="s">
        <v>2186</v>
      </c>
      <c r="E96" s="548">
        <v>0.2</v>
      </c>
      <c r="F96" s="536">
        <v>30</v>
      </c>
    </row>
    <row r="97" spans="1:6" s="512" customFormat="1" ht="36">
      <c r="A97" s="536">
        <v>37</v>
      </c>
      <c r="B97" s="3583"/>
      <c r="C97" s="536" t="s">
        <v>2187</v>
      </c>
      <c r="D97" s="527" t="s">
        <v>2188</v>
      </c>
      <c r="E97" s="548">
        <v>0.2</v>
      </c>
      <c r="F97" s="536">
        <v>30</v>
      </c>
    </row>
    <row r="98" spans="1:6" s="512" customFormat="1" ht="36">
      <c r="A98" s="536">
        <v>38</v>
      </c>
      <c r="B98" s="3583"/>
      <c r="C98" s="536" t="s">
        <v>2189</v>
      </c>
      <c r="D98" s="527" t="s">
        <v>2190</v>
      </c>
      <c r="E98" s="548">
        <v>0.2</v>
      </c>
      <c r="F98" s="536">
        <v>30</v>
      </c>
    </row>
    <row r="99" spans="1:6" s="512" customFormat="1" ht="36">
      <c r="A99" s="536">
        <v>39</v>
      </c>
      <c r="B99" s="3583" t="s">
        <v>2191</v>
      </c>
      <c r="C99" s="536" t="s">
        <v>2192</v>
      </c>
      <c r="D99" s="527" t="s">
        <v>2193</v>
      </c>
      <c r="E99" s="548">
        <v>0.3</v>
      </c>
      <c r="F99" s="536">
        <v>50</v>
      </c>
    </row>
    <row r="100" spans="1:6" s="512" customFormat="1" ht="24">
      <c r="A100" s="536">
        <v>40</v>
      </c>
      <c r="B100" s="3583"/>
      <c r="C100" s="536" t="s">
        <v>2194</v>
      </c>
      <c r="D100" s="527" t="s">
        <v>2195</v>
      </c>
      <c r="E100" s="548">
        <v>0.2</v>
      </c>
      <c r="F100" s="536">
        <v>30</v>
      </c>
    </row>
    <row r="101" spans="1:6" s="512" customFormat="1" ht="36">
      <c r="A101" s="536">
        <v>41</v>
      </c>
      <c r="B101" s="3583"/>
      <c r="C101" s="536" t="s">
        <v>2196</v>
      </c>
      <c r="D101" s="527" t="s">
        <v>2193</v>
      </c>
      <c r="E101" s="548">
        <v>0.2</v>
      </c>
      <c r="F101" s="536">
        <v>30</v>
      </c>
    </row>
    <row r="102" spans="1:6" s="512" customFormat="1" ht="48">
      <c r="A102" s="536">
        <v>42</v>
      </c>
      <c r="B102" s="536" t="s">
        <v>2197</v>
      </c>
      <c r="C102" s="527" t="s">
        <v>2198</v>
      </c>
      <c r="D102" s="527" t="s">
        <v>2199</v>
      </c>
      <c r="E102" s="548">
        <v>0.2</v>
      </c>
      <c r="F102" s="536">
        <v>30</v>
      </c>
    </row>
    <row r="103" spans="1:6" s="512" customFormat="1" ht="24">
      <c r="A103" s="536">
        <v>43</v>
      </c>
      <c r="B103" s="536" t="s">
        <v>2200</v>
      </c>
      <c r="C103" s="536" t="s">
        <v>2201</v>
      </c>
      <c r="D103" s="527" t="s">
        <v>2202</v>
      </c>
      <c r="E103" s="548">
        <v>0.2</v>
      </c>
      <c r="F103" s="536">
        <v>30</v>
      </c>
    </row>
    <row r="104" spans="1:6" s="512" customFormat="1" ht="36">
      <c r="A104" s="536">
        <v>44</v>
      </c>
      <c r="B104" s="536" t="s">
        <v>2203</v>
      </c>
      <c r="C104" s="536" t="s">
        <v>2204</v>
      </c>
      <c r="D104" s="527" t="s">
        <v>2205</v>
      </c>
      <c r="E104" s="548">
        <v>0.2</v>
      </c>
      <c r="F104" s="536">
        <v>30</v>
      </c>
    </row>
    <row r="105" spans="1:6" s="512" customFormat="1" ht="36">
      <c r="A105" s="536">
        <v>45</v>
      </c>
      <c r="B105" s="3583" t="s">
        <v>2206</v>
      </c>
      <c r="C105" s="536" t="s">
        <v>2207</v>
      </c>
      <c r="D105" s="527" t="s">
        <v>2208</v>
      </c>
      <c r="E105" s="548">
        <v>0.2</v>
      </c>
      <c r="F105" s="536">
        <v>30</v>
      </c>
    </row>
    <row r="106" spans="1:6" s="512" customFormat="1" ht="36">
      <c r="A106" s="536">
        <v>46</v>
      </c>
      <c r="B106" s="3583"/>
      <c r="C106" s="536" t="s">
        <v>2209</v>
      </c>
      <c r="D106" s="527" t="s">
        <v>2210</v>
      </c>
      <c r="E106" s="548">
        <v>0.2</v>
      </c>
      <c r="F106" s="536">
        <v>30</v>
      </c>
    </row>
    <row r="107" spans="1:6" s="512" customFormat="1" ht="36">
      <c r="A107" s="536">
        <v>47</v>
      </c>
      <c r="B107" s="3583" t="s">
        <v>2211</v>
      </c>
      <c r="C107" s="536" t="s">
        <v>2212</v>
      </c>
      <c r="D107" s="527" t="s">
        <v>2213</v>
      </c>
      <c r="E107" s="548">
        <v>0.3</v>
      </c>
      <c r="F107" s="536">
        <v>50</v>
      </c>
    </row>
    <row r="108" spans="1:6" s="512" customFormat="1" ht="36">
      <c r="A108" s="536">
        <v>48</v>
      </c>
      <c r="B108" s="3583"/>
      <c r="C108" s="536" t="s">
        <v>2214</v>
      </c>
      <c r="D108" s="527" t="s">
        <v>2215</v>
      </c>
      <c r="E108" s="548">
        <v>0.2</v>
      </c>
      <c r="F108" s="536">
        <v>30</v>
      </c>
    </row>
    <row r="109" spans="1:6" s="512" customFormat="1" ht="36">
      <c r="A109" s="536">
        <v>49</v>
      </c>
      <c r="B109" s="536" t="s">
        <v>2216</v>
      </c>
      <c r="C109" s="536" t="s">
        <v>2217</v>
      </c>
      <c r="D109" s="527" t="s">
        <v>2218</v>
      </c>
      <c r="E109" s="548">
        <v>0.2</v>
      </c>
      <c r="F109" s="536">
        <v>30</v>
      </c>
    </row>
    <row r="110" spans="1:6" s="512" customFormat="1" ht="36">
      <c r="A110" s="536">
        <v>50</v>
      </c>
      <c r="B110" s="536" t="s">
        <v>2219</v>
      </c>
      <c r="C110" s="536" t="s">
        <v>2220</v>
      </c>
      <c r="D110" s="527" t="s">
        <v>2221</v>
      </c>
      <c r="E110" s="548">
        <v>0.2</v>
      </c>
      <c r="F110" s="536">
        <v>30</v>
      </c>
    </row>
    <row r="111" spans="1:6" s="512" customFormat="1" ht="36">
      <c r="A111" s="536">
        <v>51</v>
      </c>
      <c r="B111" s="3583" t="s">
        <v>2222</v>
      </c>
      <c r="C111" s="536" t="s">
        <v>2223</v>
      </c>
      <c r="D111" s="527" t="s">
        <v>2224</v>
      </c>
      <c r="E111" s="548">
        <v>0.2</v>
      </c>
      <c r="F111" s="536">
        <v>30</v>
      </c>
    </row>
    <row r="112" spans="1:6" s="512" customFormat="1" ht="24">
      <c r="A112" s="536">
        <v>52</v>
      </c>
      <c r="B112" s="3583"/>
      <c r="C112" s="536" t="s">
        <v>2225</v>
      </c>
      <c r="D112" s="527" t="s">
        <v>2226</v>
      </c>
      <c r="E112" s="548">
        <v>0.2</v>
      </c>
      <c r="F112" s="536">
        <v>30</v>
      </c>
    </row>
    <row r="113" spans="1:6" s="512" customFormat="1" ht="24">
      <c r="A113" s="536">
        <v>53</v>
      </c>
      <c r="B113" s="3583"/>
      <c r="C113" s="536" t="s">
        <v>2227</v>
      </c>
      <c r="D113" s="527" t="s">
        <v>2228</v>
      </c>
      <c r="E113" s="548">
        <v>0.2</v>
      </c>
      <c r="F113" s="536">
        <v>30</v>
      </c>
    </row>
    <row r="114" spans="1:6" ht="36">
      <c r="A114" s="536">
        <v>54</v>
      </c>
      <c r="B114" s="536" t="s">
        <v>2229</v>
      </c>
      <c r="C114" s="536" t="s">
        <v>2230</v>
      </c>
      <c r="D114" s="527" t="s">
        <v>2231</v>
      </c>
      <c r="E114" s="548">
        <v>0.2</v>
      </c>
      <c r="F114" s="536">
        <v>30</v>
      </c>
    </row>
    <row r="115" spans="1:6" ht="24">
      <c r="A115" s="536">
        <v>55</v>
      </c>
      <c r="B115" s="536" t="s">
        <v>2232</v>
      </c>
      <c r="C115" s="536" t="s">
        <v>2233</v>
      </c>
      <c r="D115" s="527" t="s">
        <v>2234</v>
      </c>
      <c r="E115" s="548">
        <v>0.2</v>
      </c>
      <c r="F115" s="536">
        <v>30</v>
      </c>
    </row>
    <row r="116" spans="1:6" ht="24">
      <c r="A116" s="536">
        <v>56</v>
      </c>
      <c r="B116" s="3583" t="s">
        <v>2235</v>
      </c>
      <c r="C116" s="536" t="s">
        <v>2236</v>
      </c>
      <c r="D116" s="527" t="s">
        <v>2237</v>
      </c>
      <c r="E116" s="548">
        <v>0.2</v>
      </c>
      <c r="F116" s="536">
        <v>30</v>
      </c>
    </row>
    <row r="117" spans="1:6" ht="36">
      <c r="A117" s="536">
        <v>57</v>
      </c>
      <c r="B117" s="3583"/>
      <c r="C117" s="536" t="s">
        <v>2238</v>
      </c>
      <c r="D117" s="527" t="s">
        <v>2239</v>
      </c>
      <c r="E117" s="548">
        <v>0.2</v>
      </c>
      <c r="F117" s="536">
        <v>30</v>
      </c>
    </row>
    <row r="118" spans="1:6" ht="36">
      <c r="A118" s="536">
        <v>58</v>
      </c>
      <c r="B118" s="536" t="s">
        <v>2240</v>
      </c>
      <c r="C118" s="536" t="s">
        <v>2241</v>
      </c>
      <c r="D118" s="527" t="s">
        <v>2242</v>
      </c>
      <c r="E118" s="548">
        <v>0.2</v>
      </c>
      <c r="F118" s="536">
        <v>30</v>
      </c>
    </row>
    <row r="119" spans="1:6" ht="13.5">
      <c r="A119" s="536"/>
      <c r="B119" s="536"/>
      <c r="C119" s="536" t="s">
        <v>2111</v>
      </c>
      <c r="D119" s="536"/>
      <c r="E119" s="548" t="s">
        <v>124</v>
      </c>
      <c r="F119" s="536" t="s">
        <v>124</v>
      </c>
    </row>
  </sheetData>
  <sheetProtection password="C66D" sheet="1" objects="1" scenarios="1" formatCells="0" formatColumns="0" formatRows="0"/>
  <mergeCells count="15">
    <mergeCell ref="B107:B108"/>
    <mergeCell ref="B111:B113"/>
    <mergeCell ref="B116:B117"/>
    <mergeCell ref="B61:B75"/>
    <mergeCell ref="B76:B91"/>
    <mergeCell ref="B92:B98"/>
    <mergeCell ref="B99:B101"/>
    <mergeCell ref="B105:B106"/>
    <mergeCell ref="A18:A22"/>
    <mergeCell ref="A23:A32"/>
    <mergeCell ref="A33:A34"/>
    <mergeCell ref="A35:A39"/>
    <mergeCell ref="B19:B22"/>
    <mergeCell ref="B24:B32"/>
    <mergeCell ref="B36:B39"/>
  </mergeCells>
  <phoneticPr fontId="225" type="noConversion"/>
  <pageMargins left="0.69930555555555596" right="0.69930555555555596"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500"/>
    <col min="2" max="16384" width="9" style="501"/>
  </cols>
  <sheetData>
    <row r="1" spans="1:14" ht="14.25">
      <c r="A1" s="502" t="s">
        <v>2243</v>
      </c>
      <c r="B1" s="503"/>
      <c r="C1" s="503"/>
      <c r="D1" s="503"/>
      <c r="E1" s="503"/>
      <c r="F1" s="503"/>
      <c r="G1" s="503"/>
      <c r="H1" s="503"/>
      <c r="I1" s="503"/>
      <c r="J1" s="503"/>
      <c r="K1" s="503"/>
      <c r="L1" s="503"/>
      <c r="M1" s="503"/>
      <c r="N1" s="503"/>
    </row>
    <row r="2" spans="1:14">
      <c r="A2" s="504" t="s">
        <v>2244</v>
      </c>
      <c r="B2" s="505" t="s">
        <v>233</v>
      </c>
      <c r="C2" s="505" t="s">
        <v>244</v>
      </c>
      <c r="D2" s="505" t="s">
        <v>254</v>
      </c>
      <c r="E2" s="505" t="s">
        <v>262</v>
      </c>
      <c r="F2" s="505" t="s">
        <v>270</v>
      </c>
      <c r="G2" s="505" t="s">
        <v>276</v>
      </c>
      <c r="H2" s="506" t="s">
        <v>281</v>
      </c>
      <c r="I2" s="506" t="s">
        <v>286</v>
      </c>
      <c r="J2" s="509" t="s">
        <v>289</v>
      </c>
      <c r="K2" s="509" t="s">
        <v>292</v>
      </c>
      <c r="L2" s="509" t="s">
        <v>295</v>
      </c>
      <c r="M2" s="509" t="s">
        <v>298</v>
      </c>
    </row>
    <row r="3" spans="1:14">
      <c r="A3" s="504">
        <v>0.1</v>
      </c>
      <c r="B3" s="507">
        <v>15.052</v>
      </c>
      <c r="C3" s="507">
        <v>15.052</v>
      </c>
      <c r="D3" s="507">
        <v>14.263</v>
      </c>
      <c r="E3" s="507">
        <v>14.263</v>
      </c>
      <c r="F3" s="507">
        <v>14.263</v>
      </c>
      <c r="G3" s="507">
        <v>14.263</v>
      </c>
      <c r="H3" s="507">
        <v>14.263</v>
      </c>
      <c r="I3" s="507">
        <v>14.097</v>
      </c>
      <c r="J3" s="507">
        <v>14.097</v>
      </c>
      <c r="K3" s="507">
        <v>14.097</v>
      </c>
      <c r="L3" s="507">
        <v>14.097</v>
      </c>
      <c r="M3" s="507">
        <v>14.097</v>
      </c>
      <c r="N3" s="510"/>
    </row>
    <row r="4" spans="1:14">
      <c r="A4" s="504">
        <v>0.2</v>
      </c>
      <c r="B4" s="507">
        <v>7.5259999999999998</v>
      </c>
      <c r="C4" s="507">
        <v>7.5259999999999998</v>
      </c>
      <c r="D4" s="507">
        <v>7.1315</v>
      </c>
      <c r="E4" s="507">
        <v>7.1315</v>
      </c>
      <c r="F4" s="507">
        <v>7.1315</v>
      </c>
      <c r="G4" s="507">
        <v>7.1315</v>
      </c>
      <c r="H4" s="507">
        <v>7.1315</v>
      </c>
      <c r="I4" s="507">
        <v>7.0484999999999998</v>
      </c>
      <c r="J4" s="507">
        <v>7.0484999999999998</v>
      </c>
      <c r="K4" s="507">
        <v>7.0484999999999998</v>
      </c>
      <c r="L4" s="507">
        <v>7.0484999999999998</v>
      </c>
      <c r="M4" s="507">
        <v>7.0484999999999998</v>
      </c>
    </row>
    <row r="5" spans="1:14">
      <c r="A5" s="504">
        <v>0.3</v>
      </c>
      <c r="B5" s="507">
        <v>5.0172999999999996</v>
      </c>
      <c r="C5" s="507">
        <v>5.0172999999999996</v>
      </c>
      <c r="D5" s="507">
        <v>4.7542999999999997</v>
      </c>
      <c r="E5" s="507">
        <v>4.7542999999999997</v>
      </c>
      <c r="F5" s="507">
        <v>4.7542999999999997</v>
      </c>
      <c r="G5" s="507">
        <v>4.7542999999999997</v>
      </c>
      <c r="H5" s="507">
        <v>4.7542999999999997</v>
      </c>
      <c r="I5" s="507">
        <v>4.6989999999999998</v>
      </c>
      <c r="J5" s="507">
        <v>4.6989999999999998</v>
      </c>
      <c r="K5" s="507">
        <v>4.6989999999999998</v>
      </c>
      <c r="L5" s="507">
        <v>4.6989999999999998</v>
      </c>
      <c r="M5" s="507">
        <v>4.6989999999999998</v>
      </c>
    </row>
    <row r="6" spans="1:14">
      <c r="A6" s="504">
        <v>0.4</v>
      </c>
      <c r="B6" s="507">
        <v>3.7629999999999999</v>
      </c>
      <c r="C6" s="507">
        <v>3.7629999999999999</v>
      </c>
      <c r="D6" s="507">
        <v>3.5657999999999999</v>
      </c>
      <c r="E6" s="507">
        <v>3.5657999999999999</v>
      </c>
      <c r="F6" s="507">
        <v>3.5657999999999999</v>
      </c>
      <c r="G6" s="507">
        <v>3.5657999999999999</v>
      </c>
      <c r="H6" s="507">
        <v>3.5657999999999999</v>
      </c>
      <c r="I6" s="507">
        <v>3.5243000000000002</v>
      </c>
      <c r="J6" s="507">
        <v>3.5243000000000002</v>
      </c>
      <c r="K6" s="507">
        <v>3.5243000000000002</v>
      </c>
      <c r="L6" s="507">
        <v>3.5243000000000002</v>
      </c>
      <c r="M6" s="507">
        <v>3.5243000000000002</v>
      </c>
    </row>
    <row r="7" spans="1:14">
      <c r="A7" s="504">
        <v>0.5</v>
      </c>
      <c r="B7" s="507">
        <v>3.0104000000000002</v>
      </c>
      <c r="C7" s="507">
        <v>3.0104000000000002</v>
      </c>
      <c r="D7" s="507">
        <v>2.8525999999999998</v>
      </c>
      <c r="E7" s="507">
        <v>2.8525999999999998</v>
      </c>
      <c r="F7" s="507">
        <v>2.8525999999999998</v>
      </c>
      <c r="G7" s="507">
        <v>2.8525999999999998</v>
      </c>
      <c r="H7" s="507">
        <v>2.8525999999999998</v>
      </c>
      <c r="I7" s="507">
        <v>2.8193999999999999</v>
      </c>
      <c r="J7" s="507">
        <v>2.8193999999999999</v>
      </c>
      <c r="K7" s="507">
        <v>2.8193999999999999</v>
      </c>
      <c r="L7" s="507">
        <v>2.8193999999999999</v>
      </c>
      <c r="M7" s="507">
        <v>2.8193999999999999</v>
      </c>
    </row>
    <row r="8" spans="1:14">
      <c r="A8" s="504">
        <v>0.6</v>
      </c>
      <c r="B8" s="507">
        <v>2.5087000000000002</v>
      </c>
      <c r="C8" s="507">
        <v>2.5087000000000002</v>
      </c>
      <c r="D8" s="507">
        <v>2.3772000000000002</v>
      </c>
      <c r="E8" s="507">
        <v>2.3772000000000002</v>
      </c>
      <c r="F8" s="507">
        <v>2.3772000000000002</v>
      </c>
      <c r="G8" s="507">
        <v>2.3772000000000002</v>
      </c>
      <c r="H8" s="507">
        <v>2.3772000000000002</v>
      </c>
      <c r="I8" s="507">
        <v>2.3494999999999999</v>
      </c>
      <c r="J8" s="507">
        <v>2.3494999999999999</v>
      </c>
      <c r="K8" s="507">
        <v>2.3494999999999999</v>
      </c>
      <c r="L8" s="507">
        <v>2.3494999999999999</v>
      </c>
      <c r="M8" s="507">
        <v>2.3494999999999999</v>
      </c>
    </row>
    <row r="9" spans="1:14">
      <c r="A9" s="504">
        <v>0.7</v>
      </c>
      <c r="B9" s="507">
        <v>2.1503000000000001</v>
      </c>
      <c r="C9" s="507">
        <v>2.1503000000000001</v>
      </c>
      <c r="D9" s="507">
        <v>2.0375999999999999</v>
      </c>
      <c r="E9" s="507">
        <v>2.0375999999999999</v>
      </c>
      <c r="F9" s="507">
        <v>2.0375999999999999</v>
      </c>
      <c r="G9" s="507">
        <v>2.0375999999999999</v>
      </c>
      <c r="H9" s="507">
        <v>2.0375999999999999</v>
      </c>
      <c r="I9" s="507">
        <v>2.0139</v>
      </c>
      <c r="J9" s="507">
        <v>2.0139</v>
      </c>
      <c r="K9" s="507">
        <v>2.0139</v>
      </c>
      <c r="L9" s="507">
        <v>2.0139</v>
      </c>
      <c r="M9" s="507">
        <v>2.0139</v>
      </c>
    </row>
    <row r="10" spans="1:14">
      <c r="A10" s="504">
        <v>0.8</v>
      </c>
      <c r="B10" s="507">
        <v>1.8815</v>
      </c>
      <c r="C10" s="507">
        <v>1.8815</v>
      </c>
      <c r="D10" s="507">
        <v>1.7828999999999999</v>
      </c>
      <c r="E10" s="507">
        <v>1.7828999999999999</v>
      </c>
      <c r="F10" s="507">
        <v>1.7828999999999999</v>
      </c>
      <c r="G10" s="507">
        <v>1.7828999999999999</v>
      </c>
      <c r="H10" s="507">
        <v>1.7828999999999999</v>
      </c>
      <c r="I10" s="507">
        <v>1.7621</v>
      </c>
      <c r="J10" s="507">
        <v>1.7621</v>
      </c>
      <c r="K10" s="507">
        <v>1.7621</v>
      </c>
      <c r="L10" s="507">
        <v>1.7621</v>
      </c>
      <c r="M10" s="507">
        <v>1.7621</v>
      </c>
    </row>
    <row r="11" spans="1:14">
      <c r="A11" s="504">
        <v>0.9</v>
      </c>
      <c r="B11" s="507">
        <v>1.6724000000000001</v>
      </c>
      <c r="C11" s="507">
        <v>1.6724000000000001</v>
      </c>
      <c r="D11" s="507">
        <v>1.5848</v>
      </c>
      <c r="E11" s="507">
        <v>1.5848</v>
      </c>
      <c r="F11" s="507">
        <v>1.5848</v>
      </c>
      <c r="G11" s="507">
        <v>1.5848</v>
      </c>
      <c r="H11" s="507">
        <v>1.5848</v>
      </c>
      <c r="I11" s="507">
        <v>1.5663</v>
      </c>
      <c r="J11" s="507">
        <v>1.5663</v>
      </c>
      <c r="K11" s="507">
        <v>1.5663</v>
      </c>
      <c r="L11" s="507">
        <v>1.5663</v>
      </c>
      <c r="M11" s="507">
        <v>1.5663</v>
      </c>
    </row>
    <row r="12" spans="1:14">
      <c r="A12" s="504">
        <v>1</v>
      </c>
      <c r="B12" s="507">
        <v>1.5052000000000001</v>
      </c>
      <c r="C12" s="507">
        <v>1.5052000000000001</v>
      </c>
      <c r="D12" s="507">
        <v>1.4262999999999999</v>
      </c>
      <c r="E12" s="507">
        <v>1.4262999999999999</v>
      </c>
      <c r="F12" s="507">
        <v>1.4262999999999999</v>
      </c>
      <c r="G12" s="507">
        <v>1.4262999999999999</v>
      </c>
      <c r="H12" s="507">
        <v>1.4262999999999999</v>
      </c>
      <c r="I12" s="507">
        <v>1.4097</v>
      </c>
      <c r="J12" s="507">
        <v>1.4097</v>
      </c>
      <c r="K12" s="507">
        <v>1.4097</v>
      </c>
      <c r="L12" s="507">
        <v>1.4097</v>
      </c>
      <c r="M12" s="507">
        <v>1.4097</v>
      </c>
    </row>
    <row r="13" spans="1:14">
      <c r="A13" s="504">
        <v>1.1000000000000001</v>
      </c>
      <c r="B13" s="507">
        <v>1.4509000000000001</v>
      </c>
      <c r="C13" s="507">
        <v>1.4509000000000001</v>
      </c>
      <c r="D13" s="507">
        <v>1.3697999999999999</v>
      </c>
      <c r="E13" s="507">
        <v>1.3697999999999999</v>
      </c>
      <c r="F13" s="507">
        <v>1.3697999999999999</v>
      </c>
      <c r="G13" s="507">
        <v>1.3697999999999999</v>
      </c>
      <c r="H13" s="507">
        <v>1.3697999999999999</v>
      </c>
      <c r="I13" s="507">
        <v>1.343</v>
      </c>
      <c r="J13" s="507">
        <v>1.343</v>
      </c>
      <c r="K13" s="507">
        <v>1.343</v>
      </c>
      <c r="L13" s="507">
        <v>1.343</v>
      </c>
      <c r="M13" s="507">
        <v>1.343</v>
      </c>
    </row>
    <row r="14" spans="1:14">
      <c r="A14" s="504">
        <v>1.2</v>
      </c>
      <c r="B14" s="507">
        <v>1.4035</v>
      </c>
      <c r="C14" s="507">
        <v>1.4035</v>
      </c>
      <c r="D14" s="507">
        <v>1.3205</v>
      </c>
      <c r="E14" s="507">
        <v>1.3205</v>
      </c>
      <c r="F14" s="507">
        <v>1.3205</v>
      </c>
      <c r="G14" s="507">
        <v>1.3205</v>
      </c>
      <c r="H14" s="507">
        <v>1.3205</v>
      </c>
      <c r="I14" s="507">
        <v>1.2845</v>
      </c>
      <c r="J14" s="507">
        <v>1.2845</v>
      </c>
      <c r="K14" s="507">
        <v>1.2845</v>
      </c>
      <c r="L14" s="507">
        <v>1.2845</v>
      </c>
      <c r="M14" s="507">
        <v>1.2845</v>
      </c>
    </row>
    <row r="15" spans="1:14">
      <c r="A15" s="504">
        <v>1.3</v>
      </c>
      <c r="B15" s="507">
        <v>1.3622000000000001</v>
      </c>
      <c r="C15" s="507">
        <v>1.3622000000000001</v>
      </c>
      <c r="D15" s="507">
        <v>1.2775000000000001</v>
      </c>
      <c r="E15" s="507">
        <v>1.2775000000000001</v>
      </c>
      <c r="F15" s="507">
        <v>1.2775000000000001</v>
      </c>
      <c r="G15" s="507">
        <v>1.2775000000000001</v>
      </c>
      <c r="H15" s="507">
        <v>1.2775000000000001</v>
      </c>
      <c r="I15" s="507">
        <v>1.2332000000000001</v>
      </c>
      <c r="J15" s="507">
        <v>1.2332000000000001</v>
      </c>
      <c r="K15" s="507">
        <v>1.2332000000000001</v>
      </c>
      <c r="L15" s="507">
        <v>1.2332000000000001</v>
      </c>
      <c r="M15" s="507">
        <v>1.2332000000000001</v>
      </c>
    </row>
    <row r="16" spans="1:14">
      <c r="A16" s="504">
        <v>1.4</v>
      </c>
      <c r="B16" s="507">
        <v>1.3262</v>
      </c>
      <c r="C16" s="507">
        <v>1.3262</v>
      </c>
      <c r="D16" s="507">
        <v>1.2402</v>
      </c>
      <c r="E16" s="507">
        <v>1.2402</v>
      </c>
      <c r="F16" s="507">
        <v>1.2402</v>
      </c>
      <c r="G16" s="507">
        <v>1.2402</v>
      </c>
      <c r="H16" s="507">
        <v>1.2402</v>
      </c>
      <c r="I16" s="507">
        <v>1.1881999999999999</v>
      </c>
      <c r="J16" s="507">
        <v>1.1881999999999999</v>
      </c>
      <c r="K16" s="507">
        <v>1.1881999999999999</v>
      </c>
      <c r="L16" s="507">
        <v>1.1881999999999999</v>
      </c>
      <c r="M16" s="507">
        <v>1.1881999999999999</v>
      </c>
      <c r="N16" s="510"/>
    </row>
    <row r="17" spans="1:14">
      <c r="A17" s="504">
        <v>1.5</v>
      </c>
      <c r="B17" s="507">
        <v>1.2948</v>
      </c>
      <c r="C17" s="507">
        <v>1.2948</v>
      </c>
      <c r="D17" s="507">
        <v>1.2075</v>
      </c>
      <c r="E17" s="507">
        <v>1.2075</v>
      </c>
      <c r="F17" s="507">
        <v>1.2075</v>
      </c>
      <c r="G17" s="507">
        <v>1.2075</v>
      </c>
      <c r="H17" s="507">
        <v>1.2075</v>
      </c>
      <c r="I17" s="507">
        <v>1.1486000000000001</v>
      </c>
      <c r="J17" s="507">
        <v>1.1486000000000001</v>
      </c>
      <c r="K17" s="507">
        <v>1.1486000000000001</v>
      </c>
      <c r="L17" s="507">
        <v>1.1486000000000001</v>
      </c>
      <c r="M17" s="507">
        <v>1.1486000000000001</v>
      </c>
      <c r="N17" s="510"/>
    </row>
    <row r="18" spans="1:14">
      <c r="A18" s="504">
        <v>1.6</v>
      </c>
      <c r="B18" s="507">
        <v>1.2673000000000001</v>
      </c>
      <c r="C18" s="507">
        <v>1.2673000000000001</v>
      </c>
      <c r="D18" s="507">
        <v>1.1789000000000001</v>
      </c>
      <c r="E18" s="507">
        <v>1.1789000000000001</v>
      </c>
      <c r="F18" s="507">
        <v>1.1789000000000001</v>
      </c>
      <c r="G18" s="507">
        <v>1.1789000000000001</v>
      </c>
      <c r="H18" s="507">
        <v>1.1789000000000001</v>
      </c>
      <c r="I18" s="507">
        <v>1.1134999999999999</v>
      </c>
      <c r="J18" s="507">
        <v>1.1134999999999999</v>
      </c>
      <c r="K18" s="507">
        <v>1.1134999999999999</v>
      </c>
      <c r="L18" s="507">
        <v>1.1134999999999999</v>
      </c>
      <c r="M18" s="507">
        <v>1.1134999999999999</v>
      </c>
    </row>
    <row r="19" spans="1:14">
      <c r="A19" s="504">
        <v>1.7</v>
      </c>
      <c r="B19" s="507">
        <v>1.2428999999999999</v>
      </c>
      <c r="C19" s="507">
        <v>1.2428999999999999</v>
      </c>
      <c r="D19" s="507">
        <v>1.1534</v>
      </c>
      <c r="E19" s="507">
        <v>1.1534</v>
      </c>
      <c r="F19" s="507">
        <v>1.1534</v>
      </c>
      <c r="G19" s="507">
        <v>1.1534</v>
      </c>
      <c r="H19" s="507">
        <v>1.1534</v>
      </c>
      <c r="I19" s="507">
        <v>1.0820000000000001</v>
      </c>
      <c r="J19" s="507">
        <v>1.0820000000000001</v>
      </c>
      <c r="K19" s="507">
        <v>1.0820000000000001</v>
      </c>
      <c r="L19" s="507">
        <v>1.0820000000000001</v>
      </c>
      <c r="M19" s="507">
        <v>1.0820000000000001</v>
      </c>
    </row>
    <row r="20" spans="1:14">
      <c r="A20" s="504">
        <v>1.8</v>
      </c>
      <c r="B20" s="507">
        <v>1.2206999999999999</v>
      </c>
      <c r="C20" s="507">
        <v>1.2206999999999999</v>
      </c>
      <c r="D20" s="507">
        <v>1.1304000000000001</v>
      </c>
      <c r="E20" s="507">
        <v>1.1304000000000001</v>
      </c>
      <c r="F20" s="507">
        <v>1.1304000000000001</v>
      </c>
      <c r="G20" s="507">
        <v>1.1304000000000001</v>
      </c>
      <c r="H20" s="507">
        <v>1.1304000000000001</v>
      </c>
      <c r="I20" s="507">
        <v>1.0531999999999999</v>
      </c>
      <c r="J20" s="507">
        <v>1.0531999999999999</v>
      </c>
      <c r="K20" s="507">
        <v>1.0531999999999999</v>
      </c>
      <c r="L20" s="507">
        <v>1.0531999999999999</v>
      </c>
      <c r="M20" s="507">
        <v>1.0531999999999999</v>
      </c>
    </row>
    <row r="21" spans="1:14">
      <c r="A21" s="504">
        <v>1.9</v>
      </c>
      <c r="B21" s="507">
        <v>1.2</v>
      </c>
      <c r="C21" s="507">
        <v>1.2</v>
      </c>
      <c r="D21" s="507">
        <v>1.1089</v>
      </c>
      <c r="E21" s="507">
        <v>1.1089</v>
      </c>
      <c r="F21" s="507">
        <v>1.1089</v>
      </c>
      <c r="G21" s="507">
        <v>1.1089</v>
      </c>
      <c r="H21" s="507">
        <v>1.1089</v>
      </c>
      <c r="I21" s="507">
        <v>1.0261</v>
      </c>
      <c r="J21" s="507">
        <v>1.0261</v>
      </c>
      <c r="K21" s="507">
        <v>1.0261</v>
      </c>
      <c r="L21" s="507">
        <v>1.0261</v>
      </c>
      <c r="M21" s="507">
        <v>1.0261</v>
      </c>
    </row>
    <row r="22" spans="1:14">
      <c r="A22" s="504">
        <v>2</v>
      </c>
      <c r="B22" s="507">
        <v>1.1800999999999999</v>
      </c>
      <c r="C22" s="507">
        <v>1.1800999999999999</v>
      </c>
      <c r="D22" s="507">
        <v>1.0883</v>
      </c>
      <c r="E22" s="507">
        <v>1.0883</v>
      </c>
      <c r="F22" s="507">
        <v>1.0883</v>
      </c>
      <c r="G22" s="507">
        <v>1.0883</v>
      </c>
      <c r="H22" s="507">
        <v>1.0883</v>
      </c>
      <c r="I22" s="507">
        <v>1</v>
      </c>
      <c r="J22" s="507">
        <v>1</v>
      </c>
      <c r="K22" s="507">
        <v>1</v>
      </c>
      <c r="L22" s="507">
        <v>1</v>
      </c>
      <c r="M22" s="507">
        <v>1</v>
      </c>
    </row>
    <row r="23" spans="1:14">
      <c r="A23" s="508">
        <v>2.1</v>
      </c>
      <c r="B23" s="507">
        <v>1.1616</v>
      </c>
      <c r="C23" s="507">
        <v>1.1616</v>
      </c>
      <c r="D23" s="507">
        <v>1.0685</v>
      </c>
      <c r="E23" s="507">
        <v>1.0685</v>
      </c>
      <c r="F23" s="507">
        <v>1.0685</v>
      </c>
      <c r="G23" s="507">
        <v>1.0685</v>
      </c>
      <c r="H23" s="507">
        <v>1.0685</v>
      </c>
      <c r="I23" s="507">
        <v>0.97550000000000003</v>
      </c>
      <c r="J23" s="507">
        <v>0.97550000000000003</v>
      </c>
      <c r="K23" s="507">
        <v>0.97550000000000003</v>
      </c>
      <c r="L23" s="507">
        <v>0.97550000000000003</v>
      </c>
      <c r="M23" s="507">
        <v>0.97550000000000003</v>
      </c>
    </row>
    <row r="24" spans="1:14">
      <c r="A24" s="508">
        <v>2.2000000000000002</v>
      </c>
      <c r="B24" s="507">
        <v>1.1440999999999999</v>
      </c>
      <c r="C24" s="507">
        <v>1.1440999999999999</v>
      </c>
      <c r="D24" s="507">
        <v>1.0497000000000001</v>
      </c>
      <c r="E24" s="507">
        <v>1.0497000000000001</v>
      </c>
      <c r="F24" s="507">
        <v>1.0497000000000001</v>
      </c>
      <c r="G24" s="507">
        <v>1.0497000000000001</v>
      </c>
      <c r="H24" s="507">
        <v>1.0497000000000001</v>
      </c>
      <c r="I24" s="507">
        <v>0.95230000000000004</v>
      </c>
      <c r="J24" s="507">
        <v>0.95230000000000004</v>
      </c>
      <c r="K24" s="507">
        <v>0.95230000000000004</v>
      </c>
      <c r="L24" s="507">
        <v>0.95230000000000004</v>
      </c>
      <c r="M24" s="507">
        <v>0.95230000000000004</v>
      </c>
    </row>
    <row r="25" spans="1:14">
      <c r="A25" s="508">
        <v>2.2999999999999998</v>
      </c>
      <c r="B25" s="507">
        <v>1.1275999999999999</v>
      </c>
      <c r="C25" s="507">
        <v>1.1275999999999999</v>
      </c>
      <c r="D25" s="507">
        <v>1.032</v>
      </c>
      <c r="E25" s="507">
        <v>1.032</v>
      </c>
      <c r="F25" s="507">
        <v>1.032</v>
      </c>
      <c r="G25" s="507">
        <v>1.032</v>
      </c>
      <c r="H25" s="507">
        <v>1.032</v>
      </c>
      <c r="I25" s="507">
        <v>0.9304</v>
      </c>
      <c r="J25" s="507">
        <v>0.9304</v>
      </c>
      <c r="K25" s="507">
        <v>0.9304</v>
      </c>
      <c r="L25" s="507">
        <v>0.9304</v>
      </c>
      <c r="M25" s="507">
        <v>0.9304</v>
      </c>
    </row>
    <row r="26" spans="1:14">
      <c r="A26" s="508">
        <v>2.4</v>
      </c>
      <c r="B26" s="507">
        <v>1.1121000000000001</v>
      </c>
      <c r="C26" s="507">
        <v>1.1121000000000001</v>
      </c>
      <c r="D26" s="507">
        <v>1.0155000000000001</v>
      </c>
      <c r="E26" s="507">
        <v>1.0155000000000001</v>
      </c>
      <c r="F26" s="507">
        <v>1.0155000000000001</v>
      </c>
      <c r="G26" s="507">
        <v>1.0155000000000001</v>
      </c>
      <c r="H26" s="507">
        <v>1.0155000000000001</v>
      </c>
      <c r="I26" s="507">
        <v>0.91</v>
      </c>
      <c r="J26" s="507">
        <v>0.91</v>
      </c>
      <c r="K26" s="507">
        <v>0.91</v>
      </c>
      <c r="L26" s="507">
        <v>0.91</v>
      </c>
      <c r="M26" s="507">
        <v>0.91</v>
      </c>
    </row>
    <row r="27" spans="1:14">
      <c r="A27" s="508">
        <v>2.5</v>
      </c>
      <c r="B27" s="507">
        <v>1.0975999999999999</v>
      </c>
      <c r="C27" s="507">
        <v>1.0975999999999999</v>
      </c>
      <c r="D27" s="507">
        <v>1</v>
      </c>
      <c r="E27" s="507">
        <v>1</v>
      </c>
      <c r="F27" s="507">
        <v>1</v>
      </c>
      <c r="G27" s="507">
        <v>1</v>
      </c>
      <c r="H27" s="507">
        <v>1</v>
      </c>
      <c r="I27" s="507">
        <v>0.89080000000000004</v>
      </c>
      <c r="J27" s="507">
        <v>0.89080000000000004</v>
      </c>
      <c r="K27" s="507">
        <v>0.89080000000000004</v>
      </c>
      <c r="L27" s="507">
        <v>0.89080000000000004</v>
      </c>
      <c r="M27" s="507">
        <v>0.89080000000000004</v>
      </c>
    </row>
    <row r="28" spans="1:14">
      <c r="A28" s="508">
        <v>2.6</v>
      </c>
      <c r="B28" s="507">
        <v>1.0841000000000001</v>
      </c>
      <c r="C28" s="507">
        <v>1.0841000000000001</v>
      </c>
      <c r="D28" s="507">
        <v>0.98619999999999997</v>
      </c>
      <c r="E28" s="507">
        <v>0.98619999999999997</v>
      </c>
      <c r="F28" s="507">
        <v>0.98619999999999997</v>
      </c>
      <c r="G28" s="507">
        <v>0.98619999999999997</v>
      </c>
      <c r="H28" s="507">
        <v>0.98619999999999997</v>
      </c>
      <c r="I28" s="507">
        <v>0.873</v>
      </c>
      <c r="J28" s="507">
        <v>0.873</v>
      </c>
      <c r="K28" s="507">
        <v>0.873</v>
      </c>
      <c r="L28" s="507">
        <v>0.873</v>
      </c>
      <c r="M28" s="507">
        <v>0.873</v>
      </c>
    </row>
    <row r="29" spans="1:14">
      <c r="A29" s="508">
        <v>2.7</v>
      </c>
      <c r="B29" s="507">
        <v>1.0716000000000001</v>
      </c>
      <c r="C29" s="507">
        <v>1.0716000000000001</v>
      </c>
      <c r="D29" s="507">
        <v>0.97330000000000005</v>
      </c>
      <c r="E29" s="507">
        <v>0.97330000000000005</v>
      </c>
      <c r="F29" s="507">
        <v>0.97330000000000005</v>
      </c>
      <c r="G29" s="507">
        <v>0.97330000000000005</v>
      </c>
      <c r="H29" s="507">
        <v>0.97330000000000005</v>
      </c>
      <c r="I29" s="507">
        <v>0.85670000000000002</v>
      </c>
      <c r="J29" s="507">
        <v>0.85670000000000002</v>
      </c>
      <c r="K29" s="507">
        <v>0.85670000000000002</v>
      </c>
      <c r="L29" s="507">
        <v>0.85670000000000002</v>
      </c>
      <c r="M29" s="507">
        <v>0.85670000000000002</v>
      </c>
    </row>
    <row r="30" spans="1:14">
      <c r="A30" s="508">
        <v>2.8</v>
      </c>
      <c r="B30" s="507">
        <v>1.0602</v>
      </c>
      <c r="C30" s="507">
        <v>1.0602</v>
      </c>
      <c r="D30" s="507">
        <v>0.96160000000000001</v>
      </c>
      <c r="E30" s="507">
        <v>0.96160000000000001</v>
      </c>
      <c r="F30" s="507">
        <v>0.96160000000000001</v>
      </c>
      <c r="G30" s="507">
        <v>0.96160000000000001</v>
      </c>
      <c r="H30" s="507">
        <v>0.96160000000000001</v>
      </c>
      <c r="I30" s="507">
        <v>0.8417</v>
      </c>
      <c r="J30" s="507">
        <v>0.8417</v>
      </c>
      <c r="K30" s="507">
        <v>0.8417</v>
      </c>
      <c r="L30" s="507">
        <v>0.8417</v>
      </c>
      <c r="M30" s="507">
        <v>0.8417</v>
      </c>
    </row>
    <row r="31" spans="1:14">
      <c r="A31" s="508">
        <v>2.9</v>
      </c>
      <c r="B31" s="507">
        <v>1.0497000000000001</v>
      </c>
      <c r="C31" s="507">
        <v>1.0497000000000001</v>
      </c>
      <c r="D31" s="507">
        <v>0.95089999999999997</v>
      </c>
      <c r="E31" s="507">
        <v>0.95089999999999997</v>
      </c>
      <c r="F31" s="507">
        <v>0.95089999999999997</v>
      </c>
      <c r="G31" s="507">
        <v>0.95089999999999997</v>
      </c>
      <c r="H31" s="507">
        <v>0.95089999999999997</v>
      </c>
      <c r="I31" s="507">
        <v>0.82809999999999995</v>
      </c>
      <c r="J31" s="507">
        <v>0.82809999999999995</v>
      </c>
      <c r="K31" s="507">
        <v>0.82809999999999995</v>
      </c>
      <c r="L31" s="507">
        <v>0.82809999999999995</v>
      </c>
      <c r="M31" s="507">
        <v>0.82809999999999995</v>
      </c>
    </row>
    <row r="32" spans="1:14">
      <c r="A32" s="508">
        <v>3</v>
      </c>
      <c r="B32" s="507">
        <v>1.0401</v>
      </c>
      <c r="C32" s="507">
        <v>1.0401</v>
      </c>
      <c r="D32" s="507">
        <v>0.94089999999999996</v>
      </c>
      <c r="E32" s="507">
        <v>0.94089999999999996</v>
      </c>
      <c r="F32" s="507">
        <v>0.94089999999999996</v>
      </c>
      <c r="G32" s="507">
        <v>0.94089999999999996</v>
      </c>
      <c r="H32" s="507">
        <v>0.94089999999999996</v>
      </c>
      <c r="I32" s="507">
        <v>0.81579999999999997</v>
      </c>
      <c r="J32" s="507">
        <v>0.81579999999999997</v>
      </c>
      <c r="K32" s="507">
        <v>0.81579999999999997</v>
      </c>
      <c r="L32" s="507">
        <v>0.81579999999999997</v>
      </c>
      <c r="M32" s="507">
        <v>0.81579999999999997</v>
      </c>
    </row>
    <row r="33" spans="1:13">
      <c r="A33" s="508">
        <v>3.1</v>
      </c>
      <c r="B33" s="507">
        <v>1.0314000000000001</v>
      </c>
      <c r="C33" s="507">
        <v>1.0314000000000001</v>
      </c>
      <c r="D33" s="507">
        <v>0.93169999999999997</v>
      </c>
      <c r="E33" s="507">
        <v>0.93169999999999997</v>
      </c>
      <c r="F33" s="507">
        <v>0.93169999999999997</v>
      </c>
      <c r="G33" s="507">
        <v>0.93169999999999997</v>
      </c>
      <c r="H33" s="507">
        <v>0.93169999999999997</v>
      </c>
      <c r="I33" s="507">
        <v>0.80410000000000004</v>
      </c>
      <c r="J33" s="507">
        <v>0.80410000000000004</v>
      </c>
      <c r="K33" s="507">
        <v>0.80410000000000004</v>
      </c>
      <c r="L33" s="507">
        <v>0.80410000000000004</v>
      </c>
      <c r="M33" s="507">
        <v>0.80410000000000004</v>
      </c>
    </row>
    <row r="34" spans="1:13">
      <c r="A34" s="508">
        <v>3.2</v>
      </c>
      <c r="B34" s="507">
        <v>1.0229999999999999</v>
      </c>
      <c r="C34" s="507">
        <v>1.0229999999999999</v>
      </c>
      <c r="D34" s="507">
        <v>0.92279999999999995</v>
      </c>
      <c r="E34" s="507">
        <v>0.92279999999999995</v>
      </c>
      <c r="F34" s="507">
        <v>0.92279999999999995</v>
      </c>
      <c r="G34" s="507">
        <v>0.92279999999999995</v>
      </c>
      <c r="H34" s="507">
        <v>0.92279999999999995</v>
      </c>
      <c r="I34" s="507">
        <v>0.79300000000000004</v>
      </c>
      <c r="J34" s="507">
        <v>0.79300000000000004</v>
      </c>
      <c r="K34" s="507">
        <v>0.79300000000000004</v>
      </c>
      <c r="L34" s="507">
        <v>0.79300000000000004</v>
      </c>
      <c r="M34" s="507">
        <v>0.79300000000000004</v>
      </c>
    </row>
    <row r="35" spans="1:13">
      <c r="A35" s="508">
        <v>3.3</v>
      </c>
      <c r="B35" s="507">
        <v>1.0149999999999999</v>
      </c>
      <c r="C35" s="507">
        <v>1.0149999999999999</v>
      </c>
      <c r="D35" s="507">
        <v>0.91439999999999999</v>
      </c>
      <c r="E35" s="507">
        <v>0.91439999999999999</v>
      </c>
      <c r="F35" s="507">
        <v>0.91439999999999999</v>
      </c>
      <c r="G35" s="507">
        <v>0.91439999999999999</v>
      </c>
      <c r="H35" s="507">
        <v>0.91439999999999999</v>
      </c>
      <c r="I35" s="507">
        <v>0.78220000000000001</v>
      </c>
      <c r="J35" s="507">
        <v>0.78220000000000001</v>
      </c>
      <c r="K35" s="507">
        <v>0.78220000000000001</v>
      </c>
      <c r="L35" s="507">
        <v>0.78220000000000001</v>
      </c>
      <c r="M35" s="507">
        <v>0.78220000000000001</v>
      </c>
    </row>
    <row r="36" spans="1:13">
      <c r="A36" s="508">
        <v>3.4</v>
      </c>
      <c r="B36" s="507">
        <v>1.0073000000000001</v>
      </c>
      <c r="C36" s="507">
        <v>1.0073000000000001</v>
      </c>
      <c r="D36" s="507">
        <v>0.90629999999999999</v>
      </c>
      <c r="E36" s="507">
        <v>0.90629999999999999</v>
      </c>
      <c r="F36" s="507">
        <v>0.90629999999999999</v>
      </c>
      <c r="G36" s="507">
        <v>0.90629999999999999</v>
      </c>
      <c r="H36" s="507">
        <v>0.90629999999999999</v>
      </c>
      <c r="I36" s="507">
        <v>0.77210000000000001</v>
      </c>
      <c r="J36" s="507">
        <v>0.77210000000000001</v>
      </c>
      <c r="K36" s="507">
        <v>0.77210000000000001</v>
      </c>
      <c r="L36" s="507">
        <v>0.77210000000000001</v>
      </c>
      <c r="M36" s="507">
        <v>0.77210000000000001</v>
      </c>
    </row>
    <row r="37" spans="1:13">
      <c r="A37" s="508">
        <v>3.5</v>
      </c>
      <c r="B37" s="507">
        <v>1</v>
      </c>
      <c r="C37" s="507">
        <v>1</v>
      </c>
      <c r="D37" s="507">
        <v>0.89870000000000005</v>
      </c>
      <c r="E37" s="507">
        <v>0.89870000000000005</v>
      </c>
      <c r="F37" s="507">
        <v>0.89870000000000005</v>
      </c>
      <c r="G37" s="507">
        <v>0.89870000000000005</v>
      </c>
      <c r="H37" s="507">
        <v>0.89870000000000005</v>
      </c>
      <c r="I37" s="507">
        <v>0.76239999999999997</v>
      </c>
      <c r="J37" s="507">
        <v>0.76239999999999997</v>
      </c>
      <c r="K37" s="507">
        <v>0.76239999999999997</v>
      </c>
      <c r="L37" s="507">
        <v>0.76239999999999997</v>
      </c>
      <c r="M37" s="507">
        <v>0.76239999999999997</v>
      </c>
    </row>
    <row r="38" spans="1:13">
      <c r="A38" s="508">
        <v>3.6</v>
      </c>
      <c r="B38" s="507">
        <v>0.99329999999999996</v>
      </c>
      <c r="C38" s="507">
        <v>0.99329999999999996</v>
      </c>
      <c r="D38" s="507">
        <v>0.89139999999999997</v>
      </c>
      <c r="E38" s="507">
        <v>0.89139999999999997</v>
      </c>
      <c r="F38" s="507">
        <v>0.89139999999999997</v>
      </c>
      <c r="G38" s="507">
        <v>0.89139999999999997</v>
      </c>
      <c r="H38" s="507">
        <v>0.89139999999999997</v>
      </c>
      <c r="I38" s="507">
        <v>0.75319999999999998</v>
      </c>
      <c r="J38" s="507">
        <v>0.75319999999999998</v>
      </c>
      <c r="K38" s="507">
        <v>0.75319999999999998</v>
      </c>
      <c r="L38" s="507">
        <v>0.75319999999999998</v>
      </c>
      <c r="M38" s="507">
        <v>0.75319999999999998</v>
      </c>
    </row>
    <row r="39" spans="1:13">
      <c r="A39" s="508">
        <v>3.7</v>
      </c>
      <c r="B39" s="507">
        <v>0.9869</v>
      </c>
      <c r="C39" s="507">
        <v>0.9869</v>
      </c>
      <c r="D39" s="507">
        <v>0.88449999999999995</v>
      </c>
      <c r="E39" s="507">
        <v>0.88449999999999995</v>
      </c>
      <c r="F39" s="507">
        <v>0.88449999999999995</v>
      </c>
      <c r="G39" s="507">
        <v>0.88449999999999995</v>
      </c>
      <c r="H39" s="507">
        <v>0.88449999999999995</v>
      </c>
      <c r="I39" s="507">
        <v>0.74460000000000004</v>
      </c>
      <c r="J39" s="507">
        <v>0.74460000000000004</v>
      </c>
      <c r="K39" s="507">
        <v>0.74460000000000004</v>
      </c>
      <c r="L39" s="507">
        <v>0.74460000000000004</v>
      </c>
      <c r="M39" s="507">
        <v>0.74460000000000004</v>
      </c>
    </row>
    <row r="40" spans="1:13">
      <c r="A40" s="508">
        <v>3.8</v>
      </c>
      <c r="B40" s="507">
        <v>0.98080000000000001</v>
      </c>
      <c r="C40" s="507">
        <v>0.98080000000000001</v>
      </c>
      <c r="D40" s="507">
        <v>0.87809999999999999</v>
      </c>
      <c r="E40" s="507">
        <v>0.87809999999999999</v>
      </c>
      <c r="F40" s="507">
        <v>0.87809999999999999</v>
      </c>
      <c r="G40" s="507">
        <v>0.87809999999999999</v>
      </c>
      <c r="H40" s="507">
        <v>0.87809999999999999</v>
      </c>
      <c r="I40" s="507">
        <v>0.73640000000000005</v>
      </c>
      <c r="J40" s="507">
        <v>0.73640000000000005</v>
      </c>
      <c r="K40" s="507">
        <v>0.73640000000000005</v>
      </c>
      <c r="L40" s="507">
        <v>0.73640000000000005</v>
      </c>
      <c r="M40" s="507">
        <v>0.73640000000000005</v>
      </c>
    </row>
    <row r="41" spans="1:13">
      <c r="A41" s="508">
        <v>3.9</v>
      </c>
      <c r="B41" s="507">
        <v>0.97509999999999997</v>
      </c>
      <c r="C41" s="507">
        <v>0.97509999999999997</v>
      </c>
      <c r="D41" s="507">
        <v>0.87209999999999999</v>
      </c>
      <c r="E41" s="507">
        <v>0.87209999999999999</v>
      </c>
      <c r="F41" s="507">
        <v>0.87209999999999999</v>
      </c>
      <c r="G41" s="507">
        <v>0.87209999999999999</v>
      </c>
      <c r="H41" s="507">
        <v>0.87209999999999999</v>
      </c>
      <c r="I41" s="507">
        <v>0.7288</v>
      </c>
      <c r="J41" s="507">
        <v>0.7288</v>
      </c>
      <c r="K41" s="507">
        <v>0.7288</v>
      </c>
      <c r="L41" s="507">
        <v>0.7288</v>
      </c>
      <c r="M41" s="507">
        <v>0.7288</v>
      </c>
    </row>
    <row r="42" spans="1:13">
      <c r="A42" s="508">
        <v>4</v>
      </c>
      <c r="B42" s="507">
        <v>0.96989999999999998</v>
      </c>
      <c r="C42" s="507">
        <v>0.96989999999999998</v>
      </c>
      <c r="D42" s="507">
        <v>0.86650000000000005</v>
      </c>
      <c r="E42" s="507">
        <v>0.86650000000000005</v>
      </c>
      <c r="F42" s="507">
        <v>0.86650000000000005</v>
      </c>
      <c r="G42" s="507">
        <v>0.86650000000000005</v>
      </c>
      <c r="H42" s="507">
        <v>0.86650000000000005</v>
      </c>
      <c r="I42" s="507">
        <v>0.7218</v>
      </c>
      <c r="J42" s="507">
        <v>0.7218</v>
      </c>
      <c r="K42" s="507">
        <v>0.7218</v>
      </c>
      <c r="L42" s="507">
        <v>0.7218</v>
      </c>
      <c r="M42" s="507">
        <v>0.7218</v>
      </c>
    </row>
    <row r="43" spans="1:13">
      <c r="A43" s="508">
        <v>4.0999999999999996</v>
      </c>
      <c r="B43" s="507">
        <v>0.96479999999999999</v>
      </c>
      <c r="C43" s="507">
        <v>0.96479999999999999</v>
      </c>
      <c r="D43" s="507">
        <v>0.86109999999999998</v>
      </c>
      <c r="E43" s="507">
        <v>0.86109999999999998</v>
      </c>
      <c r="F43" s="507">
        <v>0.86109999999999998</v>
      </c>
      <c r="G43" s="507">
        <v>0.86109999999999998</v>
      </c>
      <c r="H43" s="507">
        <v>0.86109999999999998</v>
      </c>
      <c r="I43" s="507">
        <v>0.71499999999999997</v>
      </c>
      <c r="J43" s="507">
        <v>0.71499999999999997</v>
      </c>
      <c r="K43" s="507">
        <v>0.71499999999999997</v>
      </c>
      <c r="L43" s="507">
        <v>0.71499999999999997</v>
      </c>
      <c r="M43" s="507">
        <v>0.71499999999999997</v>
      </c>
    </row>
    <row r="44" spans="1:13">
      <c r="A44" s="508">
        <v>4.2</v>
      </c>
      <c r="B44" s="507">
        <v>0.96</v>
      </c>
      <c r="C44" s="507">
        <v>0.96</v>
      </c>
      <c r="D44" s="507">
        <v>0.85599999999999998</v>
      </c>
      <c r="E44" s="507">
        <v>0.85599999999999998</v>
      </c>
      <c r="F44" s="507">
        <v>0.85599999999999998</v>
      </c>
      <c r="G44" s="507">
        <v>0.85599999999999998</v>
      </c>
      <c r="H44" s="507">
        <v>0.85599999999999998</v>
      </c>
      <c r="I44" s="507">
        <v>0.70840000000000003</v>
      </c>
      <c r="J44" s="507">
        <v>0.70840000000000003</v>
      </c>
      <c r="K44" s="507">
        <v>0.70840000000000003</v>
      </c>
      <c r="L44" s="507">
        <v>0.70840000000000003</v>
      </c>
      <c r="M44" s="507">
        <v>0.70840000000000003</v>
      </c>
    </row>
    <row r="45" spans="1:13">
      <c r="A45" s="508">
        <v>4.3</v>
      </c>
      <c r="B45" s="507">
        <v>0.95530000000000004</v>
      </c>
      <c r="C45" s="507">
        <v>0.95530000000000004</v>
      </c>
      <c r="D45" s="507">
        <v>0.85099999999999998</v>
      </c>
      <c r="E45" s="507">
        <v>0.85099999999999998</v>
      </c>
      <c r="F45" s="507">
        <v>0.85099999999999998</v>
      </c>
      <c r="G45" s="507">
        <v>0.85099999999999998</v>
      </c>
      <c r="H45" s="507">
        <v>0.85099999999999998</v>
      </c>
      <c r="I45" s="507">
        <v>0.70199999999999996</v>
      </c>
      <c r="J45" s="507">
        <v>0.70199999999999996</v>
      </c>
      <c r="K45" s="507">
        <v>0.70199999999999996</v>
      </c>
      <c r="L45" s="507">
        <v>0.70199999999999996</v>
      </c>
      <c r="M45" s="507">
        <v>0.70199999999999996</v>
      </c>
    </row>
    <row r="46" spans="1:13">
      <c r="A46" s="508">
        <v>4.4000000000000004</v>
      </c>
      <c r="B46" s="507">
        <v>0.95079999999999998</v>
      </c>
      <c r="C46" s="507">
        <v>0.95079999999999998</v>
      </c>
      <c r="D46" s="507">
        <v>0.84619999999999995</v>
      </c>
      <c r="E46" s="507">
        <v>0.84619999999999995</v>
      </c>
      <c r="F46" s="507">
        <v>0.84619999999999995</v>
      </c>
      <c r="G46" s="507">
        <v>0.84619999999999995</v>
      </c>
      <c r="H46" s="507">
        <v>0.84619999999999995</v>
      </c>
      <c r="I46" s="507">
        <v>0.69579999999999997</v>
      </c>
      <c r="J46" s="507">
        <v>0.69579999999999997</v>
      </c>
      <c r="K46" s="507">
        <v>0.69579999999999997</v>
      </c>
      <c r="L46" s="507">
        <v>0.69579999999999997</v>
      </c>
      <c r="M46" s="507">
        <v>0.69579999999999997</v>
      </c>
    </row>
    <row r="47" spans="1:13">
      <c r="A47" s="508">
        <v>4.5</v>
      </c>
      <c r="B47" s="507">
        <v>0.94640000000000002</v>
      </c>
      <c r="C47" s="507">
        <v>0.94640000000000002</v>
      </c>
      <c r="D47" s="507">
        <v>0.84150000000000003</v>
      </c>
      <c r="E47" s="507">
        <v>0.84150000000000003</v>
      </c>
      <c r="F47" s="507">
        <v>0.84150000000000003</v>
      </c>
      <c r="G47" s="507">
        <v>0.84150000000000003</v>
      </c>
      <c r="H47" s="507">
        <v>0.84150000000000003</v>
      </c>
      <c r="I47" s="507">
        <v>0.68989999999999996</v>
      </c>
      <c r="J47" s="507">
        <v>0.68989999999999996</v>
      </c>
      <c r="K47" s="507">
        <v>0.68989999999999996</v>
      </c>
      <c r="L47" s="507">
        <v>0.68989999999999996</v>
      </c>
      <c r="M47" s="507">
        <v>0.68989999999999996</v>
      </c>
    </row>
    <row r="48" spans="1:13">
      <c r="A48" s="508">
        <v>4.5999999999999996</v>
      </c>
      <c r="B48" s="507">
        <v>0.94230000000000003</v>
      </c>
      <c r="C48" s="507">
        <v>0.94230000000000003</v>
      </c>
      <c r="D48" s="507">
        <v>0.83709999999999996</v>
      </c>
      <c r="E48" s="507">
        <v>0.83709999999999996</v>
      </c>
      <c r="F48" s="507">
        <v>0.83709999999999996</v>
      </c>
      <c r="G48" s="507">
        <v>0.83709999999999996</v>
      </c>
      <c r="H48" s="507">
        <v>0.83709999999999996</v>
      </c>
      <c r="I48" s="507">
        <v>0.68430000000000002</v>
      </c>
      <c r="J48" s="507">
        <v>0.68430000000000002</v>
      </c>
      <c r="K48" s="507">
        <v>0.68430000000000002</v>
      </c>
      <c r="L48" s="507">
        <v>0.68430000000000002</v>
      </c>
      <c r="M48" s="507">
        <v>0.68430000000000002</v>
      </c>
    </row>
    <row r="49" spans="1:13">
      <c r="A49" s="508">
        <v>4.7</v>
      </c>
      <c r="B49" s="507">
        <v>0.93830000000000002</v>
      </c>
      <c r="C49" s="507">
        <v>0.93830000000000002</v>
      </c>
      <c r="D49" s="507">
        <v>0.83279999999999998</v>
      </c>
      <c r="E49" s="507">
        <v>0.83279999999999998</v>
      </c>
      <c r="F49" s="507">
        <v>0.83279999999999998</v>
      </c>
      <c r="G49" s="507">
        <v>0.83279999999999998</v>
      </c>
      <c r="H49" s="507">
        <v>0.83279999999999998</v>
      </c>
      <c r="I49" s="507">
        <v>0.67879999999999996</v>
      </c>
      <c r="J49" s="507">
        <v>0.67879999999999996</v>
      </c>
      <c r="K49" s="507">
        <v>0.67879999999999996</v>
      </c>
      <c r="L49" s="507">
        <v>0.67879999999999996</v>
      </c>
      <c r="M49" s="507">
        <v>0.67879999999999996</v>
      </c>
    </row>
    <row r="50" spans="1:13">
      <c r="A50" s="508">
        <v>4.8</v>
      </c>
      <c r="B50" s="507">
        <v>0.9345</v>
      </c>
      <c r="C50" s="507">
        <v>0.9345</v>
      </c>
      <c r="D50" s="507">
        <v>0.82869999999999999</v>
      </c>
      <c r="E50" s="507">
        <v>0.82869999999999999</v>
      </c>
      <c r="F50" s="507">
        <v>0.82869999999999999</v>
      </c>
      <c r="G50" s="507">
        <v>0.82869999999999999</v>
      </c>
      <c r="H50" s="507">
        <v>0.82869999999999999</v>
      </c>
      <c r="I50" s="507">
        <v>0.67359999999999998</v>
      </c>
      <c r="J50" s="507">
        <v>0.67359999999999998</v>
      </c>
      <c r="K50" s="507">
        <v>0.67359999999999998</v>
      </c>
      <c r="L50" s="507">
        <v>0.67359999999999998</v>
      </c>
      <c r="M50" s="507">
        <v>0.67359999999999998</v>
      </c>
    </row>
    <row r="51" spans="1:13">
      <c r="A51" s="508">
        <v>4.9000000000000004</v>
      </c>
      <c r="B51" s="507">
        <v>0.93079999999999996</v>
      </c>
      <c r="C51" s="507">
        <v>0.93079999999999996</v>
      </c>
      <c r="D51" s="507">
        <v>0.82479999999999998</v>
      </c>
      <c r="E51" s="507">
        <v>0.82479999999999998</v>
      </c>
      <c r="F51" s="507">
        <v>0.82479999999999998</v>
      </c>
      <c r="G51" s="507">
        <v>0.82479999999999998</v>
      </c>
      <c r="H51" s="507">
        <v>0.82479999999999998</v>
      </c>
      <c r="I51" s="507">
        <v>0.66849999999999998</v>
      </c>
      <c r="J51" s="507">
        <v>0.66849999999999998</v>
      </c>
      <c r="K51" s="507">
        <v>0.66849999999999998</v>
      </c>
      <c r="L51" s="507">
        <v>0.66849999999999998</v>
      </c>
      <c r="M51" s="507">
        <v>0.66849999999999998</v>
      </c>
    </row>
    <row r="52" spans="1:13">
      <c r="A52" s="508">
        <v>5</v>
      </c>
      <c r="B52" s="507">
        <v>0.9274</v>
      </c>
      <c r="C52" s="507">
        <v>0.9274</v>
      </c>
      <c r="D52" s="507">
        <v>0.82110000000000005</v>
      </c>
      <c r="E52" s="507">
        <v>0.82110000000000005</v>
      </c>
      <c r="F52" s="507">
        <v>0.82110000000000005</v>
      </c>
      <c r="G52" s="507">
        <v>0.82110000000000005</v>
      </c>
      <c r="H52" s="507">
        <v>0.82110000000000005</v>
      </c>
      <c r="I52" s="507">
        <v>0.66369999999999996</v>
      </c>
      <c r="J52" s="507">
        <v>0.66369999999999996</v>
      </c>
      <c r="K52" s="507">
        <v>0.66369999999999996</v>
      </c>
      <c r="L52" s="507">
        <v>0.66369999999999996</v>
      </c>
      <c r="M52" s="507">
        <v>0.66369999999999996</v>
      </c>
    </row>
    <row r="53" spans="1:13">
      <c r="A53" s="504">
        <v>5.0999999999999996</v>
      </c>
      <c r="B53" s="507">
        <v>0.92410000000000003</v>
      </c>
      <c r="C53" s="507">
        <v>0.92410000000000003</v>
      </c>
      <c r="D53" s="507">
        <v>0.8175</v>
      </c>
      <c r="E53" s="507">
        <v>0.8175</v>
      </c>
      <c r="F53" s="507">
        <v>0.8175</v>
      </c>
      <c r="G53" s="507">
        <v>0.8175</v>
      </c>
      <c r="H53" s="507">
        <v>0.8175</v>
      </c>
      <c r="I53" s="507">
        <v>0.65900000000000003</v>
      </c>
      <c r="J53" s="507">
        <v>0.65900000000000003</v>
      </c>
      <c r="K53" s="507">
        <v>0.65900000000000003</v>
      </c>
      <c r="L53" s="507">
        <v>0.65900000000000003</v>
      </c>
      <c r="M53" s="507">
        <v>0.65900000000000003</v>
      </c>
    </row>
    <row r="54" spans="1:13">
      <c r="A54" s="504">
        <v>5.2</v>
      </c>
      <c r="B54" s="507">
        <v>0.92090000000000005</v>
      </c>
      <c r="C54" s="507">
        <v>0.92090000000000005</v>
      </c>
      <c r="D54" s="507">
        <v>0.81399999999999995</v>
      </c>
      <c r="E54" s="507">
        <v>0.81399999999999995</v>
      </c>
      <c r="F54" s="507">
        <v>0.81399999999999995</v>
      </c>
      <c r="G54" s="507">
        <v>0.81399999999999995</v>
      </c>
      <c r="H54" s="507">
        <v>0.81399999999999995</v>
      </c>
      <c r="I54" s="507">
        <v>0.65449999999999997</v>
      </c>
      <c r="J54" s="507">
        <v>0.65449999999999997</v>
      </c>
      <c r="K54" s="507">
        <v>0.65449999999999997</v>
      </c>
      <c r="L54" s="507">
        <v>0.65449999999999997</v>
      </c>
      <c r="M54" s="507">
        <v>0.65449999999999997</v>
      </c>
    </row>
    <row r="55" spans="1:13">
      <c r="A55" s="504">
        <v>5.3</v>
      </c>
      <c r="B55" s="507">
        <v>0.91790000000000005</v>
      </c>
      <c r="C55" s="507">
        <v>0.91790000000000005</v>
      </c>
      <c r="D55" s="507">
        <v>0.81059999999999999</v>
      </c>
      <c r="E55" s="507">
        <v>0.81059999999999999</v>
      </c>
      <c r="F55" s="507">
        <v>0.81059999999999999</v>
      </c>
      <c r="G55" s="507">
        <v>0.81059999999999999</v>
      </c>
      <c r="H55" s="507">
        <v>0.81059999999999999</v>
      </c>
      <c r="I55" s="507">
        <v>0.6502</v>
      </c>
      <c r="J55" s="507">
        <v>0.6502</v>
      </c>
      <c r="K55" s="507">
        <v>0.6502</v>
      </c>
      <c r="L55" s="507">
        <v>0.6502</v>
      </c>
      <c r="M55" s="507">
        <v>0.6502</v>
      </c>
    </row>
    <row r="56" spans="1:13">
      <c r="A56" s="504">
        <v>5.4</v>
      </c>
      <c r="B56" s="507">
        <v>0.91490000000000005</v>
      </c>
      <c r="C56" s="507">
        <v>0.91490000000000005</v>
      </c>
      <c r="D56" s="507">
        <v>0.80740000000000001</v>
      </c>
      <c r="E56" s="507">
        <v>0.80740000000000001</v>
      </c>
      <c r="F56" s="507">
        <v>0.80740000000000001</v>
      </c>
      <c r="G56" s="507">
        <v>0.80740000000000001</v>
      </c>
      <c r="H56" s="507">
        <v>0.80740000000000001</v>
      </c>
      <c r="I56" s="507">
        <v>0.64590000000000003</v>
      </c>
      <c r="J56" s="507">
        <v>0.64590000000000003</v>
      </c>
      <c r="K56" s="507">
        <v>0.64590000000000003</v>
      </c>
      <c r="L56" s="507">
        <v>0.64590000000000003</v>
      </c>
      <c r="M56" s="507">
        <v>0.64590000000000003</v>
      </c>
    </row>
    <row r="57" spans="1:13">
      <c r="A57" s="504">
        <v>5.5</v>
      </c>
      <c r="B57" s="507">
        <v>0.91200000000000003</v>
      </c>
      <c r="C57" s="507">
        <v>0.91200000000000003</v>
      </c>
      <c r="D57" s="507">
        <v>0.80420000000000003</v>
      </c>
      <c r="E57" s="507">
        <v>0.80420000000000003</v>
      </c>
      <c r="F57" s="507">
        <v>0.80420000000000003</v>
      </c>
      <c r="G57" s="507">
        <v>0.80420000000000003</v>
      </c>
      <c r="H57" s="507">
        <v>0.80420000000000003</v>
      </c>
      <c r="I57" s="507">
        <v>0.64180000000000004</v>
      </c>
      <c r="J57" s="507">
        <v>0.64180000000000004</v>
      </c>
      <c r="K57" s="507">
        <v>0.64180000000000004</v>
      </c>
      <c r="L57" s="507">
        <v>0.64180000000000004</v>
      </c>
      <c r="M57" s="507">
        <v>0.64180000000000004</v>
      </c>
    </row>
    <row r="58" spans="1:13">
      <c r="A58" s="504">
        <v>5.6</v>
      </c>
      <c r="B58" s="507">
        <v>0.90910000000000002</v>
      </c>
      <c r="C58" s="507">
        <v>0.90910000000000002</v>
      </c>
      <c r="D58" s="507">
        <v>0.80120000000000002</v>
      </c>
      <c r="E58" s="507">
        <v>0.80120000000000002</v>
      </c>
      <c r="F58" s="507">
        <v>0.80120000000000002</v>
      </c>
      <c r="G58" s="507">
        <v>0.80120000000000002</v>
      </c>
      <c r="H58" s="507">
        <v>0.80120000000000002</v>
      </c>
      <c r="I58" s="507">
        <v>0.63790000000000002</v>
      </c>
      <c r="J58" s="507">
        <v>0.63790000000000002</v>
      </c>
      <c r="K58" s="507">
        <v>0.63790000000000002</v>
      </c>
      <c r="L58" s="507">
        <v>0.63790000000000002</v>
      </c>
      <c r="M58" s="507">
        <v>0.63790000000000002</v>
      </c>
    </row>
    <row r="59" spans="1:13">
      <c r="A59" s="508">
        <v>5.7</v>
      </c>
      <c r="B59" s="507">
        <v>0.90639999999999998</v>
      </c>
      <c r="C59" s="507">
        <v>0.90639999999999998</v>
      </c>
      <c r="D59" s="507">
        <v>0.79820000000000002</v>
      </c>
      <c r="E59" s="507">
        <v>0.79820000000000002</v>
      </c>
      <c r="F59" s="507">
        <v>0.79820000000000002</v>
      </c>
      <c r="G59" s="507">
        <v>0.79820000000000002</v>
      </c>
      <c r="H59" s="507">
        <v>0.79820000000000002</v>
      </c>
      <c r="I59" s="507">
        <v>0.6341</v>
      </c>
      <c r="J59" s="507">
        <v>0.6341</v>
      </c>
      <c r="K59" s="507">
        <v>0.6341</v>
      </c>
      <c r="L59" s="507">
        <v>0.6341</v>
      </c>
      <c r="M59" s="507">
        <v>0.6341</v>
      </c>
    </row>
    <row r="60" spans="1:13">
      <c r="A60" s="504">
        <v>5.8</v>
      </c>
      <c r="B60" s="507">
        <v>0.90380000000000005</v>
      </c>
      <c r="C60" s="507">
        <v>0.90380000000000005</v>
      </c>
      <c r="D60" s="507">
        <v>0.7954</v>
      </c>
      <c r="E60" s="507">
        <v>0.7954</v>
      </c>
      <c r="F60" s="507">
        <v>0.7954</v>
      </c>
      <c r="G60" s="507">
        <v>0.7954</v>
      </c>
      <c r="H60" s="507">
        <v>0.7954</v>
      </c>
      <c r="I60" s="507">
        <v>0.63039999999999996</v>
      </c>
      <c r="J60" s="507">
        <v>0.63039999999999996</v>
      </c>
      <c r="K60" s="507">
        <v>0.63039999999999996</v>
      </c>
      <c r="L60" s="507">
        <v>0.63039999999999996</v>
      </c>
      <c r="M60" s="507">
        <v>0.63039999999999996</v>
      </c>
    </row>
    <row r="61" spans="1:13">
      <c r="A61" s="504">
        <v>5.9</v>
      </c>
      <c r="B61" s="507">
        <v>0.90129999999999999</v>
      </c>
      <c r="C61" s="507">
        <v>0.90129999999999999</v>
      </c>
      <c r="D61" s="507">
        <v>0.79269999999999996</v>
      </c>
      <c r="E61" s="507">
        <v>0.79269999999999996</v>
      </c>
      <c r="F61" s="507">
        <v>0.79269999999999996</v>
      </c>
      <c r="G61" s="507">
        <v>0.79269999999999996</v>
      </c>
      <c r="H61" s="507">
        <v>0.79269999999999996</v>
      </c>
      <c r="I61" s="507">
        <v>0.62690000000000001</v>
      </c>
      <c r="J61" s="507">
        <v>0.62690000000000001</v>
      </c>
      <c r="K61" s="507">
        <v>0.62690000000000001</v>
      </c>
      <c r="L61" s="507">
        <v>0.62690000000000001</v>
      </c>
      <c r="M61" s="507">
        <v>0.62690000000000001</v>
      </c>
    </row>
    <row r="62" spans="1:13">
      <c r="A62" s="504">
        <v>6</v>
      </c>
      <c r="B62" s="507">
        <v>0.89890000000000003</v>
      </c>
      <c r="C62" s="507">
        <v>0.89890000000000003</v>
      </c>
      <c r="D62" s="507">
        <v>0.79020000000000001</v>
      </c>
      <c r="E62" s="507">
        <v>0.79020000000000001</v>
      </c>
      <c r="F62" s="507">
        <v>0.79020000000000001</v>
      </c>
      <c r="G62" s="507">
        <v>0.79020000000000001</v>
      </c>
      <c r="H62" s="507">
        <v>0.79020000000000001</v>
      </c>
      <c r="I62" s="507">
        <v>0.62350000000000005</v>
      </c>
      <c r="J62" s="507">
        <v>0.62350000000000005</v>
      </c>
      <c r="K62" s="507">
        <v>0.62350000000000005</v>
      </c>
      <c r="L62" s="507">
        <v>0.62350000000000005</v>
      </c>
      <c r="M62" s="507">
        <v>0.62350000000000005</v>
      </c>
    </row>
    <row r="63" spans="1:13">
      <c r="A63" s="504">
        <v>6.1</v>
      </c>
      <c r="B63" s="507">
        <v>0.89649999999999996</v>
      </c>
      <c r="C63" s="507">
        <v>0.89649999999999996</v>
      </c>
      <c r="D63" s="507">
        <v>0.78769999999999996</v>
      </c>
      <c r="E63" s="507">
        <v>0.78769999999999996</v>
      </c>
      <c r="F63" s="507">
        <v>0.78769999999999996</v>
      </c>
      <c r="G63" s="507">
        <v>0.78769999999999996</v>
      </c>
      <c r="H63" s="507">
        <v>0.78769999999999996</v>
      </c>
      <c r="I63" s="507">
        <v>0.62029999999999996</v>
      </c>
      <c r="J63" s="507">
        <v>0.62029999999999996</v>
      </c>
      <c r="K63" s="507">
        <v>0.62029999999999996</v>
      </c>
      <c r="L63" s="507">
        <v>0.62029999999999996</v>
      </c>
      <c r="M63" s="507">
        <v>0.62029999999999996</v>
      </c>
    </row>
    <row r="64" spans="1:13">
      <c r="A64" s="504">
        <v>6.2</v>
      </c>
      <c r="B64" s="507">
        <v>0.89429999999999998</v>
      </c>
      <c r="C64" s="507">
        <v>0.89429999999999998</v>
      </c>
      <c r="D64" s="507">
        <v>0.78520000000000001</v>
      </c>
      <c r="E64" s="507">
        <v>0.78520000000000001</v>
      </c>
      <c r="F64" s="507">
        <v>0.78520000000000001</v>
      </c>
      <c r="G64" s="507">
        <v>0.78520000000000001</v>
      </c>
      <c r="H64" s="507">
        <v>0.78520000000000001</v>
      </c>
      <c r="I64" s="507">
        <v>0.61719999999999997</v>
      </c>
      <c r="J64" s="507">
        <v>0.61719999999999997</v>
      </c>
      <c r="K64" s="507">
        <v>0.61719999999999997</v>
      </c>
      <c r="L64" s="507">
        <v>0.61719999999999997</v>
      </c>
      <c r="M64" s="507">
        <v>0.61719999999999997</v>
      </c>
    </row>
    <row r="65" spans="1:13">
      <c r="A65" s="504">
        <v>6.3</v>
      </c>
      <c r="B65" s="507">
        <v>0.89200000000000002</v>
      </c>
      <c r="C65" s="507">
        <v>0.89200000000000002</v>
      </c>
      <c r="D65" s="507">
        <v>0.78280000000000005</v>
      </c>
      <c r="E65" s="507">
        <v>0.78280000000000005</v>
      </c>
      <c r="F65" s="507">
        <v>0.78280000000000005</v>
      </c>
      <c r="G65" s="507">
        <v>0.78280000000000005</v>
      </c>
      <c r="H65" s="507">
        <v>0.78280000000000005</v>
      </c>
      <c r="I65" s="507">
        <v>0.61409999999999998</v>
      </c>
      <c r="J65" s="507">
        <v>0.61409999999999998</v>
      </c>
      <c r="K65" s="507">
        <v>0.61409999999999998</v>
      </c>
      <c r="L65" s="507">
        <v>0.61409999999999998</v>
      </c>
      <c r="M65" s="507">
        <v>0.61409999999999998</v>
      </c>
    </row>
    <row r="66" spans="1:13">
      <c r="A66" s="504">
        <v>6.4</v>
      </c>
      <c r="B66" s="507">
        <v>0.88990000000000002</v>
      </c>
      <c r="C66" s="507">
        <v>0.88990000000000002</v>
      </c>
      <c r="D66" s="507">
        <v>0.78039999999999998</v>
      </c>
      <c r="E66" s="507">
        <v>0.78039999999999998</v>
      </c>
      <c r="F66" s="507">
        <v>0.78039999999999998</v>
      </c>
      <c r="G66" s="507">
        <v>0.78039999999999998</v>
      </c>
      <c r="H66" s="507">
        <v>0.78039999999999998</v>
      </c>
      <c r="I66" s="507">
        <v>0.61099999999999999</v>
      </c>
      <c r="J66" s="507">
        <v>0.61099999999999999</v>
      </c>
      <c r="K66" s="507">
        <v>0.61099999999999999</v>
      </c>
      <c r="L66" s="507">
        <v>0.61099999999999999</v>
      </c>
      <c r="M66" s="507">
        <v>0.61099999999999999</v>
      </c>
    </row>
    <row r="67" spans="1:13">
      <c r="A67" s="504">
        <v>6.5</v>
      </c>
      <c r="B67" s="507">
        <v>0.88780000000000003</v>
      </c>
      <c r="C67" s="507">
        <v>0.88780000000000003</v>
      </c>
      <c r="D67" s="507">
        <v>0.77810000000000001</v>
      </c>
      <c r="E67" s="507">
        <v>0.77810000000000001</v>
      </c>
      <c r="F67" s="507">
        <v>0.77810000000000001</v>
      </c>
      <c r="G67" s="507">
        <v>0.77810000000000001</v>
      </c>
      <c r="H67" s="507">
        <v>0.77810000000000001</v>
      </c>
      <c r="I67" s="507">
        <v>0.60799999999999998</v>
      </c>
      <c r="J67" s="507">
        <v>0.60799999999999998</v>
      </c>
      <c r="K67" s="507">
        <v>0.60799999999999998</v>
      </c>
      <c r="L67" s="507">
        <v>0.60799999999999998</v>
      </c>
      <c r="M67" s="507">
        <v>0.60799999999999998</v>
      </c>
    </row>
    <row r="68" spans="1:13">
      <c r="A68" s="504">
        <v>6.6</v>
      </c>
      <c r="B68" s="507">
        <v>0.88580000000000003</v>
      </c>
      <c r="C68" s="507">
        <v>0.88580000000000003</v>
      </c>
      <c r="D68" s="507">
        <v>0.77580000000000005</v>
      </c>
      <c r="E68" s="507">
        <v>0.77580000000000005</v>
      </c>
      <c r="F68" s="507">
        <v>0.77580000000000005</v>
      </c>
      <c r="G68" s="507">
        <v>0.77580000000000005</v>
      </c>
      <c r="H68" s="507">
        <v>0.77580000000000005</v>
      </c>
      <c r="I68" s="507">
        <v>0.60499999999999998</v>
      </c>
      <c r="J68" s="507">
        <v>0.60499999999999998</v>
      </c>
      <c r="K68" s="507">
        <v>0.60499999999999998</v>
      </c>
      <c r="L68" s="507">
        <v>0.60499999999999998</v>
      </c>
      <c r="M68" s="507">
        <v>0.60499999999999998</v>
      </c>
    </row>
    <row r="69" spans="1:13">
      <c r="A69" s="504">
        <v>6.7</v>
      </c>
      <c r="B69" s="507">
        <v>0.88380000000000003</v>
      </c>
      <c r="C69" s="507">
        <v>0.88380000000000003</v>
      </c>
      <c r="D69" s="507">
        <v>0.77359999999999995</v>
      </c>
      <c r="E69" s="507">
        <v>0.77359999999999995</v>
      </c>
      <c r="F69" s="507">
        <v>0.77359999999999995</v>
      </c>
      <c r="G69" s="507">
        <v>0.77359999999999995</v>
      </c>
      <c r="H69" s="507">
        <v>0.77359999999999995</v>
      </c>
      <c r="I69" s="507">
        <v>0.60209999999999997</v>
      </c>
      <c r="J69" s="507">
        <v>0.60209999999999997</v>
      </c>
      <c r="K69" s="507">
        <v>0.60209999999999997</v>
      </c>
      <c r="L69" s="507">
        <v>0.60209999999999997</v>
      </c>
      <c r="M69" s="507">
        <v>0.60209999999999997</v>
      </c>
    </row>
    <row r="70" spans="1:13">
      <c r="A70" s="504">
        <v>6.8</v>
      </c>
      <c r="B70" s="507">
        <v>0.88190000000000002</v>
      </c>
      <c r="C70" s="507">
        <v>0.88190000000000002</v>
      </c>
      <c r="D70" s="507">
        <v>0.77159999999999995</v>
      </c>
      <c r="E70" s="507">
        <v>0.77159999999999995</v>
      </c>
      <c r="F70" s="507">
        <v>0.77159999999999995</v>
      </c>
      <c r="G70" s="507">
        <v>0.77159999999999995</v>
      </c>
      <c r="H70" s="507">
        <v>0.77159999999999995</v>
      </c>
      <c r="I70" s="507">
        <v>0.59930000000000005</v>
      </c>
      <c r="J70" s="507">
        <v>0.59930000000000005</v>
      </c>
      <c r="K70" s="507">
        <v>0.59930000000000005</v>
      </c>
      <c r="L70" s="507">
        <v>0.59930000000000005</v>
      </c>
      <c r="M70" s="507">
        <v>0.59930000000000005</v>
      </c>
    </row>
    <row r="71" spans="1:13">
      <c r="A71" s="504">
        <v>6.9</v>
      </c>
      <c r="B71" s="507">
        <v>0.88</v>
      </c>
      <c r="C71" s="507">
        <v>0.88</v>
      </c>
      <c r="D71" s="507">
        <v>0.76949999999999996</v>
      </c>
      <c r="E71" s="507">
        <v>0.76949999999999996</v>
      </c>
      <c r="F71" s="507">
        <v>0.76949999999999996</v>
      </c>
      <c r="G71" s="507">
        <v>0.76949999999999996</v>
      </c>
      <c r="H71" s="507">
        <v>0.76949999999999996</v>
      </c>
      <c r="I71" s="507">
        <v>0.59640000000000004</v>
      </c>
      <c r="J71" s="507">
        <v>0.59640000000000004</v>
      </c>
      <c r="K71" s="507">
        <v>0.59640000000000004</v>
      </c>
      <c r="L71" s="507">
        <v>0.59640000000000004</v>
      </c>
      <c r="M71" s="507">
        <v>0.59640000000000004</v>
      </c>
    </row>
    <row r="72" spans="1:13">
      <c r="A72" s="504">
        <v>7</v>
      </c>
      <c r="B72" s="507">
        <v>0.87819999999999998</v>
      </c>
      <c r="C72" s="507">
        <v>0.87819999999999998</v>
      </c>
      <c r="D72" s="507">
        <v>0.76749999999999996</v>
      </c>
      <c r="E72" s="507">
        <v>0.76749999999999996</v>
      </c>
      <c r="F72" s="507">
        <v>0.76749999999999996</v>
      </c>
      <c r="G72" s="507">
        <v>0.76749999999999996</v>
      </c>
      <c r="H72" s="507">
        <v>0.76749999999999996</v>
      </c>
      <c r="I72" s="507">
        <v>0.59360000000000002</v>
      </c>
      <c r="J72" s="507">
        <v>0.59360000000000002</v>
      </c>
      <c r="K72" s="507">
        <v>0.59360000000000002</v>
      </c>
      <c r="L72" s="507">
        <v>0.59360000000000002</v>
      </c>
      <c r="M72" s="507">
        <v>0.59360000000000002</v>
      </c>
    </row>
    <row r="73" spans="1:13">
      <c r="A73" s="504">
        <v>7.1</v>
      </c>
      <c r="B73" s="507">
        <v>0.87660000000000005</v>
      </c>
      <c r="C73" s="507">
        <v>0.87660000000000005</v>
      </c>
      <c r="D73" s="507">
        <v>0.76570000000000005</v>
      </c>
      <c r="E73" s="507">
        <v>0.76570000000000005</v>
      </c>
      <c r="F73" s="507">
        <v>0.76570000000000005</v>
      </c>
      <c r="G73" s="507">
        <v>0.76570000000000005</v>
      </c>
      <c r="H73" s="507">
        <v>0.76570000000000005</v>
      </c>
      <c r="I73" s="507">
        <v>0.59109999999999996</v>
      </c>
      <c r="J73" s="507">
        <v>0.59109999999999996</v>
      </c>
      <c r="K73" s="507">
        <v>0.59109999999999996</v>
      </c>
      <c r="L73" s="507">
        <v>0.59109999999999996</v>
      </c>
      <c r="M73" s="507">
        <v>0.59109999999999996</v>
      </c>
    </row>
    <row r="74" spans="1:13">
      <c r="A74" s="504">
        <v>7.2</v>
      </c>
      <c r="B74" s="507">
        <v>0.87490000000000001</v>
      </c>
      <c r="C74" s="507">
        <v>0.87490000000000001</v>
      </c>
      <c r="D74" s="507">
        <v>0.76380000000000003</v>
      </c>
      <c r="E74" s="507">
        <v>0.76380000000000003</v>
      </c>
      <c r="F74" s="507">
        <v>0.76380000000000003</v>
      </c>
      <c r="G74" s="507">
        <v>0.76380000000000003</v>
      </c>
      <c r="H74" s="507">
        <v>0.76380000000000003</v>
      </c>
      <c r="I74" s="507">
        <v>0.58860000000000001</v>
      </c>
      <c r="J74" s="507">
        <v>0.58860000000000001</v>
      </c>
      <c r="K74" s="507">
        <v>0.58860000000000001</v>
      </c>
      <c r="L74" s="507">
        <v>0.58860000000000001</v>
      </c>
      <c r="M74" s="507">
        <v>0.58860000000000001</v>
      </c>
    </row>
    <row r="75" spans="1:13">
      <c r="A75" s="504">
        <v>7.3</v>
      </c>
      <c r="B75" s="507">
        <v>0.87329999999999997</v>
      </c>
      <c r="C75" s="507">
        <v>0.87329999999999997</v>
      </c>
      <c r="D75" s="507">
        <v>0.76200000000000001</v>
      </c>
      <c r="E75" s="507">
        <v>0.76200000000000001</v>
      </c>
      <c r="F75" s="507">
        <v>0.76200000000000001</v>
      </c>
      <c r="G75" s="507">
        <v>0.76200000000000001</v>
      </c>
      <c r="H75" s="507">
        <v>0.76200000000000001</v>
      </c>
      <c r="I75" s="507">
        <v>0.58620000000000005</v>
      </c>
      <c r="J75" s="507">
        <v>0.58620000000000005</v>
      </c>
      <c r="K75" s="507">
        <v>0.58620000000000005</v>
      </c>
      <c r="L75" s="507">
        <v>0.58620000000000005</v>
      </c>
      <c r="M75" s="507">
        <v>0.58620000000000005</v>
      </c>
    </row>
    <row r="76" spans="1:13">
      <c r="A76" s="504">
        <v>7.4</v>
      </c>
      <c r="B76" s="507">
        <v>0.87160000000000004</v>
      </c>
      <c r="C76" s="507">
        <v>0.87160000000000004</v>
      </c>
      <c r="D76" s="507">
        <v>0.76029999999999998</v>
      </c>
      <c r="E76" s="507">
        <v>0.76029999999999998</v>
      </c>
      <c r="F76" s="507">
        <v>0.76029999999999998</v>
      </c>
      <c r="G76" s="507">
        <v>0.76029999999999998</v>
      </c>
      <c r="H76" s="507">
        <v>0.76029999999999998</v>
      </c>
      <c r="I76" s="507">
        <v>0.58379999999999999</v>
      </c>
      <c r="J76" s="507">
        <v>0.58379999999999999</v>
      </c>
      <c r="K76" s="507">
        <v>0.58379999999999999</v>
      </c>
      <c r="L76" s="507">
        <v>0.58379999999999999</v>
      </c>
      <c r="M76" s="507">
        <v>0.58379999999999999</v>
      </c>
    </row>
    <row r="77" spans="1:13">
      <c r="A77" s="504">
        <v>7.5</v>
      </c>
      <c r="B77" s="507">
        <v>0.87</v>
      </c>
      <c r="C77" s="507">
        <v>0.87</v>
      </c>
      <c r="D77" s="507">
        <v>0.75849999999999995</v>
      </c>
      <c r="E77" s="507">
        <v>0.75849999999999995</v>
      </c>
      <c r="F77" s="507">
        <v>0.75849999999999995</v>
      </c>
      <c r="G77" s="507">
        <v>0.75849999999999995</v>
      </c>
      <c r="H77" s="507">
        <v>0.75849999999999995</v>
      </c>
      <c r="I77" s="507">
        <v>0.58140000000000003</v>
      </c>
      <c r="J77" s="507">
        <v>0.58140000000000003</v>
      </c>
      <c r="K77" s="507">
        <v>0.58140000000000003</v>
      </c>
      <c r="L77" s="507">
        <v>0.58140000000000003</v>
      </c>
      <c r="M77" s="507">
        <v>0.58140000000000003</v>
      </c>
    </row>
    <row r="78" spans="1:13">
      <c r="A78" s="504">
        <v>7.6</v>
      </c>
      <c r="B78" s="507">
        <v>0.86839999999999995</v>
      </c>
      <c r="C78" s="507">
        <v>0.86839999999999995</v>
      </c>
      <c r="D78" s="507">
        <v>0.75680000000000003</v>
      </c>
      <c r="E78" s="507">
        <v>0.75680000000000003</v>
      </c>
      <c r="F78" s="507">
        <v>0.75680000000000003</v>
      </c>
      <c r="G78" s="507">
        <v>0.75680000000000003</v>
      </c>
      <c r="H78" s="507">
        <v>0.75680000000000003</v>
      </c>
      <c r="I78" s="507">
        <v>0.57899999999999996</v>
      </c>
      <c r="J78" s="507">
        <v>0.57899999999999996</v>
      </c>
      <c r="K78" s="507">
        <v>0.57899999999999996</v>
      </c>
      <c r="L78" s="507">
        <v>0.57899999999999996</v>
      </c>
      <c r="M78" s="507">
        <v>0.57899999999999996</v>
      </c>
    </row>
    <row r="79" spans="1:13">
      <c r="A79" s="504">
        <v>7.7</v>
      </c>
      <c r="B79" s="507">
        <v>0.8669</v>
      </c>
      <c r="C79" s="507">
        <v>0.8669</v>
      </c>
      <c r="D79" s="507">
        <v>0.755</v>
      </c>
      <c r="E79" s="507">
        <v>0.755</v>
      </c>
      <c r="F79" s="507">
        <v>0.755</v>
      </c>
      <c r="G79" s="507">
        <v>0.755</v>
      </c>
      <c r="H79" s="507">
        <v>0.755</v>
      </c>
      <c r="I79" s="507">
        <v>0.57669999999999999</v>
      </c>
      <c r="J79" s="507">
        <v>0.57669999999999999</v>
      </c>
      <c r="K79" s="507">
        <v>0.57669999999999999</v>
      </c>
      <c r="L79" s="507">
        <v>0.57669999999999999</v>
      </c>
      <c r="M79" s="507">
        <v>0.57669999999999999</v>
      </c>
    </row>
    <row r="80" spans="1:13">
      <c r="A80" s="504">
        <v>7.8</v>
      </c>
      <c r="B80" s="507">
        <v>0.86539999999999995</v>
      </c>
      <c r="C80" s="507">
        <v>0.86539999999999995</v>
      </c>
      <c r="D80" s="507">
        <v>0.75329999999999997</v>
      </c>
      <c r="E80" s="507">
        <v>0.75329999999999997</v>
      </c>
      <c r="F80" s="507">
        <v>0.75329999999999997</v>
      </c>
      <c r="G80" s="507">
        <v>0.75329999999999997</v>
      </c>
      <c r="H80" s="507">
        <v>0.75329999999999997</v>
      </c>
      <c r="I80" s="507">
        <v>0.57450000000000001</v>
      </c>
      <c r="J80" s="507">
        <v>0.57450000000000001</v>
      </c>
      <c r="K80" s="507">
        <v>0.57450000000000001</v>
      </c>
      <c r="L80" s="507">
        <v>0.57450000000000001</v>
      </c>
      <c r="M80" s="507">
        <v>0.57450000000000001</v>
      </c>
    </row>
    <row r="81" spans="1:13">
      <c r="A81" s="504">
        <v>7.9</v>
      </c>
      <c r="B81" s="507">
        <v>0.86380000000000001</v>
      </c>
      <c r="C81" s="507">
        <v>0.86380000000000001</v>
      </c>
      <c r="D81" s="507">
        <v>0.75170000000000003</v>
      </c>
      <c r="E81" s="507">
        <v>0.75170000000000003</v>
      </c>
      <c r="F81" s="507">
        <v>0.75170000000000003</v>
      </c>
      <c r="G81" s="507">
        <v>0.75170000000000003</v>
      </c>
      <c r="H81" s="507">
        <v>0.75170000000000003</v>
      </c>
      <c r="I81" s="507">
        <v>0.57220000000000004</v>
      </c>
      <c r="J81" s="507">
        <v>0.57220000000000004</v>
      </c>
      <c r="K81" s="507">
        <v>0.57220000000000004</v>
      </c>
      <c r="L81" s="507">
        <v>0.57220000000000004</v>
      </c>
      <c r="M81" s="507">
        <v>0.57220000000000004</v>
      </c>
    </row>
    <row r="82" spans="1:13">
      <c r="A82" s="504">
        <v>8</v>
      </c>
      <c r="B82" s="507">
        <v>0.86240000000000006</v>
      </c>
      <c r="C82" s="507">
        <v>0.86240000000000006</v>
      </c>
      <c r="D82" s="507">
        <v>0.75</v>
      </c>
      <c r="E82" s="507">
        <v>0.75</v>
      </c>
      <c r="F82" s="507">
        <v>0.75</v>
      </c>
      <c r="G82" s="507">
        <v>0.75</v>
      </c>
      <c r="H82" s="507">
        <v>0.75</v>
      </c>
      <c r="I82" s="507">
        <v>0.56989999999999996</v>
      </c>
      <c r="J82" s="507">
        <v>0.56989999999999996</v>
      </c>
      <c r="K82" s="507">
        <v>0.56989999999999996</v>
      </c>
      <c r="L82" s="507">
        <v>0.56989999999999996</v>
      </c>
      <c r="M82" s="507">
        <v>0.56989999999999996</v>
      </c>
    </row>
    <row r="83" spans="1:13">
      <c r="A83" s="504">
        <v>8.1</v>
      </c>
      <c r="B83" s="507">
        <v>0.86099999999999999</v>
      </c>
      <c r="C83" s="507">
        <v>0.86099999999999999</v>
      </c>
      <c r="D83" s="507">
        <v>0.74850000000000005</v>
      </c>
      <c r="E83" s="507">
        <v>0.74850000000000005</v>
      </c>
      <c r="F83" s="507">
        <v>0.74850000000000005</v>
      </c>
      <c r="G83" s="507">
        <v>0.74850000000000005</v>
      </c>
      <c r="H83" s="507">
        <v>0.74850000000000005</v>
      </c>
      <c r="I83" s="507">
        <v>0.56779999999999997</v>
      </c>
      <c r="J83" s="507">
        <v>0.56779999999999997</v>
      </c>
      <c r="K83" s="507">
        <v>0.56779999999999997</v>
      </c>
      <c r="L83" s="507">
        <v>0.56779999999999997</v>
      </c>
      <c r="M83" s="507">
        <v>0.56779999999999997</v>
      </c>
    </row>
    <row r="84" spans="1:13">
      <c r="A84" s="504">
        <v>8.1999999999999993</v>
      </c>
      <c r="B84" s="507">
        <v>0.85970000000000002</v>
      </c>
      <c r="C84" s="507">
        <v>0.85970000000000002</v>
      </c>
      <c r="D84" s="507">
        <v>0.747</v>
      </c>
      <c r="E84" s="507">
        <v>0.747</v>
      </c>
      <c r="F84" s="507">
        <v>0.747</v>
      </c>
      <c r="G84" s="507">
        <v>0.747</v>
      </c>
      <c r="H84" s="507">
        <v>0.747</v>
      </c>
      <c r="I84" s="507">
        <v>0.56589999999999996</v>
      </c>
      <c r="J84" s="507">
        <v>0.56589999999999996</v>
      </c>
      <c r="K84" s="507">
        <v>0.56589999999999996</v>
      </c>
      <c r="L84" s="507">
        <v>0.56589999999999996</v>
      </c>
      <c r="M84" s="507">
        <v>0.56589999999999996</v>
      </c>
    </row>
    <row r="85" spans="1:13">
      <c r="A85" s="504">
        <v>8.3000000000000007</v>
      </c>
      <c r="B85" s="507">
        <v>0.85840000000000005</v>
      </c>
      <c r="C85" s="507">
        <v>0.85840000000000005</v>
      </c>
      <c r="D85" s="507">
        <v>0.74560000000000004</v>
      </c>
      <c r="E85" s="507">
        <v>0.74560000000000004</v>
      </c>
      <c r="F85" s="507">
        <v>0.74560000000000004</v>
      </c>
      <c r="G85" s="507">
        <v>0.74560000000000004</v>
      </c>
      <c r="H85" s="507">
        <v>0.74560000000000004</v>
      </c>
      <c r="I85" s="507">
        <v>0.56389999999999996</v>
      </c>
      <c r="J85" s="507">
        <v>0.56389999999999996</v>
      </c>
      <c r="K85" s="507">
        <v>0.56389999999999996</v>
      </c>
      <c r="L85" s="507">
        <v>0.56389999999999996</v>
      </c>
      <c r="M85" s="507">
        <v>0.56389999999999996</v>
      </c>
    </row>
    <row r="86" spans="1:13">
      <c r="A86" s="504">
        <v>8.4</v>
      </c>
      <c r="B86" s="507">
        <v>0.85709999999999997</v>
      </c>
      <c r="C86" s="507">
        <v>0.85709999999999997</v>
      </c>
      <c r="D86" s="507">
        <v>0.74419999999999997</v>
      </c>
      <c r="E86" s="507">
        <v>0.74419999999999997</v>
      </c>
      <c r="F86" s="507">
        <v>0.74419999999999997</v>
      </c>
      <c r="G86" s="507">
        <v>0.74419999999999997</v>
      </c>
      <c r="H86" s="507">
        <v>0.74419999999999997</v>
      </c>
      <c r="I86" s="507">
        <v>0.56189999999999996</v>
      </c>
      <c r="J86" s="507">
        <v>0.56189999999999996</v>
      </c>
      <c r="K86" s="507">
        <v>0.56189999999999996</v>
      </c>
      <c r="L86" s="507">
        <v>0.56189999999999996</v>
      </c>
      <c r="M86" s="507">
        <v>0.56189999999999996</v>
      </c>
    </row>
    <row r="87" spans="1:13">
      <c r="A87" s="504">
        <v>8.5</v>
      </c>
      <c r="B87" s="507">
        <v>0.85580000000000001</v>
      </c>
      <c r="C87" s="507">
        <v>0.85580000000000001</v>
      </c>
      <c r="D87" s="507">
        <v>0.74270000000000003</v>
      </c>
      <c r="E87" s="507">
        <v>0.74270000000000003</v>
      </c>
      <c r="F87" s="507">
        <v>0.74270000000000003</v>
      </c>
      <c r="G87" s="507">
        <v>0.74270000000000003</v>
      </c>
      <c r="H87" s="507">
        <v>0.74270000000000003</v>
      </c>
      <c r="I87" s="507">
        <v>0.55989999999999995</v>
      </c>
      <c r="J87" s="507">
        <v>0.55989999999999995</v>
      </c>
      <c r="K87" s="507">
        <v>0.55989999999999995</v>
      </c>
      <c r="L87" s="507">
        <v>0.55989999999999995</v>
      </c>
      <c r="M87" s="507">
        <v>0.55989999999999995</v>
      </c>
    </row>
    <row r="88" spans="1:13">
      <c r="A88" s="504">
        <v>8.6</v>
      </c>
      <c r="B88" s="507">
        <v>0.85450000000000004</v>
      </c>
      <c r="C88" s="507">
        <v>0.85450000000000004</v>
      </c>
      <c r="D88" s="507">
        <v>0.74129999999999996</v>
      </c>
      <c r="E88" s="507">
        <v>0.74129999999999996</v>
      </c>
      <c r="F88" s="507">
        <v>0.74129999999999996</v>
      </c>
      <c r="G88" s="507">
        <v>0.74129999999999996</v>
      </c>
      <c r="H88" s="507">
        <v>0.74129999999999996</v>
      </c>
      <c r="I88" s="507">
        <v>0.55800000000000005</v>
      </c>
      <c r="J88" s="507">
        <v>0.55800000000000005</v>
      </c>
      <c r="K88" s="507">
        <v>0.55800000000000005</v>
      </c>
      <c r="L88" s="507">
        <v>0.55800000000000005</v>
      </c>
      <c r="M88" s="507">
        <v>0.55800000000000005</v>
      </c>
    </row>
    <row r="89" spans="1:13">
      <c r="A89" s="504">
        <v>8.6999999999999993</v>
      </c>
      <c r="B89" s="507">
        <v>0.85329999999999995</v>
      </c>
      <c r="C89" s="507">
        <v>0.85329999999999995</v>
      </c>
      <c r="D89" s="507">
        <v>0.7399</v>
      </c>
      <c r="E89" s="507">
        <v>0.7399</v>
      </c>
      <c r="F89" s="507">
        <v>0.7399</v>
      </c>
      <c r="G89" s="507">
        <v>0.7399</v>
      </c>
      <c r="H89" s="507">
        <v>0.7399</v>
      </c>
      <c r="I89" s="507">
        <v>0.55600000000000005</v>
      </c>
      <c r="J89" s="507">
        <v>0.55600000000000005</v>
      </c>
      <c r="K89" s="507">
        <v>0.55600000000000005</v>
      </c>
      <c r="L89" s="507">
        <v>0.55600000000000005</v>
      </c>
      <c r="M89" s="507">
        <v>0.55600000000000005</v>
      </c>
    </row>
    <row r="90" spans="1:13">
      <c r="A90" s="504">
        <v>8.8000000000000007</v>
      </c>
      <c r="B90" s="507">
        <v>0.85209999999999997</v>
      </c>
      <c r="C90" s="507">
        <v>0.85209999999999997</v>
      </c>
      <c r="D90" s="507">
        <v>0.73850000000000005</v>
      </c>
      <c r="E90" s="507">
        <v>0.73850000000000005</v>
      </c>
      <c r="F90" s="507">
        <v>0.73850000000000005</v>
      </c>
      <c r="G90" s="507">
        <v>0.73850000000000005</v>
      </c>
      <c r="H90" s="507">
        <v>0.73850000000000005</v>
      </c>
      <c r="I90" s="507">
        <v>0.55420000000000003</v>
      </c>
      <c r="J90" s="507">
        <v>0.55420000000000003</v>
      </c>
      <c r="K90" s="507">
        <v>0.55420000000000003</v>
      </c>
      <c r="L90" s="507">
        <v>0.55420000000000003</v>
      </c>
      <c r="M90" s="507">
        <v>0.55420000000000003</v>
      </c>
    </row>
    <row r="91" spans="1:13">
      <c r="A91" s="504">
        <v>8.9</v>
      </c>
      <c r="B91" s="507">
        <v>0.85099999999999998</v>
      </c>
      <c r="C91" s="507">
        <v>0.85099999999999998</v>
      </c>
      <c r="D91" s="507">
        <v>0.73719999999999997</v>
      </c>
      <c r="E91" s="507">
        <v>0.73719999999999997</v>
      </c>
      <c r="F91" s="507">
        <v>0.73719999999999997</v>
      </c>
      <c r="G91" s="507">
        <v>0.73719999999999997</v>
      </c>
      <c r="H91" s="507">
        <v>0.73719999999999997</v>
      </c>
      <c r="I91" s="507">
        <v>0.55230000000000001</v>
      </c>
      <c r="J91" s="507">
        <v>0.55230000000000001</v>
      </c>
      <c r="K91" s="507">
        <v>0.55230000000000001</v>
      </c>
      <c r="L91" s="507">
        <v>0.55230000000000001</v>
      </c>
      <c r="M91" s="507">
        <v>0.55230000000000001</v>
      </c>
    </row>
    <row r="92" spans="1:13">
      <c r="A92" s="508">
        <v>9</v>
      </c>
      <c r="B92" s="507">
        <v>0.8498</v>
      </c>
      <c r="C92" s="507">
        <v>0.8498</v>
      </c>
      <c r="D92" s="507">
        <v>0.7359</v>
      </c>
      <c r="E92" s="507">
        <v>0.7359</v>
      </c>
      <c r="F92" s="507">
        <v>0.7359</v>
      </c>
      <c r="G92" s="507">
        <v>0.7359</v>
      </c>
      <c r="H92" s="507">
        <v>0.7359</v>
      </c>
      <c r="I92" s="507">
        <v>0.55049999999999999</v>
      </c>
      <c r="J92" s="507">
        <v>0.55049999999999999</v>
      </c>
      <c r="K92" s="507">
        <v>0.55049999999999999</v>
      </c>
      <c r="L92" s="507">
        <v>0.55049999999999999</v>
      </c>
      <c r="M92" s="507">
        <v>0.55049999999999999</v>
      </c>
    </row>
    <row r="93" spans="1:13">
      <c r="A93" s="508">
        <v>9.1</v>
      </c>
      <c r="B93" s="507">
        <v>0.84870000000000001</v>
      </c>
      <c r="C93" s="507">
        <v>0.84870000000000001</v>
      </c>
      <c r="D93" s="507">
        <v>0.73470000000000002</v>
      </c>
      <c r="E93" s="507">
        <v>0.73470000000000002</v>
      </c>
      <c r="F93" s="507">
        <v>0.73470000000000002</v>
      </c>
      <c r="G93" s="507">
        <v>0.73470000000000002</v>
      </c>
      <c r="H93" s="507">
        <v>0.73470000000000002</v>
      </c>
      <c r="I93" s="507">
        <v>0.54879999999999995</v>
      </c>
      <c r="J93" s="507">
        <v>0.54879999999999995</v>
      </c>
      <c r="K93" s="507">
        <v>0.54879999999999995</v>
      </c>
      <c r="L93" s="507">
        <v>0.54879999999999995</v>
      </c>
      <c r="M93" s="507">
        <v>0.54879999999999995</v>
      </c>
    </row>
    <row r="94" spans="1:13">
      <c r="A94" s="508">
        <v>9.1999999999999993</v>
      </c>
      <c r="B94" s="507">
        <v>0.84770000000000001</v>
      </c>
      <c r="C94" s="507">
        <v>0.84770000000000001</v>
      </c>
      <c r="D94" s="507">
        <v>0.73350000000000004</v>
      </c>
      <c r="E94" s="507">
        <v>0.73350000000000004</v>
      </c>
      <c r="F94" s="507">
        <v>0.73350000000000004</v>
      </c>
      <c r="G94" s="507">
        <v>0.73350000000000004</v>
      </c>
      <c r="H94" s="507">
        <v>0.73350000000000004</v>
      </c>
      <c r="I94" s="507">
        <v>0.54710000000000003</v>
      </c>
      <c r="J94" s="507">
        <v>0.54710000000000003</v>
      </c>
      <c r="K94" s="507">
        <v>0.54710000000000003</v>
      </c>
      <c r="L94" s="507">
        <v>0.54710000000000003</v>
      </c>
      <c r="M94" s="507">
        <v>0.54710000000000003</v>
      </c>
    </row>
    <row r="95" spans="1:13">
      <c r="A95" s="508">
        <v>9.3000000000000007</v>
      </c>
      <c r="B95" s="507">
        <v>0.84660000000000002</v>
      </c>
      <c r="C95" s="507">
        <v>0.84660000000000002</v>
      </c>
      <c r="D95" s="507">
        <v>0.73229999999999995</v>
      </c>
      <c r="E95" s="507">
        <v>0.73229999999999995</v>
      </c>
      <c r="F95" s="507">
        <v>0.73229999999999995</v>
      </c>
      <c r="G95" s="507">
        <v>0.73229999999999995</v>
      </c>
      <c r="H95" s="507">
        <v>0.73229999999999995</v>
      </c>
      <c r="I95" s="507">
        <v>0.5454</v>
      </c>
      <c r="J95" s="507">
        <v>0.5454</v>
      </c>
      <c r="K95" s="507">
        <v>0.5454</v>
      </c>
      <c r="L95" s="507">
        <v>0.5454</v>
      </c>
      <c r="M95" s="507">
        <v>0.5454</v>
      </c>
    </row>
    <row r="96" spans="1:13">
      <c r="A96" s="508">
        <v>9.4</v>
      </c>
      <c r="B96" s="507">
        <v>0.84550000000000003</v>
      </c>
      <c r="C96" s="507">
        <v>0.84550000000000003</v>
      </c>
      <c r="D96" s="507">
        <v>0.73109999999999997</v>
      </c>
      <c r="E96" s="507">
        <v>0.73109999999999997</v>
      </c>
      <c r="F96" s="507">
        <v>0.73109999999999997</v>
      </c>
      <c r="G96" s="507">
        <v>0.73109999999999997</v>
      </c>
      <c r="H96" s="507">
        <v>0.73109999999999997</v>
      </c>
      <c r="I96" s="507">
        <v>0.54369999999999996</v>
      </c>
      <c r="J96" s="507">
        <v>0.54369999999999996</v>
      </c>
      <c r="K96" s="507">
        <v>0.54369999999999996</v>
      </c>
      <c r="L96" s="507">
        <v>0.54369999999999996</v>
      </c>
      <c r="M96" s="507">
        <v>0.54369999999999996</v>
      </c>
    </row>
    <row r="97" spans="1:14">
      <c r="A97" s="508">
        <v>9.5</v>
      </c>
      <c r="B97" s="507">
        <v>0.84450000000000003</v>
      </c>
      <c r="C97" s="507">
        <v>0.84450000000000003</v>
      </c>
      <c r="D97" s="507">
        <v>0.72989999999999999</v>
      </c>
      <c r="E97" s="507">
        <v>0.72989999999999999</v>
      </c>
      <c r="F97" s="507">
        <v>0.72989999999999999</v>
      </c>
      <c r="G97" s="507">
        <v>0.72989999999999999</v>
      </c>
      <c r="H97" s="507">
        <v>0.72989999999999999</v>
      </c>
      <c r="I97" s="507">
        <v>0.54200000000000004</v>
      </c>
      <c r="J97" s="507">
        <v>0.54200000000000004</v>
      </c>
      <c r="K97" s="507">
        <v>0.54200000000000004</v>
      </c>
      <c r="L97" s="507">
        <v>0.54200000000000004</v>
      </c>
      <c r="M97" s="507">
        <v>0.54200000000000004</v>
      </c>
    </row>
    <row r="98" spans="1:14">
      <c r="A98" s="508">
        <v>9.6</v>
      </c>
      <c r="B98" s="507">
        <v>0.84340000000000004</v>
      </c>
      <c r="C98" s="507">
        <v>0.84340000000000004</v>
      </c>
      <c r="D98" s="507">
        <v>0.72870000000000001</v>
      </c>
      <c r="E98" s="507">
        <v>0.72870000000000001</v>
      </c>
      <c r="F98" s="507">
        <v>0.72870000000000001</v>
      </c>
      <c r="G98" s="507">
        <v>0.72870000000000001</v>
      </c>
      <c r="H98" s="507">
        <v>0.72870000000000001</v>
      </c>
      <c r="I98" s="507">
        <v>0.5403</v>
      </c>
      <c r="J98" s="507">
        <v>0.5403</v>
      </c>
      <c r="K98" s="507">
        <v>0.5403</v>
      </c>
      <c r="L98" s="507">
        <v>0.5403</v>
      </c>
      <c r="M98" s="507">
        <v>0.5403</v>
      </c>
    </row>
    <row r="99" spans="1:14">
      <c r="A99" s="508">
        <v>9.6999999999999993</v>
      </c>
      <c r="B99" s="507">
        <v>0.84230000000000005</v>
      </c>
      <c r="C99" s="507">
        <v>0.84230000000000005</v>
      </c>
      <c r="D99" s="507">
        <v>0.72750000000000004</v>
      </c>
      <c r="E99" s="507">
        <v>0.72750000000000004</v>
      </c>
      <c r="F99" s="507">
        <v>0.72750000000000004</v>
      </c>
      <c r="G99" s="507">
        <v>0.72750000000000004</v>
      </c>
      <c r="H99" s="507">
        <v>0.72750000000000004</v>
      </c>
      <c r="I99" s="507">
        <v>0.53859999999999997</v>
      </c>
      <c r="J99" s="507">
        <v>0.53859999999999997</v>
      </c>
      <c r="K99" s="507">
        <v>0.53859999999999997</v>
      </c>
      <c r="L99" s="507">
        <v>0.53859999999999997</v>
      </c>
      <c r="M99" s="507">
        <v>0.53859999999999997</v>
      </c>
    </row>
    <row r="100" spans="1:14">
      <c r="A100" s="508">
        <v>9.8000000000000007</v>
      </c>
      <c r="B100" s="507">
        <v>0.84140000000000004</v>
      </c>
      <c r="C100" s="507">
        <v>0.84140000000000004</v>
      </c>
      <c r="D100" s="507">
        <v>0.72629999999999995</v>
      </c>
      <c r="E100" s="507">
        <v>0.72629999999999995</v>
      </c>
      <c r="F100" s="507">
        <v>0.72629999999999995</v>
      </c>
      <c r="G100" s="507">
        <v>0.72629999999999995</v>
      </c>
      <c r="H100" s="507">
        <v>0.72629999999999995</v>
      </c>
      <c r="I100" s="507">
        <v>0.53710000000000002</v>
      </c>
      <c r="J100" s="507">
        <v>0.53710000000000002</v>
      </c>
      <c r="K100" s="507">
        <v>0.53710000000000002</v>
      </c>
      <c r="L100" s="507">
        <v>0.53710000000000002</v>
      </c>
      <c r="M100" s="507">
        <v>0.53710000000000002</v>
      </c>
    </row>
    <row r="101" spans="1:14">
      <c r="A101" s="508">
        <v>9.9</v>
      </c>
      <c r="B101" s="507">
        <v>0.84050000000000002</v>
      </c>
      <c r="C101" s="507">
        <v>0.84050000000000002</v>
      </c>
      <c r="D101" s="507">
        <v>0.72519999999999996</v>
      </c>
      <c r="E101" s="507">
        <v>0.72519999999999996</v>
      </c>
      <c r="F101" s="507">
        <v>0.72519999999999996</v>
      </c>
      <c r="G101" s="507">
        <v>0.72519999999999996</v>
      </c>
      <c r="H101" s="507">
        <v>0.72519999999999996</v>
      </c>
      <c r="I101" s="507">
        <v>0.53549999999999998</v>
      </c>
      <c r="J101" s="507">
        <v>0.53549999999999998</v>
      </c>
      <c r="K101" s="507">
        <v>0.53549999999999998</v>
      </c>
      <c r="L101" s="507">
        <v>0.53549999999999998</v>
      </c>
      <c r="M101" s="507">
        <v>0.53549999999999998</v>
      </c>
    </row>
    <row r="102" spans="1:14">
      <c r="A102" s="508">
        <v>10</v>
      </c>
      <c r="B102" s="507">
        <v>0.83950000000000002</v>
      </c>
      <c r="C102" s="507">
        <v>0.83950000000000002</v>
      </c>
      <c r="D102" s="507">
        <v>0.72409999999999997</v>
      </c>
      <c r="E102" s="507">
        <v>0.72409999999999997</v>
      </c>
      <c r="F102" s="507">
        <v>0.72409999999999997</v>
      </c>
      <c r="G102" s="507">
        <v>0.72409999999999997</v>
      </c>
      <c r="H102" s="507">
        <v>0.72409999999999997</v>
      </c>
      <c r="I102" s="507">
        <v>0.53400000000000003</v>
      </c>
      <c r="J102" s="507">
        <v>0.53400000000000003</v>
      </c>
      <c r="K102" s="507">
        <v>0.53400000000000003</v>
      </c>
      <c r="L102" s="507">
        <v>0.53400000000000003</v>
      </c>
      <c r="M102" s="507">
        <v>0.53400000000000003</v>
      </c>
    </row>
    <row r="103" spans="1:14" ht="14.25">
      <c r="A103" s="502" t="s">
        <v>2245</v>
      </c>
      <c r="B103" s="503"/>
      <c r="C103" s="503"/>
      <c r="D103" s="503"/>
      <c r="E103" s="503"/>
      <c r="F103" s="503"/>
      <c r="G103" s="503"/>
      <c r="H103" s="503"/>
      <c r="I103" s="503"/>
      <c r="J103" s="503"/>
      <c r="K103" s="503"/>
      <c r="L103" s="503"/>
      <c r="M103" s="503"/>
      <c r="N103" s="503"/>
    </row>
    <row r="104" spans="1:14" ht="14.25">
      <c r="A104" s="504" t="s">
        <v>2244</v>
      </c>
      <c r="B104" s="505" t="s">
        <v>233</v>
      </c>
      <c r="C104" s="505" t="s">
        <v>244</v>
      </c>
      <c r="D104" s="505" t="s">
        <v>254</v>
      </c>
      <c r="E104" s="505" t="s">
        <v>262</v>
      </c>
      <c r="F104" s="505" t="s">
        <v>270</v>
      </c>
      <c r="G104" s="505" t="s">
        <v>276</v>
      </c>
      <c r="H104" s="506" t="s">
        <v>281</v>
      </c>
      <c r="I104" s="506" t="s">
        <v>286</v>
      </c>
      <c r="J104" s="509" t="s">
        <v>289</v>
      </c>
      <c r="K104" s="509" t="s">
        <v>292</v>
      </c>
      <c r="L104" s="509" t="s">
        <v>295</v>
      </c>
      <c r="M104" s="509" t="s">
        <v>298</v>
      </c>
      <c r="N104" s="503">
        <f>SUMPRODUCT((A105:A204=ROUNDDOWN(基准地价修正!G3,1))*(B104:M104=基准地价修正!G2)*(B105:M204))</f>
        <v>0</v>
      </c>
    </row>
    <row r="105" spans="1:14">
      <c r="A105" s="504">
        <v>0.1</v>
      </c>
      <c r="B105" s="507">
        <v>13.733000000000001</v>
      </c>
      <c r="C105" s="507">
        <v>13.733000000000001</v>
      </c>
      <c r="D105" s="507">
        <v>12.787000000000001</v>
      </c>
      <c r="E105" s="507">
        <v>12.787000000000001</v>
      </c>
      <c r="F105" s="507">
        <v>12.787000000000001</v>
      </c>
      <c r="G105" s="507">
        <v>12.787000000000001</v>
      </c>
      <c r="H105" s="507">
        <v>12.787000000000001</v>
      </c>
      <c r="I105" s="507">
        <v>12.384</v>
      </c>
      <c r="J105" s="507">
        <v>12.384</v>
      </c>
      <c r="K105" s="507">
        <v>12.384</v>
      </c>
      <c r="L105" s="507">
        <v>12.384</v>
      </c>
      <c r="M105" s="507">
        <v>12.384</v>
      </c>
    </row>
    <row r="106" spans="1:14">
      <c r="A106" s="504">
        <v>0.2</v>
      </c>
      <c r="B106" s="507">
        <v>6.8665000000000003</v>
      </c>
      <c r="C106" s="507">
        <v>6.8665000000000003</v>
      </c>
      <c r="D106" s="507">
        <v>6.3935000000000004</v>
      </c>
      <c r="E106" s="507">
        <v>6.3935000000000004</v>
      </c>
      <c r="F106" s="507">
        <v>6.3935000000000004</v>
      </c>
      <c r="G106" s="507">
        <v>6.3935000000000004</v>
      </c>
      <c r="H106" s="507">
        <v>6.3935000000000004</v>
      </c>
      <c r="I106" s="507">
        <v>6.1920000000000002</v>
      </c>
      <c r="J106" s="507">
        <v>6.1920000000000002</v>
      </c>
      <c r="K106" s="507">
        <v>6.1920000000000002</v>
      </c>
      <c r="L106" s="507">
        <v>6.1920000000000002</v>
      </c>
      <c r="M106" s="507">
        <v>6.1920000000000002</v>
      </c>
    </row>
    <row r="107" spans="1:14">
      <c r="A107" s="504">
        <v>0.3</v>
      </c>
      <c r="B107" s="507">
        <v>4.5777000000000001</v>
      </c>
      <c r="C107" s="507">
        <v>4.5777000000000001</v>
      </c>
      <c r="D107" s="507">
        <v>4.2622999999999998</v>
      </c>
      <c r="E107" s="507">
        <v>4.2622999999999998</v>
      </c>
      <c r="F107" s="507">
        <v>4.2622999999999998</v>
      </c>
      <c r="G107" s="507">
        <v>4.2622999999999998</v>
      </c>
      <c r="H107" s="507">
        <v>4.2622999999999998</v>
      </c>
      <c r="I107" s="507">
        <v>4.1280000000000001</v>
      </c>
      <c r="J107" s="507">
        <v>4.1280000000000001</v>
      </c>
      <c r="K107" s="507">
        <v>4.1280000000000001</v>
      </c>
      <c r="L107" s="507">
        <v>4.1280000000000001</v>
      </c>
      <c r="M107" s="507">
        <v>4.1280000000000001</v>
      </c>
    </row>
    <row r="108" spans="1:14">
      <c r="A108" s="504">
        <v>0.4</v>
      </c>
      <c r="B108" s="507">
        <v>3.4333</v>
      </c>
      <c r="C108" s="507">
        <v>3.4333</v>
      </c>
      <c r="D108" s="507">
        <v>3.1968000000000001</v>
      </c>
      <c r="E108" s="507">
        <v>3.1968000000000001</v>
      </c>
      <c r="F108" s="507">
        <v>3.1968000000000001</v>
      </c>
      <c r="G108" s="507">
        <v>3.1968000000000001</v>
      </c>
      <c r="H108" s="507">
        <v>3.1968000000000001</v>
      </c>
      <c r="I108" s="507">
        <v>3.0960000000000001</v>
      </c>
      <c r="J108" s="507">
        <v>3.0960000000000001</v>
      </c>
      <c r="K108" s="507">
        <v>3.0960000000000001</v>
      </c>
      <c r="L108" s="507">
        <v>3.0960000000000001</v>
      </c>
      <c r="M108" s="507">
        <v>3.0960000000000001</v>
      </c>
    </row>
    <row r="109" spans="1:14">
      <c r="A109" s="504">
        <v>0.5</v>
      </c>
      <c r="B109" s="507">
        <v>2.7465999999999999</v>
      </c>
      <c r="C109" s="507">
        <v>2.7465999999999999</v>
      </c>
      <c r="D109" s="507">
        <v>2.5573999999999999</v>
      </c>
      <c r="E109" s="507">
        <v>2.5573999999999999</v>
      </c>
      <c r="F109" s="507">
        <v>2.5573999999999999</v>
      </c>
      <c r="G109" s="507">
        <v>2.5573999999999999</v>
      </c>
      <c r="H109" s="507">
        <v>2.5573999999999999</v>
      </c>
      <c r="I109" s="507">
        <v>2.4767999999999999</v>
      </c>
      <c r="J109" s="507">
        <v>2.4767999999999999</v>
      </c>
      <c r="K109" s="507">
        <v>2.4767999999999999</v>
      </c>
      <c r="L109" s="507">
        <v>2.4767999999999999</v>
      </c>
      <c r="M109" s="507">
        <v>2.4767999999999999</v>
      </c>
    </row>
    <row r="110" spans="1:14">
      <c r="A110" s="504">
        <v>0.6</v>
      </c>
      <c r="B110" s="507">
        <v>2.2888000000000002</v>
      </c>
      <c r="C110" s="507">
        <v>2.2888000000000002</v>
      </c>
      <c r="D110" s="507">
        <v>2.1312000000000002</v>
      </c>
      <c r="E110" s="507">
        <v>2.1312000000000002</v>
      </c>
      <c r="F110" s="507">
        <v>2.1312000000000002</v>
      </c>
      <c r="G110" s="507">
        <v>2.1312000000000002</v>
      </c>
      <c r="H110" s="507">
        <v>2.1312000000000002</v>
      </c>
      <c r="I110" s="507">
        <v>2.0640000000000001</v>
      </c>
      <c r="J110" s="507">
        <v>2.0640000000000001</v>
      </c>
      <c r="K110" s="507">
        <v>2.0640000000000001</v>
      </c>
      <c r="L110" s="507">
        <v>2.0640000000000001</v>
      </c>
      <c r="M110" s="507">
        <v>2.0640000000000001</v>
      </c>
    </row>
    <row r="111" spans="1:14">
      <c r="A111" s="504">
        <v>0.7</v>
      </c>
      <c r="B111" s="507">
        <v>1.9619</v>
      </c>
      <c r="C111" s="507">
        <v>1.9619</v>
      </c>
      <c r="D111" s="507">
        <v>1.8267</v>
      </c>
      <c r="E111" s="507">
        <v>1.8267</v>
      </c>
      <c r="F111" s="507">
        <v>1.8267</v>
      </c>
      <c r="G111" s="507">
        <v>1.8267</v>
      </c>
      <c r="H111" s="507">
        <v>1.8267</v>
      </c>
      <c r="I111" s="507">
        <v>1.7690999999999999</v>
      </c>
      <c r="J111" s="507">
        <v>1.7690999999999999</v>
      </c>
      <c r="K111" s="507">
        <v>1.7690999999999999</v>
      </c>
      <c r="L111" s="507">
        <v>1.7690999999999999</v>
      </c>
      <c r="M111" s="507">
        <v>1.7690999999999999</v>
      </c>
    </row>
    <row r="112" spans="1:14">
      <c r="A112" s="504">
        <v>0.8</v>
      </c>
      <c r="B112" s="507">
        <v>1.7165999999999999</v>
      </c>
      <c r="C112" s="507">
        <v>1.7165999999999999</v>
      </c>
      <c r="D112" s="507">
        <v>1.5984</v>
      </c>
      <c r="E112" s="507">
        <v>1.5984</v>
      </c>
      <c r="F112" s="507">
        <v>1.5984</v>
      </c>
      <c r="G112" s="507">
        <v>1.5984</v>
      </c>
      <c r="H112" s="507">
        <v>1.5984</v>
      </c>
      <c r="I112" s="507">
        <v>1.548</v>
      </c>
      <c r="J112" s="507">
        <v>1.548</v>
      </c>
      <c r="K112" s="507">
        <v>1.548</v>
      </c>
      <c r="L112" s="507">
        <v>1.548</v>
      </c>
      <c r="M112" s="507">
        <v>1.548</v>
      </c>
    </row>
    <row r="113" spans="1:13">
      <c r="A113" s="504">
        <v>0.9</v>
      </c>
      <c r="B113" s="507">
        <v>1.5259</v>
      </c>
      <c r="C113" s="507">
        <v>1.5259</v>
      </c>
      <c r="D113" s="507">
        <v>1.4208000000000001</v>
      </c>
      <c r="E113" s="507">
        <v>1.4208000000000001</v>
      </c>
      <c r="F113" s="507">
        <v>1.4208000000000001</v>
      </c>
      <c r="G113" s="507">
        <v>1.4208000000000001</v>
      </c>
      <c r="H113" s="507">
        <v>1.4208000000000001</v>
      </c>
      <c r="I113" s="507">
        <v>1.3759999999999999</v>
      </c>
      <c r="J113" s="507">
        <v>1.3759999999999999</v>
      </c>
      <c r="K113" s="507">
        <v>1.3759999999999999</v>
      </c>
      <c r="L113" s="507">
        <v>1.3759999999999999</v>
      </c>
      <c r="M113" s="507">
        <v>1.3759999999999999</v>
      </c>
    </row>
    <row r="114" spans="1:13">
      <c r="A114" s="504">
        <v>1</v>
      </c>
      <c r="B114" s="507">
        <v>1.3733</v>
      </c>
      <c r="C114" s="507">
        <v>1.3733</v>
      </c>
      <c r="D114" s="507">
        <v>1.2786999999999999</v>
      </c>
      <c r="E114" s="507">
        <v>1.2786999999999999</v>
      </c>
      <c r="F114" s="507">
        <v>1.2786999999999999</v>
      </c>
      <c r="G114" s="507">
        <v>1.2786999999999999</v>
      </c>
      <c r="H114" s="507">
        <v>1.2786999999999999</v>
      </c>
      <c r="I114" s="507">
        <v>1.2383999999999999</v>
      </c>
      <c r="J114" s="507">
        <v>1.2383999999999999</v>
      </c>
      <c r="K114" s="507">
        <v>1.2383999999999999</v>
      </c>
      <c r="L114" s="507">
        <v>1.2383999999999999</v>
      </c>
      <c r="M114" s="507">
        <v>1.2383999999999999</v>
      </c>
    </row>
    <row r="115" spans="1:13">
      <c r="A115" s="504">
        <v>1.1000000000000001</v>
      </c>
      <c r="B115" s="507">
        <v>1.3489</v>
      </c>
      <c r="C115" s="507">
        <v>1.3489</v>
      </c>
      <c r="D115" s="507">
        <v>1.2542</v>
      </c>
      <c r="E115" s="507">
        <v>1.2542</v>
      </c>
      <c r="F115" s="507">
        <v>1.2542</v>
      </c>
      <c r="G115" s="507">
        <v>1.2542</v>
      </c>
      <c r="H115" s="507">
        <v>1.2542</v>
      </c>
      <c r="I115" s="507">
        <v>1.2050000000000001</v>
      </c>
      <c r="J115" s="507">
        <v>1.2050000000000001</v>
      </c>
      <c r="K115" s="507">
        <v>1.2050000000000001</v>
      </c>
      <c r="L115" s="507">
        <v>1.2050000000000001</v>
      </c>
      <c r="M115" s="507">
        <v>1.2050000000000001</v>
      </c>
    </row>
    <row r="116" spans="1:13">
      <c r="A116" s="504">
        <v>1.2</v>
      </c>
      <c r="B116" s="507">
        <v>1.3255999999999999</v>
      </c>
      <c r="C116" s="507">
        <v>1.3255999999999999</v>
      </c>
      <c r="D116" s="507">
        <v>1.2305999999999999</v>
      </c>
      <c r="E116" s="507">
        <v>1.2305999999999999</v>
      </c>
      <c r="F116" s="507">
        <v>1.2305999999999999</v>
      </c>
      <c r="G116" s="507">
        <v>1.2305999999999999</v>
      </c>
      <c r="H116" s="507">
        <v>1.2305999999999999</v>
      </c>
      <c r="I116" s="507">
        <v>1.1741999999999999</v>
      </c>
      <c r="J116" s="507">
        <v>1.1741999999999999</v>
      </c>
      <c r="K116" s="507">
        <v>1.1741999999999999</v>
      </c>
      <c r="L116" s="507">
        <v>1.1741999999999999</v>
      </c>
      <c r="M116" s="507">
        <v>1.1741999999999999</v>
      </c>
    </row>
    <row r="117" spans="1:13">
      <c r="A117" s="504">
        <v>1.3</v>
      </c>
      <c r="B117" s="507">
        <v>1.3032999999999999</v>
      </c>
      <c r="C117" s="507">
        <v>1.3032999999999999</v>
      </c>
      <c r="D117" s="507">
        <v>1.2079</v>
      </c>
      <c r="E117" s="507">
        <v>1.2079</v>
      </c>
      <c r="F117" s="507">
        <v>1.2079</v>
      </c>
      <c r="G117" s="507">
        <v>1.2079</v>
      </c>
      <c r="H117" s="507">
        <v>1.2079</v>
      </c>
      <c r="I117" s="507">
        <v>1.1459999999999999</v>
      </c>
      <c r="J117" s="507">
        <v>1.1459999999999999</v>
      </c>
      <c r="K117" s="507">
        <v>1.1459999999999999</v>
      </c>
      <c r="L117" s="507">
        <v>1.1459999999999999</v>
      </c>
      <c r="M117" s="507">
        <v>1.1459999999999999</v>
      </c>
    </row>
    <row r="118" spans="1:13">
      <c r="A118" s="504">
        <v>1.4</v>
      </c>
      <c r="B118" s="507">
        <v>1.282</v>
      </c>
      <c r="C118" s="507">
        <v>1.282</v>
      </c>
      <c r="D118" s="507">
        <v>1.1861999999999999</v>
      </c>
      <c r="E118" s="507">
        <v>1.1861999999999999</v>
      </c>
      <c r="F118" s="507">
        <v>1.1861999999999999</v>
      </c>
      <c r="G118" s="507">
        <v>1.1861999999999999</v>
      </c>
      <c r="H118" s="507">
        <v>1.1861999999999999</v>
      </c>
      <c r="I118" s="507">
        <v>1.1200000000000001</v>
      </c>
      <c r="J118" s="507">
        <v>1.1200000000000001</v>
      </c>
      <c r="K118" s="507">
        <v>1.1200000000000001</v>
      </c>
      <c r="L118" s="507">
        <v>1.1200000000000001</v>
      </c>
      <c r="M118" s="507">
        <v>1.1200000000000001</v>
      </c>
    </row>
    <row r="119" spans="1:13">
      <c r="A119" s="504">
        <v>1.5</v>
      </c>
      <c r="B119" s="507">
        <v>1.2617</v>
      </c>
      <c r="C119" s="507">
        <v>1.2617</v>
      </c>
      <c r="D119" s="507">
        <v>1.1653</v>
      </c>
      <c r="E119" s="507">
        <v>1.1653</v>
      </c>
      <c r="F119" s="507">
        <v>1.1653</v>
      </c>
      <c r="G119" s="507">
        <v>1.1653</v>
      </c>
      <c r="H119" s="507">
        <v>1.1653</v>
      </c>
      <c r="I119" s="507">
        <v>1.0961000000000001</v>
      </c>
      <c r="J119" s="507">
        <v>1.0961000000000001</v>
      </c>
      <c r="K119" s="507">
        <v>1.0961000000000001</v>
      </c>
      <c r="L119" s="507">
        <v>1.0961000000000001</v>
      </c>
      <c r="M119" s="507">
        <v>1.0961000000000001</v>
      </c>
    </row>
    <row r="120" spans="1:13">
      <c r="A120" s="504">
        <v>1.6</v>
      </c>
      <c r="B120" s="507">
        <v>1.2423</v>
      </c>
      <c r="C120" s="507">
        <v>1.2423</v>
      </c>
      <c r="D120" s="507">
        <v>1.1453</v>
      </c>
      <c r="E120" s="507">
        <v>1.1453</v>
      </c>
      <c r="F120" s="507">
        <v>1.1453</v>
      </c>
      <c r="G120" s="507">
        <v>1.1453</v>
      </c>
      <c r="H120" s="507">
        <v>1.1453</v>
      </c>
      <c r="I120" s="507">
        <v>1.0740000000000001</v>
      </c>
      <c r="J120" s="507">
        <v>1.0740000000000001</v>
      </c>
      <c r="K120" s="507">
        <v>1.0740000000000001</v>
      </c>
      <c r="L120" s="507">
        <v>1.0740000000000001</v>
      </c>
      <c r="M120" s="507">
        <v>1.0740000000000001</v>
      </c>
    </row>
    <row r="121" spans="1:13">
      <c r="A121" s="504">
        <v>1.7</v>
      </c>
      <c r="B121" s="507">
        <v>1.2237</v>
      </c>
      <c r="C121" s="507">
        <v>1.2237</v>
      </c>
      <c r="D121" s="507">
        <v>1.1261000000000001</v>
      </c>
      <c r="E121" s="507">
        <v>1.1261000000000001</v>
      </c>
      <c r="F121" s="507">
        <v>1.1261000000000001</v>
      </c>
      <c r="G121" s="507">
        <v>1.1261000000000001</v>
      </c>
      <c r="H121" s="507">
        <v>1.1261000000000001</v>
      </c>
      <c r="I121" s="507">
        <v>1.0535000000000001</v>
      </c>
      <c r="J121" s="507">
        <v>1.0535000000000001</v>
      </c>
      <c r="K121" s="507">
        <v>1.0535000000000001</v>
      </c>
      <c r="L121" s="507">
        <v>1.0535000000000001</v>
      </c>
      <c r="M121" s="507">
        <v>1.0535000000000001</v>
      </c>
    </row>
    <row r="122" spans="1:13">
      <c r="A122" s="504">
        <v>1.8</v>
      </c>
      <c r="B122" s="507">
        <v>1.206</v>
      </c>
      <c r="C122" s="507">
        <v>1.206</v>
      </c>
      <c r="D122" s="507">
        <v>1.1076999999999999</v>
      </c>
      <c r="E122" s="507">
        <v>1.1076999999999999</v>
      </c>
      <c r="F122" s="507">
        <v>1.1076999999999999</v>
      </c>
      <c r="G122" s="507">
        <v>1.1076999999999999</v>
      </c>
      <c r="H122" s="507">
        <v>1.1076999999999999</v>
      </c>
      <c r="I122" s="507">
        <v>1.0345</v>
      </c>
      <c r="J122" s="507">
        <v>1.0345</v>
      </c>
      <c r="K122" s="507">
        <v>1.0345</v>
      </c>
      <c r="L122" s="507">
        <v>1.0345</v>
      </c>
      <c r="M122" s="507">
        <v>1.0345</v>
      </c>
    </row>
    <row r="123" spans="1:13">
      <c r="A123" s="504">
        <v>1.9</v>
      </c>
      <c r="B123" s="507">
        <v>1.1891</v>
      </c>
      <c r="C123" s="507">
        <v>1.1891</v>
      </c>
      <c r="D123" s="507">
        <v>1.0901000000000001</v>
      </c>
      <c r="E123" s="507">
        <v>1.0901000000000001</v>
      </c>
      <c r="F123" s="507">
        <v>1.0901000000000001</v>
      </c>
      <c r="G123" s="507">
        <v>1.0901000000000001</v>
      </c>
      <c r="H123" s="507">
        <v>1.0901000000000001</v>
      </c>
      <c r="I123" s="507">
        <v>1.0166999999999999</v>
      </c>
      <c r="J123" s="507">
        <v>1.0166999999999999</v>
      </c>
      <c r="K123" s="507">
        <v>1.0166999999999999</v>
      </c>
      <c r="L123" s="507">
        <v>1.0166999999999999</v>
      </c>
      <c r="M123" s="507">
        <v>1.0166999999999999</v>
      </c>
    </row>
    <row r="124" spans="1:13">
      <c r="A124" s="504">
        <v>2</v>
      </c>
      <c r="B124" s="507">
        <v>1.1729000000000001</v>
      </c>
      <c r="C124" s="507">
        <v>1.1729000000000001</v>
      </c>
      <c r="D124" s="507">
        <v>1.0732999999999999</v>
      </c>
      <c r="E124" s="507">
        <v>1.0732999999999999</v>
      </c>
      <c r="F124" s="507">
        <v>1.0732999999999999</v>
      </c>
      <c r="G124" s="507">
        <v>1.0732999999999999</v>
      </c>
      <c r="H124" s="507">
        <v>1.0732999999999999</v>
      </c>
      <c r="I124" s="507">
        <v>1</v>
      </c>
      <c r="J124" s="507">
        <v>1</v>
      </c>
      <c r="K124" s="507">
        <v>1</v>
      </c>
      <c r="L124" s="507">
        <v>1</v>
      </c>
      <c r="M124" s="507">
        <v>1</v>
      </c>
    </row>
    <row r="125" spans="1:13">
      <c r="A125" s="508">
        <v>2.1</v>
      </c>
      <c r="B125" s="507">
        <v>1.1574</v>
      </c>
      <c r="C125" s="507">
        <v>1.1574</v>
      </c>
      <c r="D125" s="507">
        <v>1.0571999999999999</v>
      </c>
      <c r="E125" s="507">
        <v>1.0571999999999999</v>
      </c>
      <c r="F125" s="507">
        <v>1.0571999999999999</v>
      </c>
      <c r="G125" s="507">
        <v>1.0571999999999999</v>
      </c>
      <c r="H125" s="507">
        <v>1.0571999999999999</v>
      </c>
      <c r="I125" s="507">
        <v>0.98409999999999997</v>
      </c>
      <c r="J125" s="507">
        <v>0.98409999999999997</v>
      </c>
      <c r="K125" s="507">
        <v>0.98409999999999997</v>
      </c>
      <c r="L125" s="507">
        <v>0.98409999999999997</v>
      </c>
      <c r="M125" s="507">
        <v>0.98409999999999997</v>
      </c>
    </row>
    <row r="126" spans="1:13">
      <c r="A126" s="508">
        <v>2.2000000000000002</v>
      </c>
      <c r="B126" s="507">
        <v>1.1426000000000001</v>
      </c>
      <c r="C126" s="507">
        <v>1.1426000000000001</v>
      </c>
      <c r="D126" s="507">
        <v>1.0419</v>
      </c>
      <c r="E126" s="507">
        <v>1.0419</v>
      </c>
      <c r="F126" s="507">
        <v>1.0419</v>
      </c>
      <c r="G126" s="507">
        <v>1.0419</v>
      </c>
      <c r="H126" s="507">
        <v>1.0419</v>
      </c>
      <c r="I126" s="507">
        <v>0.96889999999999998</v>
      </c>
      <c r="J126" s="507">
        <v>0.96889999999999998</v>
      </c>
      <c r="K126" s="507">
        <v>0.96889999999999998</v>
      </c>
      <c r="L126" s="507">
        <v>0.96889999999999998</v>
      </c>
      <c r="M126" s="507">
        <v>0.96889999999999998</v>
      </c>
    </row>
    <row r="127" spans="1:13">
      <c r="A127" s="508">
        <v>2.2999999999999998</v>
      </c>
      <c r="B127" s="507">
        <v>1.1285000000000001</v>
      </c>
      <c r="C127" s="507">
        <v>1.1285000000000001</v>
      </c>
      <c r="D127" s="507">
        <v>1.0271999999999999</v>
      </c>
      <c r="E127" s="507">
        <v>1.0271999999999999</v>
      </c>
      <c r="F127" s="507">
        <v>1.0271999999999999</v>
      </c>
      <c r="G127" s="507">
        <v>1.0271999999999999</v>
      </c>
      <c r="H127" s="507">
        <v>1.0271999999999999</v>
      </c>
      <c r="I127" s="507">
        <v>0.95440000000000003</v>
      </c>
      <c r="J127" s="507">
        <v>0.95440000000000003</v>
      </c>
      <c r="K127" s="507">
        <v>0.95440000000000003</v>
      </c>
      <c r="L127" s="507">
        <v>0.95440000000000003</v>
      </c>
      <c r="M127" s="507">
        <v>0.95440000000000003</v>
      </c>
    </row>
    <row r="128" spans="1:13">
      <c r="A128" s="508">
        <v>2.4</v>
      </c>
      <c r="B128" s="507">
        <v>1.1149</v>
      </c>
      <c r="C128" s="507">
        <v>1.1149</v>
      </c>
      <c r="D128" s="507">
        <v>1.0133000000000001</v>
      </c>
      <c r="E128" s="507">
        <v>1.0133000000000001</v>
      </c>
      <c r="F128" s="507">
        <v>1.0133000000000001</v>
      </c>
      <c r="G128" s="507">
        <v>1.0133000000000001</v>
      </c>
      <c r="H128" s="507">
        <v>1.0133000000000001</v>
      </c>
      <c r="I128" s="507">
        <v>0.9405</v>
      </c>
      <c r="J128" s="507">
        <v>0.9405</v>
      </c>
      <c r="K128" s="507">
        <v>0.9405</v>
      </c>
      <c r="L128" s="507">
        <v>0.9405</v>
      </c>
      <c r="M128" s="507">
        <v>0.9405</v>
      </c>
    </row>
    <row r="129" spans="1:13">
      <c r="A129" s="508">
        <v>2.5</v>
      </c>
      <c r="B129" s="507">
        <v>1.1020000000000001</v>
      </c>
      <c r="C129" s="507">
        <v>1.1020000000000001</v>
      </c>
      <c r="D129" s="507">
        <v>1</v>
      </c>
      <c r="E129" s="507">
        <v>1</v>
      </c>
      <c r="F129" s="507">
        <v>1</v>
      </c>
      <c r="G129" s="507">
        <v>1</v>
      </c>
      <c r="H129" s="507">
        <v>1</v>
      </c>
      <c r="I129" s="507">
        <v>0.92730000000000001</v>
      </c>
      <c r="J129" s="507">
        <v>0.92730000000000001</v>
      </c>
      <c r="K129" s="507">
        <v>0.92730000000000001</v>
      </c>
      <c r="L129" s="507">
        <v>0.92730000000000001</v>
      </c>
      <c r="M129" s="507">
        <v>0.92730000000000001</v>
      </c>
    </row>
    <row r="130" spans="1:13">
      <c r="A130" s="508">
        <v>2.6</v>
      </c>
      <c r="B130" s="507">
        <v>1.0895999999999999</v>
      </c>
      <c r="C130" s="507">
        <v>1.0895999999999999</v>
      </c>
      <c r="D130" s="507">
        <v>0.98740000000000006</v>
      </c>
      <c r="E130" s="507">
        <v>0.98740000000000006</v>
      </c>
      <c r="F130" s="507">
        <v>0.98740000000000006</v>
      </c>
      <c r="G130" s="507">
        <v>0.98740000000000006</v>
      </c>
      <c r="H130" s="507">
        <v>0.98740000000000006</v>
      </c>
      <c r="I130" s="507">
        <v>0.91469999999999996</v>
      </c>
      <c r="J130" s="507">
        <v>0.91469999999999996</v>
      </c>
      <c r="K130" s="507">
        <v>0.91469999999999996</v>
      </c>
      <c r="L130" s="507">
        <v>0.91469999999999996</v>
      </c>
      <c r="M130" s="507">
        <v>0.91469999999999996</v>
      </c>
    </row>
    <row r="131" spans="1:13">
      <c r="A131" s="508">
        <v>2.7</v>
      </c>
      <c r="B131" s="507">
        <v>1.0778000000000001</v>
      </c>
      <c r="C131" s="507">
        <v>1.0778000000000001</v>
      </c>
      <c r="D131" s="507">
        <v>0.97540000000000004</v>
      </c>
      <c r="E131" s="507">
        <v>0.97540000000000004</v>
      </c>
      <c r="F131" s="507">
        <v>0.97540000000000004</v>
      </c>
      <c r="G131" s="507">
        <v>0.97540000000000004</v>
      </c>
      <c r="H131" s="507">
        <v>0.97540000000000004</v>
      </c>
      <c r="I131" s="507">
        <v>0.90269999999999995</v>
      </c>
      <c r="J131" s="507">
        <v>0.90269999999999995</v>
      </c>
      <c r="K131" s="507">
        <v>0.90269999999999995</v>
      </c>
      <c r="L131" s="507">
        <v>0.90269999999999995</v>
      </c>
      <c r="M131" s="507">
        <v>0.90269999999999995</v>
      </c>
    </row>
    <row r="132" spans="1:13">
      <c r="A132" s="508">
        <v>2.8</v>
      </c>
      <c r="B132" s="507">
        <v>1.0665</v>
      </c>
      <c r="C132" s="507">
        <v>1.0665</v>
      </c>
      <c r="D132" s="507">
        <v>0.96399999999999997</v>
      </c>
      <c r="E132" s="507">
        <v>0.96399999999999997</v>
      </c>
      <c r="F132" s="507">
        <v>0.96399999999999997</v>
      </c>
      <c r="G132" s="507">
        <v>0.96399999999999997</v>
      </c>
      <c r="H132" s="507">
        <v>0.96399999999999997</v>
      </c>
      <c r="I132" s="507">
        <v>0.89119999999999999</v>
      </c>
      <c r="J132" s="507">
        <v>0.89119999999999999</v>
      </c>
      <c r="K132" s="507">
        <v>0.89119999999999999</v>
      </c>
      <c r="L132" s="507">
        <v>0.89119999999999999</v>
      </c>
      <c r="M132" s="507">
        <v>0.89119999999999999</v>
      </c>
    </row>
    <row r="133" spans="1:13">
      <c r="A133" s="508">
        <v>2.9</v>
      </c>
      <c r="B133" s="507">
        <v>1.0556000000000001</v>
      </c>
      <c r="C133" s="507">
        <v>1.0556000000000001</v>
      </c>
      <c r="D133" s="507">
        <v>0.95330000000000004</v>
      </c>
      <c r="E133" s="507">
        <v>0.95330000000000004</v>
      </c>
      <c r="F133" s="507">
        <v>0.95330000000000004</v>
      </c>
      <c r="G133" s="507">
        <v>0.95330000000000004</v>
      </c>
      <c r="H133" s="507">
        <v>0.95330000000000004</v>
      </c>
      <c r="I133" s="507">
        <v>0.88019999999999998</v>
      </c>
      <c r="J133" s="507">
        <v>0.88019999999999998</v>
      </c>
      <c r="K133" s="507">
        <v>0.88019999999999998</v>
      </c>
      <c r="L133" s="507">
        <v>0.88019999999999998</v>
      </c>
      <c r="M133" s="507">
        <v>0.88019999999999998</v>
      </c>
    </row>
    <row r="134" spans="1:13">
      <c r="A134" s="508">
        <v>3</v>
      </c>
      <c r="B134" s="507">
        <v>1.0452999999999999</v>
      </c>
      <c r="C134" s="507">
        <v>1.0452999999999999</v>
      </c>
      <c r="D134" s="507">
        <v>0.94299999999999995</v>
      </c>
      <c r="E134" s="507">
        <v>0.94299999999999995</v>
      </c>
      <c r="F134" s="507">
        <v>0.94299999999999995</v>
      </c>
      <c r="G134" s="507">
        <v>0.94299999999999995</v>
      </c>
      <c r="H134" s="507">
        <v>0.94299999999999995</v>
      </c>
      <c r="I134" s="507">
        <v>0.86970000000000003</v>
      </c>
      <c r="J134" s="507">
        <v>0.86970000000000003</v>
      </c>
      <c r="K134" s="507">
        <v>0.86970000000000003</v>
      </c>
      <c r="L134" s="507">
        <v>0.86970000000000003</v>
      </c>
      <c r="M134" s="507">
        <v>0.86970000000000003</v>
      </c>
    </row>
    <row r="135" spans="1:13">
      <c r="A135" s="508">
        <v>3.1</v>
      </c>
      <c r="B135" s="507">
        <v>1.0354000000000001</v>
      </c>
      <c r="C135" s="507">
        <v>1.0354000000000001</v>
      </c>
      <c r="D135" s="507">
        <v>0.93330000000000002</v>
      </c>
      <c r="E135" s="507">
        <v>0.93330000000000002</v>
      </c>
      <c r="F135" s="507">
        <v>0.93330000000000002</v>
      </c>
      <c r="G135" s="507">
        <v>0.93330000000000002</v>
      </c>
      <c r="H135" s="507">
        <v>0.93330000000000002</v>
      </c>
      <c r="I135" s="507">
        <v>0.85970000000000002</v>
      </c>
      <c r="J135" s="507">
        <v>0.85970000000000002</v>
      </c>
      <c r="K135" s="507">
        <v>0.85970000000000002</v>
      </c>
      <c r="L135" s="507">
        <v>0.85970000000000002</v>
      </c>
      <c r="M135" s="507">
        <v>0.85970000000000002</v>
      </c>
    </row>
    <row r="136" spans="1:13">
      <c r="A136" s="508">
        <v>3.2</v>
      </c>
      <c r="B136" s="507">
        <v>1.0259</v>
      </c>
      <c r="C136" s="507">
        <v>1.0259</v>
      </c>
      <c r="D136" s="507">
        <v>0.92410000000000003</v>
      </c>
      <c r="E136" s="507">
        <v>0.92410000000000003</v>
      </c>
      <c r="F136" s="507">
        <v>0.92410000000000003</v>
      </c>
      <c r="G136" s="507">
        <v>0.92410000000000003</v>
      </c>
      <c r="H136" s="507">
        <v>0.92410000000000003</v>
      </c>
      <c r="I136" s="507">
        <v>0.85019999999999996</v>
      </c>
      <c r="J136" s="507">
        <v>0.85019999999999996</v>
      </c>
      <c r="K136" s="507">
        <v>0.85019999999999996</v>
      </c>
      <c r="L136" s="507">
        <v>0.85019999999999996</v>
      </c>
      <c r="M136" s="507">
        <v>0.85019999999999996</v>
      </c>
    </row>
    <row r="137" spans="1:13">
      <c r="A137" s="508">
        <v>3.3</v>
      </c>
      <c r="B137" s="507">
        <v>1.0168999999999999</v>
      </c>
      <c r="C137" s="507">
        <v>1.0168999999999999</v>
      </c>
      <c r="D137" s="507">
        <v>0.91539999999999999</v>
      </c>
      <c r="E137" s="507">
        <v>0.91539999999999999</v>
      </c>
      <c r="F137" s="507">
        <v>0.91539999999999999</v>
      </c>
      <c r="G137" s="507">
        <v>0.91539999999999999</v>
      </c>
      <c r="H137" s="507">
        <v>0.91539999999999999</v>
      </c>
      <c r="I137" s="507">
        <v>0.84109999999999996</v>
      </c>
      <c r="J137" s="507">
        <v>0.84109999999999996</v>
      </c>
      <c r="K137" s="507">
        <v>0.84109999999999996</v>
      </c>
      <c r="L137" s="507">
        <v>0.84109999999999996</v>
      </c>
      <c r="M137" s="507">
        <v>0.84109999999999996</v>
      </c>
    </row>
    <row r="138" spans="1:13">
      <c r="A138" s="508">
        <v>3.4</v>
      </c>
      <c r="B138" s="507">
        <v>1.0082</v>
      </c>
      <c r="C138" s="507">
        <v>1.0082</v>
      </c>
      <c r="D138" s="507">
        <v>0.90710000000000002</v>
      </c>
      <c r="E138" s="507">
        <v>0.90710000000000002</v>
      </c>
      <c r="F138" s="507">
        <v>0.90710000000000002</v>
      </c>
      <c r="G138" s="507">
        <v>0.90710000000000002</v>
      </c>
      <c r="H138" s="507">
        <v>0.90710000000000002</v>
      </c>
      <c r="I138" s="507">
        <v>0.83240000000000003</v>
      </c>
      <c r="J138" s="507">
        <v>0.83240000000000003</v>
      </c>
      <c r="K138" s="507">
        <v>0.83240000000000003</v>
      </c>
      <c r="L138" s="507">
        <v>0.83240000000000003</v>
      </c>
      <c r="M138" s="507">
        <v>0.83240000000000003</v>
      </c>
    </row>
    <row r="139" spans="1:13">
      <c r="A139" s="508">
        <v>3.5</v>
      </c>
      <c r="B139" s="507">
        <v>1</v>
      </c>
      <c r="C139" s="507">
        <v>1</v>
      </c>
      <c r="D139" s="507">
        <v>0.89929999999999999</v>
      </c>
      <c r="E139" s="507">
        <v>0.89929999999999999</v>
      </c>
      <c r="F139" s="507">
        <v>0.89929999999999999</v>
      </c>
      <c r="G139" s="507">
        <v>0.89929999999999999</v>
      </c>
      <c r="H139" s="507">
        <v>0.89929999999999999</v>
      </c>
      <c r="I139" s="507">
        <v>0.82410000000000005</v>
      </c>
      <c r="J139" s="507">
        <v>0.82410000000000005</v>
      </c>
      <c r="K139" s="507">
        <v>0.82410000000000005</v>
      </c>
      <c r="L139" s="507">
        <v>0.82410000000000005</v>
      </c>
      <c r="M139" s="507">
        <v>0.82410000000000005</v>
      </c>
    </row>
    <row r="140" spans="1:13">
      <c r="A140" s="508">
        <v>3.6</v>
      </c>
      <c r="B140" s="507">
        <v>0.99219999999999997</v>
      </c>
      <c r="C140" s="507">
        <v>0.99219999999999997</v>
      </c>
      <c r="D140" s="507">
        <v>0.89190000000000003</v>
      </c>
      <c r="E140" s="507">
        <v>0.89190000000000003</v>
      </c>
      <c r="F140" s="507">
        <v>0.89190000000000003</v>
      </c>
      <c r="G140" s="507">
        <v>0.89190000000000003</v>
      </c>
      <c r="H140" s="507">
        <v>0.89190000000000003</v>
      </c>
      <c r="I140" s="507">
        <v>0.81620000000000004</v>
      </c>
      <c r="J140" s="507">
        <v>0.81620000000000004</v>
      </c>
      <c r="K140" s="507">
        <v>0.81620000000000004</v>
      </c>
      <c r="L140" s="507">
        <v>0.81620000000000004</v>
      </c>
      <c r="M140" s="507">
        <v>0.81620000000000004</v>
      </c>
    </row>
    <row r="141" spans="1:13">
      <c r="A141" s="508">
        <v>3.7</v>
      </c>
      <c r="B141" s="507">
        <v>0.98480000000000001</v>
      </c>
      <c r="C141" s="507">
        <v>0.98480000000000001</v>
      </c>
      <c r="D141" s="507">
        <v>0.88480000000000003</v>
      </c>
      <c r="E141" s="507">
        <v>0.88480000000000003</v>
      </c>
      <c r="F141" s="507">
        <v>0.88480000000000003</v>
      </c>
      <c r="G141" s="507">
        <v>0.88480000000000003</v>
      </c>
      <c r="H141" s="507">
        <v>0.88480000000000003</v>
      </c>
      <c r="I141" s="507">
        <v>0.80869999999999997</v>
      </c>
      <c r="J141" s="507">
        <v>0.80869999999999997</v>
      </c>
      <c r="K141" s="507">
        <v>0.80869999999999997</v>
      </c>
      <c r="L141" s="507">
        <v>0.80869999999999997</v>
      </c>
      <c r="M141" s="507">
        <v>0.80869999999999997</v>
      </c>
    </row>
    <row r="142" spans="1:13">
      <c r="A142" s="508">
        <v>3.8</v>
      </c>
      <c r="B142" s="507">
        <v>0.9778</v>
      </c>
      <c r="C142" s="507">
        <v>0.9778</v>
      </c>
      <c r="D142" s="507">
        <v>0.87809999999999999</v>
      </c>
      <c r="E142" s="507">
        <v>0.87809999999999999</v>
      </c>
      <c r="F142" s="507">
        <v>0.87809999999999999</v>
      </c>
      <c r="G142" s="507">
        <v>0.87809999999999999</v>
      </c>
      <c r="H142" s="507">
        <v>0.87809999999999999</v>
      </c>
      <c r="I142" s="507">
        <v>0.80159999999999998</v>
      </c>
      <c r="J142" s="507">
        <v>0.80159999999999998</v>
      </c>
      <c r="K142" s="507">
        <v>0.80159999999999998</v>
      </c>
      <c r="L142" s="507">
        <v>0.80159999999999998</v>
      </c>
      <c r="M142" s="507">
        <v>0.80159999999999998</v>
      </c>
    </row>
    <row r="143" spans="1:13">
      <c r="A143" s="508">
        <v>3.9</v>
      </c>
      <c r="B143" s="507">
        <v>0.97119999999999995</v>
      </c>
      <c r="C143" s="507">
        <v>0.97119999999999995</v>
      </c>
      <c r="D143" s="507">
        <v>0.87180000000000002</v>
      </c>
      <c r="E143" s="507">
        <v>0.87180000000000002</v>
      </c>
      <c r="F143" s="507">
        <v>0.87180000000000002</v>
      </c>
      <c r="G143" s="507">
        <v>0.87180000000000002</v>
      </c>
      <c r="H143" s="507">
        <v>0.87180000000000002</v>
      </c>
      <c r="I143" s="507">
        <v>0.79479999999999995</v>
      </c>
      <c r="J143" s="507">
        <v>0.79479999999999995</v>
      </c>
      <c r="K143" s="507">
        <v>0.79479999999999995</v>
      </c>
      <c r="L143" s="507">
        <v>0.79479999999999995</v>
      </c>
      <c r="M143" s="507">
        <v>0.79479999999999995</v>
      </c>
    </row>
    <row r="144" spans="1:13">
      <c r="A144" s="508">
        <v>4</v>
      </c>
      <c r="B144" s="507">
        <v>0.96499999999999997</v>
      </c>
      <c r="C144" s="507">
        <v>0.96499999999999997</v>
      </c>
      <c r="D144" s="507">
        <v>0.86580000000000001</v>
      </c>
      <c r="E144" s="507">
        <v>0.86580000000000001</v>
      </c>
      <c r="F144" s="507">
        <v>0.86580000000000001</v>
      </c>
      <c r="G144" s="507">
        <v>0.86580000000000001</v>
      </c>
      <c r="H144" s="507">
        <v>0.86580000000000001</v>
      </c>
      <c r="I144" s="507">
        <v>0.7883</v>
      </c>
      <c r="J144" s="507">
        <v>0.7883</v>
      </c>
      <c r="K144" s="507">
        <v>0.7883</v>
      </c>
      <c r="L144" s="507">
        <v>0.7883</v>
      </c>
      <c r="M144" s="507">
        <v>0.7883</v>
      </c>
    </row>
    <row r="145" spans="1:13">
      <c r="A145" s="508">
        <v>4.0999999999999996</v>
      </c>
      <c r="B145" s="507">
        <v>0.95909999999999995</v>
      </c>
      <c r="C145" s="507">
        <v>0.95909999999999995</v>
      </c>
      <c r="D145" s="507">
        <v>0.86009999999999998</v>
      </c>
      <c r="E145" s="507">
        <v>0.86009999999999998</v>
      </c>
      <c r="F145" s="507">
        <v>0.86009999999999998</v>
      </c>
      <c r="G145" s="507">
        <v>0.86009999999999998</v>
      </c>
      <c r="H145" s="507">
        <v>0.86009999999999998</v>
      </c>
      <c r="I145" s="507">
        <v>0.78200000000000003</v>
      </c>
      <c r="J145" s="507">
        <v>0.78200000000000003</v>
      </c>
      <c r="K145" s="507">
        <v>0.78200000000000003</v>
      </c>
      <c r="L145" s="507">
        <v>0.78200000000000003</v>
      </c>
      <c r="M145" s="507">
        <v>0.78200000000000003</v>
      </c>
    </row>
    <row r="146" spans="1:13">
      <c r="A146" s="508">
        <v>4.2</v>
      </c>
      <c r="B146" s="507">
        <v>0.95350000000000001</v>
      </c>
      <c r="C146" s="507">
        <v>0.95350000000000001</v>
      </c>
      <c r="D146" s="507">
        <v>0.85470000000000002</v>
      </c>
      <c r="E146" s="507">
        <v>0.85470000000000002</v>
      </c>
      <c r="F146" s="507">
        <v>0.85470000000000002</v>
      </c>
      <c r="G146" s="507">
        <v>0.85470000000000002</v>
      </c>
      <c r="H146" s="507">
        <v>0.85470000000000002</v>
      </c>
      <c r="I146" s="507">
        <v>0.77600000000000002</v>
      </c>
      <c r="J146" s="507">
        <v>0.77600000000000002</v>
      </c>
      <c r="K146" s="507">
        <v>0.77600000000000002</v>
      </c>
      <c r="L146" s="507">
        <v>0.77600000000000002</v>
      </c>
      <c r="M146" s="507">
        <v>0.77600000000000002</v>
      </c>
    </row>
    <row r="147" spans="1:13">
      <c r="A147" s="508">
        <v>4.3</v>
      </c>
      <c r="B147" s="507">
        <v>0.94820000000000004</v>
      </c>
      <c r="C147" s="507">
        <v>0.94820000000000004</v>
      </c>
      <c r="D147" s="507">
        <v>0.84960000000000002</v>
      </c>
      <c r="E147" s="507">
        <v>0.84960000000000002</v>
      </c>
      <c r="F147" s="507">
        <v>0.84960000000000002</v>
      </c>
      <c r="G147" s="507">
        <v>0.84960000000000002</v>
      </c>
      <c r="H147" s="507">
        <v>0.84960000000000002</v>
      </c>
      <c r="I147" s="507">
        <v>0.77029999999999998</v>
      </c>
      <c r="J147" s="507">
        <v>0.77029999999999998</v>
      </c>
      <c r="K147" s="507">
        <v>0.77029999999999998</v>
      </c>
      <c r="L147" s="507">
        <v>0.77029999999999998</v>
      </c>
      <c r="M147" s="507">
        <v>0.77029999999999998</v>
      </c>
    </row>
    <row r="148" spans="1:13">
      <c r="A148" s="508">
        <v>4.4000000000000004</v>
      </c>
      <c r="B148" s="507">
        <v>0.94320000000000004</v>
      </c>
      <c r="C148" s="507">
        <v>0.94320000000000004</v>
      </c>
      <c r="D148" s="507">
        <v>0.8448</v>
      </c>
      <c r="E148" s="507">
        <v>0.8448</v>
      </c>
      <c r="F148" s="507">
        <v>0.8448</v>
      </c>
      <c r="G148" s="507">
        <v>0.8448</v>
      </c>
      <c r="H148" s="507">
        <v>0.8448</v>
      </c>
      <c r="I148" s="507">
        <v>0.76490000000000002</v>
      </c>
      <c r="J148" s="507">
        <v>0.76490000000000002</v>
      </c>
      <c r="K148" s="507">
        <v>0.76490000000000002</v>
      </c>
      <c r="L148" s="507">
        <v>0.76490000000000002</v>
      </c>
      <c r="M148" s="507">
        <v>0.76490000000000002</v>
      </c>
    </row>
    <row r="149" spans="1:13">
      <c r="A149" s="508">
        <v>4.5</v>
      </c>
      <c r="B149" s="507">
        <v>0.9385</v>
      </c>
      <c r="C149" s="507">
        <v>0.9385</v>
      </c>
      <c r="D149" s="507">
        <v>0.84019999999999995</v>
      </c>
      <c r="E149" s="507">
        <v>0.84019999999999995</v>
      </c>
      <c r="F149" s="507">
        <v>0.84019999999999995</v>
      </c>
      <c r="G149" s="507">
        <v>0.84019999999999995</v>
      </c>
      <c r="H149" s="507">
        <v>0.84019999999999995</v>
      </c>
      <c r="I149" s="507">
        <v>0.75970000000000004</v>
      </c>
      <c r="J149" s="507">
        <v>0.75970000000000004</v>
      </c>
      <c r="K149" s="507">
        <v>0.75970000000000004</v>
      </c>
      <c r="L149" s="507">
        <v>0.75970000000000004</v>
      </c>
      <c r="M149" s="507">
        <v>0.75970000000000004</v>
      </c>
    </row>
    <row r="150" spans="1:13">
      <c r="A150" s="508">
        <v>4.5999999999999996</v>
      </c>
      <c r="B150" s="507">
        <v>0.93410000000000004</v>
      </c>
      <c r="C150" s="507">
        <v>0.93410000000000004</v>
      </c>
      <c r="D150" s="507">
        <v>0.83579999999999999</v>
      </c>
      <c r="E150" s="507">
        <v>0.83579999999999999</v>
      </c>
      <c r="F150" s="507">
        <v>0.83579999999999999</v>
      </c>
      <c r="G150" s="507">
        <v>0.83579999999999999</v>
      </c>
      <c r="H150" s="507">
        <v>0.83579999999999999</v>
      </c>
      <c r="I150" s="507">
        <v>0.75470000000000004</v>
      </c>
      <c r="J150" s="507">
        <v>0.75470000000000004</v>
      </c>
      <c r="K150" s="507">
        <v>0.75470000000000004</v>
      </c>
      <c r="L150" s="507">
        <v>0.75470000000000004</v>
      </c>
      <c r="M150" s="507">
        <v>0.75470000000000004</v>
      </c>
    </row>
    <row r="151" spans="1:13">
      <c r="A151" s="508">
        <v>4.7</v>
      </c>
      <c r="B151" s="507">
        <v>0.92989999999999995</v>
      </c>
      <c r="C151" s="507">
        <v>0.92989999999999995</v>
      </c>
      <c r="D151" s="507">
        <v>0.83160000000000001</v>
      </c>
      <c r="E151" s="507">
        <v>0.83160000000000001</v>
      </c>
      <c r="F151" s="507">
        <v>0.83160000000000001</v>
      </c>
      <c r="G151" s="507">
        <v>0.83160000000000001</v>
      </c>
      <c r="H151" s="507">
        <v>0.83160000000000001</v>
      </c>
      <c r="I151" s="507">
        <v>0.74990000000000001</v>
      </c>
      <c r="J151" s="507">
        <v>0.74990000000000001</v>
      </c>
      <c r="K151" s="507">
        <v>0.74990000000000001</v>
      </c>
      <c r="L151" s="507">
        <v>0.74990000000000001</v>
      </c>
      <c r="M151" s="507">
        <v>0.74990000000000001</v>
      </c>
    </row>
    <row r="152" spans="1:13">
      <c r="A152" s="508">
        <v>4.8</v>
      </c>
      <c r="B152" s="507">
        <v>0.92589999999999995</v>
      </c>
      <c r="C152" s="507">
        <v>0.92589999999999995</v>
      </c>
      <c r="D152" s="507">
        <v>0.82769999999999999</v>
      </c>
      <c r="E152" s="507">
        <v>0.82769999999999999</v>
      </c>
      <c r="F152" s="507">
        <v>0.82769999999999999</v>
      </c>
      <c r="G152" s="507">
        <v>0.82769999999999999</v>
      </c>
      <c r="H152" s="507">
        <v>0.82769999999999999</v>
      </c>
      <c r="I152" s="507">
        <v>0.74529999999999996</v>
      </c>
      <c r="J152" s="507">
        <v>0.74529999999999996</v>
      </c>
      <c r="K152" s="507">
        <v>0.74529999999999996</v>
      </c>
      <c r="L152" s="507">
        <v>0.74529999999999996</v>
      </c>
      <c r="M152" s="507">
        <v>0.74529999999999996</v>
      </c>
    </row>
    <row r="153" spans="1:13">
      <c r="A153" s="508">
        <v>4.9000000000000004</v>
      </c>
      <c r="B153" s="507">
        <v>0.92210000000000003</v>
      </c>
      <c r="C153" s="507">
        <v>0.92210000000000003</v>
      </c>
      <c r="D153" s="507">
        <v>0.82389999999999997</v>
      </c>
      <c r="E153" s="507">
        <v>0.82389999999999997</v>
      </c>
      <c r="F153" s="507">
        <v>0.82389999999999997</v>
      </c>
      <c r="G153" s="507">
        <v>0.82389999999999997</v>
      </c>
      <c r="H153" s="507">
        <v>0.82389999999999997</v>
      </c>
      <c r="I153" s="507">
        <v>0.7409</v>
      </c>
      <c r="J153" s="507">
        <v>0.7409</v>
      </c>
      <c r="K153" s="507">
        <v>0.7409</v>
      </c>
      <c r="L153" s="507">
        <v>0.7409</v>
      </c>
      <c r="M153" s="507">
        <v>0.7409</v>
      </c>
    </row>
    <row r="154" spans="1:13">
      <c r="A154" s="508">
        <v>5</v>
      </c>
      <c r="B154" s="507">
        <v>0.91849999999999998</v>
      </c>
      <c r="C154" s="507">
        <v>0.91849999999999998</v>
      </c>
      <c r="D154" s="507">
        <v>0.82030000000000003</v>
      </c>
      <c r="E154" s="507">
        <v>0.82030000000000003</v>
      </c>
      <c r="F154" s="507">
        <v>0.82030000000000003</v>
      </c>
      <c r="G154" s="507">
        <v>0.82030000000000003</v>
      </c>
      <c r="H154" s="507">
        <v>0.82030000000000003</v>
      </c>
      <c r="I154" s="507">
        <v>0.73670000000000002</v>
      </c>
      <c r="J154" s="507">
        <v>0.73670000000000002</v>
      </c>
      <c r="K154" s="507">
        <v>0.73670000000000002</v>
      </c>
      <c r="L154" s="507">
        <v>0.73670000000000002</v>
      </c>
      <c r="M154" s="507">
        <v>0.73670000000000002</v>
      </c>
    </row>
    <row r="155" spans="1:13">
      <c r="A155" s="504">
        <v>5.0999999999999996</v>
      </c>
      <c r="B155" s="507">
        <v>0.91510000000000002</v>
      </c>
      <c r="C155" s="507">
        <v>0.91510000000000002</v>
      </c>
      <c r="D155" s="507">
        <v>0.81689999999999996</v>
      </c>
      <c r="E155" s="507">
        <v>0.81689999999999996</v>
      </c>
      <c r="F155" s="507">
        <v>0.81689999999999996</v>
      </c>
      <c r="G155" s="507">
        <v>0.81689999999999996</v>
      </c>
      <c r="H155" s="507">
        <v>0.81689999999999996</v>
      </c>
      <c r="I155" s="507">
        <v>0.73270000000000002</v>
      </c>
      <c r="J155" s="507">
        <v>0.73270000000000002</v>
      </c>
      <c r="K155" s="507">
        <v>0.73270000000000002</v>
      </c>
      <c r="L155" s="507">
        <v>0.73270000000000002</v>
      </c>
      <c r="M155" s="507">
        <v>0.73270000000000002</v>
      </c>
    </row>
    <row r="156" spans="1:13">
      <c r="A156" s="504">
        <v>5.2</v>
      </c>
      <c r="B156" s="507">
        <v>0.91190000000000004</v>
      </c>
      <c r="C156" s="507">
        <v>0.91190000000000004</v>
      </c>
      <c r="D156" s="507">
        <v>0.81359999999999999</v>
      </c>
      <c r="E156" s="507">
        <v>0.81359999999999999</v>
      </c>
      <c r="F156" s="507">
        <v>0.81359999999999999</v>
      </c>
      <c r="G156" s="507">
        <v>0.81359999999999999</v>
      </c>
      <c r="H156" s="507">
        <v>0.81359999999999999</v>
      </c>
      <c r="I156" s="507">
        <v>0.72889999999999999</v>
      </c>
      <c r="J156" s="507">
        <v>0.72889999999999999</v>
      </c>
      <c r="K156" s="507">
        <v>0.72889999999999999</v>
      </c>
      <c r="L156" s="507">
        <v>0.72889999999999999</v>
      </c>
      <c r="M156" s="507">
        <v>0.72889999999999999</v>
      </c>
    </row>
    <row r="157" spans="1:13">
      <c r="A157" s="504">
        <v>5.3</v>
      </c>
      <c r="B157" s="507">
        <v>0.90880000000000005</v>
      </c>
      <c r="C157" s="507">
        <v>0.90880000000000005</v>
      </c>
      <c r="D157" s="507">
        <v>0.8105</v>
      </c>
      <c r="E157" s="507">
        <v>0.8105</v>
      </c>
      <c r="F157" s="507">
        <v>0.8105</v>
      </c>
      <c r="G157" s="507">
        <v>0.8105</v>
      </c>
      <c r="H157" s="507">
        <v>0.8105</v>
      </c>
      <c r="I157" s="507">
        <v>0.72529999999999994</v>
      </c>
      <c r="J157" s="507">
        <v>0.72529999999999994</v>
      </c>
      <c r="K157" s="507">
        <v>0.72529999999999994</v>
      </c>
      <c r="L157" s="507">
        <v>0.72529999999999994</v>
      </c>
      <c r="M157" s="507">
        <v>0.72529999999999994</v>
      </c>
    </row>
    <row r="158" spans="1:13">
      <c r="A158" s="504">
        <v>5.4</v>
      </c>
      <c r="B158" s="507">
        <v>0.90580000000000005</v>
      </c>
      <c r="C158" s="507">
        <v>0.90580000000000005</v>
      </c>
      <c r="D158" s="507">
        <v>0.8075</v>
      </c>
      <c r="E158" s="507">
        <v>0.8075</v>
      </c>
      <c r="F158" s="507">
        <v>0.8075</v>
      </c>
      <c r="G158" s="507">
        <v>0.8075</v>
      </c>
      <c r="H158" s="507">
        <v>0.8075</v>
      </c>
      <c r="I158" s="507">
        <v>0.7218</v>
      </c>
      <c r="J158" s="507">
        <v>0.7218</v>
      </c>
      <c r="K158" s="507">
        <v>0.7218</v>
      </c>
      <c r="L158" s="507">
        <v>0.7218</v>
      </c>
      <c r="M158" s="507">
        <v>0.7218</v>
      </c>
    </row>
    <row r="159" spans="1:13">
      <c r="A159" s="504">
        <v>5.5</v>
      </c>
      <c r="B159" s="507">
        <v>0.90290000000000004</v>
      </c>
      <c r="C159" s="507">
        <v>0.90290000000000004</v>
      </c>
      <c r="D159" s="507">
        <v>0.80469999999999997</v>
      </c>
      <c r="E159" s="507">
        <v>0.80469999999999997</v>
      </c>
      <c r="F159" s="507">
        <v>0.80469999999999997</v>
      </c>
      <c r="G159" s="507">
        <v>0.80469999999999997</v>
      </c>
      <c r="H159" s="507">
        <v>0.80469999999999997</v>
      </c>
      <c r="I159" s="507">
        <v>0.71840000000000004</v>
      </c>
      <c r="J159" s="507">
        <v>0.71840000000000004</v>
      </c>
      <c r="K159" s="507">
        <v>0.71840000000000004</v>
      </c>
      <c r="L159" s="507">
        <v>0.71840000000000004</v>
      </c>
      <c r="M159" s="507">
        <v>0.71840000000000004</v>
      </c>
    </row>
    <row r="160" spans="1:13">
      <c r="A160" s="504">
        <v>5.6</v>
      </c>
      <c r="B160" s="507">
        <v>0.90010000000000001</v>
      </c>
      <c r="C160" s="507">
        <v>0.90010000000000001</v>
      </c>
      <c r="D160" s="507">
        <v>0.80200000000000005</v>
      </c>
      <c r="E160" s="507">
        <v>0.80200000000000005</v>
      </c>
      <c r="F160" s="507">
        <v>0.80200000000000005</v>
      </c>
      <c r="G160" s="507">
        <v>0.80200000000000005</v>
      </c>
      <c r="H160" s="507">
        <v>0.80200000000000005</v>
      </c>
      <c r="I160" s="507">
        <v>0.71509999999999996</v>
      </c>
      <c r="J160" s="507">
        <v>0.71509999999999996</v>
      </c>
      <c r="K160" s="507">
        <v>0.71509999999999996</v>
      </c>
      <c r="L160" s="507">
        <v>0.71509999999999996</v>
      </c>
      <c r="M160" s="507">
        <v>0.71509999999999996</v>
      </c>
    </row>
    <row r="161" spans="1:13">
      <c r="A161" s="508">
        <v>5.7</v>
      </c>
      <c r="B161" s="507">
        <v>0.89749999999999996</v>
      </c>
      <c r="C161" s="507">
        <v>0.89749999999999996</v>
      </c>
      <c r="D161" s="507">
        <v>0.79930000000000001</v>
      </c>
      <c r="E161" s="507">
        <v>0.79930000000000001</v>
      </c>
      <c r="F161" s="507">
        <v>0.79930000000000001</v>
      </c>
      <c r="G161" s="507">
        <v>0.79930000000000001</v>
      </c>
      <c r="H161" s="507">
        <v>0.79930000000000001</v>
      </c>
      <c r="I161" s="507">
        <v>0.71189999999999998</v>
      </c>
      <c r="J161" s="507">
        <v>0.71189999999999998</v>
      </c>
      <c r="K161" s="507">
        <v>0.71189999999999998</v>
      </c>
      <c r="L161" s="507">
        <v>0.71189999999999998</v>
      </c>
      <c r="M161" s="507">
        <v>0.71189999999999998</v>
      </c>
    </row>
    <row r="162" spans="1:13">
      <c r="A162" s="504">
        <v>5.8</v>
      </c>
      <c r="B162" s="507">
        <v>0.89500000000000002</v>
      </c>
      <c r="C162" s="507">
        <v>0.89500000000000002</v>
      </c>
      <c r="D162" s="507">
        <v>0.79679999999999995</v>
      </c>
      <c r="E162" s="507">
        <v>0.79679999999999995</v>
      </c>
      <c r="F162" s="507">
        <v>0.79679999999999995</v>
      </c>
      <c r="G162" s="507">
        <v>0.79679999999999995</v>
      </c>
      <c r="H162" s="507">
        <v>0.79679999999999995</v>
      </c>
      <c r="I162" s="507">
        <v>0.70879999999999999</v>
      </c>
      <c r="J162" s="507">
        <v>0.70879999999999999</v>
      </c>
      <c r="K162" s="507">
        <v>0.70879999999999999</v>
      </c>
      <c r="L162" s="507">
        <v>0.70879999999999999</v>
      </c>
      <c r="M162" s="507">
        <v>0.70879999999999999</v>
      </c>
    </row>
    <row r="163" spans="1:13">
      <c r="A163" s="504">
        <v>5.9</v>
      </c>
      <c r="B163" s="507">
        <v>0.89259999999999995</v>
      </c>
      <c r="C163" s="507">
        <v>0.89259999999999995</v>
      </c>
      <c r="D163" s="507">
        <v>0.7944</v>
      </c>
      <c r="E163" s="507">
        <v>0.7944</v>
      </c>
      <c r="F163" s="507">
        <v>0.7944</v>
      </c>
      <c r="G163" s="507">
        <v>0.7944</v>
      </c>
      <c r="H163" s="507">
        <v>0.7944</v>
      </c>
      <c r="I163" s="507">
        <v>0.70579999999999998</v>
      </c>
      <c r="J163" s="507">
        <v>0.70579999999999998</v>
      </c>
      <c r="K163" s="507">
        <v>0.70579999999999998</v>
      </c>
      <c r="L163" s="507">
        <v>0.70579999999999998</v>
      </c>
      <c r="M163" s="507">
        <v>0.70579999999999998</v>
      </c>
    </row>
    <row r="164" spans="1:13">
      <c r="A164" s="504">
        <v>6</v>
      </c>
      <c r="B164" s="507">
        <v>0.89029999999999998</v>
      </c>
      <c r="C164" s="507">
        <v>0.89029999999999998</v>
      </c>
      <c r="D164" s="507">
        <v>0.79200000000000004</v>
      </c>
      <c r="E164" s="507">
        <v>0.79200000000000004</v>
      </c>
      <c r="F164" s="507">
        <v>0.79200000000000004</v>
      </c>
      <c r="G164" s="507">
        <v>0.79200000000000004</v>
      </c>
      <c r="H164" s="507">
        <v>0.79200000000000004</v>
      </c>
      <c r="I164" s="507">
        <v>0.70289999999999997</v>
      </c>
      <c r="J164" s="507">
        <v>0.70289999999999997</v>
      </c>
      <c r="K164" s="507">
        <v>0.70289999999999997</v>
      </c>
      <c r="L164" s="507">
        <v>0.70289999999999997</v>
      </c>
      <c r="M164" s="507">
        <v>0.70289999999999997</v>
      </c>
    </row>
    <row r="165" spans="1:13">
      <c r="A165" s="504">
        <v>6.1</v>
      </c>
      <c r="B165" s="507">
        <v>0.8881</v>
      </c>
      <c r="C165" s="507">
        <v>0.8881</v>
      </c>
      <c r="D165" s="507">
        <v>0.78979999999999995</v>
      </c>
      <c r="E165" s="507">
        <v>0.78979999999999995</v>
      </c>
      <c r="F165" s="507">
        <v>0.78979999999999995</v>
      </c>
      <c r="G165" s="507">
        <v>0.78979999999999995</v>
      </c>
      <c r="H165" s="507">
        <v>0.78979999999999995</v>
      </c>
      <c r="I165" s="507">
        <v>0.70009999999999994</v>
      </c>
      <c r="J165" s="507">
        <v>0.70009999999999994</v>
      </c>
      <c r="K165" s="507">
        <v>0.70009999999999994</v>
      </c>
      <c r="L165" s="507">
        <v>0.70009999999999994</v>
      </c>
      <c r="M165" s="507">
        <v>0.70009999999999994</v>
      </c>
    </row>
    <row r="166" spans="1:13">
      <c r="A166" s="504">
        <v>6.2</v>
      </c>
      <c r="B166" s="507">
        <v>0.88600000000000001</v>
      </c>
      <c r="C166" s="507">
        <v>0.88600000000000001</v>
      </c>
      <c r="D166" s="507">
        <v>0.78759999999999997</v>
      </c>
      <c r="E166" s="507">
        <v>0.78759999999999997</v>
      </c>
      <c r="F166" s="507">
        <v>0.78759999999999997</v>
      </c>
      <c r="G166" s="507">
        <v>0.78759999999999997</v>
      </c>
      <c r="H166" s="507">
        <v>0.78759999999999997</v>
      </c>
      <c r="I166" s="507">
        <v>0.69740000000000002</v>
      </c>
      <c r="J166" s="507">
        <v>0.69740000000000002</v>
      </c>
      <c r="K166" s="507">
        <v>0.69740000000000002</v>
      </c>
      <c r="L166" s="507">
        <v>0.69740000000000002</v>
      </c>
      <c r="M166" s="507">
        <v>0.69740000000000002</v>
      </c>
    </row>
    <row r="167" spans="1:13">
      <c r="A167" s="504">
        <v>6.3</v>
      </c>
      <c r="B167" s="507">
        <v>0.88390000000000002</v>
      </c>
      <c r="C167" s="507">
        <v>0.88390000000000002</v>
      </c>
      <c r="D167" s="507">
        <v>0.78549999999999998</v>
      </c>
      <c r="E167" s="507">
        <v>0.78549999999999998</v>
      </c>
      <c r="F167" s="507">
        <v>0.78549999999999998</v>
      </c>
      <c r="G167" s="507">
        <v>0.78549999999999998</v>
      </c>
      <c r="H167" s="507">
        <v>0.78549999999999998</v>
      </c>
      <c r="I167" s="507">
        <v>0.69479999999999997</v>
      </c>
      <c r="J167" s="507">
        <v>0.69479999999999997</v>
      </c>
      <c r="K167" s="507">
        <v>0.69479999999999997</v>
      </c>
      <c r="L167" s="507">
        <v>0.69479999999999997</v>
      </c>
      <c r="M167" s="507">
        <v>0.69479999999999997</v>
      </c>
    </row>
    <row r="168" spans="1:13">
      <c r="A168" s="504">
        <v>6.4</v>
      </c>
      <c r="B168" s="507">
        <v>0.88190000000000002</v>
      </c>
      <c r="C168" s="507">
        <v>0.88190000000000002</v>
      </c>
      <c r="D168" s="507">
        <v>0.78339999999999999</v>
      </c>
      <c r="E168" s="507">
        <v>0.78339999999999999</v>
      </c>
      <c r="F168" s="507">
        <v>0.78339999999999999</v>
      </c>
      <c r="G168" s="507">
        <v>0.78339999999999999</v>
      </c>
      <c r="H168" s="507">
        <v>0.78339999999999999</v>
      </c>
      <c r="I168" s="507">
        <v>0.69230000000000003</v>
      </c>
      <c r="J168" s="507">
        <v>0.69230000000000003</v>
      </c>
      <c r="K168" s="507">
        <v>0.69230000000000003</v>
      </c>
      <c r="L168" s="507">
        <v>0.69230000000000003</v>
      </c>
      <c r="M168" s="507">
        <v>0.69230000000000003</v>
      </c>
    </row>
    <row r="169" spans="1:13">
      <c r="A169" s="504">
        <v>6.5</v>
      </c>
      <c r="B169" s="507">
        <v>0.88</v>
      </c>
      <c r="C169" s="507">
        <v>0.88</v>
      </c>
      <c r="D169" s="507">
        <v>0.78139999999999998</v>
      </c>
      <c r="E169" s="507">
        <v>0.78139999999999998</v>
      </c>
      <c r="F169" s="507">
        <v>0.78139999999999998</v>
      </c>
      <c r="G169" s="507">
        <v>0.78139999999999998</v>
      </c>
      <c r="H169" s="507">
        <v>0.78139999999999998</v>
      </c>
      <c r="I169" s="507">
        <v>0.68989999999999996</v>
      </c>
      <c r="J169" s="507">
        <v>0.68989999999999996</v>
      </c>
      <c r="K169" s="507">
        <v>0.68989999999999996</v>
      </c>
      <c r="L169" s="507">
        <v>0.68989999999999996</v>
      </c>
      <c r="M169" s="507">
        <v>0.68989999999999996</v>
      </c>
    </row>
    <row r="170" spans="1:13">
      <c r="A170" s="504">
        <v>6.6</v>
      </c>
      <c r="B170" s="507">
        <v>0.87809999999999999</v>
      </c>
      <c r="C170" s="507">
        <v>0.87809999999999999</v>
      </c>
      <c r="D170" s="507">
        <v>0.77949999999999997</v>
      </c>
      <c r="E170" s="507">
        <v>0.77949999999999997</v>
      </c>
      <c r="F170" s="507">
        <v>0.77949999999999997</v>
      </c>
      <c r="G170" s="507">
        <v>0.77949999999999997</v>
      </c>
      <c r="H170" s="507">
        <v>0.77949999999999997</v>
      </c>
      <c r="I170" s="507">
        <v>0.68759999999999999</v>
      </c>
      <c r="J170" s="507">
        <v>0.68759999999999999</v>
      </c>
      <c r="K170" s="507">
        <v>0.68759999999999999</v>
      </c>
      <c r="L170" s="507">
        <v>0.68759999999999999</v>
      </c>
      <c r="M170" s="507">
        <v>0.68759999999999999</v>
      </c>
    </row>
    <row r="171" spans="1:13">
      <c r="A171" s="504">
        <v>6.7</v>
      </c>
      <c r="B171" s="507">
        <v>0.87629999999999997</v>
      </c>
      <c r="C171" s="507">
        <v>0.87629999999999997</v>
      </c>
      <c r="D171" s="507">
        <v>0.77759999999999996</v>
      </c>
      <c r="E171" s="507">
        <v>0.77759999999999996</v>
      </c>
      <c r="F171" s="507">
        <v>0.77759999999999996</v>
      </c>
      <c r="G171" s="507">
        <v>0.77759999999999996</v>
      </c>
      <c r="H171" s="507">
        <v>0.77759999999999996</v>
      </c>
      <c r="I171" s="507">
        <v>0.68530000000000002</v>
      </c>
      <c r="J171" s="507">
        <v>0.68530000000000002</v>
      </c>
      <c r="K171" s="507">
        <v>0.68530000000000002</v>
      </c>
      <c r="L171" s="507">
        <v>0.68530000000000002</v>
      </c>
      <c r="M171" s="507">
        <v>0.68530000000000002</v>
      </c>
    </row>
    <row r="172" spans="1:13">
      <c r="A172" s="504">
        <v>6.8</v>
      </c>
      <c r="B172" s="507">
        <v>0.87450000000000006</v>
      </c>
      <c r="C172" s="507">
        <v>0.87450000000000006</v>
      </c>
      <c r="D172" s="507">
        <v>0.77569999999999995</v>
      </c>
      <c r="E172" s="507">
        <v>0.77569999999999995</v>
      </c>
      <c r="F172" s="507">
        <v>0.77569999999999995</v>
      </c>
      <c r="G172" s="507">
        <v>0.77569999999999995</v>
      </c>
      <c r="H172" s="507">
        <v>0.77569999999999995</v>
      </c>
      <c r="I172" s="507">
        <v>0.68310000000000004</v>
      </c>
      <c r="J172" s="507">
        <v>0.68310000000000004</v>
      </c>
      <c r="K172" s="507">
        <v>0.68310000000000004</v>
      </c>
      <c r="L172" s="507">
        <v>0.68310000000000004</v>
      </c>
      <c r="M172" s="507">
        <v>0.68310000000000004</v>
      </c>
    </row>
    <row r="173" spans="1:13">
      <c r="A173" s="504">
        <v>6.9</v>
      </c>
      <c r="B173" s="507">
        <v>0.87280000000000002</v>
      </c>
      <c r="C173" s="507">
        <v>0.87280000000000002</v>
      </c>
      <c r="D173" s="507">
        <v>0.77390000000000003</v>
      </c>
      <c r="E173" s="507">
        <v>0.77390000000000003</v>
      </c>
      <c r="F173" s="507">
        <v>0.77390000000000003</v>
      </c>
      <c r="G173" s="507">
        <v>0.77390000000000003</v>
      </c>
      <c r="H173" s="507">
        <v>0.77390000000000003</v>
      </c>
      <c r="I173" s="507">
        <v>0.68089999999999995</v>
      </c>
      <c r="J173" s="507">
        <v>0.68089999999999995</v>
      </c>
      <c r="K173" s="507">
        <v>0.68089999999999995</v>
      </c>
      <c r="L173" s="507">
        <v>0.68089999999999995</v>
      </c>
      <c r="M173" s="507">
        <v>0.68089999999999995</v>
      </c>
    </row>
    <row r="174" spans="1:13">
      <c r="A174" s="504">
        <v>7</v>
      </c>
      <c r="B174" s="507">
        <v>0.87109999999999999</v>
      </c>
      <c r="C174" s="507">
        <v>0.87109999999999999</v>
      </c>
      <c r="D174" s="507">
        <v>0.77210000000000001</v>
      </c>
      <c r="E174" s="507">
        <v>0.77210000000000001</v>
      </c>
      <c r="F174" s="507">
        <v>0.77210000000000001</v>
      </c>
      <c r="G174" s="507">
        <v>0.77210000000000001</v>
      </c>
      <c r="H174" s="507">
        <v>0.77210000000000001</v>
      </c>
      <c r="I174" s="507">
        <v>0.67879999999999996</v>
      </c>
      <c r="J174" s="507">
        <v>0.67879999999999996</v>
      </c>
      <c r="K174" s="507">
        <v>0.67879999999999996</v>
      </c>
      <c r="L174" s="507">
        <v>0.67879999999999996</v>
      </c>
      <c r="M174" s="507">
        <v>0.67879999999999996</v>
      </c>
    </row>
    <row r="175" spans="1:13">
      <c r="A175" s="504">
        <v>7.1</v>
      </c>
      <c r="B175" s="507">
        <v>0.86939999999999995</v>
      </c>
      <c r="C175" s="507">
        <v>0.86939999999999995</v>
      </c>
      <c r="D175" s="507">
        <v>0.77039999999999997</v>
      </c>
      <c r="E175" s="507">
        <v>0.77039999999999997</v>
      </c>
      <c r="F175" s="507">
        <v>0.77039999999999997</v>
      </c>
      <c r="G175" s="507">
        <v>0.77039999999999997</v>
      </c>
      <c r="H175" s="507">
        <v>0.77039999999999997</v>
      </c>
      <c r="I175" s="507">
        <v>0.67669999999999997</v>
      </c>
      <c r="J175" s="507">
        <v>0.67669999999999997</v>
      </c>
      <c r="K175" s="507">
        <v>0.67669999999999997</v>
      </c>
      <c r="L175" s="507">
        <v>0.67669999999999997</v>
      </c>
      <c r="M175" s="507">
        <v>0.67669999999999997</v>
      </c>
    </row>
    <row r="176" spans="1:13">
      <c r="A176" s="504">
        <v>7.2</v>
      </c>
      <c r="B176" s="507">
        <v>0.86770000000000003</v>
      </c>
      <c r="C176" s="507">
        <v>0.86770000000000003</v>
      </c>
      <c r="D176" s="507">
        <v>0.76870000000000005</v>
      </c>
      <c r="E176" s="507">
        <v>0.76870000000000005</v>
      </c>
      <c r="F176" s="507">
        <v>0.76870000000000005</v>
      </c>
      <c r="G176" s="507">
        <v>0.76870000000000005</v>
      </c>
      <c r="H176" s="507">
        <v>0.76870000000000005</v>
      </c>
      <c r="I176" s="507">
        <v>0.67469999999999997</v>
      </c>
      <c r="J176" s="507">
        <v>0.67469999999999997</v>
      </c>
      <c r="K176" s="507">
        <v>0.67469999999999997</v>
      </c>
      <c r="L176" s="507">
        <v>0.67469999999999997</v>
      </c>
      <c r="M176" s="507">
        <v>0.67469999999999997</v>
      </c>
    </row>
    <row r="177" spans="1:13">
      <c r="A177" s="504">
        <v>7.3</v>
      </c>
      <c r="B177" s="507">
        <v>0.86609999999999998</v>
      </c>
      <c r="C177" s="507">
        <v>0.86609999999999998</v>
      </c>
      <c r="D177" s="507">
        <v>0.76700000000000002</v>
      </c>
      <c r="E177" s="507">
        <v>0.76700000000000002</v>
      </c>
      <c r="F177" s="507">
        <v>0.76700000000000002</v>
      </c>
      <c r="G177" s="507">
        <v>0.76700000000000002</v>
      </c>
      <c r="H177" s="507">
        <v>0.76700000000000002</v>
      </c>
      <c r="I177" s="507">
        <v>0.67269999999999996</v>
      </c>
      <c r="J177" s="507">
        <v>0.67269999999999996</v>
      </c>
      <c r="K177" s="507">
        <v>0.67269999999999996</v>
      </c>
      <c r="L177" s="507">
        <v>0.67269999999999996</v>
      </c>
      <c r="M177" s="507">
        <v>0.67269999999999996</v>
      </c>
    </row>
    <row r="178" spans="1:13">
      <c r="A178" s="504">
        <v>7.4</v>
      </c>
      <c r="B178" s="507">
        <v>0.86450000000000005</v>
      </c>
      <c r="C178" s="507">
        <v>0.86450000000000005</v>
      </c>
      <c r="D178" s="507">
        <v>0.76529999999999998</v>
      </c>
      <c r="E178" s="507">
        <v>0.76529999999999998</v>
      </c>
      <c r="F178" s="507">
        <v>0.76529999999999998</v>
      </c>
      <c r="G178" s="507">
        <v>0.76529999999999998</v>
      </c>
      <c r="H178" s="507">
        <v>0.76529999999999998</v>
      </c>
      <c r="I178" s="507">
        <v>0.67079999999999995</v>
      </c>
      <c r="J178" s="507">
        <v>0.67079999999999995</v>
      </c>
      <c r="K178" s="507">
        <v>0.67079999999999995</v>
      </c>
      <c r="L178" s="507">
        <v>0.67079999999999995</v>
      </c>
      <c r="M178" s="507">
        <v>0.67079999999999995</v>
      </c>
    </row>
    <row r="179" spans="1:13">
      <c r="A179" s="504">
        <v>7.5</v>
      </c>
      <c r="B179" s="507">
        <v>0.86299999999999999</v>
      </c>
      <c r="C179" s="507">
        <v>0.86299999999999999</v>
      </c>
      <c r="D179" s="507">
        <v>0.76359999999999995</v>
      </c>
      <c r="E179" s="507">
        <v>0.76359999999999995</v>
      </c>
      <c r="F179" s="507">
        <v>0.76359999999999995</v>
      </c>
      <c r="G179" s="507">
        <v>0.76359999999999995</v>
      </c>
      <c r="H179" s="507">
        <v>0.76359999999999995</v>
      </c>
      <c r="I179" s="507">
        <v>0.66890000000000005</v>
      </c>
      <c r="J179" s="507">
        <v>0.66890000000000005</v>
      </c>
      <c r="K179" s="507">
        <v>0.66890000000000005</v>
      </c>
      <c r="L179" s="507">
        <v>0.66890000000000005</v>
      </c>
      <c r="M179" s="507">
        <v>0.66890000000000005</v>
      </c>
    </row>
    <row r="180" spans="1:13">
      <c r="A180" s="504">
        <v>7.6</v>
      </c>
      <c r="B180" s="507">
        <v>0.86150000000000004</v>
      </c>
      <c r="C180" s="507">
        <v>0.86150000000000004</v>
      </c>
      <c r="D180" s="507">
        <v>0.76200000000000001</v>
      </c>
      <c r="E180" s="507">
        <v>0.76200000000000001</v>
      </c>
      <c r="F180" s="507">
        <v>0.76200000000000001</v>
      </c>
      <c r="G180" s="507">
        <v>0.76200000000000001</v>
      </c>
      <c r="H180" s="507">
        <v>0.76200000000000001</v>
      </c>
      <c r="I180" s="507">
        <v>0.66700000000000004</v>
      </c>
      <c r="J180" s="507">
        <v>0.66700000000000004</v>
      </c>
      <c r="K180" s="507">
        <v>0.66700000000000004</v>
      </c>
      <c r="L180" s="507">
        <v>0.66700000000000004</v>
      </c>
      <c r="M180" s="507">
        <v>0.66700000000000004</v>
      </c>
    </row>
    <row r="181" spans="1:13">
      <c r="A181" s="504">
        <v>7.7</v>
      </c>
      <c r="B181" s="507">
        <v>0.86</v>
      </c>
      <c r="C181" s="507">
        <v>0.86</v>
      </c>
      <c r="D181" s="507">
        <v>0.76039999999999996</v>
      </c>
      <c r="E181" s="507">
        <v>0.76039999999999996</v>
      </c>
      <c r="F181" s="507">
        <v>0.76039999999999996</v>
      </c>
      <c r="G181" s="507">
        <v>0.76039999999999996</v>
      </c>
      <c r="H181" s="507">
        <v>0.76039999999999996</v>
      </c>
      <c r="I181" s="507">
        <v>0.66510000000000002</v>
      </c>
      <c r="J181" s="507">
        <v>0.66510000000000002</v>
      </c>
      <c r="K181" s="507">
        <v>0.66510000000000002</v>
      </c>
      <c r="L181" s="507">
        <v>0.66510000000000002</v>
      </c>
      <c r="M181" s="507">
        <v>0.66510000000000002</v>
      </c>
    </row>
    <row r="182" spans="1:13">
      <c r="A182" s="504">
        <v>7.8</v>
      </c>
      <c r="B182" s="507">
        <v>0.85850000000000004</v>
      </c>
      <c r="C182" s="507">
        <v>0.85850000000000004</v>
      </c>
      <c r="D182" s="507">
        <v>0.75880000000000003</v>
      </c>
      <c r="E182" s="507">
        <v>0.75880000000000003</v>
      </c>
      <c r="F182" s="507">
        <v>0.75880000000000003</v>
      </c>
      <c r="G182" s="507">
        <v>0.75880000000000003</v>
      </c>
      <c r="H182" s="507">
        <v>0.75880000000000003</v>
      </c>
      <c r="I182" s="507">
        <v>0.6633</v>
      </c>
      <c r="J182" s="507">
        <v>0.6633</v>
      </c>
      <c r="K182" s="507">
        <v>0.6633</v>
      </c>
      <c r="L182" s="507">
        <v>0.6633</v>
      </c>
      <c r="M182" s="507">
        <v>0.6633</v>
      </c>
    </row>
    <row r="183" spans="1:13">
      <c r="A183" s="504">
        <v>7.9</v>
      </c>
      <c r="B183" s="507">
        <v>0.85699999999999998</v>
      </c>
      <c r="C183" s="507">
        <v>0.85699999999999998</v>
      </c>
      <c r="D183" s="507">
        <v>0.75719999999999998</v>
      </c>
      <c r="E183" s="507">
        <v>0.75719999999999998</v>
      </c>
      <c r="F183" s="507">
        <v>0.75719999999999998</v>
      </c>
      <c r="G183" s="507">
        <v>0.75719999999999998</v>
      </c>
      <c r="H183" s="507">
        <v>0.75719999999999998</v>
      </c>
      <c r="I183" s="507">
        <v>0.66149999999999998</v>
      </c>
      <c r="J183" s="507">
        <v>0.66149999999999998</v>
      </c>
      <c r="K183" s="507">
        <v>0.66149999999999998</v>
      </c>
      <c r="L183" s="507">
        <v>0.66149999999999998</v>
      </c>
      <c r="M183" s="507">
        <v>0.66149999999999998</v>
      </c>
    </row>
    <row r="184" spans="1:13">
      <c r="A184" s="504">
        <v>8</v>
      </c>
      <c r="B184" s="507">
        <v>0.85550000000000004</v>
      </c>
      <c r="C184" s="507">
        <v>0.85550000000000004</v>
      </c>
      <c r="D184" s="507">
        <v>0.75570000000000004</v>
      </c>
      <c r="E184" s="507">
        <v>0.75570000000000004</v>
      </c>
      <c r="F184" s="507">
        <v>0.75570000000000004</v>
      </c>
      <c r="G184" s="507">
        <v>0.75570000000000004</v>
      </c>
      <c r="H184" s="507">
        <v>0.75570000000000004</v>
      </c>
      <c r="I184" s="507">
        <v>0.65969999999999995</v>
      </c>
      <c r="J184" s="507">
        <v>0.65969999999999995</v>
      </c>
      <c r="K184" s="507">
        <v>0.65969999999999995</v>
      </c>
      <c r="L184" s="507">
        <v>0.65969999999999995</v>
      </c>
      <c r="M184" s="507">
        <v>0.65969999999999995</v>
      </c>
    </row>
    <row r="185" spans="1:13">
      <c r="A185" s="504">
        <v>8.1</v>
      </c>
      <c r="B185" s="507">
        <v>0.85399999999999998</v>
      </c>
      <c r="C185" s="507">
        <v>0.85399999999999998</v>
      </c>
      <c r="D185" s="507">
        <v>0.75419999999999998</v>
      </c>
      <c r="E185" s="507">
        <v>0.75419999999999998</v>
      </c>
      <c r="F185" s="507">
        <v>0.75419999999999998</v>
      </c>
      <c r="G185" s="507">
        <v>0.75419999999999998</v>
      </c>
      <c r="H185" s="507">
        <v>0.75419999999999998</v>
      </c>
      <c r="I185" s="507">
        <v>0.65800000000000003</v>
      </c>
      <c r="J185" s="507">
        <v>0.65800000000000003</v>
      </c>
      <c r="K185" s="507">
        <v>0.65800000000000003</v>
      </c>
      <c r="L185" s="507">
        <v>0.65800000000000003</v>
      </c>
      <c r="M185" s="507">
        <v>0.65800000000000003</v>
      </c>
    </row>
    <row r="186" spans="1:13">
      <c r="A186" s="504">
        <v>8.1999999999999993</v>
      </c>
      <c r="B186" s="507">
        <v>0.85250000000000004</v>
      </c>
      <c r="C186" s="507">
        <v>0.85250000000000004</v>
      </c>
      <c r="D186" s="507">
        <v>0.75270000000000004</v>
      </c>
      <c r="E186" s="507">
        <v>0.75270000000000004</v>
      </c>
      <c r="F186" s="507">
        <v>0.75270000000000004</v>
      </c>
      <c r="G186" s="507">
        <v>0.75270000000000004</v>
      </c>
      <c r="H186" s="507">
        <v>0.75270000000000004</v>
      </c>
      <c r="I186" s="507">
        <v>0.65629999999999999</v>
      </c>
      <c r="J186" s="507">
        <v>0.65629999999999999</v>
      </c>
      <c r="K186" s="507">
        <v>0.65629999999999999</v>
      </c>
      <c r="L186" s="507">
        <v>0.65629999999999999</v>
      </c>
      <c r="M186" s="507">
        <v>0.65629999999999999</v>
      </c>
    </row>
    <row r="187" spans="1:13">
      <c r="A187" s="504">
        <v>8.3000000000000007</v>
      </c>
      <c r="B187" s="507">
        <v>0.85109999999999997</v>
      </c>
      <c r="C187" s="507">
        <v>0.85109999999999997</v>
      </c>
      <c r="D187" s="507">
        <v>0.75119999999999998</v>
      </c>
      <c r="E187" s="507">
        <v>0.75119999999999998</v>
      </c>
      <c r="F187" s="507">
        <v>0.75119999999999998</v>
      </c>
      <c r="G187" s="507">
        <v>0.75119999999999998</v>
      </c>
      <c r="H187" s="507">
        <v>0.75119999999999998</v>
      </c>
      <c r="I187" s="507">
        <v>0.65459999999999996</v>
      </c>
      <c r="J187" s="507">
        <v>0.65459999999999996</v>
      </c>
      <c r="K187" s="507">
        <v>0.65459999999999996</v>
      </c>
      <c r="L187" s="507">
        <v>0.65459999999999996</v>
      </c>
      <c r="M187" s="507">
        <v>0.65459999999999996</v>
      </c>
    </row>
    <row r="188" spans="1:13">
      <c r="A188" s="504">
        <v>8.4</v>
      </c>
      <c r="B188" s="507">
        <v>0.84970000000000001</v>
      </c>
      <c r="C188" s="507">
        <v>0.84970000000000001</v>
      </c>
      <c r="D188" s="507">
        <v>0.74970000000000003</v>
      </c>
      <c r="E188" s="507">
        <v>0.74970000000000003</v>
      </c>
      <c r="F188" s="507">
        <v>0.74970000000000003</v>
      </c>
      <c r="G188" s="507">
        <v>0.74970000000000003</v>
      </c>
      <c r="H188" s="507">
        <v>0.74970000000000003</v>
      </c>
      <c r="I188" s="507">
        <v>0.65300000000000002</v>
      </c>
      <c r="J188" s="507">
        <v>0.65300000000000002</v>
      </c>
      <c r="K188" s="507">
        <v>0.65300000000000002</v>
      </c>
      <c r="L188" s="507">
        <v>0.65300000000000002</v>
      </c>
      <c r="M188" s="507">
        <v>0.65300000000000002</v>
      </c>
    </row>
    <row r="189" spans="1:13">
      <c r="A189" s="504">
        <v>8.5</v>
      </c>
      <c r="B189" s="507">
        <v>0.84830000000000005</v>
      </c>
      <c r="C189" s="507">
        <v>0.84830000000000005</v>
      </c>
      <c r="D189" s="507">
        <v>0.74819999999999998</v>
      </c>
      <c r="E189" s="507">
        <v>0.74819999999999998</v>
      </c>
      <c r="F189" s="507">
        <v>0.74819999999999998</v>
      </c>
      <c r="G189" s="507">
        <v>0.74819999999999998</v>
      </c>
      <c r="H189" s="507">
        <v>0.74819999999999998</v>
      </c>
      <c r="I189" s="507">
        <v>0.65139999999999998</v>
      </c>
      <c r="J189" s="507">
        <v>0.65139999999999998</v>
      </c>
      <c r="K189" s="507">
        <v>0.65139999999999998</v>
      </c>
      <c r="L189" s="507">
        <v>0.65139999999999998</v>
      </c>
      <c r="M189" s="507">
        <v>0.65139999999999998</v>
      </c>
    </row>
    <row r="190" spans="1:13">
      <c r="A190" s="504">
        <v>8.6</v>
      </c>
      <c r="B190" s="507">
        <v>0.84689999999999999</v>
      </c>
      <c r="C190" s="507">
        <v>0.84689999999999999</v>
      </c>
      <c r="D190" s="507">
        <v>0.74670000000000003</v>
      </c>
      <c r="E190" s="507">
        <v>0.74670000000000003</v>
      </c>
      <c r="F190" s="507">
        <v>0.74670000000000003</v>
      </c>
      <c r="G190" s="507">
        <v>0.74670000000000003</v>
      </c>
      <c r="H190" s="507">
        <v>0.74670000000000003</v>
      </c>
      <c r="I190" s="507">
        <v>0.64980000000000004</v>
      </c>
      <c r="J190" s="507">
        <v>0.64980000000000004</v>
      </c>
      <c r="K190" s="507">
        <v>0.64980000000000004</v>
      </c>
      <c r="L190" s="507">
        <v>0.64980000000000004</v>
      </c>
      <c r="M190" s="507">
        <v>0.64980000000000004</v>
      </c>
    </row>
    <row r="191" spans="1:13">
      <c r="A191" s="504">
        <v>8.6999999999999993</v>
      </c>
      <c r="B191" s="507">
        <v>0.84550000000000003</v>
      </c>
      <c r="C191" s="507">
        <v>0.84550000000000003</v>
      </c>
      <c r="D191" s="507">
        <v>0.74519999999999997</v>
      </c>
      <c r="E191" s="507">
        <v>0.74519999999999997</v>
      </c>
      <c r="F191" s="507">
        <v>0.74519999999999997</v>
      </c>
      <c r="G191" s="507">
        <v>0.74519999999999997</v>
      </c>
      <c r="H191" s="507">
        <v>0.74519999999999997</v>
      </c>
      <c r="I191" s="507">
        <v>0.6482</v>
      </c>
      <c r="J191" s="507">
        <v>0.6482</v>
      </c>
      <c r="K191" s="507">
        <v>0.6482</v>
      </c>
      <c r="L191" s="507">
        <v>0.6482</v>
      </c>
      <c r="M191" s="507">
        <v>0.6482</v>
      </c>
    </row>
    <row r="192" spans="1:13">
      <c r="A192" s="504">
        <v>8.8000000000000007</v>
      </c>
      <c r="B192" s="507">
        <v>0.84409999999999996</v>
      </c>
      <c r="C192" s="507">
        <v>0.84409999999999996</v>
      </c>
      <c r="D192" s="507">
        <v>0.74370000000000003</v>
      </c>
      <c r="E192" s="507">
        <v>0.74370000000000003</v>
      </c>
      <c r="F192" s="507">
        <v>0.74370000000000003</v>
      </c>
      <c r="G192" s="507">
        <v>0.74370000000000003</v>
      </c>
      <c r="H192" s="507">
        <v>0.74370000000000003</v>
      </c>
      <c r="I192" s="507">
        <v>0.64659999999999995</v>
      </c>
      <c r="J192" s="507">
        <v>0.64659999999999995</v>
      </c>
      <c r="K192" s="507">
        <v>0.64659999999999995</v>
      </c>
      <c r="L192" s="507">
        <v>0.64659999999999995</v>
      </c>
      <c r="M192" s="507">
        <v>0.64659999999999995</v>
      </c>
    </row>
    <row r="193" spans="1:13">
      <c r="A193" s="504">
        <v>8.9</v>
      </c>
      <c r="B193" s="507">
        <v>0.84279999999999999</v>
      </c>
      <c r="C193" s="507">
        <v>0.84279999999999999</v>
      </c>
      <c r="D193" s="507">
        <v>0.74219999999999997</v>
      </c>
      <c r="E193" s="507">
        <v>0.74219999999999997</v>
      </c>
      <c r="F193" s="507">
        <v>0.74219999999999997</v>
      </c>
      <c r="G193" s="507">
        <v>0.74219999999999997</v>
      </c>
      <c r="H193" s="507">
        <v>0.74219999999999997</v>
      </c>
      <c r="I193" s="507">
        <v>0.64500000000000002</v>
      </c>
      <c r="J193" s="507">
        <v>0.64500000000000002</v>
      </c>
      <c r="K193" s="507">
        <v>0.64500000000000002</v>
      </c>
      <c r="L193" s="507">
        <v>0.64500000000000002</v>
      </c>
      <c r="M193" s="507">
        <v>0.64500000000000002</v>
      </c>
    </row>
    <row r="194" spans="1:13">
      <c r="A194" s="508">
        <v>9</v>
      </c>
      <c r="B194" s="507">
        <v>0.84150000000000003</v>
      </c>
      <c r="C194" s="507">
        <v>0.84150000000000003</v>
      </c>
      <c r="D194" s="507">
        <v>0.74070000000000003</v>
      </c>
      <c r="E194" s="507">
        <v>0.74070000000000003</v>
      </c>
      <c r="F194" s="507">
        <v>0.74070000000000003</v>
      </c>
      <c r="G194" s="507">
        <v>0.74070000000000003</v>
      </c>
      <c r="H194" s="507">
        <v>0.74070000000000003</v>
      </c>
      <c r="I194" s="507">
        <v>0.64349999999999996</v>
      </c>
      <c r="J194" s="507">
        <v>0.64349999999999996</v>
      </c>
      <c r="K194" s="507">
        <v>0.64349999999999996</v>
      </c>
      <c r="L194" s="507">
        <v>0.64349999999999996</v>
      </c>
      <c r="M194" s="507">
        <v>0.64349999999999996</v>
      </c>
    </row>
    <row r="195" spans="1:13">
      <c r="A195" s="508">
        <v>9.1</v>
      </c>
      <c r="B195" s="507">
        <v>0.84019999999999995</v>
      </c>
      <c r="C195" s="507">
        <v>0.84019999999999995</v>
      </c>
      <c r="D195" s="507">
        <v>0.73919999999999997</v>
      </c>
      <c r="E195" s="507">
        <v>0.73919999999999997</v>
      </c>
      <c r="F195" s="507">
        <v>0.73919999999999997</v>
      </c>
      <c r="G195" s="507">
        <v>0.73919999999999997</v>
      </c>
      <c r="H195" s="507">
        <v>0.73919999999999997</v>
      </c>
      <c r="I195" s="507">
        <v>0.64200000000000002</v>
      </c>
      <c r="J195" s="507">
        <v>0.64200000000000002</v>
      </c>
      <c r="K195" s="507">
        <v>0.64200000000000002</v>
      </c>
      <c r="L195" s="507">
        <v>0.64200000000000002</v>
      </c>
      <c r="M195" s="507">
        <v>0.64200000000000002</v>
      </c>
    </row>
    <row r="196" spans="1:13">
      <c r="A196" s="508">
        <v>9.1999999999999993</v>
      </c>
      <c r="B196" s="507">
        <v>0.83889999999999998</v>
      </c>
      <c r="C196" s="507">
        <v>0.83889999999999998</v>
      </c>
      <c r="D196" s="507">
        <v>0.73770000000000002</v>
      </c>
      <c r="E196" s="507">
        <v>0.73770000000000002</v>
      </c>
      <c r="F196" s="507">
        <v>0.73770000000000002</v>
      </c>
      <c r="G196" s="507">
        <v>0.73770000000000002</v>
      </c>
      <c r="H196" s="507">
        <v>0.73770000000000002</v>
      </c>
      <c r="I196" s="507">
        <v>0.64059999999999995</v>
      </c>
      <c r="J196" s="507">
        <v>0.64059999999999995</v>
      </c>
      <c r="K196" s="507">
        <v>0.64059999999999995</v>
      </c>
      <c r="L196" s="507">
        <v>0.64059999999999995</v>
      </c>
      <c r="M196" s="507">
        <v>0.64059999999999995</v>
      </c>
    </row>
    <row r="197" spans="1:13">
      <c r="A197" s="508">
        <v>9.3000000000000007</v>
      </c>
      <c r="B197" s="507">
        <v>0.83760000000000001</v>
      </c>
      <c r="C197" s="507">
        <v>0.83760000000000001</v>
      </c>
      <c r="D197" s="507">
        <v>0.73629999999999995</v>
      </c>
      <c r="E197" s="507">
        <v>0.73629999999999995</v>
      </c>
      <c r="F197" s="507">
        <v>0.73629999999999995</v>
      </c>
      <c r="G197" s="507">
        <v>0.73629999999999995</v>
      </c>
      <c r="H197" s="507">
        <v>0.73629999999999995</v>
      </c>
      <c r="I197" s="507">
        <v>0.63919999999999999</v>
      </c>
      <c r="J197" s="507">
        <v>0.63919999999999999</v>
      </c>
      <c r="K197" s="507">
        <v>0.63919999999999999</v>
      </c>
      <c r="L197" s="507">
        <v>0.63919999999999999</v>
      </c>
      <c r="M197" s="507">
        <v>0.63919999999999999</v>
      </c>
    </row>
    <row r="198" spans="1:13">
      <c r="A198" s="508">
        <v>9.4</v>
      </c>
      <c r="B198" s="507">
        <v>0.83630000000000004</v>
      </c>
      <c r="C198" s="507">
        <v>0.83630000000000004</v>
      </c>
      <c r="D198" s="507">
        <v>0.7349</v>
      </c>
      <c r="E198" s="507">
        <v>0.7349</v>
      </c>
      <c r="F198" s="507">
        <v>0.7349</v>
      </c>
      <c r="G198" s="507">
        <v>0.7349</v>
      </c>
      <c r="H198" s="507">
        <v>0.7349</v>
      </c>
      <c r="I198" s="507">
        <v>0.63780000000000003</v>
      </c>
      <c r="J198" s="507">
        <v>0.63780000000000003</v>
      </c>
      <c r="K198" s="507">
        <v>0.63780000000000003</v>
      </c>
      <c r="L198" s="507">
        <v>0.63780000000000003</v>
      </c>
      <c r="M198" s="507">
        <v>0.63780000000000003</v>
      </c>
    </row>
    <row r="199" spans="1:13">
      <c r="A199" s="508">
        <v>9.5</v>
      </c>
      <c r="B199" s="507">
        <v>0.83499999999999996</v>
      </c>
      <c r="C199" s="507">
        <v>0.83499999999999996</v>
      </c>
      <c r="D199" s="507">
        <v>0.73350000000000004</v>
      </c>
      <c r="E199" s="507">
        <v>0.73350000000000004</v>
      </c>
      <c r="F199" s="507">
        <v>0.73350000000000004</v>
      </c>
      <c r="G199" s="507">
        <v>0.73350000000000004</v>
      </c>
      <c r="H199" s="507">
        <v>0.73350000000000004</v>
      </c>
      <c r="I199" s="507">
        <v>0.63639999999999997</v>
      </c>
      <c r="J199" s="507">
        <v>0.63639999999999997</v>
      </c>
      <c r="K199" s="507">
        <v>0.63639999999999997</v>
      </c>
      <c r="L199" s="507">
        <v>0.63639999999999997</v>
      </c>
      <c r="M199" s="507">
        <v>0.63639999999999997</v>
      </c>
    </row>
    <row r="200" spans="1:13">
      <c r="A200" s="508">
        <v>9.6</v>
      </c>
      <c r="B200" s="507">
        <v>0.83379999999999999</v>
      </c>
      <c r="C200" s="507">
        <v>0.83379999999999999</v>
      </c>
      <c r="D200" s="507">
        <v>0.73209999999999997</v>
      </c>
      <c r="E200" s="507">
        <v>0.73209999999999997</v>
      </c>
      <c r="F200" s="507">
        <v>0.73209999999999997</v>
      </c>
      <c r="G200" s="507">
        <v>0.73209999999999997</v>
      </c>
      <c r="H200" s="507">
        <v>0.73209999999999997</v>
      </c>
      <c r="I200" s="507">
        <v>0.63500000000000001</v>
      </c>
      <c r="J200" s="507">
        <v>0.63500000000000001</v>
      </c>
      <c r="K200" s="507">
        <v>0.63500000000000001</v>
      </c>
      <c r="L200" s="507">
        <v>0.63500000000000001</v>
      </c>
      <c r="M200" s="507">
        <v>0.63500000000000001</v>
      </c>
    </row>
    <row r="201" spans="1:13">
      <c r="A201" s="508">
        <v>9.6999999999999993</v>
      </c>
      <c r="B201" s="507">
        <v>0.83260000000000001</v>
      </c>
      <c r="C201" s="507">
        <v>0.83260000000000001</v>
      </c>
      <c r="D201" s="507">
        <v>0.73070000000000002</v>
      </c>
      <c r="E201" s="507">
        <v>0.73070000000000002</v>
      </c>
      <c r="F201" s="507">
        <v>0.73070000000000002</v>
      </c>
      <c r="G201" s="507">
        <v>0.73070000000000002</v>
      </c>
      <c r="H201" s="507">
        <v>0.73070000000000002</v>
      </c>
      <c r="I201" s="507">
        <v>0.63360000000000005</v>
      </c>
      <c r="J201" s="507">
        <v>0.63360000000000005</v>
      </c>
      <c r="K201" s="507">
        <v>0.63360000000000005</v>
      </c>
      <c r="L201" s="507">
        <v>0.63360000000000005</v>
      </c>
      <c r="M201" s="507">
        <v>0.63360000000000005</v>
      </c>
    </row>
    <row r="202" spans="1:13">
      <c r="A202" s="508">
        <v>9.8000000000000007</v>
      </c>
      <c r="B202" s="507">
        <v>0.83140000000000003</v>
      </c>
      <c r="C202" s="507">
        <v>0.83140000000000003</v>
      </c>
      <c r="D202" s="507">
        <v>0.72929999999999995</v>
      </c>
      <c r="E202" s="507">
        <v>0.72929999999999995</v>
      </c>
      <c r="F202" s="507">
        <v>0.72929999999999995</v>
      </c>
      <c r="G202" s="507">
        <v>0.72929999999999995</v>
      </c>
      <c r="H202" s="507">
        <v>0.72929999999999995</v>
      </c>
      <c r="I202" s="507">
        <v>0.63219999999999998</v>
      </c>
      <c r="J202" s="507">
        <v>0.63219999999999998</v>
      </c>
      <c r="K202" s="507">
        <v>0.63219999999999998</v>
      </c>
      <c r="L202" s="507">
        <v>0.63219999999999998</v>
      </c>
      <c r="M202" s="507">
        <v>0.63219999999999998</v>
      </c>
    </row>
    <row r="203" spans="1:13">
      <c r="A203" s="508">
        <v>9.9</v>
      </c>
      <c r="B203" s="507">
        <v>0.83020000000000005</v>
      </c>
      <c r="C203" s="507">
        <v>0.83020000000000005</v>
      </c>
      <c r="D203" s="507">
        <v>0.72799999999999998</v>
      </c>
      <c r="E203" s="507">
        <v>0.72799999999999998</v>
      </c>
      <c r="F203" s="507">
        <v>0.72799999999999998</v>
      </c>
      <c r="G203" s="507">
        <v>0.72799999999999998</v>
      </c>
      <c r="H203" s="507">
        <v>0.72799999999999998</v>
      </c>
      <c r="I203" s="507">
        <v>0.63080000000000003</v>
      </c>
      <c r="J203" s="507">
        <v>0.63080000000000003</v>
      </c>
      <c r="K203" s="507">
        <v>0.63080000000000003</v>
      </c>
      <c r="L203" s="507">
        <v>0.63080000000000003</v>
      </c>
      <c r="M203" s="507">
        <v>0.63080000000000003</v>
      </c>
    </row>
    <row r="204" spans="1:13">
      <c r="A204" s="508">
        <v>10</v>
      </c>
      <c r="B204" s="507">
        <v>0.82899999999999996</v>
      </c>
      <c r="C204" s="507">
        <v>0.82899999999999996</v>
      </c>
      <c r="D204" s="507">
        <v>0.72670000000000001</v>
      </c>
      <c r="E204" s="507">
        <v>0.72670000000000001</v>
      </c>
      <c r="F204" s="507">
        <v>0.72670000000000001</v>
      </c>
      <c r="G204" s="507">
        <v>0.72670000000000001</v>
      </c>
      <c r="H204" s="507">
        <v>0.72670000000000001</v>
      </c>
      <c r="I204" s="507">
        <v>0.62939999999999996</v>
      </c>
      <c r="J204" s="507">
        <v>0.62939999999999996</v>
      </c>
      <c r="K204" s="507">
        <v>0.62939999999999996</v>
      </c>
      <c r="L204" s="507">
        <v>0.62939999999999996</v>
      </c>
      <c r="M204" s="507">
        <v>0.62939999999999996</v>
      </c>
    </row>
    <row r="205" spans="1:13" ht="14.25">
      <c r="A205" s="502" t="s">
        <v>2246</v>
      </c>
      <c r="B205" s="503"/>
      <c r="C205" s="503"/>
      <c r="D205" s="503"/>
      <c r="E205" s="503"/>
      <c r="F205" s="503"/>
      <c r="G205" s="503"/>
      <c r="H205" s="503"/>
      <c r="I205" s="503"/>
      <c r="J205" s="503"/>
      <c r="K205" s="503"/>
      <c r="L205" s="503"/>
      <c r="M205" s="503"/>
    </row>
    <row r="206" spans="1:13">
      <c r="A206" s="504" t="s">
        <v>2244</v>
      </c>
      <c r="B206" s="505" t="s">
        <v>233</v>
      </c>
      <c r="C206" s="505" t="s">
        <v>244</v>
      </c>
      <c r="D206" s="505" t="s">
        <v>254</v>
      </c>
      <c r="E206" s="505" t="s">
        <v>262</v>
      </c>
      <c r="F206" s="505" t="s">
        <v>270</v>
      </c>
      <c r="G206" s="505" t="s">
        <v>276</v>
      </c>
      <c r="H206" s="506" t="s">
        <v>281</v>
      </c>
      <c r="I206" s="506" t="s">
        <v>286</v>
      </c>
      <c r="J206" s="509" t="s">
        <v>289</v>
      </c>
      <c r="K206" s="509" t="s">
        <v>292</v>
      </c>
      <c r="L206" s="509" t="s">
        <v>295</v>
      </c>
      <c r="M206" s="509" t="s">
        <v>298</v>
      </c>
    </row>
    <row r="207" spans="1:13">
      <c r="A207" s="504">
        <v>0.1</v>
      </c>
      <c r="B207" s="507">
        <v>12.172000000000001</v>
      </c>
      <c r="C207" s="507">
        <v>12.172000000000001</v>
      </c>
      <c r="D207" s="507">
        <v>12.375999999999999</v>
      </c>
      <c r="E207" s="507">
        <v>12.375999999999999</v>
      </c>
      <c r="F207" s="507">
        <v>12.375999999999999</v>
      </c>
      <c r="G207" s="507">
        <v>12.375999999999999</v>
      </c>
      <c r="H207" s="507">
        <v>12.375999999999999</v>
      </c>
      <c r="I207" s="507">
        <v>11.071999999999999</v>
      </c>
      <c r="J207" s="507">
        <v>11.071999999999999</v>
      </c>
      <c r="K207" s="507">
        <v>11.071999999999999</v>
      </c>
      <c r="L207" s="507">
        <v>11.071999999999999</v>
      </c>
      <c r="M207" s="507">
        <v>11.071999999999999</v>
      </c>
    </row>
    <row r="208" spans="1:13">
      <c r="A208" s="504">
        <v>0.2</v>
      </c>
      <c r="B208" s="507">
        <v>6.0860000000000003</v>
      </c>
      <c r="C208" s="507">
        <v>6.0860000000000003</v>
      </c>
      <c r="D208" s="507">
        <v>6.1879999999999997</v>
      </c>
      <c r="E208" s="507">
        <v>6.1879999999999997</v>
      </c>
      <c r="F208" s="507">
        <v>6.1879999999999997</v>
      </c>
      <c r="G208" s="507">
        <v>6.1879999999999997</v>
      </c>
      <c r="H208" s="507">
        <v>6.1879999999999997</v>
      </c>
      <c r="I208" s="507">
        <v>5.5359999999999996</v>
      </c>
      <c r="J208" s="507">
        <v>5.5359999999999996</v>
      </c>
      <c r="K208" s="507">
        <v>5.5359999999999996</v>
      </c>
      <c r="L208" s="507">
        <v>5.5359999999999996</v>
      </c>
      <c r="M208" s="507">
        <v>5.5359999999999996</v>
      </c>
    </row>
    <row r="209" spans="1:13">
      <c r="A209" s="504">
        <v>0.3</v>
      </c>
      <c r="B209" s="507">
        <v>4.0572999999999997</v>
      </c>
      <c r="C209" s="507">
        <v>4.0572999999999997</v>
      </c>
      <c r="D209" s="507">
        <v>4.1253000000000002</v>
      </c>
      <c r="E209" s="507">
        <v>4.1253000000000002</v>
      </c>
      <c r="F209" s="507">
        <v>4.1253000000000002</v>
      </c>
      <c r="G209" s="507">
        <v>4.1253000000000002</v>
      </c>
      <c r="H209" s="507">
        <v>4.1253000000000002</v>
      </c>
      <c r="I209" s="507">
        <v>3.6907000000000001</v>
      </c>
      <c r="J209" s="507">
        <v>3.6907000000000001</v>
      </c>
      <c r="K209" s="507">
        <v>3.6907000000000001</v>
      </c>
      <c r="L209" s="507">
        <v>3.6907000000000001</v>
      </c>
      <c r="M209" s="507">
        <v>3.6907000000000001</v>
      </c>
    </row>
    <row r="210" spans="1:13">
      <c r="A210" s="504">
        <v>0.4</v>
      </c>
      <c r="B210" s="507">
        <v>3.0430000000000001</v>
      </c>
      <c r="C210" s="507">
        <v>3.0430000000000001</v>
      </c>
      <c r="D210" s="507">
        <v>3.0939999999999999</v>
      </c>
      <c r="E210" s="507">
        <v>3.0939999999999999</v>
      </c>
      <c r="F210" s="507">
        <v>3.0939999999999999</v>
      </c>
      <c r="G210" s="507">
        <v>3.0939999999999999</v>
      </c>
      <c r="H210" s="507">
        <v>3.0939999999999999</v>
      </c>
      <c r="I210" s="507">
        <v>2.7679999999999998</v>
      </c>
      <c r="J210" s="507">
        <v>2.7679999999999998</v>
      </c>
      <c r="K210" s="507">
        <v>2.7679999999999998</v>
      </c>
      <c r="L210" s="507">
        <v>2.7679999999999998</v>
      </c>
      <c r="M210" s="507">
        <v>2.7679999999999998</v>
      </c>
    </row>
    <row r="211" spans="1:13">
      <c r="A211" s="504">
        <v>0.5</v>
      </c>
      <c r="B211" s="507">
        <v>2.4344000000000001</v>
      </c>
      <c r="C211" s="507">
        <v>2.4344000000000001</v>
      </c>
      <c r="D211" s="507">
        <v>2.4752000000000001</v>
      </c>
      <c r="E211" s="507">
        <v>2.4752000000000001</v>
      </c>
      <c r="F211" s="507">
        <v>2.4752000000000001</v>
      </c>
      <c r="G211" s="507">
        <v>2.4752000000000001</v>
      </c>
      <c r="H211" s="507">
        <v>2.4752000000000001</v>
      </c>
      <c r="I211" s="507">
        <v>2.2143999999999999</v>
      </c>
      <c r="J211" s="507">
        <v>2.2143999999999999</v>
      </c>
      <c r="K211" s="507">
        <v>2.2143999999999999</v>
      </c>
      <c r="L211" s="507">
        <v>2.2143999999999999</v>
      </c>
      <c r="M211" s="507">
        <v>2.2143999999999999</v>
      </c>
    </row>
    <row r="212" spans="1:13">
      <c r="A212" s="504">
        <v>0.6</v>
      </c>
      <c r="B212" s="507">
        <v>2.0287000000000002</v>
      </c>
      <c r="C212" s="507">
        <v>2.0287000000000002</v>
      </c>
      <c r="D212" s="507">
        <v>2.0627</v>
      </c>
      <c r="E212" s="507">
        <v>2.0627</v>
      </c>
      <c r="F212" s="507">
        <v>2.0627</v>
      </c>
      <c r="G212" s="507">
        <v>2.0627</v>
      </c>
      <c r="H212" s="507">
        <v>2.0627</v>
      </c>
      <c r="I212" s="507">
        <v>1.8452999999999999</v>
      </c>
      <c r="J212" s="507">
        <v>1.8452999999999999</v>
      </c>
      <c r="K212" s="507">
        <v>1.8452999999999999</v>
      </c>
      <c r="L212" s="507">
        <v>1.8452999999999999</v>
      </c>
      <c r="M212" s="507">
        <v>1.8452999999999999</v>
      </c>
    </row>
    <row r="213" spans="1:13">
      <c r="A213" s="504">
        <v>0.7</v>
      </c>
      <c r="B213" s="507">
        <v>1.7388999999999999</v>
      </c>
      <c r="C213" s="507">
        <v>1.7388999999999999</v>
      </c>
      <c r="D213" s="507">
        <v>1.768</v>
      </c>
      <c r="E213" s="507">
        <v>1.768</v>
      </c>
      <c r="F213" s="507">
        <v>1.768</v>
      </c>
      <c r="G213" s="507">
        <v>1.768</v>
      </c>
      <c r="H213" s="507">
        <v>1.768</v>
      </c>
      <c r="I213" s="507">
        <v>1.5817000000000001</v>
      </c>
      <c r="J213" s="507">
        <v>1.5817000000000001</v>
      </c>
      <c r="K213" s="507">
        <v>1.5817000000000001</v>
      </c>
      <c r="L213" s="507">
        <v>1.5817000000000001</v>
      </c>
      <c r="M213" s="507">
        <v>1.5817000000000001</v>
      </c>
    </row>
    <row r="214" spans="1:13">
      <c r="A214" s="504">
        <v>0.8</v>
      </c>
      <c r="B214" s="507">
        <v>1.5215000000000001</v>
      </c>
      <c r="C214" s="507">
        <v>1.5215000000000001</v>
      </c>
      <c r="D214" s="507">
        <v>1.5469999999999999</v>
      </c>
      <c r="E214" s="507">
        <v>1.5469999999999999</v>
      </c>
      <c r="F214" s="507">
        <v>1.5469999999999999</v>
      </c>
      <c r="G214" s="507">
        <v>1.5469999999999999</v>
      </c>
      <c r="H214" s="507">
        <v>1.5469999999999999</v>
      </c>
      <c r="I214" s="507">
        <v>1.3839999999999999</v>
      </c>
      <c r="J214" s="507">
        <v>1.3839999999999999</v>
      </c>
      <c r="K214" s="507">
        <v>1.3839999999999999</v>
      </c>
      <c r="L214" s="507">
        <v>1.3839999999999999</v>
      </c>
      <c r="M214" s="507">
        <v>1.3839999999999999</v>
      </c>
    </row>
    <row r="215" spans="1:13">
      <c r="A215" s="504">
        <v>0.9</v>
      </c>
      <c r="B215" s="507">
        <v>1.3524</v>
      </c>
      <c r="C215" s="507">
        <v>1.3524</v>
      </c>
      <c r="D215" s="507">
        <v>1.3751</v>
      </c>
      <c r="E215" s="507">
        <v>1.3751</v>
      </c>
      <c r="F215" s="507">
        <v>1.3751</v>
      </c>
      <c r="G215" s="507">
        <v>1.3751</v>
      </c>
      <c r="H215" s="507">
        <v>1.3751</v>
      </c>
      <c r="I215" s="507">
        <v>1.2302</v>
      </c>
      <c r="J215" s="507">
        <v>1.2302</v>
      </c>
      <c r="K215" s="507">
        <v>1.2302</v>
      </c>
      <c r="L215" s="507">
        <v>1.2302</v>
      </c>
      <c r="M215" s="507">
        <v>1.2302</v>
      </c>
    </row>
    <row r="216" spans="1:13">
      <c r="A216" s="504">
        <v>1</v>
      </c>
      <c r="B216" s="507">
        <v>1.2172000000000001</v>
      </c>
      <c r="C216" s="507">
        <v>1.2172000000000001</v>
      </c>
      <c r="D216" s="507">
        <v>1.2376</v>
      </c>
      <c r="E216" s="507">
        <v>1.2376</v>
      </c>
      <c r="F216" s="507">
        <v>1.2376</v>
      </c>
      <c r="G216" s="507">
        <v>1.2376</v>
      </c>
      <c r="H216" s="507">
        <v>1.2376</v>
      </c>
      <c r="I216" s="507">
        <v>1.1072</v>
      </c>
      <c r="J216" s="507">
        <v>1.1072</v>
      </c>
      <c r="K216" s="507">
        <v>1.1072</v>
      </c>
      <c r="L216" s="507">
        <v>1.1072</v>
      </c>
      <c r="M216" s="507">
        <v>1.1072</v>
      </c>
    </row>
    <row r="217" spans="1:13">
      <c r="A217" s="504">
        <v>1.1000000000000001</v>
      </c>
      <c r="B217" s="507">
        <v>1.198</v>
      </c>
      <c r="C217" s="507">
        <v>1.198</v>
      </c>
      <c r="D217" s="507">
        <v>1.2156</v>
      </c>
      <c r="E217" s="507">
        <v>1.2156</v>
      </c>
      <c r="F217" s="507">
        <v>1.2156</v>
      </c>
      <c r="G217" s="507">
        <v>1.2156</v>
      </c>
      <c r="H217" s="507">
        <v>1.2156</v>
      </c>
      <c r="I217" s="507">
        <v>1.0829</v>
      </c>
      <c r="J217" s="507">
        <v>1.0829</v>
      </c>
      <c r="K217" s="507">
        <v>1.0829</v>
      </c>
      <c r="L217" s="507">
        <v>1.0829</v>
      </c>
      <c r="M217" s="507">
        <v>1.0829</v>
      </c>
    </row>
    <row r="218" spans="1:13">
      <c r="A218" s="504">
        <v>1.2</v>
      </c>
      <c r="B218" s="507">
        <v>1.1795</v>
      </c>
      <c r="C218" s="507">
        <v>1.1795</v>
      </c>
      <c r="D218" s="507">
        <v>1.1947000000000001</v>
      </c>
      <c r="E218" s="507">
        <v>1.1947000000000001</v>
      </c>
      <c r="F218" s="507">
        <v>1.1947000000000001</v>
      </c>
      <c r="G218" s="507">
        <v>1.1947000000000001</v>
      </c>
      <c r="H218" s="507">
        <v>1.1947000000000001</v>
      </c>
      <c r="I218" s="507">
        <v>1.0601</v>
      </c>
      <c r="J218" s="507">
        <v>1.0601</v>
      </c>
      <c r="K218" s="507">
        <v>1.0601</v>
      </c>
      <c r="L218" s="507">
        <v>1.0601</v>
      </c>
      <c r="M218" s="507">
        <v>1.0601</v>
      </c>
    </row>
    <row r="219" spans="1:13">
      <c r="A219" s="504">
        <v>1.3</v>
      </c>
      <c r="B219" s="507">
        <v>1.1617999999999999</v>
      </c>
      <c r="C219" s="507">
        <v>1.1617999999999999</v>
      </c>
      <c r="D219" s="507">
        <v>1.1748000000000001</v>
      </c>
      <c r="E219" s="507">
        <v>1.1748000000000001</v>
      </c>
      <c r="F219" s="507">
        <v>1.1748000000000001</v>
      </c>
      <c r="G219" s="507">
        <v>1.1748000000000001</v>
      </c>
      <c r="H219" s="507">
        <v>1.1748000000000001</v>
      </c>
      <c r="I219" s="507">
        <v>1.0387999999999999</v>
      </c>
      <c r="J219" s="507">
        <v>1.0387999999999999</v>
      </c>
      <c r="K219" s="507">
        <v>1.0387999999999999</v>
      </c>
      <c r="L219" s="507">
        <v>1.0387999999999999</v>
      </c>
      <c r="M219" s="507">
        <v>1.0387999999999999</v>
      </c>
    </row>
    <row r="220" spans="1:13">
      <c r="A220" s="504">
        <v>1.4</v>
      </c>
      <c r="B220" s="507">
        <v>1.1448</v>
      </c>
      <c r="C220" s="507">
        <v>1.1448</v>
      </c>
      <c r="D220" s="507">
        <v>1.1557999999999999</v>
      </c>
      <c r="E220" s="507">
        <v>1.1557999999999999</v>
      </c>
      <c r="F220" s="507">
        <v>1.1557999999999999</v>
      </c>
      <c r="G220" s="507">
        <v>1.1557999999999999</v>
      </c>
      <c r="H220" s="507">
        <v>1.1557999999999999</v>
      </c>
      <c r="I220" s="507">
        <v>1.0187999999999999</v>
      </c>
      <c r="J220" s="507">
        <v>1.0187999999999999</v>
      </c>
      <c r="K220" s="507">
        <v>1.0187999999999999</v>
      </c>
      <c r="L220" s="507">
        <v>1.0187999999999999</v>
      </c>
      <c r="M220" s="507">
        <v>1.0187999999999999</v>
      </c>
    </row>
    <row r="221" spans="1:13">
      <c r="A221" s="504">
        <v>1.5</v>
      </c>
      <c r="B221" s="507">
        <v>1.1285000000000001</v>
      </c>
      <c r="C221" s="507">
        <v>1.1285000000000001</v>
      </c>
      <c r="D221" s="507">
        <v>1.1377999999999999</v>
      </c>
      <c r="E221" s="507">
        <v>1.1377999999999999</v>
      </c>
      <c r="F221" s="507">
        <v>1.1377999999999999</v>
      </c>
      <c r="G221" s="507">
        <v>1.1377999999999999</v>
      </c>
      <c r="H221" s="507">
        <v>1.1377999999999999</v>
      </c>
      <c r="I221" s="507">
        <v>1</v>
      </c>
      <c r="J221" s="507">
        <v>1</v>
      </c>
      <c r="K221" s="507">
        <v>1</v>
      </c>
      <c r="L221" s="507">
        <v>1</v>
      </c>
      <c r="M221" s="507">
        <v>1</v>
      </c>
    </row>
    <row r="222" spans="1:13">
      <c r="A222" s="504">
        <v>1.6</v>
      </c>
      <c r="B222" s="507">
        <v>1.1129</v>
      </c>
      <c r="C222" s="507">
        <v>1.1129</v>
      </c>
      <c r="D222" s="507">
        <v>1.1206</v>
      </c>
      <c r="E222" s="507">
        <v>1.1206</v>
      </c>
      <c r="F222" s="507">
        <v>1.1206</v>
      </c>
      <c r="G222" s="507">
        <v>1.1206</v>
      </c>
      <c r="H222" s="507">
        <v>1.1206</v>
      </c>
      <c r="I222" s="507">
        <v>0.98240000000000005</v>
      </c>
      <c r="J222" s="507">
        <v>0.98240000000000005</v>
      </c>
      <c r="K222" s="507">
        <v>0.98240000000000005</v>
      </c>
      <c r="L222" s="507">
        <v>0.98240000000000005</v>
      </c>
      <c r="M222" s="507">
        <v>0.98240000000000005</v>
      </c>
    </row>
    <row r="223" spans="1:13">
      <c r="A223" s="504">
        <v>1.7</v>
      </c>
      <c r="B223" s="507">
        <v>1.0980000000000001</v>
      </c>
      <c r="C223" s="507">
        <v>1.0980000000000001</v>
      </c>
      <c r="D223" s="507">
        <v>1.1043000000000001</v>
      </c>
      <c r="E223" s="507">
        <v>1.1043000000000001</v>
      </c>
      <c r="F223" s="507">
        <v>1.1043000000000001</v>
      </c>
      <c r="G223" s="507">
        <v>1.1043000000000001</v>
      </c>
      <c r="H223" s="507">
        <v>1.1043000000000001</v>
      </c>
      <c r="I223" s="507">
        <v>0.96579999999999999</v>
      </c>
      <c r="J223" s="507">
        <v>0.96579999999999999</v>
      </c>
      <c r="K223" s="507">
        <v>0.96579999999999999</v>
      </c>
      <c r="L223" s="507">
        <v>0.96579999999999999</v>
      </c>
      <c r="M223" s="507">
        <v>0.96579999999999999</v>
      </c>
    </row>
    <row r="224" spans="1:13">
      <c r="A224" s="504">
        <v>1.8</v>
      </c>
      <c r="B224" s="507">
        <v>1.0835999999999999</v>
      </c>
      <c r="C224" s="507">
        <v>1.0835999999999999</v>
      </c>
      <c r="D224" s="507">
        <v>1.0888</v>
      </c>
      <c r="E224" s="507">
        <v>1.0888</v>
      </c>
      <c r="F224" s="507">
        <v>1.0888</v>
      </c>
      <c r="G224" s="507">
        <v>1.0888</v>
      </c>
      <c r="H224" s="507">
        <v>1.0888</v>
      </c>
      <c r="I224" s="507">
        <v>0.95030000000000003</v>
      </c>
      <c r="J224" s="507">
        <v>0.95030000000000003</v>
      </c>
      <c r="K224" s="507">
        <v>0.95030000000000003</v>
      </c>
      <c r="L224" s="507">
        <v>0.95030000000000003</v>
      </c>
      <c r="M224" s="507">
        <v>0.95030000000000003</v>
      </c>
    </row>
    <row r="225" spans="1:13">
      <c r="A225" s="504">
        <v>1.9</v>
      </c>
      <c r="B225" s="507">
        <v>1.0698000000000001</v>
      </c>
      <c r="C225" s="507">
        <v>1.0698000000000001</v>
      </c>
      <c r="D225" s="507">
        <v>1.0741000000000001</v>
      </c>
      <c r="E225" s="507">
        <v>1.0741000000000001</v>
      </c>
      <c r="F225" s="507">
        <v>1.0741000000000001</v>
      </c>
      <c r="G225" s="507">
        <v>1.0741000000000001</v>
      </c>
      <c r="H225" s="507">
        <v>1.0741000000000001</v>
      </c>
      <c r="I225" s="507">
        <v>0.93610000000000004</v>
      </c>
      <c r="J225" s="507">
        <v>0.93610000000000004</v>
      </c>
      <c r="K225" s="507">
        <v>0.93610000000000004</v>
      </c>
      <c r="L225" s="507">
        <v>0.93610000000000004</v>
      </c>
      <c r="M225" s="507">
        <v>0.93610000000000004</v>
      </c>
    </row>
    <row r="226" spans="1:13">
      <c r="A226" s="504">
        <v>2</v>
      </c>
      <c r="B226" s="507">
        <v>1.0568</v>
      </c>
      <c r="C226" s="507">
        <v>1.0568</v>
      </c>
      <c r="D226" s="507">
        <v>1.0601</v>
      </c>
      <c r="E226" s="507">
        <v>1.0601</v>
      </c>
      <c r="F226" s="507">
        <v>1.0601</v>
      </c>
      <c r="G226" s="507">
        <v>1.0601</v>
      </c>
      <c r="H226" s="507">
        <v>1.0601</v>
      </c>
      <c r="I226" s="507">
        <v>0.9224</v>
      </c>
      <c r="J226" s="507">
        <v>0.9224</v>
      </c>
      <c r="K226" s="507">
        <v>0.9224</v>
      </c>
      <c r="L226" s="507">
        <v>0.9224</v>
      </c>
      <c r="M226" s="507">
        <v>0.9224</v>
      </c>
    </row>
    <row r="227" spans="1:13">
      <c r="A227" s="508">
        <v>2.1</v>
      </c>
      <c r="B227" s="507">
        <v>1.0443</v>
      </c>
      <c r="C227" s="507">
        <v>1.0443</v>
      </c>
      <c r="D227" s="507">
        <v>1.0468</v>
      </c>
      <c r="E227" s="507">
        <v>1.0468</v>
      </c>
      <c r="F227" s="507">
        <v>1.0468</v>
      </c>
      <c r="G227" s="507">
        <v>1.0468</v>
      </c>
      <c r="H227" s="507">
        <v>1.0468</v>
      </c>
      <c r="I227" s="507">
        <v>0.90959999999999996</v>
      </c>
      <c r="J227" s="507">
        <v>0.90959999999999996</v>
      </c>
      <c r="K227" s="507">
        <v>0.90959999999999996</v>
      </c>
      <c r="L227" s="507">
        <v>0.90959999999999996</v>
      </c>
      <c r="M227" s="507">
        <v>0.90959999999999996</v>
      </c>
    </row>
    <row r="228" spans="1:13">
      <c r="A228" s="508">
        <v>2.2000000000000002</v>
      </c>
      <c r="B228" s="507">
        <v>1.0325</v>
      </c>
      <c r="C228" s="507">
        <v>1.0325</v>
      </c>
      <c r="D228" s="507">
        <v>1.0342</v>
      </c>
      <c r="E228" s="507">
        <v>1.0342</v>
      </c>
      <c r="F228" s="507">
        <v>1.0342</v>
      </c>
      <c r="G228" s="507">
        <v>1.0342</v>
      </c>
      <c r="H228" s="507">
        <v>1.0342</v>
      </c>
      <c r="I228" s="507">
        <v>0.89749999999999996</v>
      </c>
      <c r="J228" s="507">
        <v>0.89749999999999996</v>
      </c>
      <c r="K228" s="507">
        <v>0.89749999999999996</v>
      </c>
      <c r="L228" s="507">
        <v>0.89749999999999996</v>
      </c>
      <c r="M228" s="507">
        <v>0.89749999999999996</v>
      </c>
    </row>
    <row r="229" spans="1:13">
      <c r="A229" s="508">
        <v>2.2999999999999998</v>
      </c>
      <c r="B229" s="507">
        <v>1.0209999999999999</v>
      </c>
      <c r="C229" s="507">
        <v>1.0209999999999999</v>
      </c>
      <c r="D229" s="507">
        <v>1.0222</v>
      </c>
      <c r="E229" s="507">
        <v>1.0222</v>
      </c>
      <c r="F229" s="507">
        <v>1.0222</v>
      </c>
      <c r="G229" s="507">
        <v>1.0222</v>
      </c>
      <c r="H229" s="507">
        <v>1.0222</v>
      </c>
      <c r="I229" s="507">
        <v>0.88619999999999999</v>
      </c>
      <c r="J229" s="507">
        <v>0.88619999999999999</v>
      </c>
      <c r="K229" s="507">
        <v>0.88619999999999999</v>
      </c>
      <c r="L229" s="507">
        <v>0.88619999999999999</v>
      </c>
      <c r="M229" s="507">
        <v>0.88619999999999999</v>
      </c>
    </row>
    <row r="230" spans="1:13">
      <c r="A230" s="508">
        <v>2.4</v>
      </c>
      <c r="B230" s="507">
        <v>1.0102</v>
      </c>
      <c r="C230" s="507">
        <v>1.0102</v>
      </c>
      <c r="D230" s="507">
        <v>1.0107999999999999</v>
      </c>
      <c r="E230" s="507">
        <v>1.0107999999999999</v>
      </c>
      <c r="F230" s="507">
        <v>1.0107999999999999</v>
      </c>
      <c r="G230" s="507">
        <v>1.0107999999999999</v>
      </c>
      <c r="H230" s="507">
        <v>1.0107999999999999</v>
      </c>
      <c r="I230" s="507">
        <v>0.87529999999999997</v>
      </c>
      <c r="J230" s="507">
        <v>0.87529999999999997</v>
      </c>
      <c r="K230" s="507">
        <v>0.87529999999999997</v>
      </c>
      <c r="L230" s="507">
        <v>0.87529999999999997</v>
      </c>
      <c r="M230" s="507">
        <v>0.87529999999999997</v>
      </c>
    </row>
    <row r="231" spans="1:13">
      <c r="A231" s="508">
        <v>2.5</v>
      </c>
      <c r="B231" s="507">
        <v>1</v>
      </c>
      <c r="C231" s="507">
        <v>1</v>
      </c>
      <c r="D231" s="507">
        <v>1</v>
      </c>
      <c r="E231" s="507">
        <v>1</v>
      </c>
      <c r="F231" s="507">
        <v>1</v>
      </c>
      <c r="G231" s="507">
        <v>1</v>
      </c>
      <c r="H231" s="507">
        <v>1</v>
      </c>
      <c r="I231" s="507">
        <v>0.86509999999999998</v>
      </c>
      <c r="J231" s="507">
        <v>0.86509999999999998</v>
      </c>
      <c r="K231" s="507">
        <v>0.86509999999999998</v>
      </c>
      <c r="L231" s="507">
        <v>0.86509999999999998</v>
      </c>
      <c r="M231" s="507">
        <v>0.86509999999999998</v>
      </c>
    </row>
    <row r="232" spans="1:13">
      <c r="A232" s="508">
        <v>2.6</v>
      </c>
      <c r="B232" s="507">
        <v>0.99029999999999996</v>
      </c>
      <c r="C232" s="507">
        <v>0.99029999999999996</v>
      </c>
      <c r="D232" s="507">
        <v>0.98970000000000002</v>
      </c>
      <c r="E232" s="507">
        <v>0.98970000000000002</v>
      </c>
      <c r="F232" s="507">
        <v>0.98970000000000002</v>
      </c>
      <c r="G232" s="507">
        <v>0.98970000000000002</v>
      </c>
      <c r="H232" s="507">
        <v>0.98970000000000002</v>
      </c>
      <c r="I232" s="507">
        <v>0.85529999999999995</v>
      </c>
      <c r="J232" s="507">
        <v>0.85529999999999995</v>
      </c>
      <c r="K232" s="507">
        <v>0.85529999999999995</v>
      </c>
      <c r="L232" s="507">
        <v>0.85529999999999995</v>
      </c>
      <c r="M232" s="507">
        <v>0.85529999999999995</v>
      </c>
    </row>
    <row r="233" spans="1:13">
      <c r="A233" s="508">
        <v>2.7</v>
      </c>
      <c r="B233" s="507">
        <v>0.98109999999999997</v>
      </c>
      <c r="C233" s="507">
        <v>0.98109999999999997</v>
      </c>
      <c r="D233" s="507">
        <v>0.97989999999999999</v>
      </c>
      <c r="E233" s="507">
        <v>0.97989999999999999</v>
      </c>
      <c r="F233" s="507">
        <v>0.97989999999999999</v>
      </c>
      <c r="G233" s="507">
        <v>0.97989999999999999</v>
      </c>
      <c r="H233" s="507">
        <v>0.97989999999999999</v>
      </c>
      <c r="I233" s="507">
        <v>0.84599999999999997</v>
      </c>
      <c r="J233" s="507">
        <v>0.84599999999999997</v>
      </c>
      <c r="K233" s="507">
        <v>0.84599999999999997</v>
      </c>
      <c r="L233" s="507">
        <v>0.84599999999999997</v>
      </c>
      <c r="M233" s="507">
        <v>0.84599999999999997</v>
      </c>
    </row>
    <row r="234" spans="1:13">
      <c r="A234" s="508">
        <v>2.8</v>
      </c>
      <c r="B234" s="507">
        <v>0.97240000000000004</v>
      </c>
      <c r="C234" s="507">
        <v>0.97240000000000004</v>
      </c>
      <c r="D234" s="507">
        <v>0.97060000000000002</v>
      </c>
      <c r="E234" s="507">
        <v>0.97060000000000002</v>
      </c>
      <c r="F234" s="507">
        <v>0.97060000000000002</v>
      </c>
      <c r="G234" s="507">
        <v>0.97060000000000002</v>
      </c>
      <c r="H234" s="507">
        <v>0.97060000000000002</v>
      </c>
      <c r="I234" s="507">
        <v>0.83709999999999996</v>
      </c>
      <c r="J234" s="507">
        <v>0.83709999999999996</v>
      </c>
      <c r="K234" s="507">
        <v>0.83709999999999996</v>
      </c>
      <c r="L234" s="507">
        <v>0.83709999999999996</v>
      </c>
      <c r="M234" s="507">
        <v>0.83709999999999996</v>
      </c>
    </row>
    <row r="235" spans="1:13">
      <c r="A235" s="508">
        <v>2.9</v>
      </c>
      <c r="B235" s="507">
        <v>0.96419999999999995</v>
      </c>
      <c r="C235" s="507">
        <v>0.96419999999999995</v>
      </c>
      <c r="D235" s="507">
        <v>0.96179999999999999</v>
      </c>
      <c r="E235" s="507">
        <v>0.96179999999999999</v>
      </c>
      <c r="F235" s="507">
        <v>0.96179999999999999</v>
      </c>
      <c r="G235" s="507">
        <v>0.96179999999999999</v>
      </c>
      <c r="H235" s="507">
        <v>0.96179999999999999</v>
      </c>
      <c r="I235" s="507">
        <v>0.82850000000000001</v>
      </c>
      <c r="J235" s="507">
        <v>0.82850000000000001</v>
      </c>
      <c r="K235" s="507">
        <v>0.82850000000000001</v>
      </c>
      <c r="L235" s="507">
        <v>0.82850000000000001</v>
      </c>
      <c r="M235" s="507">
        <v>0.82850000000000001</v>
      </c>
    </row>
    <row r="236" spans="1:13">
      <c r="A236" s="508">
        <v>3</v>
      </c>
      <c r="B236" s="507">
        <v>0.95640000000000003</v>
      </c>
      <c r="C236" s="507">
        <v>0.95640000000000003</v>
      </c>
      <c r="D236" s="507">
        <v>0.95340000000000003</v>
      </c>
      <c r="E236" s="507">
        <v>0.95340000000000003</v>
      </c>
      <c r="F236" s="507">
        <v>0.95340000000000003</v>
      </c>
      <c r="G236" s="507">
        <v>0.95340000000000003</v>
      </c>
      <c r="H236" s="507">
        <v>0.95340000000000003</v>
      </c>
      <c r="I236" s="507">
        <v>0.82040000000000002</v>
      </c>
      <c r="J236" s="507">
        <v>0.82040000000000002</v>
      </c>
      <c r="K236" s="507">
        <v>0.82040000000000002</v>
      </c>
      <c r="L236" s="507">
        <v>0.82040000000000002</v>
      </c>
      <c r="M236" s="507">
        <v>0.82040000000000002</v>
      </c>
    </row>
    <row r="237" spans="1:13">
      <c r="A237" s="508">
        <v>3.1</v>
      </c>
      <c r="B237" s="507">
        <v>0.94899999999999995</v>
      </c>
      <c r="C237" s="507">
        <v>0.94899999999999995</v>
      </c>
      <c r="D237" s="507">
        <v>0.94550000000000001</v>
      </c>
      <c r="E237" s="507">
        <v>0.94550000000000001</v>
      </c>
      <c r="F237" s="507">
        <v>0.94550000000000001</v>
      </c>
      <c r="G237" s="507">
        <v>0.94550000000000001</v>
      </c>
      <c r="H237" s="507">
        <v>0.94550000000000001</v>
      </c>
      <c r="I237" s="507">
        <v>0.81259999999999999</v>
      </c>
      <c r="J237" s="507">
        <v>0.81259999999999999</v>
      </c>
      <c r="K237" s="507">
        <v>0.81259999999999999</v>
      </c>
      <c r="L237" s="507">
        <v>0.81259999999999999</v>
      </c>
      <c r="M237" s="507">
        <v>0.81259999999999999</v>
      </c>
    </row>
    <row r="238" spans="1:13">
      <c r="A238" s="508">
        <v>3.2</v>
      </c>
      <c r="B238" s="507">
        <v>0.94199999999999995</v>
      </c>
      <c r="C238" s="507">
        <v>0.94199999999999995</v>
      </c>
      <c r="D238" s="507">
        <v>0.93789999999999996</v>
      </c>
      <c r="E238" s="507">
        <v>0.93789999999999996</v>
      </c>
      <c r="F238" s="507">
        <v>0.93789999999999996</v>
      </c>
      <c r="G238" s="507">
        <v>0.93789999999999996</v>
      </c>
      <c r="H238" s="507">
        <v>0.93789999999999996</v>
      </c>
      <c r="I238" s="507">
        <v>0.80530000000000002</v>
      </c>
      <c r="J238" s="507">
        <v>0.80530000000000002</v>
      </c>
      <c r="K238" s="507">
        <v>0.80530000000000002</v>
      </c>
      <c r="L238" s="507">
        <v>0.80530000000000002</v>
      </c>
      <c r="M238" s="507">
        <v>0.80530000000000002</v>
      </c>
    </row>
    <row r="239" spans="1:13">
      <c r="A239" s="508">
        <v>3.3</v>
      </c>
      <c r="B239" s="507">
        <v>0.93540000000000001</v>
      </c>
      <c r="C239" s="507">
        <v>0.93540000000000001</v>
      </c>
      <c r="D239" s="507">
        <v>0.93069999999999997</v>
      </c>
      <c r="E239" s="507">
        <v>0.93069999999999997</v>
      </c>
      <c r="F239" s="507">
        <v>0.93069999999999997</v>
      </c>
      <c r="G239" s="507">
        <v>0.93069999999999997</v>
      </c>
      <c r="H239" s="507">
        <v>0.93069999999999997</v>
      </c>
      <c r="I239" s="507">
        <v>0.79820000000000002</v>
      </c>
      <c r="J239" s="507">
        <v>0.79820000000000002</v>
      </c>
      <c r="K239" s="507">
        <v>0.79820000000000002</v>
      </c>
      <c r="L239" s="507">
        <v>0.79820000000000002</v>
      </c>
      <c r="M239" s="507">
        <v>0.79820000000000002</v>
      </c>
    </row>
    <row r="240" spans="1:13">
      <c r="A240" s="508">
        <v>3.4</v>
      </c>
      <c r="B240" s="507">
        <v>0.92920000000000003</v>
      </c>
      <c r="C240" s="507">
        <v>0.92920000000000003</v>
      </c>
      <c r="D240" s="507">
        <v>0.92390000000000005</v>
      </c>
      <c r="E240" s="507">
        <v>0.92390000000000005</v>
      </c>
      <c r="F240" s="507">
        <v>0.92390000000000005</v>
      </c>
      <c r="G240" s="507">
        <v>0.92390000000000005</v>
      </c>
      <c r="H240" s="507">
        <v>0.92390000000000005</v>
      </c>
      <c r="I240" s="507">
        <v>0.79139999999999999</v>
      </c>
      <c r="J240" s="507">
        <v>0.79139999999999999</v>
      </c>
      <c r="K240" s="507">
        <v>0.79139999999999999</v>
      </c>
      <c r="L240" s="507">
        <v>0.79139999999999999</v>
      </c>
      <c r="M240" s="507">
        <v>0.79139999999999999</v>
      </c>
    </row>
    <row r="241" spans="1:13">
      <c r="A241" s="508">
        <v>3.5</v>
      </c>
      <c r="B241" s="507">
        <v>0.9234</v>
      </c>
      <c r="C241" s="507">
        <v>0.9234</v>
      </c>
      <c r="D241" s="507">
        <v>0.91749999999999998</v>
      </c>
      <c r="E241" s="507">
        <v>0.91749999999999998</v>
      </c>
      <c r="F241" s="507">
        <v>0.91749999999999998</v>
      </c>
      <c r="G241" s="507">
        <v>0.91749999999999998</v>
      </c>
      <c r="H241" s="507">
        <v>0.91749999999999998</v>
      </c>
      <c r="I241" s="507">
        <v>0.78490000000000004</v>
      </c>
      <c r="J241" s="507">
        <v>0.78490000000000004</v>
      </c>
      <c r="K241" s="507">
        <v>0.78490000000000004</v>
      </c>
      <c r="L241" s="507">
        <v>0.78490000000000004</v>
      </c>
      <c r="M241" s="507">
        <v>0.78490000000000004</v>
      </c>
    </row>
    <row r="242" spans="1:13">
      <c r="A242" s="508">
        <v>3.6</v>
      </c>
      <c r="B242" s="507">
        <v>0.91790000000000005</v>
      </c>
      <c r="C242" s="507">
        <v>0.91790000000000005</v>
      </c>
      <c r="D242" s="507">
        <v>0.91139999999999999</v>
      </c>
      <c r="E242" s="507">
        <v>0.91139999999999999</v>
      </c>
      <c r="F242" s="507">
        <v>0.91139999999999999</v>
      </c>
      <c r="G242" s="507">
        <v>0.91139999999999999</v>
      </c>
      <c r="H242" s="507">
        <v>0.91139999999999999</v>
      </c>
      <c r="I242" s="507">
        <v>0.77880000000000005</v>
      </c>
      <c r="J242" s="507">
        <v>0.77880000000000005</v>
      </c>
      <c r="K242" s="507">
        <v>0.77880000000000005</v>
      </c>
      <c r="L242" s="507">
        <v>0.77880000000000005</v>
      </c>
      <c r="M242" s="507">
        <v>0.77880000000000005</v>
      </c>
    </row>
    <row r="243" spans="1:13">
      <c r="A243" s="508">
        <v>3.7</v>
      </c>
      <c r="B243" s="507">
        <v>0.91269999999999996</v>
      </c>
      <c r="C243" s="507">
        <v>0.91269999999999996</v>
      </c>
      <c r="D243" s="507">
        <v>0.90559999999999996</v>
      </c>
      <c r="E243" s="507">
        <v>0.90559999999999996</v>
      </c>
      <c r="F243" s="507">
        <v>0.90559999999999996</v>
      </c>
      <c r="G243" s="507">
        <v>0.90559999999999996</v>
      </c>
      <c r="H243" s="507">
        <v>0.90559999999999996</v>
      </c>
      <c r="I243" s="507">
        <v>0.77300000000000002</v>
      </c>
      <c r="J243" s="507">
        <v>0.77300000000000002</v>
      </c>
      <c r="K243" s="507">
        <v>0.77300000000000002</v>
      </c>
      <c r="L243" s="507">
        <v>0.77300000000000002</v>
      </c>
      <c r="M243" s="507">
        <v>0.77300000000000002</v>
      </c>
    </row>
    <row r="244" spans="1:13">
      <c r="A244" s="508">
        <v>3.8</v>
      </c>
      <c r="B244" s="507">
        <v>0.90780000000000005</v>
      </c>
      <c r="C244" s="507">
        <v>0.90780000000000005</v>
      </c>
      <c r="D244" s="507">
        <v>0.90010000000000001</v>
      </c>
      <c r="E244" s="507">
        <v>0.90010000000000001</v>
      </c>
      <c r="F244" s="507">
        <v>0.90010000000000001</v>
      </c>
      <c r="G244" s="507">
        <v>0.90010000000000001</v>
      </c>
      <c r="H244" s="507">
        <v>0.90010000000000001</v>
      </c>
      <c r="I244" s="507">
        <v>0.76739999999999997</v>
      </c>
      <c r="J244" s="507">
        <v>0.76739999999999997</v>
      </c>
      <c r="K244" s="507">
        <v>0.76739999999999997</v>
      </c>
      <c r="L244" s="507">
        <v>0.76739999999999997</v>
      </c>
      <c r="M244" s="507">
        <v>0.76739999999999997</v>
      </c>
    </row>
    <row r="245" spans="1:13">
      <c r="A245" s="508">
        <v>3.9</v>
      </c>
      <c r="B245" s="507">
        <v>0.9032</v>
      </c>
      <c r="C245" s="507">
        <v>0.9032</v>
      </c>
      <c r="D245" s="507">
        <v>0.89490000000000003</v>
      </c>
      <c r="E245" s="507">
        <v>0.89490000000000003</v>
      </c>
      <c r="F245" s="507">
        <v>0.89490000000000003</v>
      </c>
      <c r="G245" s="507">
        <v>0.89490000000000003</v>
      </c>
      <c r="H245" s="507">
        <v>0.89490000000000003</v>
      </c>
      <c r="I245" s="507">
        <v>0.7621</v>
      </c>
      <c r="J245" s="507">
        <v>0.7621</v>
      </c>
      <c r="K245" s="507">
        <v>0.7621</v>
      </c>
      <c r="L245" s="507">
        <v>0.7621</v>
      </c>
      <c r="M245" s="507">
        <v>0.7621</v>
      </c>
    </row>
    <row r="246" spans="1:13">
      <c r="A246" s="508">
        <v>4</v>
      </c>
      <c r="B246" s="507">
        <v>0.89890000000000003</v>
      </c>
      <c r="C246" s="507">
        <v>0.89890000000000003</v>
      </c>
      <c r="D246" s="507">
        <v>0.89</v>
      </c>
      <c r="E246" s="507">
        <v>0.89</v>
      </c>
      <c r="F246" s="507">
        <v>0.89</v>
      </c>
      <c r="G246" s="507">
        <v>0.89</v>
      </c>
      <c r="H246" s="507">
        <v>0.89</v>
      </c>
      <c r="I246" s="507">
        <v>0.7571</v>
      </c>
      <c r="J246" s="507">
        <v>0.7571</v>
      </c>
      <c r="K246" s="507">
        <v>0.7571</v>
      </c>
      <c r="L246" s="507">
        <v>0.7571</v>
      </c>
      <c r="M246" s="507">
        <v>0.7571</v>
      </c>
    </row>
    <row r="247" spans="1:13">
      <c r="A247" s="508">
        <v>4.0999999999999996</v>
      </c>
      <c r="B247" s="507">
        <v>0.89480000000000004</v>
      </c>
      <c r="C247" s="507">
        <v>0.89480000000000004</v>
      </c>
      <c r="D247" s="507">
        <v>0.88539999999999996</v>
      </c>
      <c r="E247" s="507">
        <v>0.88539999999999996</v>
      </c>
      <c r="F247" s="507">
        <v>0.88539999999999996</v>
      </c>
      <c r="G247" s="507">
        <v>0.88539999999999996</v>
      </c>
      <c r="H247" s="507">
        <v>0.88539999999999996</v>
      </c>
      <c r="I247" s="507">
        <v>0.75229999999999997</v>
      </c>
      <c r="J247" s="507">
        <v>0.75229999999999997</v>
      </c>
      <c r="K247" s="507">
        <v>0.75229999999999997</v>
      </c>
      <c r="L247" s="507">
        <v>0.75229999999999997</v>
      </c>
      <c r="M247" s="507">
        <v>0.75229999999999997</v>
      </c>
    </row>
    <row r="248" spans="1:13">
      <c r="A248" s="508">
        <v>4.2</v>
      </c>
      <c r="B248" s="507">
        <v>0.89100000000000001</v>
      </c>
      <c r="C248" s="507">
        <v>0.89100000000000001</v>
      </c>
      <c r="D248" s="507">
        <v>0.88109999999999999</v>
      </c>
      <c r="E248" s="507">
        <v>0.88109999999999999</v>
      </c>
      <c r="F248" s="507">
        <v>0.88109999999999999</v>
      </c>
      <c r="G248" s="507">
        <v>0.88109999999999999</v>
      </c>
      <c r="H248" s="507">
        <v>0.88109999999999999</v>
      </c>
      <c r="I248" s="507">
        <v>0.74780000000000002</v>
      </c>
      <c r="J248" s="507">
        <v>0.74780000000000002</v>
      </c>
      <c r="K248" s="507">
        <v>0.74780000000000002</v>
      </c>
      <c r="L248" s="507">
        <v>0.74780000000000002</v>
      </c>
      <c r="M248" s="507">
        <v>0.74780000000000002</v>
      </c>
    </row>
    <row r="249" spans="1:13">
      <c r="A249" s="508">
        <v>4.3</v>
      </c>
      <c r="B249" s="507">
        <v>0.88739999999999997</v>
      </c>
      <c r="C249" s="507">
        <v>0.88739999999999997</v>
      </c>
      <c r="D249" s="507">
        <v>0.877</v>
      </c>
      <c r="E249" s="507">
        <v>0.877</v>
      </c>
      <c r="F249" s="507">
        <v>0.877</v>
      </c>
      <c r="G249" s="507">
        <v>0.877</v>
      </c>
      <c r="H249" s="507">
        <v>0.877</v>
      </c>
      <c r="I249" s="507">
        <v>0.74329999999999996</v>
      </c>
      <c r="J249" s="507">
        <v>0.74329999999999996</v>
      </c>
      <c r="K249" s="507">
        <v>0.74329999999999996</v>
      </c>
      <c r="L249" s="507">
        <v>0.74329999999999996</v>
      </c>
      <c r="M249" s="507">
        <v>0.74329999999999996</v>
      </c>
    </row>
    <row r="250" spans="1:13">
      <c r="A250" s="508">
        <v>4.4000000000000004</v>
      </c>
      <c r="B250" s="507">
        <v>0.88400000000000001</v>
      </c>
      <c r="C250" s="507">
        <v>0.88400000000000001</v>
      </c>
      <c r="D250" s="507">
        <v>0.87309999999999999</v>
      </c>
      <c r="E250" s="507">
        <v>0.87309999999999999</v>
      </c>
      <c r="F250" s="507">
        <v>0.87309999999999999</v>
      </c>
      <c r="G250" s="507">
        <v>0.87309999999999999</v>
      </c>
      <c r="H250" s="507">
        <v>0.87309999999999999</v>
      </c>
      <c r="I250" s="507">
        <v>0.73909999999999998</v>
      </c>
      <c r="J250" s="507">
        <v>0.73909999999999998</v>
      </c>
      <c r="K250" s="507">
        <v>0.73909999999999998</v>
      </c>
      <c r="L250" s="507">
        <v>0.73909999999999998</v>
      </c>
      <c r="M250" s="507">
        <v>0.73909999999999998</v>
      </c>
    </row>
    <row r="251" spans="1:13">
      <c r="A251" s="508">
        <v>4.5</v>
      </c>
      <c r="B251" s="507">
        <v>0.88080000000000003</v>
      </c>
      <c r="C251" s="507">
        <v>0.88080000000000003</v>
      </c>
      <c r="D251" s="507">
        <v>0.86939999999999995</v>
      </c>
      <c r="E251" s="507">
        <v>0.86939999999999995</v>
      </c>
      <c r="F251" s="507">
        <v>0.86939999999999995</v>
      </c>
      <c r="G251" s="507">
        <v>0.86939999999999995</v>
      </c>
      <c r="H251" s="507">
        <v>0.86939999999999995</v>
      </c>
      <c r="I251" s="507">
        <v>0.73499999999999999</v>
      </c>
      <c r="J251" s="507">
        <v>0.73499999999999999</v>
      </c>
      <c r="K251" s="507">
        <v>0.73499999999999999</v>
      </c>
      <c r="L251" s="507">
        <v>0.73499999999999999</v>
      </c>
      <c r="M251" s="507">
        <v>0.73499999999999999</v>
      </c>
    </row>
    <row r="252" spans="1:13">
      <c r="A252" s="508">
        <v>4.5999999999999996</v>
      </c>
      <c r="B252" s="507">
        <v>0.87780000000000002</v>
      </c>
      <c r="C252" s="507">
        <v>0.87780000000000002</v>
      </c>
      <c r="D252" s="507">
        <v>0.8659</v>
      </c>
      <c r="E252" s="507">
        <v>0.8659</v>
      </c>
      <c r="F252" s="507">
        <v>0.8659</v>
      </c>
      <c r="G252" s="507">
        <v>0.8659</v>
      </c>
      <c r="H252" s="507">
        <v>0.8659</v>
      </c>
      <c r="I252" s="507">
        <v>0.73109999999999997</v>
      </c>
      <c r="J252" s="507">
        <v>0.73109999999999997</v>
      </c>
      <c r="K252" s="507">
        <v>0.73109999999999997</v>
      </c>
      <c r="L252" s="507">
        <v>0.73109999999999997</v>
      </c>
      <c r="M252" s="507">
        <v>0.73109999999999997</v>
      </c>
    </row>
    <row r="253" spans="1:13">
      <c r="A253" s="508">
        <v>4.7</v>
      </c>
      <c r="B253" s="507">
        <v>0.875</v>
      </c>
      <c r="C253" s="507">
        <v>0.875</v>
      </c>
      <c r="D253" s="507">
        <v>0.86260000000000003</v>
      </c>
      <c r="E253" s="507">
        <v>0.86260000000000003</v>
      </c>
      <c r="F253" s="507">
        <v>0.86260000000000003</v>
      </c>
      <c r="G253" s="507">
        <v>0.86260000000000003</v>
      </c>
      <c r="H253" s="507">
        <v>0.86260000000000003</v>
      </c>
      <c r="I253" s="507">
        <v>0.72750000000000004</v>
      </c>
      <c r="J253" s="507">
        <v>0.72750000000000004</v>
      </c>
      <c r="K253" s="507">
        <v>0.72750000000000004</v>
      </c>
      <c r="L253" s="507">
        <v>0.72750000000000004</v>
      </c>
      <c r="M253" s="507">
        <v>0.72750000000000004</v>
      </c>
    </row>
    <row r="254" spans="1:13">
      <c r="A254" s="508">
        <v>4.8</v>
      </c>
      <c r="B254" s="507">
        <v>0.87229999999999996</v>
      </c>
      <c r="C254" s="507">
        <v>0.87229999999999996</v>
      </c>
      <c r="D254" s="507">
        <v>0.85950000000000004</v>
      </c>
      <c r="E254" s="507">
        <v>0.85950000000000004</v>
      </c>
      <c r="F254" s="507">
        <v>0.85950000000000004</v>
      </c>
      <c r="G254" s="507">
        <v>0.85950000000000004</v>
      </c>
      <c r="H254" s="507">
        <v>0.85950000000000004</v>
      </c>
      <c r="I254" s="507">
        <v>0.72399999999999998</v>
      </c>
      <c r="J254" s="507">
        <v>0.72399999999999998</v>
      </c>
      <c r="K254" s="507">
        <v>0.72399999999999998</v>
      </c>
      <c r="L254" s="507">
        <v>0.72399999999999998</v>
      </c>
      <c r="M254" s="507">
        <v>0.72399999999999998</v>
      </c>
    </row>
    <row r="255" spans="1:13">
      <c r="A255" s="508">
        <v>4.9000000000000004</v>
      </c>
      <c r="B255" s="507">
        <v>0.86980000000000002</v>
      </c>
      <c r="C255" s="507">
        <v>0.86980000000000002</v>
      </c>
      <c r="D255" s="507">
        <v>0.85660000000000003</v>
      </c>
      <c r="E255" s="507">
        <v>0.85660000000000003</v>
      </c>
      <c r="F255" s="507">
        <v>0.85660000000000003</v>
      </c>
      <c r="G255" s="507">
        <v>0.85660000000000003</v>
      </c>
      <c r="H255" s="507">
        <v>0.85660000000000003</v>
      </c>
      <c r="I255" s="507">
        <v>0.7208</v>
      </c>
      <c r="J255" s="507">
        <v>0.7208</v>
      </c>
      <c r="K255" s="507">
        <v>0.7208</v>
      </c>
      <c r="L255" s="507">
        <v>0.7208</v>
      </c>
      <c r="M255" s="507">
        <v>0.7208</v>
      </c>
    </row>
    <row r="256" spans="1:13">
      <c r="A256" s="508">
        <v>5</v>
      </c>
      <c r="B256" s="507">
        <v>0.86739999999999995</v>
      </c>
      <c r="C256" s="507">
        <v>0.86739999999999995</v>
      </c>
      <c r="D256" s="507">
        <v>0.8538</v>
      </c>
      <c r="E256" s="507">
        <v>0.8538</v>
      </c>
      <c r="F256" s="507">
        <v>0.8538</v>
      </c>
      <c r="G256" s="507">
        <v>0.8538</v>
      </c>
      <c r="H256" s="507">
        <v>0.8538</v>
      </c>
      <c r="I256" s="507">
        <v>0.71760000000000002</v>
      </c>
      <c r="J256" s="507">
        <v>0.71760000000000002</v>
      </c>
      <c r="K256" s="507">
        <v>0.71760000000000002</v>
      </c>
      <c r="L256" s="507">
        <v>0.71760000000000002</v>
      </c>
      <c r="M256" s="507">
        <v>0.71760000000000002</v>
      </c>
    </row>
    <row r="257" spans="1:13">
      <c r="A257" s="504">
        <v>5.0999999999999996</v>
      </c>
      <c r="B257" s="507">
        <v>0.86519999999999997</v>
      </c>
      <c r="C257" s="507">
        <v>0.86519999999999997</v>
      </c>
      <c r="D257" s="507">
        <v>0.85109999999999997</v>
      </c>
      <c r="E257" s="507">
        <v>0.85109999999999997</v>
      </c>
      <c r="F257" s="507">
        <v>0.85109999999999997</v>
      </c>
      <c r="G257" s="507">
        <v>0.85109999999999997</v>
      </c>
      <c r="H257" s="507">
        <v>0.85109999999999997</v>
      </c>
      <c r="I257" s="507">
        <v>0.7147</v>
      </c>
      <c r="J257" s="507">
        <v>0.7147</v>
      </c>
      <c r="K257" s="507">
        <v>0.7147</v>
      </c>
      <c r="L257" s="507">
        <v>0.7147</v>
      </c>
      <c r="M257" s="507">
        <v>0.7147</v>
      </c>
    </row>
    <row r="258" spans="1:13">
      <c r="A258" s="504">
        <v>5.2</v>
      </c>
      <c r="B258" s="507">
        <v>0.86309999999999998</v>
      </c>
      <c r="C258" s="507">
        <v>0.86309999999999998</v>
      </c>
      <c r="D258" s="507">
        <v>0.84860000000000002</v>
      </c>
      <c r="E258" s="507">
        <v>0.84860000000000002</v>
      </c>
      <c r="F258" s="507">
        <v>0.84860000000000002</v>
      </c>
      <c r="G258" s="507">
        <v>0.84860000000000002</v>
      </c>
      <c r="H258" s="507">
        <v>0.84860000000000002</v>
      </c>
      <c r="I258" s="507">
        <v>0.71189999999999998</v>
      </c>
      <c r="J258" s="507">
        <v>0.71189999999999998</v>
      </c>
      <c r="K258" s="507">
        <v>0.71189999999999998</v>
      </c>
      <c r="L258" s="507">
        <v>0.71189999999999998</v>
      </c>
      <c r="M258" s="507">
        <v>0.71189999999999998</v>
      </c>
    </row>
    <row r="259" spans="1:13">
      <c r="A259" s="504">
        <v>5.3</v>
      </c>
      <c r="B259" s="507">
        <v>0.86119999999999997</v>
      </c>
      <c r="C259" s="507">
        <v>0.86119999999999997</v>
      </c>
      <c r="D259" s="507">
        <v>0.84619999999999995</v>
      </c>
      <c r="E259" s="507">
        <v>0.84619999999999995</v>
      </c>
      <c r="F259" s="507">
        <v>0.84619999999999995</v>
      </c>
      <c r="G259" s="507">
        <v>0.84619999999999995</v>
      </c>
      <c r="H259" s="507">
        <v>0.84619999999999995</v>
      </c>
      <c r="I259" s="507">
        <v>0.70909999999999995</v>
      </c>
      <c r="J259" s="507">
        <v>0.70909999999999995</v>
      </c>
      <c r="K259" s="507">
        <v>0.70909999999999995</v>
      </c>
      <c r="L259" s="507">
        <v>0.70909999999999995</v>
      </c>
      <c r="M259" s="507">
        <v>0.70909999999999995</v>
      </c>
    </row>
    <row r="260" spans="1:13">
      <c r="A260" s="504">
        <v>5.4</v>
      </c>
      <c r="B260" s="507">
        <v>0.85940000000000005</v>
      </c>
      <c r="C260" s="507">
        <v>0.85940000000000005</v>
      </c>
      <c r="D260" s="507">
        <v>0.84389999999999998</v>
      </c>
      <c r="E260" s="507">
        <v>0.84389999999999998</v>
      </c>
      <c r="F260" s="507">
        <v>0.84389999999999998</v>
      </c>
      <c r="G260" s="507">
        <v>0.84389999999999998</v>
      </c>
      <c r="H260" s="507">
        <v>0.84389999999999998</v>
      </c>
      <c r="I260" s="507">
        <v>0.70650000000000002</v>
      </c>
      <c r="J260" s="507">
        <v>0.70650000000000002</v>
      </c>
      <c r="K260" s="507">
        <v>0.70650000000000002</v>
      </c>
      <c r="L260" s="507">
        <v>0.70650000000000002</v>
      </c>
      <c r="M260" s="507">
        <v>0.70650000000000002</v>
      </c>
    </row>
    <row r="261" spans="1:13">
      <c r="A261" s="504">
        <v>5.5</v>
      </c>
      <c r="B261" s="507">
        <v>0.85770000000000002</v>
      </c>
      <c r="C261" s="507">
        <v>0.85770000000000002</v>
      </c>
      <c r="D261" s="507">
        <v>0.84179999999999999</v>
      </c>
      <c r="E261" s="507">
        <v>0.84179999999999999</v>
      </c>
      <c r="F261" s="507">
        <v>0.84179999999999999</v>
      </c>
      <c r="G261" s="507">
        <v>0.84179999999999999</v>
      </c>
      <c r="H261" s="507">
        <v>0.84179999999999999</v>
      </c>
      <c r="I261" s="507">
        <v>0.70399999999999996</v>
      </c>
      <c r="J261" s="507">
        <v>0.70399999999999996</v>
      </c>
      <c r="K261" s="507">
        <v>0.70399999999999996</v>
      </c>
      <c r="L261" s="507">
        <v>0.70399999999999996</v>
      </c>
      <c r="M261" s="507">
        <v>0.70399999999999996</v>
      </c>
    </row>
    <row r="262" spans="1:13">
      <c r="A262" s="504">
        <v>5.6</v>
      </c>
      <c r="B262" s="507">
        <v>0.85599999999999998</v>
      </c>
      <c r="C262" s="507">
        <v>0.85599999999999998</v>
      </c>
      <c r="D262" s="507">
        <v>0.83979999999999999</v>
      </c>
      <c r="E262" s="507">
        <v>0.83979999999999999</v>
      </c>
      <c r="F262" s="507">
        <v>0.83979999999999999</v>
      </c>
      <c r="G262" s="507">
        <v>0.83979999999999999</v>
      </c>
      <c r="H262" s="507">
        <v>0.83979999999999999</v>
      </c>
      <c r="I262" s="507">
        <v>0.7016</v>
      </c>
      <c r="J262" s="507">
        <v>0.7016</v>
      </c>
      <c r="K262" s="507">
        <v>0.7016</v>
      </c>
      <c r="L262" s="507">
        <v>0.7016</v>
      </c>
      <c r="M262" s="507">
        <v>0.7016</v>
      </c>
    </row>
    <row r="263" spans="1:13">
      <c r="A263" s="508">
        <v>5.7</v>
      </c>
      <c r="B263" s="507">
        <v>0.85440000000000005</v>
      </c>
      <c r="C263" s="507">
        <v>0.85440000000000005</v>
      </c>
      <c r="D263" s="507">
        <v>0.83789999999999998</v>
      </c>
      <c r="E263" s="507">
        <v>0.83789999999999998</v>
      </c>
      <c r="F263" s="507">
        <v>0.83789999999999998</v>
      </c>
      <c r="G263" s="507">
        <v>0.83789999999999998</v>
      </c>
      <c r="H263" s="507">
        <v>0.83789999999999998</v>
      </c>
      <c r="I263" s="507">
        <v>0.69940000000000002</v>
      </c>
      <c r="J263" s="507">
        <v>0.69940000000000002</v>
      </c>
      <c r="K263" s="507">
        <v>0.69940000000000002</v>
      </c>
      <c r="L263" s="507">
        <v>0.69940000000000002</v>
      </c>
      <c r="M263" s="507">
        <v>0.69940000000000002</v>
      </c>
    </row>
    <row r="264" spans="1:13">
      <c r="A264" s="504">
        <v>5.8</v>
      </c>
      <c r="B264" s="507">
        <v>0.85289999999999999</v>
      </c>
      <c r="C264" s="507">
        <v>0.85289999999999999</v>
      </c>
      <c r="D264" s="507">
        <v>0.83599999999999997</v>
      </c>
      <c r="E264" s="507">
        <v>0.83599999999999997</v>
      </c>
      <c r="F264" s="507">
        <v>0.83599999999999997</v>
      </c>
      <c r="G264" s="507">
        <v>0.83599999999999997</v>
      </c>
      <c r="H264" s="507">
        <v>0.83599999999999997</v>
      </c>
      <c r="I264" s="507">
        <v>0.69720000000000004</v>
      </c>
      <c r="J264" s="507">
        <v>0.69720000000000004</v>
      </c>
      <c r="K264" s="507">
        <v>0.69720000000000004</v>
      </c>
      <c r="L264" s="507">
        <v>0.69720000000000004</v>
      </c>
      <c r="M264" s="507">
        <v>0.69720000000000004</v>
      </c>
    </row>
    <row r="265" spans="1:13">
      <c r="A265" s="504">
        <v>5.9</v>
      </c>
      <c r="B265" s="507">
        <v>0.85150000000000003</v>
      </c>
      <c r="C265" s="507">
        <v>0.85150000000000003</v>
      </c>
      <c r="D265" s="507">
        <v>0.83430000000000004</v>
      </c>
      <c r="E265" s="507">
        <v>0.83430000000000004</v>
      </c>
      <c r="F265" s="507">
        <v>0.83430000000000004</v>
      </c>
      <c r="G265" s="507">
        <v>0.83430000000000004</v>
      </c>
      <c r="H265" s="507">
        <v>0.83430000000000004</v>
      </c>
      <c r="I265" s="507">
        <v>0.69520000000000004</v>
      </c>
      <c r="J265" s="507">
        <v>0.69520000000000004</v>
      </c>
      <c r="K265" s="507">
        <v>0.69520000000000004</v>
      </c>
      <c r="L265" s="507">
        <v>0.69520000000000004</v>
      </c>
      <c r="M265" s="507">
        <v>0.69520000000000004</v>
      </c>
    </row>
    <row r="266" spans="1:13">
      <c r="A266" s="504">
        <v>6</v>
      </c>
      <c r="B266" s="507">
        <v>0.85019999999999996</v>
      </c>
      <c r="C266" s="507">
        <v>0.85019999999999996</v>
      </c>
      <c r="D266" s="507">
        <v>0.8327</v>
      </c>
      <c r="E266" s="507">
        <v>0.8327</v>
      </c>
      <c r="F266" s="507">
        <v>0.8327</v>
      </c>
      <c r="G266" s="507">
        <v>0.8327</v>
      </c>
      <c r="H266" s="507">
        <v>0.8327</v>
      </c>
      <c r="I266" s="507">
        <v>0.69320000000000004</v>
      </c>
      <c r="J266" s="507">
        <v>0.69320000000000004</v>
      </c>
      <c r="K266" s="507">
        <v>0.69320000000000004</v>
      </c>
      <c r="L266" s="507">
        <v>0.69320000000000004</v>
      </c>
      <c r="M266" s="507">
        <v>0.69320000000000004</v>
      </c>
    </row>
    <row r="267" spans="1:13">
      <c r="A267" s="504">
        <v>6.1</v>
      </c>
      <c r="B267" s="507">
        <v>0.84899999999999998</v>
      </c>
      <c r="C267" s="507">
        <v>0.84899999999999998</v>
      </c>
      <c r="D267" s="507">
        <v>0.83109999999999995</v>
      </c>
      <c r="E267" s="507">
        <v>0.83109999999999995</v>
      </c>
      <c r="F267" s="507">
        <v>0.83109999999999995</v>
      </c>
      <c r="G267" s="507">
        <v>0.83109999999999995</v>
      </c>
      <c r="H267" s="507">
        <v>0.83109999999999995</v>
      </c>
      <c r="I267" s="507">
        <v>0.69130000000000003</v>
      </c>
      <c r="J267" s="507">
        <v>0.69130000000000003</v>
      </c>
      <c r="K267" s="507">
        <v>0.69130000000000003</v>
      </c>
      <c r="L267" s="507">
        <v>0.69130000000000003</v>
      </c>
      <c r="M267" s="507">
        <v>0.69130000000000003</v>
      </c>
    </row>
    <row r="268" spans="1:13">
      <c r="A268" s="504">
        <v>6.2</v>
      </c>
      <c r="B268" s="507">
        <v>0.8478</v>
      </c>
      <c r="C268" s="507">
        <v>0.8478</v>
      </c>
      <c r="D268" s="507">
        <v>0.8296</v>
      </c>
      <c r="E268" s="507">
        <v>0.8296</v>
      </c>
      <c r="F268" s="507">
        <v>0.8296</v>
      </c>
      <c r="G268" s="507">
        <v>0.8296</v>
      </c>
      <c r="H268" s="507">
        <v>0.8296</v>
      </c>
      <c r="I268" s="507">
        <v>0.68940000000000001</v>
      </c>
      <c r="J268" s="507">
        <v>0.68940000000000001</v>
      </c>
      <c r="K268" s="507">
        <v>0.68940000000000001</v>
      </c>
      <c r="L268" s="507">
        <v>0.68940000000000001</v>
      </c>
      <c r="M268" s="507">
        <v>0.68940000000000001</v>
      </c>
    </row>
    <row r="269" spans="1:13">
      <c r="A269" s="504">
        <v>6.3</v>
      </c>
      <c r="B269" s="507">
        <v>0.84670000000000001</v>
      </c>
      <c r="C269" s="507">
        <v>0.84670000000000001</v>
      </c>
      <c r="D269" s="507">
        <v>0.82820000000000005</v>
      </c>
      <c r="E269" s="507">
        <v>0.82820000000000005</v>
      </c>
      <c r="F269" s="507">
        <v>0.82820000000000005</v>
      </c>
      <c r="G269" s="507">
        <v>0.82820000000000005</v>
      </c>
      <c r="H269" s="507">
        <v>0.82820000000000005</v>
      </c>
      <c r="I269" s="507">
        <v>0.68769999999999998</v>
      </c>
      <c r="J269" s="507">
        <v>0.68769999999999998</v>
      </c>
      <c r="K269" s="507">
        <v>0.68769999999999998</v>
      </c>
      <c r="L269" s="507">
        <v>0.68769999999999998</v>
      </c>
      <c r="M269" s="507">
        <v>0.68769999999999998</v>
      </c>
    </row>
    <row r="270" spans="1:13">
      <c r="A270" s="504">
        <v>6.4</v>
      </c>
      <c r="B270" s="507">
        <v>0.84570000000000001</v>
      </c>
      <c r="C270" s="507">
        <v>0.84570000000000001</v>
      </c>
      <c r="D270" s="507">
        <v>0.82689999999999997</v>
      </c>
      <c r="E270" s="507">
        <v>0.82689999999999997</v>
      </c>
      <c r="F270" s="507">
        <v>0.82689999999999997</v>
      </c>
      <c r="G270" s="507">
        <v>0.82689999999999997</v>
      </c>
      <c r="H270" s="507">
        <v>0.82689999999999997</v>
      </c>
      <c r="I270" s="507">
        <v>0.68610000000000004</v>
      </c>
      <c r="J270" s="507">
        <v>0.68610000000000004</v>
      </c>
      <c r="K270" s="507">
        <v>0.68610000000000004</v>
      </c>
      <c r="L270" s="507">
        <v>0.68610000000000004</v>
      </c>
      <c r="M270" s="507">
        <v>0.68610000000000004</v>
      </c>
    </row>
    <row r="271" spans="1:13">
      <c r="A271" s="504">
        <v>6.5</v>
      </c>
      <c r="B271" s="507">
        <v>0.84470000000000001</v>
      </c>
      <c r="C271" s="507">
        <v>0.84470000000000001</v>
      </c>
      <c r="D271" s="507">
        <v>0.82569999999999999</v>
      </c>
      <c r="E271" s="507">
        <v>0.82569999999999999</v>
      </c>
      <c r="F271" s="507">
        <v>0.82569999999999999</v>
      </c>
      <c r="G271" s="507">
        <v>0.82569999999999999</v>
      </c>
      <c r="H271" s="507">
        <v>0.82569999999999999</v>
      </c>
      <c r="I271" s="507">
        <v>0.68440000000000001</v>
      </c>
      <c r="J271" s="507">
        <v>0.68440000000000001</v>
      </c>
      <c r="K271" s="507">
        <v>0.68440000000000001</v>
      </c>
      <c r="L271" s="507">
        <v>0.68440000000000001</v>
      </c>
      <c r="M271" s="507">
        <v>0.68440000000000001</v>
      </c>
    </row>
    <row r="272" spans="1:13">
      <c r="A272" s="504">
        <v>6.6</v>
      </c>
      <c r="B272" s="507">
        <v>0.84370000000000001</v>
      </c>
      <c r="C272" s="507">
        <v>0.84370000000000001</v>
      </c>
      <c r="D272" s="507">
        <v>0.82450000000000001</v>
      </c>
      <c r="E272" s="507">
        <v>0.82450000000000001</v>
      </c>
      <c r="F272" s="507">
        <v>0.82450000000000001</v>
      </c>
      <c r="G272" s="507">
        <v>0.82450000000000001</v>
      </c>
      <c r="H272" s="507">
        <v>0.82450000000000001</v>
      </c>
      <c r="I272" s="507">
        <v>0.68289999999999995</v>
      </c>
      <c r="J272" s="507">
        <v>0.68289999999999995</v>
      </c>
      <c r="K272" s="507">
        <v>0.68289999999999995</v>
      </c>
      <c r="L272" s="507">
        <v>0.68289999999999995</v>
      </c>
      <c r="M272" s="507">
        <v>0.68289999999999995</v>
      </c>
    </row>
    <row r="273" spans="1:13">
      <c r="A273" s="504">
        <v>6.7</v>
      </c>
      <c r="B273" s="507">
        <v>0.8427</v>
      </c>
      <c r="C273" s="507">
        <v>0.8427</v>
      </c>
      <c r="D273" s="507">
        <v>0.82330000000000003</v>
      </c>
      <c r="E273" s="507">
        <v>0.82330000000000003</v>
      </c>
      <c r="F273" s="507">
        <v>0.82330000000000003</v>
      </c>
      <c r="G273" s="507">
        <v>0.82330000000000003</v>
      </c>
      <c r="H273" s="507">
        <v>0.82330000000000003</v>
      </c>
      <c r="I273" s="507">
        <v>0.68130000000000002</v>
      </c>
      <c r="J273" s="507">
        <v>0.68130000000000002</v>
      </c>
      <c r="K273" s="507">
        <v>0.68130000000000002</v>
      </c>
      <c r="L273" s="507">
        <v>0.68130000000000002</v>
      </c>
      <c r="M273" s="507">
        <v>0.68130000000000002</v>
      </c>
    </row>
    <row r="274" spans="1:13">
      <c r="A274" s="504">
        <v>6.8</v>
      </c>
      <c r="B274" s="507">
        <v>0.84179999999999999</v>
      </c>
      <c r="C274" s="507">
        <v>0.84179999999999999</v>
      </c>
      <c r="D274" s="507">
        <v>0.82210000000000005</v>
      </c>
      <c r="E274" s="507">
        <v>0.82210000000000005</v>
      </c>
      <c r="F274" s="507">
        <v>0.82210000000000005</v>
      </c>
      <c r="G274" s="507">
        <v>0.82210000000000005</v>
      </c>
      <c r="H274" s="507">
        <v>0.82210000000000005</v>
      </c>
      <c r="I274" s="507">
        <v>0.67979999999999996</v>
      </c>
      <c r="J274" s="507">
        <v>0.67979999999999996</v>
      </c>
      <c r="K274" s="507">
        <v>0.67979999999999996</v>
      </c>
      <c r="L274" s="507">
        <v>0.67979999999999996</v>
      </c>
      <c r="M274" s="507">
        <v>0.67979999999999996</v>
      </c>
    </row>
    <row r="275" spans="1:13">
      <c r="A275" s="504">
        <v>6.9</v>
      </c>
      <c r="B275" s="507">
        <v>0.84089999999999998</v>
      </c>
      <c r="C275" s="507">
        <v>0.84089999999999998</v>
      </c>
      <c r="D275" s="507">
        <v>0.82099999999999995</v>
      </c>
      <c r="E275" s="507">
        <v>0.82099999999999995</v>
      </c>
      <c r="F275" s="507">
        <v>0.82099999999999995</v>
      </c>
      <c r="G275" s="507">
        <v>0.82099999999999995</v>
      </c>
      <c r="H275" s="507">
        <v>0.82099999999999995</v>
      </c>
      <c r="I275" s="507">
        <v>0.67849999999999999</v>
      </c>
      <c r="J275" s="507">
        <v>0.67849999999999999</v>
      </c>
      <c r="K275" s="507">
        <v>0.67849999999999999</v>
      </c>
      <c r="L275" s="507">
        <v>0.67849999999999999</v>
      </c>
      <c r="M275" s="507">
        <v>0.67849999999999999</v>
      </c>
    </row>
    <row r="276" spans="1:13">
      <c r="A276" s="504">
        <v>7</v>
      </c>
      <c r="B276" s="507">
        <v>0.84009999999999996</v>
      </c>
      <c r="C276" s="507">
        <v>0.84009999999999996</v>
      </c>
      <c r="D276" s="507">
        <v>0.81989999999999996</v>
      </c>
      <c r="E276" s="507">
        <v>0.81989999999999996</v>
      </c>
      <c r="F276" s="507">
        <v>0.81989999999999996</v>
      </c>
      <c r="G276" s="507">
        <v>0.81989999999999996</v>
      </c>
      <c r="H276" s="507">
        <v>0.81989999999999996</v>
      </c>
      <c r="I276" s="507">
        <v>0.67720000000000002</v>
      </c>
      <c r="J276" s="507">
        <v>0.67720000000000002</v>
      </c>
      <c r="K276" s="507">
        <v>0.67720000000000002</v>
      </c>
      <c r="L276" s="507">
        <v>0.67720000000000002</v>
      </c>
      <c r="M276" s="507">
        <v>0.67720000000000002</v>
      </c>
    </row>
    <row r="277" spans="1:13">
      <c r="A277" s="504">
        <v>7.1</v>
      </c>
      <c r="B277" s="507">
        <v>0.83930000000000005</v>
      </c>
      <c r="C277" s="507">
        <v>0.83930000000000005</v>
      </c>
      <c r="D277" s="507">
        <v>0.81889999999999996</v>
      </c>
      <c r="E277" s="507">
        <v>0.81889999999999996</v>
      </c>
      <c r="F277" s="507">
        <v>0.81889999999999996</v>
      </c>
      <c r="G277" s="507">
        <v>0.81889999999999996</v>
      </c>
      <c r="H277" s="507">
        <v>0.81889999999999996</v>
      </c>
      <c r="I277" s="507">
        <v>0.67589999999999995</v>
      </c>
      <c r="J277" s="507">
        <v>0.67589999999999995</v>
      </c>
      <c r="K277" s="507">
        <v>0.67589999999999995</v>
      </c>
      <c r="L277" s="507">
        <v>0.67589999999999995</v>
      </c>
      <c r="M277" s="507">
        <v>0.67589999999999995</v>
      </c>
    </row>
    <row r="278" spans="1:13">
      <c r="A278" s="504">
        <v>7.2</v>
      </c>
      <c r="B278" s="507">
        <v>0.83850000000000002</v>
      </c>
      <c r="C278" s="507">
        <v>0.83850000000000002</v>
      </c>
      <c r="D278" s="507">
        <v>0.81789999999999996</v>
      </c>
      <c r="E278" s="507">
        <v>0.81789999999999996</v>
      </c>
      <c r="F278" s="507">
        <v>0.81789999999999996</v>
      </c>
      <c r="G278" s="507">
        <v>0.81789999999999996</v>
      </c>
      <c r="H278" s="507">
        <v>0.81789999999999996</v>
      </c>
      <c r="I278" s="507">
        <v>0.67459999999999998</v>
      </c>
      <c r="J278" s="507">
        <v>0.67459999999999998</v>
      </c>
      <c r="K278" s="507">
        <v>0.67459999999999998</v>
      </c>
      <c r="L278" s="507">
        <v>0.67459999999999998</v>
      </c>
      <c r="M278" s="507">
        <v>0.67459999999999998</v>
      </c>
    </row>
    <row r="279" spans="1:13">
      <c r="A279" s="504">
        <v>7.3</v>
      </c>
      <c r="B279" s="507">
        <v>0.8377</v>
      </c>
      <c r="C279" s="507">
        <v>0.8377</v>
      </c>
      <c r="D279" s="507">
        <v>0.81689999999999996</v>
      </c>
      <c r="E279" s="507">
        <v>0.81689999999999996</v>
      </c>
      <c r="F279" s="507">
        <v>0.81689999999999996</v>
      </c>
      <c r="G279" s="507">
        <v>0.81689999999999996</v>
      </c>
      <c r="H279" s="507">
        <v>0.81689999999999996</v>
      </c>
      <c r="I279" s="507">
        <v>0.6734</v>
      </c>
      <c r="J279" s="507">
        <v>0.6734</v>
      </c>
      <c r="K279" s="507">
        <v>0.6734</v>
      </c>
      <c r="L279" s="507">
        <v>0.6734</v>
      </c>
      <c r="M279" s="507">
        <v>0.6734</v>
      </c>
    </row>
    <row r="280" spans="1:13">
      <c r="A280" s="504">
        <v>7.4</v>
      </c>
      <c r="B280" s="507">
        <v>0.83699999999999997</v>
      </c>
      <c r="C280" s="507">
        <v>0.83699999999999997</v>
      </c>
      <c r="D280" s="507">
        <v>0.81599999999999995</v>
      </c>
      <c r="E280" s="507">
        <v>0.81599999999999995</v>
      </c>
      <c r="F280" s="507">
        <v>0.81599999999999995</v>
      </c>
      <c r="G280" s="507">
        <v>0.81599999999999995</v>
      </c>
      <c r="H280" s="507">
        <v>0.81599999999999995</v>
      </c>
      <c r="I280" s="507">
        <v>0.67210000000000003</v>
      </c>
      <c r="J280" s="507">
        <v>0.67210000000000003</v>
      </c>
      <c r="K280" s="507">
        <v>0.67210000000000003</v>
      </c>
      <c r="L280" s="507">
        <v>0.67210000000000003</v>
      </c>
      <c r="M280" s="507">
        <v>0.67210000000000003</v>
      </c>
    </row>
    <row r="281" spans="1:13">
      <c r="A281" s="504">
        <v>7.5</v>
      </c>
      <c r="B281" s="507">
        <v>0.83630000000000004</v>
      </c>
      <c r="C281" s="507">
        <v>0.83630000000000004</v>
      </c>
      <c r="D281" s="507">
        <v>0.81510000000000005</v>
      </c>
      <c r="E281" s="507">
        <v>0.81510000000000005</v>
      </c>
      <c r="F281" s="507">
        <v>0.81510000000000005</v>
      </c>
      <c r="G281" s="507">
        <v>0.81510000000000005</v>
      </c>
      <c r="H281" s="507">
        <v>0.81510000000000005</v>
      </c>
      <c r="I281" s="507">
        <v>0.67090000000000005</v>
      </c>
      <c r="J281" s="507">
        <v>0.67090000000000005</v>
      </c>
      <c r="K281" s="507">
        <v>0.67090000000000005</v>
      </c>
      <c r="L281" s="507">
        <v>0.67090000000000005</v>
      </c>
      <c r="M281" s="507">
        <v>0.67090000000000005</v>
      </c>
    </row>
    <row r="282" spans="1:13">
      <c r="A282" s="504">
        <v>7.6</v>
      </c>
      <c r="B282" s="507">
        <v>0.83560000000000001</v>
      </c>
      <c r="C282" s="507">
        <v>0.83560000000000001</v>
      </c>
      <c r="D282" s="507">
        <v>0.81420000000000003</v>
      </c>
      <c r="E282" s="507">
        <v>0.81420000000000003</v>
      </c>
      <c r="F282" s="507">
        <v>0.81420000000000003</v>
      </c>
      <c r="G282" s="507">
        <v>0.81420000000000003</v>
      </c>
      <c r="H282" s="507">
        <v>0.81420000000000003</v>
      </c>
      <c r="I282" s="507">
        <v>0.66979999999999995</v>
      </c>
      <c r="J282" s="507">
        <v>0.66979999999999995</v>
      </c>
      <c r="K282" s="507">
        <v>0.66979999999999995</v>
      </c>
      <c r="L282" s="507">
        <v>0.66979999999999995</v>
      </c>
      <c r="M282" s="507">
        <v>0.66979999999999995</v>
      </c>
    </row>
    <row r="283" spans="1:13">
      <c r="A283" s="504">
        <v>7.7</v>
      </c>
      <c r="B283" s="507">
        <v>0.83489999999999998</v>
      </c>
      <c r="C283" s="507">
        <v>0.83489999999999998</v>
      </c>
      <c r="D283" s="507">
        <v>0.81330000000000002</v>
      </c>
      <c r="E283" s="507">
        <v>0.81330000000000002</v>
      </c>
      <c r="F283" s="507">
        <v>0.81330000000000002</v>
      </c>
      <c r="G283" s="507">
        <v>0.81330000000000002</v>
      </c>
      <c r="H283" s="507">
        <v>0.81330000000000002</v>
      </c>
      <c r="I283" s="507">
        <v>0.66869999999999996</v>
      </c>
      <c r="J283" s="507">
        <v>0.66869999999999996</v>
      </c>
      <c r="K283" s="507">
        <v>0.66869999999999996</v>
      </c>
      <c r="L283" s="507">
        <v>0.66869999999999996</v>
      </c>
      <c r="M283" s="507">
        <v>0.66869999999999996</v>
      </c>
    </row>
    <row r="284" spans="1:13">
      <c r="A284" s="504">
        <v>7.8</v>
      </c>
      <c r="B284" s="507">
        <v>0.83420000000000005</v>
      </c>
      <c r="C284" s="507">
        <v>0.83420000000000005</v>
      </c>
      <c r="D284" s="507">
        <v>0.81240000000000001</v>
      </c>
      <c r="E284" s="507">
        <v>0.81240000000000001</v>
      </c>
      <c r="F284" s="507">
        <v>0.81240000000000001</v>
      </c>
      <c r="G284" s="507">
        <v>0.81240000000000001</v>
      </c>
      <c r="H284" s="507">
        <v>0.81240000000000001</v>
      </c>
      <c r="I284" s="507">
        <v>0.66759999999999997</v>
      </c>
      <c r="J284" s="507">
        <v>0.66759999999999997</v>
      </c>
      <c r="K284" s="507">
        <v>0.66759999999999997</v>
      </c>
      <c r="L284" s="507">
        <v>0.66759999999999997</v>
      </c>
      <c r="M284" s="507">
        <v>0.66759999999999997</v>
      </c>
    </row>
    <row r="285" spans="1:13">
      <c r="A285" s="504">
        <v>7.9</v>
      </c>
      <c r="B285" s="507">
        <v>0.83350000000000002</v>
      </c>
      <c r="C285" s="507">
        <v>0.83350000000000002</v>
      </c>
      <c r="D285" s="507">
        <v>0.81159999999999999</v>
      </c>
      <c r="E285" s="507">
        <v>0.81159999999999999</v>
      </c>
      <c r="F285" s="507">
        <v>0.81159999999999999</v>
      </c>
      <c r="G285" s="507">
        <v>0.81159999999999999</v>
      </c>
      <c r="H285" s="507">
        <v>0.81159999999999999</v>
      </c>
      <c r="I285" s="507">
        <v>0.66649999999999998</v>
      </c>
      <c r="J285" s="507">
        <v>0.66649999999999998</v>
      </c>
      <c r="K285" s="507">
        <v>0.66649999999999998</v>
      </c>
      <c r="L285" s="507">
        <v>0.66649999999999998</v>
      </c>
      <c r="M285" s="507">
        <v>0.66649999999999998</v>
      </c>
    </row>
    <row r="286" spans="1:13">
      <c r="A286" s="504">
        <v>8</v>
      </c>
      <c r="B286" s="507">
        <v>0.83279999999999998</v>
      </c>
      <c r="C286" s="507">
        <v>0.83279999999999998</v>
      </c>
      <c r="D286" s="507">
        <v>0.81079999999999997</v>
      </c>
      <c r="E286" s="507">
        <v>0.81079999999999997</v>
      </c>
      <c r="F286" s="507">
        <v>0.81079999999999997</v>
      </c>
      <c r="G286" s="507">
        <v>0.81079999999999997</v>
      </c>
      <c r="H286" s="507">
        <v>0.81079999999999997</v>
      </c>
      <c r="I286" s="507">
        <v>0.66549999999999998</v>
      </c>
      <c r="J286" s="507">
        <v>0.66549999999999998</v>
      </c>
      <c r="K286" s="507">
        <v>0.66549999999999998</v>
      </c>
      <c r="L286" s="507">
        <v>0.66549999999999998</v>
      </c>
      <c r="M286" s="507">
        <v>0.66549999999999998</v>
      </c>
    </row>
    <row r="287" spans="1:13">
      <c r="A287" s="504">
        <v>8.1</v>
      </c>
      <c r="B287" s="507">
        <v>0.83220000000000005</v>
      </c>
      <c r="C287" s="507">
        <v>0.83220000000000005</v>
      </c>
      <c r="D287" s="507">
        <v>0.81</v>
      </c>
      <c r="E287" s="507">
        <v>0.81</v>
      </c>
      <c r="F287" s="507">
        <v>0.81</v>
      </c>
      <c r="G287" s="507">
        <v>0.81</v>
      </c>
      <c r="H287" s="507">
        <v>0.81</v>
      </c>
      <c r="I287" s="507">
        <v>0.66439999999999999</v>
      </c>
      <c r="J287" s="507">
        <v>0.66439999999999999</v>
      </c>
      <c r="K287" s="507">
        <v>0.66439999999999999</v>
      </c>
      <c r="L287" s="507">
        <v>0.66439999999999999</v>
      </c>
      <c r="M287" s="507">
        <v>0.66439999999999999</v>
      </c>
    </row>
    <row r="288" spans="1:13">
      <c r="A288" s="504">
        <v>8.1999999999999993</v>
      </c>
      <c r="B288" s="507">
        <v>0.83160000000000001</v>
      </c>
      <c r="C288" s="507">
        <v>0.83160000000000001</v>
      </c>
      <c r="D288" s="507">
        <v>0.80920000000000003</v>
      </c>
      <c r="E288" s="507">
        <v>0.80920000000000003</v>
      </c>
      <c r="F288" s="507">
        <v>0.80920000000000003</v>
      </c>
      <c r="G288" s="507">
        <v>0.80920000000000003</v>
      </c>
      <c r="H288" s="507">
        <v>0.80920000000000003</v>
      </c>
      <c r="I288" s="507">
        <v>0.66339999999999999</v>
      </c>
      <c r="J288" s="507">
        <v>0.66339999999999999</v>
      </c>
      <c r="K288" s="507">
        <v>0.66339999999999999</v>
      </c>
      <c r="L288" s="507">
        <v>0.66339999999999999</v>
      </c>
      <c r="M288" s="507">
        <v>0.66339999999999999</v>
      </c>
    </row>
    <row r="289" spans="1:13">
      <c r="A289" s="504">
        <v>8.3000000000000007</v>
      </c>
      <c r="B289" s="507">
        <v>0.83099999999999996</v>
      </c>
      <c r="C289" s="507">
        <v>0.83099999999999996</v>
      </c>
      <c r="D289" s="507">
        <v>0.80840000000000001</v>
      </c>
      <c r="E289" s="507">
        <v>0.80840000000000001</v>
      </c>
      <c r="F289" s="507">
        <v>0.80840000000000001</v>
      </c>
      <c r="G289" s="507">
        <v>0.80840000000000001</v>
      </c>
      <c r="H289" s="507">
        <v>0.80840000000000001</v>
      </c>
      <c r="I289" s="507">
        <v>0.66239999999999999</v>
      </c>
      <c r="J289" s="507">
        <v>0.66239999999999999</v>
      </c>
      <c r="K289" s="507">
        <v>0.66239999999999999</v>
      </c>
      <c r="L289" s="507">
        <v>0.66239999999999999</v>
      </c>
      <c r="M289" s="507">
        <v>0.66239999999999999</v>
      </c>
    </row>
    <row r="290" spans="1:13">
      <c r="A290" s="504">
        <v>8.4</v>
      </c>
      <c r="B290" s="507">
        <v>0.83040000000000003</v>
      </c>
      <c r="C290" s="507">
        <v>0.83040000000000003</v>
      </c>
      <c r="D290" s="507">
        <v>0.80759999999999998</v>
      </c>
      <c r="E290" s="507">
        <v>0.80759999999999998</v>
      </c>
      <c r="F290" s="507">
        <v>0.80759999999999998</v>
      </c>
      <c r="G290" s="507">
        <v>0.80759999999999998</v>
      </c>
      <c r="H290" s="507">
        <v>0.80759999999999998</v>
      </c>
      <c r="I290" s="507">
        <v>0.66139999999999999</v>
      </c>
      <c r="J290" s="507">
        <v>0.66139999999999999</v>
      </c>
      <c r="K290" s="507">
        <v>0.66139999999999999</v>
      </c>
      <c r="L290" s="507">
        <v>0.66139999999999999</v>
      </c>
      <c r="M290" s="507">
        <v>0.66139999999999999</v>
      </c>
    </row>
    <row r="291" spans="1:13">
      <c r="A291" s="504">
        <v>8.5</v>
      </c>
      <c r="B291" s="507">
        <v>0.82979999999999998</v>
      </c>
      <c r="C291" s="507">
        <v>0.82979999999999998</v>
      </c>
      <c r="D291" s="507">
        <v>0.80679999999999996</v>
      </c>
      <c r="E291" s="507">
        <v>0.80679999999999996</v>
      </c>
      <c r="F291" s="507">
        <v>0.80679999999999996</v>
      </c>
      <c r="G291" s="507">
        <v>0.80679999999999996</v>
      </c>
      <c r="H291" s="507">
        <v>0.80679999999999996</v>
      </c>
      <c r="I291" s="507">
        <v>0.66049999999999998</v>
      </c>
      <c r="J291" s="507">
        <v>0.66049999999999998</v>
      </c>
      <c r="K291" s="507">
        <v>0.66049999999999998</v>
      </c>
      <c r="L291" s="507">
        <v>0.66049999999999998</v>
      </c>
      <c r="M291" s="507">
        <v>0.66049999999999998</v>
      </c>
    </row>
    <row r="292" spans="1:13">
      <c r="A292" s="504">
        <v>8.6</v>
      </c>
      <c r="B292" s="507">
        <v>0.82920000000000005</v>
      </c>
      <c r="C292" s="507">
        <v>0.82920000000000005</v>
      </c>
      <c r="D292" s="507">
        <v>0.80600000000000005</v>
      </c>
      <c r="E292" s="507">
        <v>0.80600000000000005</v>
      </c>
      <c r="F292" s="507">
        <v>0.80600000000000005</v>
      </c>
      <c r="G292" s="507">
        <v>0.80600000000000005</v>
      </c>
      <c r="H292" s="507">
        <v>0.80600000000000005</v>
      </c>
      <c r="I292" s="507">
        <v>0.65949999999999998</v>
      </c>
      <c r="J292" s="507">
        <v>0.65949999999999998</v>
      </c>
      <c r="K292" s="507">
        <v>0.65949999999999998</v>
      </c>
      <c r="L292" s="507">
        <v>0.65949999999999998</v>
      </c>
      <c r="M292" s="507">
        <v>0.65949999999999998</v>
      </c>
    </row>
    <row r="293" spans="1:13">
      <c r="A293" s="504">
        <v>8.6999999999999993</v>
      </c>
      <c r="B293" s="507">
        <v>0.8286</v>
      </c>
      <c r="C293" s="507">
        <v>0.8286</v>
      </c>
      <c r="D293" s="507">
        <v>0.80520000000000003</v>
      </c>
      <c r="E293" s="507">
        <v>0.80520000000000003</v>
      </c>
      <c r="F293" s="507">
        <v>0.80520000000000003</v>
      </c>
      <c r="G293" s="507">
        <v>0.80520000000000003</v>
      </c>
      <c r="H293" s="507">
        <v>0.80520000000000003</v>
      </c>
      <c r="I293" s="507">
        <v>0.65859999999999996</v>
      </c>
      <c r="J293" s="507">
        <v>0.65859999999999996</v>
      </c>
      <c r="K293" s="507">
        <v>0.65859999999999996</v>
      </c>
      <c r="L293" s="507">
        <v>0.65859999999999996</v>
      </c>
      <c r="M293" s="507">
        <v>0.65859999999999996</v>
      </c>
    </row>
    <row r="294" spans="1:13">
      <c r="A294" s="504">
        <v>8.8000000000000007</v>
      </c>
      <c r="B294" s="507">
        <v>0.82799999999999996</v>
      </c>
      <c r="C294" s="507">
        <v>0.82799999999999996</v>
      </c>
      <c r="D294" s="507">
        <v>0.8044</v>
      </c>
      <c r="E294" s="507">
        <v>0.8044</v>
      </c>
      <c r="F294" s="507">
        <v>0.8044</v>
      </c>
      <c r="G294" s="507">
        <v>0.8044</v>
      </c>
      <c r="H294" s="507">
        <v>0.8044</v>
      </c>
      <c r="I294" s="507">
        <v>0.65759999999999996</v>
      </c>
      <c r="J294" s="507">
        <v>0.65759999999999996</v>
      </c>
      <c r="K294" s="507">
        <v>0.65759999999999996</v>
      </c>
      <c r="L294" s="507">
        <v>0.65759999999999996</v>
      </c>
      <c r="M294" s="507">
        <v>0.65759999999999996</v>
      </c>
    </row>
    <row r="295" spans="1:13">
      <c r="A295" s="504">
        <v>8.9</v>
      </c>
      <c r="B295" s="507">
        <v>0.82740000000000002</v>
      </c>
      <c r="C295" s="507">
        <v>0.82740000000000002</v>
      </c>
      <c r="D295" s="507">
        <v>0.80359999999999998</v>
      </c>
      <c r="E295" s="507">
        <v>0.80359999999999998</v>
      </c>
      <c r="F295" s="507">
        <v>0.80359999999999998</v>
      </c>
      <c r="G295" s="507">
        <v>0.80359999999999998</v>
      </c>
      <c r="H295" s="507">
        <v>0.80359999999999998</v>
      </c>
      <c r="I295" s="507">
        <v>0.65669999999999995</v>
      </c>
      <c r="J295" s="507">
        <v>0.65669999999999995</v>
      </c>
      <c r="K295" s="507">
        <v>0.65669999999999995</v>
      </c>
      <c r="L295" s="507">
        <v>0.65669999999999995</v>
      </c>
      <c r="M295" s="507">
        <v>0.65669999999999995</v>
      </c>
    </row>
    <row r="296" spans="1:13">
      <c r="A296" s="508">
        <v>9</v>
      </c>
      <c r="B296" s="507">
        <v>0.82679999999999998</v>
      </c>
      <c r="C296" s="507">
        <v>0.82679999999999998</v>
      </c>
      <c r="D296" s="507">
        <v>0.80279999999999996</v>
      </c>
      <c r="E296" s="507">
        <v>0.80279999999999996</v>
      </c>
      <c r="F296" s="507">
        <v>0.80279999999999996</v>
      </c>
      <c r="G296" s="507">
        <v>0.80279999999999996</v>
      </c>
      <c r="H296" s="507">
        <v>0.80279999999999996</v>
      </c>
      <c r="I296" s="507">
        <v>0.65569999999999995</v>
      </c>
      <c r="J296" s="507">
        <v>0.65569999999999995</v>
      </c>
      <c r="K296" s="507">
        <v>0.65569999999999995</v>
      </c>
      <c r="L296" s="507">
        <v>0.65569999999999995</v>
      </c>
      <c r="M296" s="507">
        <v>0.65569999999999995</v>
      </c>
    </row>
    <row r="297" spans="1:13">
      <c r="A297" s="508">
        <v>9.1</v>
      </c>
      <c r="B297" s="507">
        <v>0.82620000000000005</v>
      </c>
      <c r="C297" s="507">
        <v>0.82620000000000005</v>
      </c>
      <c r="D297" s="507">
        <v>0.80200000000000005</v>
      </c>
      <c r="E297" s="507">
        <v>0.80200000000000005</v>
      </c>
      <c r="F297" s="507">
        <v>0.80200000000000005</v>
      </c>
      <c r="G297" s="507">
        <v>0.80200000000000005</v>
      </c>
      <c r="H297" s="507">
        <v>0.80200000000000005</v>
      </c>
      <c r="I297" s="507">
        <v>0.65480000000000005</v>
      </c>
      <c r="J297" s="507">
        <v>0.65480000000000005</v>
      </c>
      <c r="K297" s="507">
        <v>0.65480000000000005</v>
      </c>
      <c r="L297" s="507">
        <v>0.65480000000000005</v>
      </c>
      <c r="M297" s="507">
        <v>0.65480000000000005</v>
      </c>
    </row>
    <row r="298" spans="1:13">
      <c r="A298" s="508">
        <v>9.1999999999999993</v>
      </c>
      <c r="B298" s="507">
        <v>0.8256</v>
      </c>
      <c r="C298" s="507">
        <v>0.8256</v>
      </c>
      <c r="D298" s="507">
        <v>0.80120000000000002</v>
      </c>
      <c r="E298" s="507">
        <v>0.80120000000000002</v>
      </c>
      <c r="F298" s="507">
        <v>0.80120000000000002</v>
      </c>
      <c r="G298" s="507">
        <v>0.80120000000000002</v>
      </c>
      <c r="H298" s="507">
        <v>0.80120000000000002</v>
      </c>
      <c r="I298" s="507">
        <v>0.65380000000000005</v>
      </c>
      <c r="J298" s="507">
        <v>0.65380000000000005</v>
      </c>
      <c r="K298" s="507">
        <v>0.65380000000000005</v>
      </c>
      <c r="L298" s="507">
        <v>0.65380000000000005</v>
      </c>
      <c r="M298" s="507">
        <v>0.65380000000000005</v>
      </c>
    </row>
    <row r="299" spans="1:13">
      <c r="A299" s="508">
        <v>9.3000000000000007</v>
      </c>
      <c r="B299" s="507">
        <v>0.82499999999999996</v>
      </c>
      <c r="C299" s="507">
        <v>0.82499999999999996</v>
      </c>
      <c r="D299" s="507">
        <v>0.8004</v>
      </c>
      <c r="E299" s="507">
        <v>0.8004</v>
      </c>
      <c r="F299" s="507">
        <v>0.8004</v>
      </c>
      <c r="G299" s="507">
        <v>0.8004</v>
      </c>
      <c r="H299" s="507">
        <v>0.8004</v>
      </c>
      <c r="I299" s="507">
        <v>0.65290000000000004</v>
      </c>
      <c r="J299" s="507">
        <v>0.65290000000000004</v>
      </c>
      <c r="K299" s="507">
        <v>0.65290000000000004</v>
      </c>
      <c r="L299" s="507">
        <v>0.65290000000000004</v>
      </c>
      <c r="M299" s="507">
        <v>0.65290000000000004</v>
      </c>
    </row>
    <row r="300" spans="1:13">
      <c r="A300" s="508">
        <v>9.4</v>
      </c>
      <c r="B300" s="507">
        <v>0.82440000000000002</v>
      </c>
      <c r="C300" s="507">
        <v>0.82440000000000002</v>
      </c>
      <c r="D300" s="507">
        <v>0.79959999999999998</v>
      </c>
      <c r="E300" s="507">
        <v>0.79959999999999998</v>
      </c>
      <c r="F300" s="507">
        <v>0.79959999999999998</v>
      </c>
      <c r="G300" s="507">
        <v>0.79959999999999998</v>
      </c>
      <c r="H300" s="507">
        <v>0.79959999999999998</v>
      </c>
      <c r="I300" s="507">
        <v>0.65190000000000003</v>
      </c>
      <c r="J300" s="507">
        <v>0.65190000000000003</v>
      </c>
      <c r="K300" s="507">
        <v>0.65190000000000003</v>
      </c>
      <c r="L300" s="507">
        <v>0.65190000000000003</v>
      </c>
      <c r="M300" s="507">
        <v>0.65190000000000003</v>
      </c>
    </row>
    <row r="301" spans="1:13">
      <c r="A301" s="508">
        <v>9.5</v>
      </c>
      <c r="B301" s="507">
        <v>0.82379999999999998</v>
      </c>
      <c r="C301" s="507">
        <v>0.82379999999999998</v>
      </c>
      <c r="D301" s="507">
        <v>0.79879999999999995</v>
      </c>
      <c r="E301" s="507">
        <v>0.79879999999999995</v>
      </c>
      <c r="F301" s="507">
        <v>0.79879999999999995</v>
      </c>
      <c r="G301" s="507">
        <v>0.79879999999999995</v>
      </c>
      <c r="H301" s="507">
        <v>0.79879999999999995</v>
      </c>
      <c r="I301" s="507">
        <v>0.65100000000000002</v>
      </c>
      <c r="J301" s="507">
        <v>0.65100000000000002</v>
      </c>
      <c r="K301" s="507">
        <v>0.65100000000000002</v>
      </c>
      <c r="L301" s="507">
        <v>0.65100000000000002</v>
      </c>
      <c r="M301" s="507">
        <v>0.65100000000000002</v>
      </c>
    </row>
    <row r="302" spans="1:13">
      <c r="A302" s="508">
        <v>9.6</v>
      </c>
      <c r="B302" s="507">
        <v>0.82320000000000004</v>
      </c>
      <c r="C302" s="507">
        <v>0.82320000000000004</v>
      </c>
      <c r="D302" s="507">
        <v>0.79800000000000004</v>
      </c>
      <c r="E302" s="507">
        <v>0.79800000000000004</v>
      </c>
      <c r="F302" s="507">
        <v>0.79800000000000004</v>
      </c>
      <c r="G302" s="507">
        <v>0.79800000000000004</v>
      </c>
      <c r="H302" s="507">
        <v>0.79800000000000004</v>
      </c>
      <c r="I302" s="507">
        <v>0.65</v>
      </c>
      <c r="J302" s="507">
        <v>0.65</v>
      </c>
      <c r="K302" s="507">
        <v>0.65</v>
      </c>
      <c r="L302" s="507">
        <v>0.65</v>
      </c>
      <c r="M302" s="507">
        <v>0.65</v>
      </c>
    </row>
    <row r="303" spans="1:13">
      <c r="A303" s="508">
        <v>9.6999999999999993</v>
      </c>
      <c r="B303" s="507">
        <v>0.8226</v>
      </c>
      <c r="C303" s="507">
        <v>0.8226</v>
      </c>
      <c r="D303" s="507">
        <v>0.79720000000000002</v>
      </c>
      <c r="E303" s="507">
        <v>0.79720000000000002</v>
      </c>
      <c r="F303" s="507">
        <v>0.79720000000000002</v>
      </c>
      <c r="G303" s="507">
        <v>0.79720000000000002</v>
      </c>
      <c r="H303" s="507">
        <v>0.79720000000000002</v>
      </c>
      <c r="I303" s="507">
        <v>0.64900000000000002</v>
      </c>
      <c r="J303" s="507">
        <v>0.64900000000000002</v>
      </c>
      <c r="K303" s="507">
        <v>0.64900000000000002</v>
      </c>
      <c r="L303" s="507">
        <v>0.64900000000000002</v>
      </c>
      <c r="M303" s="507">
        <v>0.64900000000000002</v>
      </c>
    </row>
    <row r="304" spans="1:13">
      <c r="A304" s="508">
        <v>9.8000000000000007</v>
      </c>
      <c r="B304" s="507">
        <v>0.82199999999999995</v>
      </c>
      <c r="C304" s="507">
        <v>0.82199999999999995</v>
      </c>
      <c r="D304" s="507">
        <v>0.7964</v>
      </c>
      <c r="E304" s="507">
        <v>0.7964</v>
      </c>
      <c r="F304" s="507">
        <v>0.7964</v>
      </c>
      <c r="G304" s="507">
        <v>0.7964</v>
      </c>
      <c r="H304" s="507">
        <v>0.7964</v>
      </c>
      <c r="I304" s="507">
        <v>0.64810000000000001</v>
      </c>
      <c r="J304" s="507">
        <v>0.64810000000000001</v>
      </c>
      <c r="K304" s="507">
        <v>0.64810000000000001</v>
      </c>
      <c r="L304" s="507">
        <v>0.64810000000000001</v>
      </c>
      <c r="M304" s="507">
        <v>0.64810000000000001</v>
      </c>
    </row>
    <row r="305" spans="1:13">
      <c r="A305" s="508">
        <v>9.9</v>
      </c>
      <c r="B305" s="507">
        <v>0.82140000000000002</v>
      </c>
      <c r="C305" s="507">
        <v>0.82140000000000002</v>
      </c>
      <c r="D305" s="507">
        <v>0.79559999999999997</v>
      </c>
      <c r="E305" s="507">
        <v>0.79559999999999997</v>
      </c>
      <c r="F305" s="507">
        <v>0.79559999999999997</v>
      </c>
      <c r="G305" s="507">
        <v>0.79559999999999997</v>
      </c>
      <c r="H305" s="507">
        <v>0.79559999999999997</v>
      </c>
      <c r="I305" s="507">
        <v>0.64710000000000001</v>
      </c>
      <c r="J305" s="507">
        <v>0.64710000000000001</v>
      </c>
      <c r="K305" s="507">
        <v>0.64710000000000001</v>
      </c>
      <c r="L305" s="507">
        <v>0.64710000000000001</v>
      </c>
      <c r="M305" s="507">
        <v>0.64710000000000001</v>
      </c>
    </row>
    <row r="306" spans="1:13">
      <c r="A306" s="508">
        <v>10</v>
      </c>
      <c r="B306" s="507">
        <v>0.82079999999999997</v>
      </c>
      <c r="C306" s="507">
        <v>0.82079999999999997</v>
      </c>
      <c r="D306" s="507">
        <v>0.79479999999999995</v>
      </c>
      <c r="E306" s="507">
        <v>0.79479999999999995</v>
      </c>
      <c r="F306" s="507">
        <v>0.79479999999999995</v>
      </c>
      <c r="G306" s="507">
        <v>0.79479999999999995</v>
      </c>
      <c r="H306" s="507">
        <v>0.79479999999999995</v>
      </c>
      <c r="I306" s="507">
        <v>0.6462</v>
      </c>
      <c r="J306" s="507">
        <v>0.6462</v>
      </c>
      <c r="K306" s="507">
        <v>0.6462</v>
      </c>
      <c r="L306" s="507">
        <v>0.6462</v>
      </c>
      <c r="M306" s="507">
        <v>0.6462</v>
      </c>
    </row>
    <row r="307" spans="1:13" ht="14.25">
      <c r="A307" s="502" t="s">
        <v>2247</v>
      </c>
      <c r="B307" s="503"/>
      <c r="C307" s="503"/>
      <c r="D307" s="503"/>
      <c r="E307" s="503"/>
      <c r="F307" s="503"/>
      <c r="G307" s="503"/>
      <c r="H307" s="503"/>
      <c r="I307" s="503"/>
      <c r="J307" s="503"/>
      <c r="K307" s="503"/>
      <c r="L307" s="503"/>
      <c r="M307" s="503"/>
    </row>
    <row r="308" spans="1:13">
      <c r="A308" s="504" t="s">
        <v>2244</v>
      </c>
      <c r="B308" s="505" t="s">
        <v>233</v>
      </c>
      <c r="C308" s="505" t="s">
        <v>244</v>
      </c>
      <c r="D308" s="505" t="s">
        <v>254</v>
      </c>
      <c r="E308" s="505" t="s">
        <v>262</v>
      </c>
      <c r="F308" s="505" t="s">
        <v>270</v>
      </c>
      <c r="G308" s="505" t="s">
        <v>276</v>
      </c>
      <c r="H308" s="506" t="s">
        <v>281</v>
      </c>
      <c r="I308" s="506" t="s">
        <v>286</v>
      </c>
      <c r="J308" s="509" t="s">
        <v>289</v>
      </c>
      <c r="K308" s="509" t="s">
        <v>292</v>
      </c>
      <c r="L308" s="509" t="s">
        <v>295</v>
      </c>
      <c r="M308" s="509" t="s">
        <v>298</v>
      </c>
    </row>
    <row r="309" spans="1:13">
      <c r="A309" s="504">
        <v>0.1</v>
      </c>
      <c r="B309" s="507">
        <v>11.506</v>
      </c>
      <c r="C309" s="507">
        <v>11.506</v>
      </c>
      <c r="D309" s="507">
        <v>12.015000000000001</v>
      </c>
      <c r="E309" s="507">
        <v>12.015000000000001</v>
      </c>
      <c r="F309" s="507">
        <v>12.015000000000001</v>
      </c>
      <c r="G309" s="507">
        <v>11.118</v>
      </c>
      <c r="H309" s="507">
        <v>11.118</v>
      </c>
      <c r="I309" s="507">
        <v>10</v>
      </c>
      <c r="J309" s="507">
        <v>10</v>
      </c>
      <c r="K309" s="507">
        <v>10</v>
      </c>
      <c r="L309" s="507">
        <v>10</v>
      </c>
      <c r="M309" s="507">
        <v>10</v>
      </c>
    </row>
    <row r="310" spans="1:13">
      <c r="A310" s="504">
        <v>0.2</v>
      </c>
      <c r="B310" s="507">
        <v>5.7530000000000001</v>
      </c>
      <c r="C310" s="507">
        <v>5.7530000000000001</v>
      </c>
      <c r="D310" s="507">
        <v>6.0075000000000003</v>
      </c>
      <c r="E310" s="507">
        <v>6.0075000000000003</v>
      </c>
      <c r="F310" s="507">
        <v>6.0075000000000003</v>
      </c>
      <c r="G310" s="507">
        <v>5.5590000000000002</v>
      </c>
      <c r="H310" s="507">
        <v>5.5590000000000002</v>
      </c>
      <c r="I310" s="507">
        <v>5</v>
      </c>
      <c r="J310" s="507">
        <v>5</v>
      </c>
      <c r="K310" s="507">
        <v>5</v>
      </c>
      <c r="L310" s="507">
        <v>5</v>
      </c>
      <c r="M310" s="507">
        <v>5</v>
      </c>
    </row>
    <row r="311" spans="1:13">
      <c r="A311" s="504">
        <v>0.3</v>
      </c>
      <c r="B311" s="507">
        <v>3.8353000000000002</v>
      </c>
      <c r="C311" s="507">
        <v>3.8353000000000002</v>
      </c>
      <c r="D311" s="507">
        <v>4.0049999999999999</v>
      </c>
      <c r="E311" s="507">
        <v>4.0049999999999999</v>
      </c>
      <c r="F311" s="507">
        <v>4.0049999999999999</v>
      </c>
      <c r="G311" s="507">
        <v>3.706</v>
      </c>
      <c r="H311" s="507">
        <v>3.706</v>
      </c>
      <c r="I311" s="507">
        <v>3.3332999999999999</v>
      </c>
      <c r="J311" s="507">
        <v>3.3332999999999999</v>
      </c>
      <c r="K311" s="507">
        <v>3.3332999999999999</v>
      </c>
      <c r="L311" s="507">
        <v>3.3332999999999999</v>
      </c>
      <c r="M311" s="507">
        <v>3.3332999999999999</v>
      </c>
    </row>
    <row r="312" spans="1:13">
      <c r="A312" s="504">
        <v>0.4</v>
      </c>
      <c r="B312" s="507">
        <v>2.8765000000000001</v>
      </c>
      <c r="C312" s="507">
        <v>2.8765000000000001</v>
      </c>
      <c r="D312" s="507">
        <v>3.0038</v>
      </c>
      <c r="E312" s="507">
        <v>3.0038</v>
      </c>
      <c r="F312" s="507">
        <v>3.0038</v>
      </c>
      <c r="G312" s="507">
        <v>2.7795000000000001</v>
      </c>
      <c r="H312" s="507">
        <v>2.7795000000000001</v>
      </c>
      <c r="I312" s="507">
        <v>2.5</v>
      </c>
      <c r="J312" s="507">
        <v>2.5</v>
      </c>
      <c r="K312" s="507">
        <v>2.5</v>
      </c>
      <c r="L312" s="507">
        <v>2.5</v>
      </c>
      <c r="M312" s="507">
        <v>2.5</v>
      </c>
    </row>
    <row r="313" spans="1:13">
      <c r="A313" s="504">
        <v>0.5</v>
      </c>
      <c r="B313" s="507">
        <v>2.3012000000000001</v>
      </c>
      <c r="C313" s="507">
        <v>2.3012000000000001</v>
      </c>
      <c r="D313" s="507">
        <v>2.403</v>
      </c>
      <c r="E313" s="507">
        <v>2.403</v>
      </c>
      <c r="F313" s="507">
        <v>2.403</v>
      </c>
      <c r="G313" s="507">
        <v>2.2235999999999998</v>
      </c>
      <c r="H313" s="507">
        <v>2.2235999999999998</v>
      </c>
      <c r="I313" s="507">
        <v>2</v>
      </c>
      <c r="J313" s="507">
        <v>2</v>
      </c>
      <c r="K313" s="507">
        <v>2</v>
      </c>
      <c r="L313" s="507">
        <v>2</v>
      </c>
      <c r="M313" s="507">
        <v>2</v>
      </c>
    </row>
    <row r="314" spans="1:13">
      <c r="A314" s="504">
        <v>0.6</v>
      </c>
      <c r="B314" s="507">
        <v>1.9177</v>
      </c>
      <c r="C314" s="507">
        <v>1.9177</v>
      </c>
      <c r="D314" s="507">
        <v>2.0024999999999999</v>
      </c>
      <c r="E314" s="507">
        <v>2.0024999999999999</v>
      </c>
      <c r="F314" s="507">
        <v>2.0024999999999999</v>
      </c>
      <c r="G314" s="507">
        <v>1.853</v>
      </c>
      <c r="H314" s="507">
        <v>1.853</v>
      </c>
      <c r="I314" s="507">
        <v>1.6667000000000001</v>
      </c>
      <c r="J314" s="507">
        <v>1.6667000000000001</v>
      </c>
      <c r="K314" s="507">
        <v>1.6667000000000001</v>
      </c>
      <c r="L314" s="507">
        <v>1.6667000000000001</v>
      </c>
      <c r="M314" s="507">
        <v>1.6667000000000001</v>
      </c>
    </row>
    <row r="315" spans="1:13">
      <c r="A315" s="504">
        <v>0.7</v>
      </c>
      <c r="B315" s="507">
        <v>1.6436999999999999</v>
      </c>
      <c r="C315" s="507">
        <v>1.6436999999999999</v>
      </c>
      <c r="D315" s="507">
        <v>1.7163999999999999</v>
      </c>
      <c r="E315" s="507">
        <v>1.7163999999999999</v>
      </c>
      <c r="F315" s="507">
        <v>1.7163999999999999</v>
      </c>
      <c r="G315" s="507">
        <v>1.5883</v>
      </c>
      <c r="H315" s="507">
        <v>1.5883</v>
      </c>
      <c r="I315" s="507">
        <v>1.4286000000000001</v>
      </c>
      <c r="J315" s="507">
        <v>1.4286000000000001</v>
      </c>
      <c r="K315" s="507">
        <v>1.4286000000000001</v>
      </c>
      <c r="L315" s="507">
        <v>1.4286000000000001</v>
      </c>
      <c r="M315" s="507">
        <v>1.4286000000000001</v>
      </c>
    </row>
    <row r="316" spans="1:13">
      <c r="A316" s="504">
        <v>0.8</v>
      </c>
      <c r="B316" s="507">
        <v>1.4382999999999999</v>
      </c>
      <c r="C316" s="507">
        <v>1.4382999999999999</v>
      </c>
      <c r="D316" s="507">
        <v>1.5019</v>
      </c>
      <c r="E316" s="507">
        <v>1.5019</v>
      </c>
      <c r="F316" s="507">
        <v>1.5019</v>
      </c>
      <c r="G316" s="507">
        <v>1.3897999999999999</v>
      </c>
      <c r="H316" s="507">
        <v>1.3897999999999999</v>
      </c>
      <c r="I316" s="507">
        <v>1.25</v>
      </c>
      <c r="J316" s="507">
        <v>1.25</v>
      </c>
      <c r="K316" s="507">
        <v>1.25</v>
      </c>
      <c r="L316" s="507">
        <v>1.25</v>
      </c>
      <c r="M316" s="507">
        <v>1.25</v>
      </c>
    </row>
    <row r="317" spans="1:13">
      <c r="A317" s="504">
        <v>0.9</v>
      </c>
      <c r="B317" s="507">
        <v>1.2784</v>
      </c>
      <c r="C317" s="507">
        <v>1.2784</v>
      </c>
      <c r="D317" s="507">
        <v>1.335</v>
      </c>
      <c r="E317" s="507">
        <v>1.335</v>
      </c>
      <c r="F317" s="507">
        <v>1.335</v>
      </c>
      <c r="G317" s="507">
        <v>1.2353000000000001</v>
      </c>
      <c r="H317" s="507">
        <v>1.2353000000000001</v>
      </c>
      <c r="I317" s="507">
        <v>1.1111</v>
      </c>
      <c r="J317" s="507">
        <v>1.1111</v>
      </c>
      <c r="K317" s="507">
        <v>1.1111</v>
      </c>
      <c r="L317" s="507">
        <v>1.1111</v>
      </c>
      <c r="M317" s="507">
        <v>1.1111</v>
      </c>
    </row>
    <row r="318" spans="1:13">
      <c r="A318" s="504">
        <v>1</v>
      </c>
      <c r="B318" s="507">
        <v>1.1506000000000001</v>
      </c>
      <c r="C318" s="507">
        <v>1.1506000000000001</v>
      </c>
      <c r="D318" s="507">
        <v>1.2015</v>
      </c>
      <c r="E318" s="507">
        <v>1.2015</v>
      </c>
      <c r="F318" s="507">
        <v>1.2015</v>
      </c>
      <c r="G318" s="507">
        <v>1.1117999999999999</v>
      </c>
      <c r="H318" s="507">
        <v>1.1117999999999999</v>
      </c>
      <c r="I318" s="507">
        <v>1</v>
      </c>
      <c r="J318" s="507">
        <v>1</v>
      </c>
      <c r="K318" s="507">
        <v>1</v>
      </c>
      <c r="L318" s="507">
        <v>1</v>
      </c>
      <c r="M318" s="507">
        <v>1</v>
      </c>
    </row>
    <row r="319" spans="1:13">
      <c r="A319" s="504">
        <v>1.1000000000000001</v>
      </c>
      <c r="B319" s="507">
        <v>1.1158999999999999</v>
      </c>
      <c r="C319" s="507">
        <v>1.1158999999999999</v>
      </c>
      <c r="D319" s="507">
        <v>1.1440999999999999</v>
      </c>
      <c r="E319" s="507">
        <v>1.1440999999999999</v>
      </c>
      <c r="F319" s="507">
        <v>1.1440999999999999</v>
      </c>
      <c r="G319" s="507">
        <v>1.0492999999999999</v>
      </c>
      <c r="H319" s="507">
        <v>1.0492999999999999</v>
      </c>
      <c r="I319" s="507">
        <v>0.93730000000000002</v>
      </c>
      <c r="J319" s="507">
        <v>0.93730000000000002</v>
      </c>
      <c r="K319" s="507">
        <v>0.93730000000000002</v>
      </c>
      <c r="L319" s="507">
        <v>0.93730000000000002</v>
      </c>
      <c r="M319" s="507">
        <v>0.93730000000000002</v>
      </c>
    </row>
    <row r="320" spans="1:13">
      <c r="A320" s="504">
        <v>1.2</v>
      </c>
      <c r="B320" s="507">
        <v>1.0837000000000001</v>
      </c>
      <c r="C320" s="507">
        <v>1.0837000000000001</v>
      </c>
      <c r="D320" s="507">
        <v>1.0972999999999999</v>
      </c>
      <c r="E320" s="507">
        <v>1.0972999999999999</v>
      </c>
      <c r="F320" s="507">
        <v>1.0972999999999999</v>
      </c>
      <c r="G320" s="507">
        <v>1</v>
      </c>
      <c r="H320" s="507">
        <v>1</v>
      </c>
      <c r="I320" s="507">
        <v>0.88890000000000002</v>
      </c>
      <c r="J320" s="507">
        <v>0.88890000000000002</v>
      </c>
      <c r="K320" s="507">
        <v>0.88890000000000002</v>
      </c>
      <c r="L320" s="507">
        <v>0.88890000000000002</v>
      </c>
      <c r="M320" s="507">
        <v>0.88890000000000002</v>
      </c>
    </row>
    <row r="321" spans="1:13">
      <c r="A321" s="504">
        <v>1.3</v>
      </c>
      <c r="B321" s="507">
        <v>1.0538000000000001</v>
      </c>
      <c r="C321" s="507">
        <v>1.0538000000000001</v>
      </c>
      <c r="D321" s="507">
        <v>1.0589999999999999</v>
      </c>
      <c r="E321" s="507">
        <v>1.0589999999999999</v>
      </c>
      <c r="F321" s="507">
        <v>1.0589999999999999</v>
      </c>
      <c r="G321" s="507">
        <v>0.96140000000000003</v>
      </c>
      <c r="H321" s="507">
        <v>0.96140000000000003</v>
      </c>
      <c r="I321" s="507">
        <v>0.85209999999999997</v>
      </c>
      <c r="J321" s="507">
        <v>0.85209999999999997</v>
      </c>
      <c r="K321" s="507">
        <v>0.85209999999999997</v>
      </c>
      <c r="L321" s="507">
        <v>0.85209999999999997</v>
      </c>
      <c r="M321" s="507">
        <v>0.85209999999999997</v>
      </c>
    </row>
    <row r="322" spans="1:13">
      <c r="A322" s="504">
        <v>1.4</v>
      </c>
      <c r="B322" s="507">
        <v>1.026</v>
      </c>
      <c r="C322" s="507">
        <v>1.026</v>
      </c>
      <c r="D322" s="507">
        <v>1.0271999999999999</v>
      </c>
      <c r="E322" s="507">
        <v>1.0271999999999999</v>
      </c>
      <c r="F322" s="507">
        <v>1.0271999999999999</v>
      </c>
      <c r="G322" s="507">
        <v>0.93079999999999996</v>
      </c>
      <c r="H322" s="507">
        <v>0.93079999999999996</v>
      </c>
      <c r="I322" s="507">
        <v>0.82379999999999998</v>
      </c>
      <c r="J322" s="507">
        <v>0.82379999999999998</v>
      </c>
      <c r="K322" s="507">
        <v>0.82379999999999998</v>
      </c>
      <c r="L322" s="507">
        <v>0.82379999999999998</v>
      </c>
      <c r="M322" s="507">
        <v>0.82379999999999998</v>
      </c>
    </row>
    <row r="323" spans="1:13">
      <c r="A323" s="504">
        <v>1.5</v>
      </c>
      <c r="B323" s="507">
        <v>1</v>
      </c>
      <c r="C323" s="507">
        <v>1</v>
      </c>
      <c r="D323" s="507">
        <v>1</v>
      </c>
      <c r="E323" s="507">
        <v>1</v>
      </c>
      <c r="F323" s="507">
        <v>1</v>
      </c>
      <c r="G323" s="507">
        <v>0.90559999999999996</v>
      </c>
      <c r="H323" s="507">
        <v>0.90559999999999996</v>
      </c>
      <c r="I323" s="507">
        <v>0.80110000000000003</v>
      </c>
      <c r="J323" s="507">
        <v>0.80110000000000003</v>
      </c>
      <c r="K323" s="507">
        <v>0.80110000000000003</v>
      </c>
      <c r="L323" s="507">
        <v>0.80110000000000003</v>
      </c>
      <c r="M323" s="507">
        <v>0.80110000000000003</v>
      </c>
    </row>
    <row r="324" spans="1:13">
      <c r="A324" s="504">
        <v>1.6</v>
      </c>
      <c r="B324" s="507">
        <v>0.97570000000000001</v>
      </c>
      <c r="C324" s="507">
        <v>0.97570000000000001</v>
      </c>
      <c r="D324" s="507">
        <v>0.97519999999999996</v>
      </c>
      <c r="E324" s="507">
        <v>0.97519999999999996</v>
      </c>
      <c r="F324" s="507">
        <v>0.97519999999999996</v>
      </c>
      <c r="G324" s="507">
        <v>0.8831</v>
      </c>
      <c r="H324" s="507">
        <v>0.8831</v>
      </c>
      <c r="I324" s="507">
        <v>0.78100000000000003</v>
      </c>
      <c r="J324" s="507">
        <v>0.78100000000000003</v>
      </c>
      <c r="K324" s="507">
        <v>0.78100000000000003</v>
      </c>
      <c r="L324" s="507">
        <v>0.78100000000000003</v>
      </c>
      <c r="M324" s="507">
        <v>0.78100000000000003</v>
      </c>
    </row>
    <row r="325" spans="1:13">
      <c r="A325" s="504">
        <v>1.7</v>
      </c>
      <c r="B325" s="507">
        <v>0.95289999999999997</v>
      </c>
      <c r="C325" s="507">
        <v>0.95289999999999997</v>
      </c>
      <c r="D325" s="507">
        <v>0.95189999999999997</v>
      </c>
      <c r="E325" s="507">
        <v>0.95189999999999997</v>
      </c>
      <c r="F325" s="507">
        <v>0.95189999999999997</v>
      </c>
      <c r="G325" s="507">
        <v>0.86180000000000001</v>
      </c>
      <c r="H325" s="507">
        <v>0.86180000000000001</v>
      </c>
      <c r="I325" s="507">
        <v>0.7621</v>
      </c>
      <c r="J325" s="507">
        <v>0.7621</v>
      </c>
      <c r="K325" s="507">
        <v>0.7621</v>
      </c>
      <c r="L325" s="507">
        <v>0.7621</v>
      </c>
      <c r="M325" s="507">
        <v>0.7621</v>
      </c>
    </row>
    <row r="326" spans="1:13">
      <c r="A326" s="504">
        <v>1.8</v>
      </c>
      <c r="B326" s="507">
        <v>0.93149999999999999</v>
      </c>
      <c r="C326" s="507">
        <v>0.93149999999999999</v>
      </c>
      <c r="D326" s="507">
        <v>0.93</v>
      </c>
      <c r="E326" s="507">
        <v>0.93</v>
      </c>
      <c r="F326" s="507">
        <v>0.93</v>
      </c>
      <c r="G326" s="507">
        <v>0.84179999999999999</v>
      </c>
      <c r="H326" s="507">
        <v>0.84179999999999999</v>
      </c>
      <c r="I326" s="507">
        <v>0.74419999999999997</v>
      </c>
      <c r="J326" s="507">
        <v>0.74419999999999997</v>
      </c>
      <c r="K326" s="507">
        <v>0.74419999999999997</v>
      </c>
      <c r="L326" s="507">
        <v>0.74419999999999997</v>
      </c>
      <c r="M326" s="507">
        <v>0.74419999999999997</v>
      </c>
    </row>
    <row r="327" spans="1:13">
      <c r="A327" s="504">
        <v>1.9</v>
      </c>
      <c r="B327" s="507">
        <v>0.91139999999999999</v>
      </c>
      <c r="C327" s="507">
        <v>0.91139999999999999</v>
      </c>
      <c r="D327" s="507">
        <v>0.90939999999999999</v>
      </c>
      <c r="E327" s="507">
        <v>0.90939999999999999</v>
      </c>
      <c r="F327" s="507">
        <v>0.90939999999999999</v>
      </c>
      <c r="G327" s="507">
        <v>0.82289999999999996</v>
      </c>
      <c r="H327" s="507">
        <v>0.82289999999999996</v>
      </c>
      <c r="I327" s="507">
        <v>0.72740000000000005</v>
      </c>
      <c r="J327" s="507">
        <v>0.72740000000000005</v>
      </c>
      <c r="K327" s="507">
        <v>0.72740000000000005</v>
      </c>
      <c r="L327" s="507">
        <v>0.72740000000000005</v>
      </c>
      <c r="M327" s="507">
        <v>0.72740000000000005</v>
      </c>
    </row>
    <row r="328" spans="1:13">
      <c r="A328" s="504">
        <v>2</v>
      </c>
      <c r="B328" s="507">
        <v>0.89270000000000005</v>
      </c>
      <c r="C328" s="507">
        <v>0.89270000000000005</v>
      </c>
      <c r="D328" s="507">
        <v>0.8901</v>
      </c>
      <c r="E328" s="507">
        <v>0.8901</v>
      </c>
      <c r="F328" s="507">
        <v>0.8901</v>
      </c>
      <c r="G328" s="507">
        <v>0.80530000000000002</v>
      </c>
      <c r="H328" s="507">
        <v>0.80530000000000002</v>
      </c>
      <c r="I328" s="507">
        <v>0.71160000000000001</v>
      </c>
      <c r="J328" s="507">
        <v>0.71160000000000001</v>
      </c>
      <c r="K328" s="507">
        <v>0.71160000000000001</v>
      </c>
      <c r="L328" s="507">
        <v>0.71160000000000001</v>
      </c>
      <c r="M328" s="507">
        <v>0.71160000000000001</v>
      </c>
    </row>
    <row r="329" spans="1:13">
      <c r="A329" s="508">
        <v>2.1</v>
      </c>
      <c r="B329" s="507">
        <v>0.87519999999999998</v>
      </c>
      <c r="C329" s="507">
        <v>0.87519999999999998</v>
      </c>
      <c r="D329" s="507">
        <v>0.872</v>
      </c>
      <c r="E329" s="507">
        <v>0.872</v>
      </c>
      <c r="F329" s="507">
        <v>0.872</v>
      </c>
      <c r="G329" s="507">
        <v>0.78869999999999996</v>
      </c>
      <c r="H329" s="507">
        <v>0.78869999999999996</v>
      </c>
      <c r="I329" s="507">
        <v>0.69669999999999999</v>
      </c>
      <c r="J329" s="507">
        <v>0.69669999999999999</v>
      </c>
      <c r="K329" s="507">
        <v>0.69669999999999999</v>
      </c>
      <c r="L329" s="507">
        <v>0.69669999999999999</v>
      </c>
      <c r="M329" s="507">
        <v>0.69669999999999999</v>
      </c>
    </row>
    <row r="330" spans="1:13">
      <c r="A330" s="508">
        <v>2.2000000000000002</v>
      </c>
      <c r="B330" s="507">
        <v>0.85880000000000001</v>
      </c>
      <c r="C330" s="507">
        <v>0.85880000000000001</v>
      </c>
      <c r="D330" s="507">
        <v>0.85499999999999998</v>
      </c>
      <c r="E330" s="507">
        <v>0.85499999999999998</v>
      </c>
      <c r="F330" s="507">
        <v>0.85499999999999998</v>
      </c>
      <c r="G330" s="507">
        <v>0.77300000000000002</v>
      </c>
      <c r="H330" s="507">
        <v>0.77300000000000002</v>
      </c>
      <c r="I330" s="507">
        <v>0.68269999999999997</v>
      </c>
      <c r="J330" s="507">
        <v>0.68269999999999997</v>
      </c>
      <c r="K330" s="507">
        <v>0.68269999999999997</v>
      </c>
      <c r="L330" s="507">
        <v>0.68269999999999997</v>
      </c>
      <c r="M330" s="507">
        <v>0.68269999999999997</v>
      </c>
    </row>
    <row r="331" spans="1:13">
      <c r="A331" s="508">
        <v>2.2999999999999998</v>
      </c>
      <c r="B331" s="507">
        <v>0.84360000000000002</v>
      </c>
      <c r="C331" s="507">
        <v>0.84360000000000002</v>
      </c>
      <c r="D331" s="507">
        <v>0.83899999999999997</v>
      </c>
      <c r="E331" s="507">
        <v>0.83899999999999997</v>
      </c>
      <c r="F331" s="507">
        <v>0.83899999999999997</v>
      </c>
      <c r="G331" s="507">
        <v>0.75839999999999996</v>
      </c>
      <c r="H331" s="507">
        <v>0.75839999999999996</v>
      </c>
      <c r="I331" s="507">
        <v>0.66949999999999998</v>
      </c>
      <c r="J331" s="507">
        <v>0.66949999999999998</v>
      </c>
      <c r="K331" s="507">
        <v>0.66949999999999998</v>
      </c>
      <c r="L331" s="507">
        <v>0.66949999999999998</v>
      </c>
      <c r="M331" s="507">
        <v>0.66949999999999998</v>
      </c>
    </row>
    <row r="332" spans="1:13">
      <c r="A332" s="508">
        <v>2.4</v>
      </c>
      <c r="B332" s="507">
        <v>0.82940000000000003</v>
      </c>
      <c r="C332" s="507">
        <v>0.82940000000000003</v>
      </c>
      <c r="D332" s="507">
        <v>0.82410000000000005</v>
      </c>
      <c r="E332" s="507">
        <v>0.82410000000000005</v>
      </c>
      <c r="F332" s="507">
        <v>0.82410000000000005</v>
      </c>
      <c r="G332" s="507">
        <v>0.74460000000000004</v>
      </c>
      <c r="H332" s="507">
        <v>0.74460000000000004</v>
      </c>
      <c r="I332" s="507">
        <v>0.65710000000000002</v>
      </c>
      <c r="J332" s="507">
        <v>0.65710000000000002</v>
      </c>
      <c r="K332" s="507">
        <v>0.65710000000000002</v>
      </c>
      <c r="L332" s="507">
        <v>0.65710000000000002</v>
      </c>
      <c r="M332" s="507">
        <v>0.65710000000000002</v>
      </c>
    </row>
    <row r="333" spans="1:13">
      <c r="A333" s="508">
        <v>2.5</v>
      </c>
      <c r="B333" s="507">
        <v>0.81620000000000004</v>
      </c>
      <c r="C333" s="507">
        <v>0.81620000000000004</v>
      </c>
      <c r="D333" s="507">
        <v>0.81020000000000003</v>
      </c>
      <c r="E333" s="507">
        <v>0.81020000000000003</v>
      </c>
      <c r="F333" s="507">
        <v>0.81020000000000003</v>
      </c>
      <c r="G333" s="507">
        <v>0.73180000000000001</v>
      </c>
      <c r="H333" s="507">
        <v>0.73180000000000001</v>
      </c>
      <c r="I333" s="507">
        <v>0.64549999999999996</v>
      </c>
      <c r="J333" s="507">
        <v>0.64549999999999996</v>
      </c>
      <c r="K333" s="507">
        <v>0.64549999999999996</v>
      </c>
      <c r="L333" s="507">
        <v>0.64549999999999996</v>
      </c>
      <c r="M333" s="507">
        <v>0.64549999999999996</v>
      </c>
    </row>
    <row r="334" spans="1:13">
      <c r="A334" s="508">
        <v>2.6</v>
      </c>
      <c r="B334" s="507">
        <v>0.80389999999999995</v>
      </c>
      <c r="C334" s="507">
        <v>0.80389999999999995</v>
      </c>
      <c r="D334" s="507">
        <v>0.79710000000000003</v>
      </c>
      <c r="E334" s="507">
        <v>0.79710000000000003</v>
      </c>
      <c r="F334" s="507">
        <v>0.79710000000000003</v>
      </c>
      <c r="G334" s="507">
        <v>0.71970000000000001</v>
      </c>
      <c r="H334" s="507">
        <v>0.71970000000000001</v>
      </c>
      <c r="I334" s="507">
        <v>0.63460000000000005</v>
      </c>
      <c r="J334" s="507">
        <v>0.63460000000000005</v>
      </c>
      <c r="K334" s="507">
        <v>0.63460000000000005</v>
      </c>
      <c r="L334" s="507">
        <v>0.63460000000000005</v>
      </c>
      <c r="M334" s="507">
        <v>0.63460000000000005</v>
      </c>
    </row>
    <row r="335" spans="1:13">
      <c r="A335" s="508">
        <v>2.7</v>
      </c>
      <c r="B335" s="507">
        <v>0.79249999999999998</v>
      </c>
      <c r="C335" s="507">
        <v>0.79249999999999998</v>
      </c>
      <c r="D335" s="507">
        <v>0.78490000000000004</v>
      </c>
      <c r="E335" s="507">
        <v>0.78490000000000004</v>
      </c>
      <c r="F335" s="507">
        <v>0.78490000000000004</v>
      </c>
      <c r="G335" s="507">
        <v>0.70840000000000003</v>
      </c>
      <c r="H335" s="507">
        <v>0.70840000000000003</v>
      </c>
      <c r="I335" s="507">
        <v>0.62439999999999996</v>
      </c>
      <c r="J335" s="507">
        <v>0.62439999999999996</v>
      </c>
      <c r="K335" s="507">
        <v>0.62439999999999996</v>
      </c>
      <c r="L335" s="507">
        <v>0.62439999999999996</v>
      </c>
      <c r="M335" s="507">
        <v>0.62439999999999996</v>
      </c>
    </row>
    <row r="336" spans="1:13">
      <c r="A336" s="508">
        <v>2.8</v>
      </c>
      <c r="B336" s="507">
        <v>0.78190000000000004</v>
      </c>
      <c r="C336" s="507">
        <v>0.78190000000000004</v>
      </c>
      <c r="D336" s="507">
        <v>0.77359999999999995</v>
      </c>
      <c r="E336" s="507">
        <v>0.77359999999999995</v>
      </c>
      <c r="F336" s="507">
        <v>0.77359999999999995</v>
      </c>
      <c r="G336" s="507">
        <v>0.69789999999999996</v>
      </c>
      <c r="H336" s="507">
        <v>0.69789999999999996</v>
      </c>
      <c r="I336" s="507">
        <v>0.61480000000000001</v>
      </c>
      <c r="J336" s="507">
        <v>0.61480000000000001</v>
      </c>
      <c r="K336" s="507">
        <v>0.61480000000000001</v>
      </c>
      <c r="L336" s="507">
        <v>0.61480000000000001</v>
      </c>
      <c r="M336" s="507">
        <v>0.61480000000000001</v>
      </c>
    </row>
    <row r="337" spans="1:13">
      <c r="A337" s="508">
        <v>2.9</v>
      </c>
      <c r="B337" s="507">
        <v>0.77210000000000001</v>
      </c>
      <c r="C337" s="507">
        <v>0.77210000000000001</v>
      </c>
      <c r="D337" s="507">
        <v>0.76300000000000001</v>
      </c>
      <c r="E337" s="507">
        <v>0.76300000000000001</v>
      </c>
      <c r="F337" s="507">
        <v>0.76300000000000001</v>
      </c>
      <c r="G337" s="507">
        <v>0.68799999999999994</v>
      </c>
      <c r="H337" s="507">
        <v>0.68799999999999994</v>
      </c>
      <c r="I337" s="507">
        <v>0.60589999999999999</v>
      </c>
      <c r="J337" s="507">
        <v>0.60589999999999999</v>
      </c>
      <c r="K337" s="507">
        <v>0.60589999999999999</v>
      </c>
      <c r="L337" s="507">
        <v>0.60589999999999999</v>
      </c>
      <c r="M337" s="507">
        <v>0.60589999999999999</v>
      </c>
    </row>
    <row r="338" spans="1:13">
      <c r="A338" s="508">
        <v>3</v>
      </c>
      <c r="B338" s="507">
        <v>0.7631</v>
      </c>
      <c r="C338" s="507">
        <v>0.7631</v>
      </c>
      <c r="D338" s="507">
        <v>0.75309999999999999</v>
      </c>
      <c r="E338" s="507">
        <v>0.75309999999999999</v>
      </c>
      <c r="F338" s="507">
        <v>0.75309999999999999</v>
      </c>
      <c r="G338" s="507">
        <v>0.67879999999999996</v>
      </c>
      <c r="H338" s="507">
        <v>0.67879999999999996</v>
      </c>
      <c r="I338" s="507">
        <v>0.59750000000000003</v>
      </c>
      <c r="J338" s="507">
        <v>0.59750000000000003</v>
      </c>
      <c r="K338" s="507">
        <v>0.59750000000000003</v>
      </c>
      <c r="L338" s="507">
        <v>0.59750000000000003</v>
      </c>
      <c r="M338" s="507">
        <v>0.59750000000000003</v>
      </c>
    </row>
    <row r="339" spans="1:13">
      <c r="A339" s="508">
        <v>3.1</v>
      </c>
      <c r="B339" s="507">
        <v>0.75470000000000004</v>
      </c>
      <c r="C339" s="507">
        <v>0.75470000000000004</v>
      </c>
      <c r="D339" s="507">
        <v>0.74399999999999999</v>
      </c>
      <c r="E339" s="507">
        <v>0.74399999999999999</v>
      </c>
      <c r="F339" s="507">
        <v>0.74399999999999999</v>
      </c>
      <c r="G339" s="507">
        <v>0.67020000000000002</v>
      </c>
      <c r="H339" s="507">
        <v>0.67020000000000002</v>
      </c>
      <c r="I339" s="507">
        <v>0.5897</v>
      </c>
      <c r="J339" s="507">
        <v>0.5897</v>
      </c>
      <c r="K339" s="507">
        <v>0.5897</v>
      </c>
      <c r="L339" s="507">
        <v>0.5897</v>
      </c>
      <c r="M339" s="507">
        <v>0.5897</v>
      </c>
    </row>
    <row r="340" spans="1:13">
      <c r="A340" s="508">
        <v>3.2</v>
      </c>
      <c r="B340" s="507">
        <v>0.747</v>
      </c>
      <c r="C340" s="507">
        <v>0.747</v>
      </c>
      <c r="D340" s="507">
        <v>0.73540000000000005</v>
      </c>
      <c r="E340" s="507">
        <v>0.73540000000000005</v>
      </c>
      <c r="F340" s="507">
        <v>0.73540000000000005</v>
      </c>
      <c r="G340" s="507">
        <v>0.66220000000000001</v>
      </c>
      <c r="H340" s="507">
        <v>0.66220000000000001</v>
      </c>
      <c r="I340" s="507">
        <v>0.58230000000000004</v>
      </c>
      <c r="J340" s="507">
        <v>0.58230000000000004</v>
      </c>
      <c r="K340" s="507">
        <v>0.58230000000000004</v>
      </c>
      <c r="L340" s="507">
        <v>0.58230000000000004</v>
      </c>
      <c r="M340" s="507">
        <v>0.58230000000000004</v>
      </c>
    </row>
    <row r="341" spans="1:13">
      <c r="A341" s="508">
        <v>3.3</v>
      </c>
      <c r="B341" s="507">
        <v>0.7399</v>
      </c>
      <c r="C341" s="507">
        <v>0.7399</v>
      </c>
      <c r="D341" s="507">
        <v>0.72750000000000004</v>
      </c>
      <c r="E341" s="507">
        <v>0.72750000000000004</v>
      </c>
      <c r="F341" s="507">
        <v>0.72750000000000004</v>
      </c>
      <c r="G341" s="507">
        <v>0.65480000000000005</v>
      </c>
      <c r="H341" s="507">
        <v>0.65480000000000005</v>
      </c>
      <c r="I341" s="507">
        <v>0.57540000000000002</v>
      </c>
      <c r="J341" s="507">
        <v>0.57540000000000002</v>
      </c>
      <c r="K341" s="507">
        <v>0.57540000000000002</v>
      </c>
      <c r="L341" s="507">
        <v>0.57540000000000002</v>
      </c>
      <c r="M341" s="507">
        <v>0.57540000000000002</v>
      </c>
    </row>
    <row r="342" spans="1:13">
      <c r="A342" s="508">
        <v>3.4</v>
      </c>
      <c r="B342" s="507">
        <v>0.73340000000000005</v>
      </c>
      <c r="C342" s="507">
        <v>0.73340000000000005</v>
      </c>
      <c r="D342" s="507">
        <v>0.72009999999999996</v>
      </c>
      <c r="E342" s="507">
        <v>0.72009999999999996</v>
      </c>
      <c r="F342" s="507">
        <v>0.72009999999999996</v>
      </c>
      <c r="G342" s="507">
        <v>0.64780000000000004</v>
      </c>
      <c r="H342" s="507">
        <v>0.64780000000000004</v>
      </c>
      <c r="I342" s="507">
        <v>0.56899999999999995</v>
      </c>
      <c r="J342" s="507">
        <v>0.56899999999999995</v>
      </c>
      <c r="K342" s="507">
        <v>0.56899999999999995</v>
      </c>
      <c r="L342" s="507">
        <v>0.56899999999999995</v>
      </c>
      <c r="M342" s="507">
        <v>0.56899999999999995</v>
      </c>
    </row>
    <row r="343" spans="1:13">
      <c r="A343" s="508">
        <v>3.5</v>
      </c>
      <c r="B343" s="507">
        <v>0.72740000000000005</v>
      </c>
      <c r="C343" s="507">
        <v>0.72740000000000005</v>
      </c>
      <c r="D343" s="507">
        <v>0.71330000000000005</v>
      </c>
      <c r="E343" s="507">
        <v>0.71330000000000005</v>
      </c>
      <c r="F343" s="507">
        <v>0.71330000000000005</v>
      </c>
      <c r="G343" s="507">
        <v>0.64129999999999998</v>
      </c>
      <c r="H343" s="507">
        <v>0.64129999999999998</v>
      </c>
      <c r="I343" s="507">
        <v>0.56310000000000004</v>
      </c>
      <c r="J343" s="507">
        <v>0.56310000000000004</v>
      </c>
      <c r="K343" s="507">
        <v>0.56310000000000004</v>
      </c>
      <c r="L343" s="507">
        <v>0.56310000000000004</v>
      </c>
      <c r="M343" s="507">
        <v>0.56310000000000004</v>
      </c>
    </row>
    <row r="344" spans="1:13">
      <c r="A344" s="508">
        <v>3.6</v>
      </c>
      <c r="B344" s="507">
        <v>0.72189999999999999</v>
      </c>
      <c r="C344" s="507">
        <v>0.72189999999999999</v>
      </c>
      <c r="D344" s="507">
        <v>0.70699999999999996</v>
      </c>
      <c r="E344" s="507">
        <v>0.70699999999999996</v>
      </c>
      <c r="F344" s="507">
        <v>0.70699999999999996</v>
      </c>
      <c r="G344" s="507">
        <v>0.63529999999999998</v>
      </c>
      <c r="H344" s="507">
        <v>0.63529999999999998</v>
      </c>
      <c r="I344" s="507">
        <v>0.5575</v>
      </c>
      <c r="J344" s="507">
        <v>0.5575</v>
      </c>
      <c r="K344" s="507">
        <v>0.5575</v>
      </c>
      <c r="L344" s="507">
        <v>0.5575</v>
      </c>
      <c r="M344" s="507">
        <v>0.5575</v>
      </c>
    </row>
    <row r="345" spans="1:13">
      <c r="A345" s="508">
        <v>3.7</v>
      </c>
      <c r="B345" s="507">
        <v>0.71679999999999999</v>
      </c>
      <c r="C345" s="507">
        <v>0.71679999999999999</v>
      </c>
      <c r="D345" s="507">
        <v>0.70109999999999995</v>
      </c>
      <c r="E345" s="507">
        <v>0.70109999999999995</v>
      </c>
      <c r="F345" s="507">
        <v>0.70109999999999995</v>
      </c>
      <c r="G345" s="507">
        <v>0.62970000000000004</v>
      </c>
      <c r="H345" s="507">
        <v>0.62970000000000004</v>
      </c>
      <c r="I345" s="507">
        <v>0.55230000000000001</v>
      </c>
      <c r="J345" s="507">
        <v>0.55230000000000001</v>
      </c>
      <c r="K345" s="507">
        <v>0.55230000000000001</v>
      </c>
      <c r="L345" s="507">
        <v>0.55230000000000001</v>
      </c>
      <c r="M345" s="507">
        <v>0.55230000000000001</v>
      </c>
    </row>
    <row r="346" spans="1:13">
      <c r="A346" s="508">
        <v>3.8</v>
      </c>
      <c r="B346" s="507">
        <v>0.71220000000000006</v>
      </c>
      <c r="C346" s="507">
        <v>0.71220000000000006</v>
      </c>
      <c r="D346" s="507">
        <v>0.6956</v>
      </c>
      <c r="E346" s="507">
        <v>0.6956</v>
      </c>
      <c r="F346" s="507">
        <v>0.6956</v>
      </c>
      <c r="G346" s="507">
        <v>0.62439999999999996</v>
      </c>
      <c r="H346" s="507">
        <v>0.62439999999999996</v>
      </c>
      <c r="I346" s="507">
        <v>0.5474</v>
      </c>
      <c r="J346" s="507">
        <v>0.5474</v>
      </c>
      <c r="K346" s="507">
        <v>0.5474</v>
      </c>
      <c r="L346" s="507">
        <v>0.5474</v>
      </c>
      <c r="M346" s="507">
        <v>0.5474</v>
      </c>
    </row>
    <row r="347" spans="1:13">
      <c r="A347" s="508">
        <v>3.9</v>
      </c>
      <c r="B347" s="507">
        <v>0.70799999999999996</v>
      </c>
      <c r="C347" s="507">
        <v>0.70799999999999996</v>
      </c>
      <c r="D347" s="507">
        <v>0.69059999999999999</v>
      </c>
      <c r="E347" s="507">
        <v>0.69059999999999999</v>
      </c>
      <c r="F347" s="507">
        <v>0.69059999999999999</v>
      </c>
      <c r="G347" s="507">
        <v>0.61950000000000005</v>
      </c>
      <c r="H347" s="507">
        <v>0.61950000000000005</v>
      </c>
      <c r="I347" s="507">
        <v>0.54279999999999995</v>
      </c>
      <c r="J347" s="507">
        <v>0.54279999999999995</v>
      </c>
      <c r="K347" s="507">
        <v>0.54279999999999995</v>
      </c>
      <c r="L347" s="507">
        <v>0.54279999999999995</v>
      </c>
      <c r="M347" s="507">
        <v>0.54279999999999995</v>
      </c>
    </row>
    <row r="348" spans="1:13">
      <c r="A348" s="508">
        <v>4</v>
      </c>
      <c r="B348" s="507">
        <v>0.70409999999999995</v>
      </c>
      <c r="C348" s="507">
        <v>0.70409999999999995</v>
      </c>
      <c r="D348" s="507">
        <v>0.68589999999999995</v>
      </c>
      <c r="E348" s="507">
        <v>0.68589999999999995</v>
      </c>
      <c r="F348" s="507">
        <v>0.68589999999999995</v>
      </c>
      <c r="G348" s="507">
        <v>0.61499999999999999</v>
      </c>
      <c r="H348" s="507">
        <v>0.61499999999999999</v>
      </c>
      <c r="I348" s="507">
        <v>0.53859999999999997</v>
      </c>
      <c r="J348" s="507">
        <v>0.53859999999999997</v>
      </c>
      <c r="K348" s="507">
        <v>0.53859999999999997</v>
      </c>
      <c r="L348" s="507">
        <v>0.53859999999999997</v>
      </c>
      <c r="M348" s="507">
        <v>0.53859999999999997</v>
      </c>
    </row>
    <row r="349" spans="1:13">
      <c r="A349" s="508">
        <v>4.0999999999999996</v>
      </c>
      <c r="B349" s="507">
        <v>0.7006</v>
      </c>
      <c r="C349" s="507">
        <v>0.7006</v>
      </c>
      <c r="D349" s="507">
        <v>0.68159999999999998</v>
      </c>
      <c r="E349" s="507">
        <v>0.68159999999999998</v>
      </c>
      <c r="F349" s="507">
        <v>0.68159999999999998</v>
      </c>
      <c r="G349" s="507">
        <v>0.61080000000000001</v>
      </c>
      <c r="H349" s="507">
        <v>0.61080000000000001</v>
      </c>
      <c r="I349" s="507">
        <v>0.53459999999999996</v>
      </c>
      <c r="J349" s="507">
        <v>0.53459999999999996</v>
      </c>
      <c r="K349" s="507">
        <v>0.53459999999999996</v>
      </c>
      <c r="L349" s="507">
        <v>0.53459999999999996</v>
      </c>
      <c r="M349" s="507">
        <v>0.53459999999999996</v>
      </c>
    </row>
    <row r="350" spans="1:13">
      <c r="A350" s="508">
        <v>4.2</v>
      </c>
      <c r="B350" s="507">
        <v>0.69740000000000002</v>
      </c>
      <c r="C350" s="507">
        <v>0.69740000000000002</v>
      </c>
      <c r="D350" s="507">
        <v>0.67759999999999998</v>
      </c>
      <c r="E350" s="507">
        <v>0.67759999999999998</v>
      </c>
      <c r="F350" s="507">
        <v>0.67759999999999998</v>
      </c>
      <c r="G350" s="507">
        <v>0.60699999999999998</v>
      </c>
      <c r="H350" s="507">
        <v>0.60699999999999998</v>
      </c>
      <c r="I350" s="507">
        <v>0.53090000000000004</v>
      </c>
      <c r="J350" s="507">
        <v>0.53090000000000004</v>
      </c>
      <c r="K350" s="507">
        <v>0.53090000000000004</v>
      </c>
      <c r="L350" s="507">
        <v>0.53090000000000004</v>
      </c>
      <c r="M350" s="507">
        <v>0.53090000000000004</v>
      </c>
    </row>
    <row r="351" spans="1:13">
      <c r="A351" s="508">
        <v>4.3</v>
      </c>
      <c r="B351" s="507">
        <v>0.69450000000000001</v>
      </c>
      <c r="C351" s="507">
        <v>0.69450000000000001</v>
      </c>
      <c r="D351" s="507">
        <v>0.67390000000000005</v>
      </c>
      <c r="E351" s="507">
        <v>0.67390000000000005</v>
      </c>
      <c r="F351" s="507">
        <v>0.67390000000000005</v>
      </c>
      <c r="G351" s="507">
        <v>0.60329999999999995</v>
      </c>
      <c r="H351" s="507">
        <v>0.60329999999999995</v>
      </c>
      <c r="I351" s="507">
        <v>0.52739999999999998</v>
      </c>
      <c r="J351" s="507">
        <v>0.52739999999999998</v>
      </c>
      <c r="K351" s="507">
        <v>0.52739999999999998</v>
      </c>
      <c r="L351" s="507">
        <v>0.52739999999999998</v>
      </c>
      <c r="M351" s="507">
        <v>0.52739999999999998</v>
      </c>
    </row>
    <row r="352" spans="1:13">
      <c r="A352" s="508">
        <v>4.4000000000000004</v>
      </c>
      <c r="B352" s="507">
        <v>0.69179999999999997</v>
      </c>
      <c r="C352" s="507">
        <v>0.69179999999999997</v>
      </c>
      <c r="D352" s="507">
        <v>0.67049999999999998</v>
      </c>
      <c r="E352" s="507">
        <v>0.67049999999999998</v>
      </c>
      <c r="F352" s="507">
        <v>0.67049999999999998</v>
      </c>
      <c r="G352" s="507">
        <v>0.59989999999999999</v>
      </c>
      <c r="H352" s="507">
        <v>0.59989999999999999</v>
      </c>
      <c r="I352" s="507">
        <v>0.5242</v>
      </c>
      <c r="J352" s="507">
        <v>0.5242</v>
      </c>
      <c r="K352" s="507">
        <v>0.5242</v>
      </c>
      <c r="L352" s="507">
        <v>0.5242</v>
      </c>
      <c r="M352" s="507">
        <v>0.5242</v>
      </c>
    </row>
    <row r="353" spans="1:13">
      <c r="A353" s="508">
        <v>4.5</v>
      </c>
      <c r="B353" s="507">
        <v>0.68940000000000001</v>
      </c>
      <c r="C353" s="507">
        <v>0.68940000000000001</v>
      </c>
      <c r="D353" s="507">
        <v>0.6673</v>
      </c>
      <c r="E353" s="507">
        <v>0.6673</v>
      </c>
      <c r="F353" s="507">
        <v>0.6673</v>
      </c>
      <c r="G353" s="507">
        <v>0.59670000000000001</v>
      </c>
      <c r="H353" s="507">
        <v>0.59670000000000001</v>
      </c>
      <c r="I353" s="507">
        <v>0.52110000000000001</v>
      </c>
      <c r="J353" s="507">
        <v>0.52110000000000001</v>
      </c>
      <c r="K353" s="507">
        <v>0.52110000000000001</v>
      </c>
      <c r="L353" s="507">
        <v>0.52110000000000001</v>
      </c>
      <c r="M353" s="507">
        <v>0.52110000000000001</v>
      </c>
    </row>
    <row r="354" spans="1:13">
      <c r="A354" s="508">
        <v>4.5999999999999996</v>
      </c>
      <c r="B354" s="507">
        <v>0.68720000000000003</v>
      </c>
      <c r="C354" s="507">
        <v>0.68720000000000003</v>
      </c>
      <c r="D354" s="507">
        <v>0.6643</v>
      </c>
      <c r="E354" s="507">
        <v>0.6643</v>
      </c>
      <c r="F354" s="507">
        <v>0.6643</v>
      </c>
      <c r="G354" s="507">
        <v>0.59379999999999999</v>
      </c>
      <c r="H354" s="507">
        <v>0.59379999999999999</v>
      </c>
      <c r="I354" s="507">
        <v>0.51819999999999999</v>
      </c>
      <c r="J354" s="507">
        <v>0.51819999999999999</v>
      </c>
      <c r="K354" s="507">
        <v>0.51819999999999999</v>
      </c>
      <c r="L354" s="507">
        <v>0.51819999999999999</v>
      </c>
      <c r="M354" s="507">
        <v>0.51819999999999999</v>
      </c>
    </row>
    <row r="355" spans="1:13">
      <c r="A355" s="508">
        <v>4.7</v>
      </c>
      <c r="B355" s="507">
        <v>0.68520000000000003</v>
      </c>
      <c r="C355" s="507">
        <v>0.68520000000000003</v>
      </c>
      <c r="D355" s="507">
        <v>0.66149999999999998</v>
      </c>
      <c r="E355" s="507">
        <v>0.66149999999999998</v>
      </c>
      <c r="F355" s="507">
        <v>0.66149999999999998</v>
      </c>
      <c r="G355" s="507">
        <v>0.59109999999999996</v>
      </c>
      <c r="H355" s="507">
        <v>0.59109999999999996</v>
      </c>
      <c r="I355" s="507">
        <v>0.51559999999999995</v>
      </c>
      <c r="J355" s="507">
        <v>0.51559999999999995</v>
      </c>
      <c r="K355" s="507">
        <v>0.51559999999999995</v>
      </c>
      <c r="L355" s="507">
        <v>0.51559999999999995</v>
      </c>
      <c r="M355" s="507">
        <v>0.51559999999999995</v>
      </c>
    </row>
    <row r="356" spans="1:13">
      <c r="A356" s="508">
        <v>4.8</v>
      </c>
      <c r="B356" s="507">
        <v>0.68340000000000001</v>
      </c>
      <c r="C356" s="507">
        <v>0.68340000000000001</v>
      </c>
      <c r="D356" s="507">
        <v>0.65900000000000003</v>
      </c>
      <c r="E356" s="507">
        <v>0.65900000000000003</v>
      </c>
      <c r="F356" s="507">
        <v>0.65900000000000003</v>
      </c>
      <c r="G356" s="507">
        <v>0.58850000000000002</v>
      </c>
      <c r="H356" s="507">
        <v>0.58850000000000002</v>
      </c>
      <c r="I356" s="507">
        <v>0.51300000000000001</v>
      </c>
      <c r="J356" s="507">
        <v>0.51300000000000001</v>
      </c>
      <c r="K356" s="507">
        <v>0.51300000000000001</v>
      </c>
      <c r="L356" s="507">
        <v>0.51300000000000001</v>
      </c>
      <c r="M356" s="507">
        <v>0.51300000000000001</v>
      </c>
    </row>
    <row r="357" spans="1:13">
      <c r="A357" s="508">
        <v>4.9000000000000004</v>
      </c>
      <c r="B357" s="507">
        <v>0.68179999999999996</v>
      </c>
      <c r="C357" s="507">
        <v>0.68179999999999996</v>
      </c>
      <c r="D357" s="507">
        <v>0.65659999999999996</v>
      </c>
      <c r="E357" s="507">
        <v>0.65659999999999996</v>
      </c>
      <c r="F357" s="507">
        <v>0.65659999999999996</v>
      </c>
      <c r="G357" s="507">
        <v>0.58599999999999997</v>
      </c>
      <c r="H357" s="507">
        <v>0.58599999999999997</v>
      </c>
      <c r="I357" s="507">
        <v>0.51060000000000005</v>
      </c>
      <c r="J357" s="507">
        <v>0.51060000000000005</v>
      </c>
      <c r="K357" s="507">
        <v>0.51060000000000005</v>
      </c>
      <c r="L357" s="507">
        <v>0.51060000000000005</v>
      </c>
      <c r="M357" s="507">
        <v>0.51060000000000005</v>
      </c>
    </row>
    <row r="358" spans="1:13">
      <c r="A358" s="508">
        <v>5</v>
      </c>
      <c r="B358" s="507">
        <v>0.68030000000000002</v>
      </c>
      <c r="C358" s="507">
        <v>0.68030000000000002</v>
      </c>
      <c r="D358" s="507">
        <v>0.65439999999999998</v>
      </c>
      <c r="E358" s="507">
        <v>0.65439999999999998</v>
      </c>
      <c r="F358" s="507">
        <v>0.65439999999999998</v>
      </c>
      <c r="G358" s="507">
        <v>0.58379999999999999</v>
      </c>
      <c r="H358" s="507">
        <v>0.58379999999999999</v>
      </c>
      <c r="I358" s="507">
        <v>0.50839999999999996</v>
      </c>
      <c r="J358" s="507">
        <v>0.50839999999999996</v>
      </c>
      <c r="K358" s="507">
        <v>0.50839999999999996</v>
      </c>
      <c r="L358" s="507">
        <v>0.50839999999999996</v>
      </c>
      <c r="M358" s="507">
        <v>0.50839999999999996</v>
      </c>
    </row>
    <row r="359" spans="1:13">
      <c r="A359" s="504">
        <v>5.0999999999999996</v>
      </c>
      <c r="B359" s="507">
        <v>0.67889999999999995</v>
      </c>
      <c r="C359" s="507">
        <v>0.67889999999999995</v>
      </c>
      <c r="D359" s="507">
        <v>0.65229999999999999</v>
      </c>
      <c r="E359" s="507">
        <v>0.65229999999999999</v>
      </c>
      <c r="F359" s="507">
        <v>0.65229999999999999</v>
      </c>
      <c r="G359" s="507">
        <v>0.58160000000000001</v>
      </c>
      <c r="H359" s="507">
        <v>0.58160000000000001</v>
      </c>
      <c r="I359" s="507">
        <v>0.50629999999999997</v>
      </c>
      <c r="J359" s="507">
        <v>0.50629999999999997</v>
      </c>
      <c r="K359" s="507">
        <v>0.50629999999999997</v>
      </c>
      <c r="L359" s="507">
        <v>0.50629999999999997</v>
      </c>
      <c r="M359" s="507">
        <v>0.50629999999999997</v>
      </c>
    </row>
    <row r="360" spans="1:13">
      <c r="A360" s="504">
        <v>5.2</v>
      </c>
      <c r="B360" s="507">
        <v>0.67749999999999999</v>
      </c>
      <c r="C360" s="507">
        <v>0.67749999999999999</v>
      </c>
      <c r="D360" s="507">
        <v>0.65029999999999999</v>
      </c>
      <c r="E360" s="507">
        <v>0.65029999999999999</v>
      </c>
      <c r="F360" s="507">
        <v>0.65029999999999999</v>
      </c>
      <c r="G360" s="507">
        <v>0.57950000000000002</v>
      </c>
      <c r="H360" s="507">
        <v>0.57950000000000002</v>
      </c>
      <c r="I360" s="507">
        <v>0.50419999999999998</v>
      </c>
      <c r="J360" s="507">
        <v>0.50419999999999998</v>
      </c>
      <c r="K360" s="507">
        <v>0.50419999999999998</v>
      </c>
      <c r="L360" s="507">
        <v>0.50419999999999998</v>
      </c>
      <c r="M360" s="507">
        <v>0.50419999999999998</v>
      </c>
    </row>
    <row r="361" spans="1:13">
      <c r="A361" s="504">
        <v>5.3</v>
      </c>
      <c r="B361" s="507">
        <v>0.67620000000000002</v>
      </c>
      <c r="C361" s="507">
        <v>0.67620000000000002</v>
      </c>
      <c r="D361" s="507">
        <v>0.64839999999999998</v>
      </c>
      <c r="E361" s="507">
        <v>0.64839999999999998</v>
      </c>
      <c r="F361" s="507">
        <v>0.64839999999999998</v>
      </c>
      <c r="G361" s="507">
        <v>0.5776</v>
      </c>
      <c r="H361" s="507">
        <v>0.5776</v>
      </c>
      <c r="I361" s="507">
        <v>0.50229999999999997</v>
      </c>
      <c r="J361" s="507">
        <v>0.50229999999999997</v>
      </c>
      <c r="K361" s="507">
        <v>0.50229999999999997</v>
      </c>
      <c r="L361" s="507">
        <v>0.50229999999999997</v>
      </c>
      <c r="M361" s="507">
        <v>0.50229999999999997</v>
      </c>
    </row>
    <row r="362" spans="1:13">
      <c r="A362" s="504">
        <v>5.4</v>
      </c>
      <c r="B362" s="507">
        <v>0.67500000000000004</v>
      </c>
      <c r="C362" s="507">
        <v>0.67500000000000004</v>
      </c>
      <c r="D362" s="507">
        <v>0.64670000000000005</v>
      </c>
      <c r="E362" s="507">
        <v>0.64670000000000005</v>
      </c>
      <c r="F362" s="507">
        <v>0.64670000000000005</v>
      </c>
      <c r="G362" s="507">
        <v>0.57579999999999998</v>
      </c>
      <c r="H362" s="507">
        <v>0.57579999999999998</v>
      </c>
      <c r="I362" s="507">
        <v>0.50039999999999996</v>
      </c>
      <c r="J362" s="507">
        <v>0.50039999999999996</v>
      </c>
      <c r="K362" s="507">
        <v>0.50039999999999996</v>
      </c>
      <c r="L362" s="507">
        <v>0.50039999999999996</v>
      </c>
      <c r="M362" s="507">
        <v>0.50039999999999996</v>
      </c>
    </row>
    <row r="363" spans="1:13">
      <c r="A363" s="504">
        <v>5.5</v>
      </c>
      <c r="B363" s="507">
        <v>0.67379999999999995</v>
      </c>
      <c r="C363" s="507">
        <v>0.67379999999999995</v>
      </c>
      <c r="D363" s="507">
        <v>0.64500000000000002</v>
      </c>
      <c r="E363" s="507">
        <v>0.64500000000000002</v>
      </c>
      <c r="F363" s="507">
        <v>0.64500000000000002</v>
      </c>
      <c r="G363" s="507">
        <v>0.57399999999999995</v>
      </c>
      <c r="H363" s="507">
        <v>0.57399999999999995</v>
      </c>
      <c r="I363" s="507">
        <v>0.49869999999999998</v>
      </c>
      <c r="J363" s="507">
        <v>0.49869999999999998</v>
      </c>
      <c r="K363" s="507">
        <v>0.49869999999999998</v>
      </c>
      <c r="L363" s="507">
        <v>0.49869999999999998</v>
      </c>
      <c r="M363" s="507">
        <v>0.49869999999999998</v>
      </c>
    </row>
    <row r="364" spans="1:13">
      <c r="A364" s="504">
        <v>5.6</v>
      </c>
      <c r="B364" s="507">
        <v>0.67259999999999998</v>
      </c>
      <c r="C364" s="507">
        <v>0.67259999999999998</v>
      </c>
      <c r="D364" s="507">
        <v>0.64339999999999997</v>
      </c>
      <c r="E364" s="507">
        <v>0.64339999999999997</v>
      </c>
      <c r="F364" s="507">
        <v>0.64339999999999997</v>
      </c>
      <c r="G364" s="507">
        <v>0.57240000000000002</v>
      </c>
      <c r="H364" s="507">
        <v>0.57240000000000002</v>
      </c>
      <c r="I364" s="507">
        <v>0.49690000000000001</v>
      </c>
      <c r="J364" s="507">
        <v>0.49690000000000001</v>
      </c>
      <c r="K364" s="507">
        <v>0.49690000000000001</v>
      </c>
      <c r="L364" s="507">
        <v>0.49690000000000001</v>
      </c>
      <c r="M364" s="507">
        <v>0.49690000000000001</v>
      </c>
    </row>
    <row r="365" spans="1:13">
      <c r="A365" s="508">
        <v>5.7</v>
      </c>
      <c r="B365" s="507">
        <v>0.6714</v>
      </c>
      <c r="C365" s="507">
        <v>0.6714</v>
      </c>
      <c r="D365" s="507">
        <v>0.64190000000000003</v>
      </c>
      <c r="E365" s="507">
        <v>0.64190000000000003</v>
      </c>
      <c r="F365" s="507">
        <v>0.64190000000000003</v>
      </c>
      <c r="G365" s="507">
        <v>0.57069999999999999</v>
      </c>
      <c r="H365" s="507">
        <v>0.57069999999999999</v>
      </c>
      <c r="I365" s="507">
        <v>0.49519999999999997</v>
      </c>
      <c r="J365" s="507">
        <v>0.49519999999999997</v>
      </c>
      <c r="K365" s="507">
        <v>0.49519999999999997</v>
      </c>
      <c r="L365" s="507">
        <v>0.49519999999999997</v>
      </c>
      <c r="M365" s="507">
        <v>0.49519999999999997</v>
      </c>
    </row>
    <row r="366" spans="1:13">
      <c r="A366" s="504">
        <v>5.8</v>
      </c>
      <c r="B366" s="507">
        <v>0.67020000000000002</v>
      </c>
      <c r="C366" s="507">
        <v>0.67020000000000002</v>
      </c>
      <c r="D366" s="507">
        <v>0.64039999999999997</v>
      </c>
      <c r="E366" s="507">
        <v>0.64039999999999997</v>
      </c>
      <c r="F366" s="507">
        <v>0.64039999999999997</v>
      </c>
      <c r="G366" s="507">
        <v>0.56910000000000005</v>
      </c>
      <c r="H366" s="507">
        <v>0.56910000000000005</v>
      </c>
      <c r="I366" s="507">
        <v>0.49359999999999998</v>
      </c>
      <c r="J366" s="507">
        <v>0.49359999999999998</v>
      </c>
      <c r="K366" s="507">
        <v>0.49359999999999998</v>
      </c>
      <c r="L366" s="507">
        <v>0.49359999999999998</v>
      </c>
      <c r="M366" s="507">
        <v>0.49359999999999998</v>
      </c>
    </row>
    <row r="367" spans="1:13">
      <c r="A367" s="504">
        <v>5.9</v>
      </c>
      <c r="B367" s="507">
        <v>0.66910000000000003</v>
      </c>
      <c r="C367" s="507">
        <v>0.66910000000000003</v>
      </c>
      <c r="D367" s="507">
        <v>0.63890000000000002</v>
      </c>
      <c r="E367" s="507">
        <v>0.63890000000000002</v>
      </c>
      <c r="F367" s="507">
        <v>0.63890000000000002</v>
      </c>
      <c r="G367" s="507">
        <v>0.5675</v>
      </c>
      <c r="H367" s="507">
        <v>0.5675</v>
      </c>
      <c r="I367" s="507">
        <v>0.4919</v>
      </c>
      <c r="J367" s="507">
        <v>0.4919</v>
      </c>
      <c r="K367" s="507">
        <v>0.4919</v>
      </c>
      <c r="L367" s="507">
        <v>0.4919</v>
      </c>
      <c r="M367" s="507">
        <v>0.4919</v>
      </c>
    </row>
    <row r="368" spans="1:13">
      <c r="A368" s="504">
        <v>6</v>
      </c>
      <c r="B368" s="507">
        <v>0.66800000000000004</v>
      </c>
      <c r="C368" s="507">
        <v>0.66800000000000004</v>
      </c>
      <c r="D368" s="507">
        <v>0.63739999999999997</v>
      </c>
      <c r="E368" s="507">
        <v>0.63739999999999997</v>
      </c>
      <c r="F368" s="507">
        <v>0.63739999999999997</v>
      </c>
      <c r="G368" s="507">
        <v>0.56589999999999996</v>
      </c>
      <c r="H368" s="507">
        <v>0.56589999999999996</v>
      </c>
      <c r="I368" s="507">
        <v>0.49020000000000002</v>
      </c>
      <c r="J368" s="507">
        <v>0.49020000000000002</v>
      </c>
      <c r="K368" s="507">
        <v>0.49020000000000002</v>
      </c>
      <c r="L368" s="507">
        <v>0.49020000000000002</v>
      </c>
      <c r="M368" s="507">
        <v>0.49020000000000002</v>
      </c>
    </row>
    <row r="369" spans="1:13">
      <c r="A369" s="504">
        <v>6.1</v>
      </c>
      <c r="B369" s="507">
        <v>0.66690000000000005</v>
      </c>
      <c r="C369" s="507">
        <v>0.66690000000000005</v>
      </c>
      <c r="D369" s="507">
        <v>0.63590000000000002</v>
      </c>
      <c r="E369" s="507">
        <v>0.63590000000000002</v>
      </c>
      <c r="F369" s="507">
        <v>0.63590000000000002</v>
      </c>
      <c r="G369" s="507">
        <v>0.56440000000000001</v>
      </c>
      <c r="H369" s="507">
        <v>0.56440000000000001</v>
      </c>
      <c r="I369" s="507">
        <v>0.48849999999999999</v>
      </c>
      <c r="J369" s="507">
        <v>0.48849999999999999</v>
      </c>
      <c r="K369" s="507">
        <v>0.48849999999999999</v>
      </c>
      <c r="L369" s="507">
        <v>0.48849999999999999</v>
      </c>
      <c r="M369" s="507">
        <v>0.48849999999999999</v>
      </c>
    </row>
    <row r="370" spans="1:13">
      <c r="A370" s="504">
        <v>6.2</v>
      </c>
      <c r="B370" s="507">
        <v>0.66579999999999995</v>
      </c>
      <c r="C370" s="507">
        <v>0.66579999999999995</v>
      </c>
      <c r="D370" s="507">
        <v>0.63439999999999996</v>
      </c>
      <c r="E370" s="507">
        <v>0.63439999999999996</v>
      </c>
      <c r="F370" s="507">
        <v>0.63439999999999996</v>
      </c>
      <c r="G370" s="507">
        <v>0.56289999999999996</v>
      </c>
      <c r="H370" s="507">
        <v>0.56289999999999996</v>
      </c>
      <c r="I370" s="507">
        <v>0.48680000000000001</v>
      </c>
      <c r="J370" s="507">
        <v>0.48680000000000001</v>
      </c>
      <c r="K370" s="507">
        <v>0.48680000000000001</v>
      </c>
      <c r="L370" s="507">
        <v>0.48680000000000001</v>
      </c>
      <c r="M370" s="507">
        <v>0.48680000000000001</v>
      </c>
    </row>
    <row r="371" spans="1:13">
      <c r="A371" s="504">
        <v>6.3</v>
      </c>
      <c r="B371" s="507">
        <v>0.66469999999999996</v>
      </c>
      <c r="C371" s="507">
        <v>0.66469999999999996</v>
      </c>
      <c r="D371" s="507">
        <v>0.63290000000000002</v>
      </c>
      <c r="E371" s="507">
        <v>0.63290000000000002</v>
      </c>
      <c r="F371" s="507">
        <v>0.63290000000000002</v>
      </c>
      <c r="G371" s="507">
        <v>0.56130000000000002</v>
      </c>
      <c r="H371" s="507">
        <v>0.56130000000000002</v>
      </c>
      <c r="I371" s="507">
        <v>0.48509999999999998</v>
      </c>
      <c r="J371" s="507">
        <v>0.48509999999999998</v>
      </c>
      <c r="K371" s="507">
        <v>0.48509999999999998</v>
      </c>
      <c r="L371" s="507">
        <v>0.48509999999999998</v>
      </c>
      <c r="M371" s="507">
        <v>0.48509999999999998</v>
      </c>
    </row>
    <row r="372" spans="1:13">
      <c r="A372" s="504">
        <v>6.4</v>
      </c>
      <c r="B372" s="507">
        <v>0.66359999999999997</v>
      </c>
      <c r="C372" s="507">
        <v>0.66359999999999997</v>
      </c>
      <c r="D372" s="507">
        <v>0.63139999999999996</v>
      </c>
      <c r="E372" s="507">
        <v>0.63139999999999996</v>
      </c>
      <c r="F372" s="507">
        <v>0.63139999999999996</v>
      </c>
      <c r="G372" s="507">
        <v>0.55979999999999996</v>
      </c>
      <c r="H372" s="507">
        <v>0.55979999999999996</v>
      </c>
      <c r="I372" s="507">
        <v>0.48349999999999999</v>
      </c>
      <c r="J372" s="507">
        <v>0.48349999999999999</v>
      </c>
      <c r="K372" s="507">
        <v>0.48349999999999999</v>
      </c>
      <c r="L372" s="507">
        <v>0.48349999999999999</v>
      </c>
      <c r="M372" s="507">
        <v>0.48349999999999999</v>
      </c>
    </row>
    <row r="373" spans="1:13">
      <c r="A373" s="504">
        <v>6.5</v>
      </c>
      <c r="B373" s="507">
        <v>0.66249999999999998</v>
      </c>
      <c r="C373" s="507">
        <v>0.66249999999999998</v>
      </c>
      <c r="D373" s="507">
        <v>0.63</v>
      </c>
      <c r="E373" s="507">
        <v>0.63</v>
      </c>
      <c r="F373" s="507">
        <v>0.63</v>
      </c>
      <c r="G373" s="507">
        <v>0.55820000000000003</v>
      </c>
      <c r="H373" s="507">
        <v>0.55820000000000003</v>
      </c>
      <c r="I373" s="507">
        <v>0.4819</v>
      </c>
      <c r="J373" s="507">
        <v>0.4819</v>
      </c>
      <c r="K373" s="507">
        <v>0.4819</v>
      </c>
      <c r="L373" s="507">
        <v>0.4819</v>
      </c>
      <c r="M373" s="507">
        <v>0.4819</v>
      </c>
    </row>
    <row r="374" spans="1:13">
      <c r="A374" s="504">
        <v>6.6</v>
      </c>
      <c r="B374" s="507">
        <v>0.66149999999999998</v>
      </c>
      <c r="C374" s="507">
        <v>0.66149999999999998</v>
      </c>
      <c r="D374" s="507">
        <v>0.62860000000000005</v>
      </c>
      <c r="E374" s="507">
        <v>0.62860000000000005</v>
      </c>
      <c r="F374" s="507">
        <v>0.62860000000000005</v>
      </c>
      <c r="G374" s="507">
        <v>0.55669999999999997</v>
      </c>
      <c r="H374" s="507">
        <v>0.55669999999999997</v>
      </c>
      <c r="I374" s="507">
        <v>0.4803</v>
      </c>
      <c r="J374" s="507">
        <v>0.4803</v>
      </c>
      <c r="K374" s="507">
        <v>0.4803</v>
      </c>
      <c r="L374" s="507">
        <v>0.4803</v>
      </c>
      <c r="M374" s="507">
        <v>0.4803</v>
      </c>
    </row>
    <row r="375" spans="1:13">
      <c r="A375" s="504">
        <v>6.7</v>
      </c>
      <c r="B375" s="507">
        <v>0.66049999999999998</v>
      </c>
      <c r="C375" s="507">
        <v>0.66049999999999998</v>
      </c>
      <c r="D375" s="507">
        <v>0.62719999999999998</v>
      </c>
      <c r="E375" s="507">
        <v>0.62719999999999998</v>
      </c>
      <c r="F375" s="507">
        <v>0.62719999999999998</v>
      </c>
      <c r="G375" s="507">
        <v>0.55520000000000003</v>
      </c>
      <c r="H375" s="507">
        <v>0.55520000000000003</v>
      </c>
      <c r="I375" s="507">
        <v>0.47870000000000001</v>
      </c>
      <c r="J375" s="507">
        <v>0.47870000000000001</v>
      </c>
      <c r="K375" s="507">
        <v>0.47870000000000001</v>
      </c>
      <c r="L375" s="507">
        <v>0.47870000000000001</v>
      </c>
      <c r="M375" s="507">
        <v>0.47870000000000001</v>
      </c>
    </row>
    <row r="376" spans="1:13">
      <c r="A376" s="504">
        <v>6.8</v>
      </c>
      <c r="B376" s="507">
        <v>0.65949999999999998</v>
      </c>
      <c r="C376" s="507">
        <v>0.65949999999999998</v>
      </c>
      <c r="D376" s="507">
        <v>0.62580000000000002</v>
      </c>
      <c r="E376" s="507">
        <v>0.62580000000000002</v>
      </c>
      <c r="F376" s="507">
        <v>0.62580000000000002</v>
      </c>
      <c r="G376" s="507">
        <v>0.55359999999999998</v>
      </c>
      <c r="H376" s="507">
        <v>0.55359999999999998</v>
      </c>
      <c r="I376" s="507">
        <v>0.47710000000000002</v>
      </c>
      <c r="J376" s="507">
        <v>0.47710000000000002</v>
      </c>
      <c r="K376" s="507">
        <v>0.47710000000000002</v>
      </c>
      <c r="L376" s="507">
        <v>0.47710000000000002</v>
      </c>
      <c r="M376" s="507">
        <v>0.47710000000000002</v>
      </c>
    </row>
    <row r="377" spans="1:13">
      <c r="A377" s="504">
        <v>6.9</v>
      </c>
      <c r="B377" s="507">
        <v>0.65849999999999997</v>
      </c>
      <c r="C377" s="507">
        <v>0.65849999999999997</v>
      </c>
      <c r="D377" s="507">
        <v>0.62439999999999996</v>
      </c>
      <c r="E377" s="507">
        <v>0.62439999999999996</v>
      </c>
      <c r="F377" s="507">
        <v>0.62439999999999996</v>
      </c>
      <c r="G377" s="507">
        <v>0.55220000000000002</v>
      </c>
      <c r="H377" s="507">
        <v>0.55220000000000002</v>
      </c>
      <c r="I377" s="507">
        <v>0.47549999999999998</v>
      </c>
      <c r="J377" s="507">
        <v>0.47549999999999998</v>
      </c>
      <c r="K377" s="507">
        <v>0.47549999999999998</v>
      </c>
      <c r="L377" s="507">
        <v>0.47549999999999998</v>
      </c>
      <c r="M377" s="507">
        <v>0.47549999999999998</v>
      </c>
    </row>
    <row r="378" spans="1:13">
      <c r="A378" s="504">
        <v>7</v>
      </c>
      <c r="B378" s="507">
        <v>0.65749999999999997</v>
      </c>
      <c r="C378" s="507">
        <v>0.65749999999999997</v>
      </c>
      <c r="D378" s="507">
        <v>0.623</v>
      </c>
      <c r="E378" s="507">
        <v>0.623</v>
      </c>
      <c r="F378" s="507">
        <v>0.623</v>
      </c>
      <c r="G378" s="507">
        <v>0.55069999999999997</v>
      </c>
      <c r="H378" s="507">
        <v>0.55069999999999997</v>
      </c>
      <c r="I378" s="507">
        <v>0.47389999999999999</v>
      </c>
      <c r="J378" s="507">
        <v>0.47389999999999999</v>
      </c>
      <c r="K378" s="507">
        <v>0.47389999999999999</v>
      </c>
      <c r="L378" s="507">
        <v>0.47389999999999999</v>
      </c>
      <c r="M378" s="507">
        <v>0.47389999999999999</v>
      </c>
    </row>
    <row r="379" spans="1:13">
      <c r="A379" s="504">
        <v>7.1</v>
      </c>
      <c r="B379" s="507">
        <v>0.65649999999999997</v>
      </c>
      <c r="C379" s="507">
        <v>0.65649999999999997</v>
      </c>
      <c r="D379" s="507">
        <v>0.62160000000000004</v>
      </c>
      <c r="E379" s="507">
        <v>0.62160000000000004</v>
      </c>
      <c r="F379" s="507">
        <v>0.62160000000000004</v>
      </c>
      <c r="G379" s="507">
        <v>0.54930000000000001</v>
      </c>
      <c r="H379" s="507">
        <v>0.54930000000000001</v>
      </c>
      <c r="I379" s="507">
        <v>0.47239999999999999</v>
      </c>
      <c r="J379" s="507">
        <v>0.47239999999999999</v>
      </c>
      <c r="K379" s="507">
        <v>0.47239999999999999</v>
      </c>
      <c r="L379" s="507">
        <v>0.47239999999999999</v>
      </c>
      <c r="M379" s="507">
        <v>0.47239999999999999</v>
      </c>
    </row>
    <row r="380" spans="1:13">
      <c r="A380" s="504">
        <v>7.2</v>
      </c>
      <c r="B380" s="507">
        <v>0.65549999999999997</v>
      </c>
      <c r="C380" s="507">
        <v>0.65549999999999997</v>
      </c>
      <c r="D380" s="507">
        <v>0.62019999999999997</v>
      </c>
      <c r="E380" s="507">
        <v>0.62019999999999997</v>
      </c>
      <c r="F380" s="507">
        <v>0.62019999999999997</v>
      </c>
      <c r="G380" s="507">
        <v>0.54779999999999995</v>
      </c>
      <c r="H380" s="507">
        <v>0.54779999999999995</v>
      </c>
      <c r="I380" s="507">
        <v>0.47089999999999999</v>
      </c>
      <c r="J380" s="507">
        <v>0.47089999999999999</v>
      </c>
      <c r="K380" s="507">
        <v>0.47089999999999999</v>
      </c>
      <c r="L380" s="507">
        <v>0.47089999999999999</v>
      </c>
      <c r="M380" s="507">
        <v>0.47089999999999999</v>
      </c>
    </row>
    <row r="381" spans="1:13">
      <c r="A381" s="504">
        <v>7.3</v>
      </c>
      <c r="B381" s="507">
        <v>0.65449999999999997</v>
      </c>
      <c r="C381" s="507">
        <v>0.65449999999999997</v>
      </c>
      <c r="D381" s="507">
        <v>0.61880000000000002</v>
      </c>
      <c r="E381" s="507">
        <v>0.61880000000000002</v>
      </c>
      <c r="F381" s="507">
        <v>0.61880000000000002</v>
      </c>
      <c r="G381" s="507">
        <v>0.5464</v>
      </c>
      <c r="H381" s="507">
        <v>0.5464</v>
      </c>
      <c r="I381" s="507">
        <v>0.46939999999999998</v>
      </c>
      <c r="J381" s="507">
        <v>0.46939999999999998</v>
      </c>
      <c r="K381" s="507">
        <v>0.46939999999999998</v>
      </c>
      <c r="L381" s="507">
        <v>0.46939999999999998</v>
      </c>
      <c r="M381" s="507">
        <v>0.46939999999999998</v>
      </c>
    </row>
    <row r="382" spans="1:13">
      <c r="A382" s="504">
        <v>7.4</v>
      </c>
      <c r="B382" s="507">
        <v>0.65349999999999997</v>
      </c>
      <c r="C382" s="507">
        <v>0.65349999999999997</v>
      </c>
      <c r="D382" s="507">
        <v>0.61750000000000005</v>
      </c>
      <c r="E382" s="507">
        <v>0.61750000000000005</v>
      </c>
      <c r="F382" s="507">
        <v>0.61750000000000005</v>
      </c>
      <c r="G382" s="507">
        <v>0.54490000000000005</v>
      </c>
      <c r="H382" s="507">
        <v>0.54490000000000005</v>
      </c>
      <c r="I382" s="507">
        <v>0.46779999999999999</v>
      </c>
      <c r="J382" s="507">
        <v>0.46779999999999999</v>
      </c>
      <c r="K382" s="507">
        <v>0.46779999999999999</v>
      </c>
      <c r="L382" s="507">
        <v>0.46779999999999999</v>
      </c>
      <c r="M382" s="507">
        <v>0.46779999999999999</v>
      </c>
    </row>
    <row r="383" spans="1:13">
      <c r="A383" s="504">
        <v>7.5</v>
      </c>
      <c r="B383" s="507">
        <v>0.65249999999999997</v>
      </c>
      <c r="C383" s="507">
        <v>0.65249999999999997</v>
      </c>
      <c r="D383" s="507">
        <v>0.61619999999999997</v>
      </c>
      <c r="E383" s="507">
        <v>0.61619999999999997</v>
      </c>
      <c r="F383" s="507">
        <v>0.61619999999999997</v>
      </c>
      <c r="G383" s="507">
        <v>0.54349999999999998</v>
      </c>
      <c r="H383" s="507">
        <v>0.54349999999999998</v>
      </c>
      <c r="I383" s="507">
        <v>0.46629999999999999</v>
      </c>
      <c r="J383" s="507">
        <v>0.46629999999999999</v>
      </c>
      <c r="K383" s="507">
        <v>0.46629999999999999</v>
      </c>
      <c r="L383" s="507">
        <v>0.46629999999999999</v>
      </c>
      <c r="M383" s="507">
        <v>0.46629999999999999</v>
      </c>
    </row>
    <row r="384" spans="1:13">
      <c r="A384" s="504">
        <v>7.6</v>
      </c>
      <c r="B384" s="507">
        <v>0.65149999999999997</v>
      </c>
      <c r="C384" s="507">
        <v>0.65149999999999997</v>
      </c>
      <c r="D384" s="507">
        <v>0.6149</v>
      </c>
      <c r="E384" s="507">
        <v>0.6149</v>
      </c>
      <c r="F384" s="507">
        <v>0.6149</v>
      </c>
      <c r="G384" s="507">
        <v>0.54200000000000004</v>
      </c>
      <c r="H384" s="507">
        <v>0.54200000000000004</v>
      </c>
      <c r="I384" s="507">
        <v>0.46479999999999999</v>
      </c>
      <c r="J384" s="507">
        <v>0.46479999999999999</v>
      </c>
      <c r="K384" s="507">
        <v>0.46479999999999999</v>
      </c>
      <c r="L384" s="507">
        <v>0.46479999999999999</v>
      </c>
      <c r="M384" s="507">
        <v>0.46479999999999999</v>
      </c>
    </row>
    <row r="385" spans="1:13">
      <c r="A385" s="504">
        <v>7.7</v>
      </c>
      <c r="B385" s="507">
        <v>0.65049999999999997</v>
      </c>
      <c r="C385" s="507">
        <v>0.65049999999999997</v>
      </c>
      <c r="D385" s="507">
        <v>0.61360000000000003</v>
      </c>
      <c r="E385" s="507">
        <v>0.61360000000000003</v>
      </c>
      <c r="F385" s="507">
        <v>0.61360000000000003</v>
      </c>
      <c r="G385" s="507">
        <v>0.54059999999999997</v>
      </c>
      <c r="H385" s="507">
        <v>0.54059999999999997</v>
      </c>
      <c r="I385" s="507">
        <v>0.46329999999999999</v>
      </c>
      <c r="J385" s="507">
        <v>0.46329999999999999</v>
      </c>
      <c r="K385" s="507">
        <v>0.46329999999999999</v>
      </c>
      <c r="L385" s="507">
        <v>0.46329999999999999</v>
      </c>
      <c r="M385" s="507">
        <v>0.46329999999999999</v>
      </c>
    </row>
    <row r="386" spans="1:13">
      <c r="A386" s="504">
        <v>7.8</v>
      </c>
      <c r="B386" s="507">
        <v>0.64949999999999997</v>
      </c>
      <c r="C386" s="507">
        <v>0.64949999999999997</v>
      </c>
      <c r="D386" s="507">
        <v>0.61229999999999996</v>
      </c>
      <c r="E386" s="507">
        <v>0.61229999999999996</v>
      </c>
      <c r="F386" s="507">
        <v>0.61229999999999996</v>
      </c>
      <c r="G386" s="507">
        <v>0.53910000000000002</v>
      </c>
      <c r="H386" s="507">
        <v>0.53910000000000002</v>
      </c>
      <c r="I386" s="507">
        <v>0.4617</v>
      </c>
      <c r="J386" s="507">
        <v>0.4617</v>
      </c>
      <c r="K386" s="507">
        <v>0.4617</v>
      </c>
      <c r="L386" s="507">
        <v>0.4617</v>
      </c>
      <c r="M386" s="507">
        <v>0.4617</v>
      </c>
    </row>
    <row r="387" spans="1:13">
      <c r="A387" s="504">
        <v>7.9</v>
      </c>
      <c r="B387" s="507">
        <v>0.64849999999999997</v>
      </c>
      <c r="C387" s="507">
        <v>0.64849999999999997</v>
      </c>
      <c r="D387" s="507">
        <v>0.61099999999999999</v>
      </c>
      <c r="E387" s="507">
        <v>0.61099999999999999</v>
      </c>
      <c r="F387" s="507">
        <v>0.61099999999999999</v>
      </c>
      <c r="G387" s="507">
        <v>0.53769999999999996</v>
      </c>
      <c r="H387" s="507">
        <v>0.53769999999999996</v>
      </c>
      <c r="I387" s="507">
        <v>0.4602</v>
      </c>
      <c r="J387" s="507">
        <v>0.4602</v>
      </c>
      <c r="K387" s="507">
        <v>0.4602</v>
      </c>
      <c r="L387" s="507">
        <v>0.4602</v>
      </c>
      <c r="M387" s="507">
        <v>0.4602</v>
      </c>
    </row>
    <row r="388" spans="1:13">
      <c r="A388" s="504">
        <v>8</v>
      </c>
      <c r="B388" s="507">
        <v>0.64749999999999996</v>
      </c>
      <c r="C388" s="507">
        <v>0.64749999999999996</v>
      </c>
      <c r="D388" s="507">
        <v>0.60970000000000002</v>
      </c>
      <c r="E388" s="507">
        <v>0.60970000000000002</v>
      </c>
      <c r="F388" s="507">
        <v>0.60970000000000002</v>
      </c>
      <c r="G388" s="507">
        <v>0.53620000000000001</v>
      </c>
      <c r="H388" s="507">
        <v>0.53620000000000001</v>
      </c>
      <c r="I388" s="507">
        <v>0.4587</v>
      </c>
      <c r="J388" s="507">
        <v>0.4587</v>
      </c>
      <c r="K388" s="507">
        <v>0.4587</v>
      </c>
      <c r="L388" s="507">
        <v>0.4587</v>
      </c>
      <c r="M388" s="507">
        <v>0.4587</v>
      </c>
    </row>
    <row r="389" spans="1:13">
      <c r="A389" s="504">
        <v>8.1</v>
      </c>
      <c r="B389" s="507">
        <v>0.64649999999999996</v>
      </c>
      <c r="C389" s="507">
        <v>0.64649999999999996</v>
      </c>
      <c r="D389" s="507">
        <v>0.60840000000000005</v>
      </c>
      <c r="E389" s="507">
        <v>0.60840000000000005</v>
      </c>
      <c r="F389" s="507">
        <v>0.60840000000000005</v>
      </c>
      <c r="G389" s="507">
        <v>0.53480000000000005</v>
      </c>
      <c r="H389" s="507">
        <v>0.53480000000000005</v>
      </c>
      <c r="I389" s="507">
        <v>0.4572</v>
      </c>
      <c r="J389" s="507">
        <v>0.4572</v>
      </c>
      <c r="K389" s="507">
        <v>0.4572</v>
      </c>
      <c r="L389" s="507">
        <v>0.4572</v>
      </c>
      <c r="M389" s="507">
        <v>0.4572</v>
      </c>
    </row>
    <row r="390" spans="1:13">
      <c r="A390" s="504">
        <v>8.1999999999999993</v>
      </c>
      <c r="B390" s="507">
        <v>0.64549999999999996</v>
      </c>
      <c r="C390" s="507">
        <v>0.64549999999999996</v>
      </c>
      <c r="D390" s="507">
        <v>0.60709999999999997</v>
      </c>
      <c r="E390" s="507">
        <v>0.60709999999999997</v>
      </c>
      <c r="F390" s="507">
        <v>0.60709999999999997</v>
      </c>
      <c r="G390" s="507">
        <v>0.5333</v>
      </c>
      <c r="H390" s="507">
        <v>0.5333</v>
      </c>
      <c r="I390" s="507">
        <v>0.45569999999999999</v>
      </c>
      <c r="J390" s="507">
        <v>0.45569999999999999</v>
      </c>
      <c r="K390" s="507">
        <v>0.45569999999999999</v>
      </c>
      <c r="L390" s="507">
        <v>0.45569999999999999</v>
      </c>
      <c r="M390" s="507">
        <v>0.45569999999999999</v>
      </c>
    </row>
    <row r="391" spans="1:13">
      <c r="A391" s="504">
        <v>8.3000000000000007</v>
      </c>
      <c r="B391" s="507">
        <v>0.64449999999999996</v>
      </c>
      <c r="C391" s="507">
        <v>0.64449999999999996</v>
      </c>
      <c r="D391" s="507">
        <v>0.60580000000000001</v>
      </c>
      <c r="E391" s="507">
        <v>0.60580000000000001</v>
      </c>
      <c r="F391" s="507">
        <v>0.60580000000000001</v>
      </c>
      <c r="G391" s="507">
        <v>0.53190000000000004</v>
      </c>
      <c r="H391" s="507">
        <v>0.53190000000000004</v>
      </c>
      <c r="I391" s="507">
        <v>0.45429999999999998</v>
      </c>
      <c r="J391" s="507">
        <v>0.45429999999999998</v>
      </c>
      <c r="K391" s="507">
        <v>0.45429999999999998</v>
      </c>
      <c r="L391" s="507">
        <v>0.45429999999999998</v>
      </c>
      <c r="M391" s="507">
        <v>0.45429999999999998</v>
      </c>
    </row>
    <row r="392" spans="1:13">
      <c r="A392" s="504">
        <v>8.4</v>
      </c>
      <c r="B392" s="507">
        <v>0.64349999999999996</v>
      </c>
      <c r="C392" s="507">
        <v>0.64349999999999996</v>
      </c>
      <c r="D392" s="507">
        <v>0.60450000000000004</v>
      </c>
      <c r="E392" s="507">
        <v>0.60450000000000004</v>
      </c>
      <c r="F392" s="507">
        <v>0.60450000000000004</v>
      </c>
      <c r="G392" s="507">
        <v>0.53039999999999998</v>
      </c>
      <c r="H392" s="507">
        <v>0.53039999999999998</v>
      </c>
      <c r="I392" s="507">
        <v>0.45290000000000002</v>
      </c>
      <c r="J392" s="507">
        <v>0.45290000000000002</v>
      </c>
      <c r="K392" s="507">
        <v>0.45290000000000002</v>
      </c>
      <c r="L392" s="507">
        <v>0.45290000000000002</v>
      </c>
      <c r="M392" s="507">
        <v>0.45290000000000002</v>
      </c>
    </row>
    <row r="393" spans="1:13">
      <c r="A393" s="504">
        <v>8.5</v>
      </c>
      <c r="B393" s="507">
        <v>0.64249999999999996</v>
      </c>
      <c r="C393" s="507">
        <v>0.64249999999999996</v>
      </c>
      <c r="D393" s="507">
        <v>0.60319999999999996</v>
      </c>
      <c r="E393" s="507">
        <v>0.60319999999999996</v>
      </c>
      <c r="F393" s="507">
        <v>0.60319999999999996</v>
      </c>
      <c r="G393" s="507">
        <v>0.52900000000000003</v>
      </c>
      <c r="H393" s="507">
        <v>0.52900000000000003</v>
      </c>
      <c r="I393" s="507">
        <v>0.45140000000000002</v>
      </c>
      <c r="J393" s="507">
        <v>0.45140000000000002</v>
      </c>
      <c r="K393" s="507">
        <v>0.45140000000000002</v>
      </c>
      <c r="L393" s="507">
        <v>0.45140000000000002</v>
      </c>
      <c r="M393" s="507">
        <v>0.45140000000000002</v>
      </c>
    </row>
    <row r="394" spans="1:13">
      <c r="A394" s="504">
        <v>8.6</v>
      </c>
      <c r="B394" s="507">
        <v>0.64149999999999996</v>
      </c>
      <c r="C394" s="507">
        <v>0.64149999999999996</v>
      </c>
      <c r="D394" s="507">
        <v>0.60189999999999999</v>
      </c>
      <c r="E394" s="507">
        <v>0.60189999999999999</v>
      </c>
      <c r="F394" s="507">
        <v>0.60189999999999999</v>
      </c>
      <c r="G394" s="507">
        <v>0.52749999999999997</v>
      </c>
      <c r="H394" s="507">
        <v>0.52749999999999997</v>
      </c>
      <c r="I394" s="507">
        <v>0.45</v>
      </c>
      <c r="J394" s="507">
        <v>0.45</v>
      </c>
      <c r="K394" s="507">
        <v>0.45</v>
      </c>
      <c r="L394" s="507">
        <v>0.45</v>
      </c>
      <c r="M394" s="507">
        <v>0.45</v>
      </c>
    </row>
    <row r="395" spans="1:13">
      <c r="A395" s="504">
        <v>8.6999999999999993</v>
      </c>
      <c r="B395" s="507">
        <v>0.64049999999999996</v>
      </c>
      <c r="C395" s="507">
        <v>0.64049999999999996</v>
      </c>
      <c r="D395" s="507">
        <v>0.60060000000000002</v>
      </c>
      <c r="E395" s="507">
        <v>0.60060000000000002</v>
      </c>
      <c r="F395" s="507">
        <v>0.60060000000000002</v>
      </c>
      <c r="G395" s="507">
        <v>0.52610000000000001</v>
      </c>
      <c r="H395" s="507">
        <v>0.52610000000000001</v>
      </c>
      <c r="I395" s="507">
        <v>0.44850000000000001</v>
      </c>
      <c r="J395" s="507">
        <v>0.44850000000000001</v>
      </c>
      <c r="K395" s="507">
        <v>0.44850000000000001</v>
      </c>
      <c r="L395" s="507">
        <v>0.44850000000000001</v>
      </c>
      <c r="M395" s="507">
        <v>0.44850000000000001</v>
      </c>
    </row>
    <row r="396" spans="1:13">
      <c r="A396" s="504">
        <v>8.8000000000000007</v>
      </c>
      <c r="B396" s="507">
        <v>0.63949999999999996</v>
      </c>
      <c r="C396" s="507">
        <v>0.63949999999999996</v>
      </c>
      <c r="D396" s="507">
        <v>0.59930000000000005</v>
      </c>
      <c r="E396" s="507">
        <v>0.59930000000000005</v>
      </c>
      <c r="F396" s="507">
        <v>0.59930000000000005</v>
      </c>
      <c r="G396" s="507">
        <v>0.52459999999999996</v>
      </c>
      <c r="H396" s="507">
        <v>0.52459999999999996</v>
      </c>
      <c r="I396" s="507">
        <v>0.4471</v>
      </c>
      <c r="J396" s="507">
        <v>0.4471</v>
      </c>
      <c r="K396" s="507">
        <v>0.4471</v>
      </c>
      <c r="L396" s="507">
        <v>0.4471</v>
      </c>
      <c r="M396" s="507">
        <v>0.4471</v>
      </c>
    </row>
    <row r="397" spans="1:13">
      <c r="A397" s="504">
        <v>8.9</v>
      </c>
      <c r="B397" s="507">
        <v>0.63849999999999996</v>
      </c>
      <c r="C397" s="507">
        <v>0.63849999999999996</v>
      </c>
      <c r="D397" s="507">
        <v>0.59799999999999998</v>
      </c>
      <c r="E397" s="507">
        <v>0.59799999999999998</v>
      </c>
      <c r="F397" s="507">
        <v>0.59799999999999998</v>
      </c>
      <c r="G397" s="507">
        <v>0.5232</v>
      </c>
      <c r="H397" s="507">
        <v>0.5232</v>
      </c>
      <c r="I397" s="507">
        <v>0.4456</v>
      </c>
      <c r="J397" s="507">
        <v>0.4456</v>
      </c>
      <c r="K397" s="507">
        <v>0.4456</v>
      </c>
      <c r="L397" s="507">
        <v>0.4456</v>
      </c>
      <c r="M397" s="507">
        <v>0.4456</v>
      </c>
    </row>
    <row r="398" spans="1:13">
      <c r="A398" s="508">
        <v>9</v>
      </c>
      <c r="B398" s="507">
        <v>0.63749999999999996</v>
      </c>
      <c r="C398" s="507">
        <v>0.63749999999999996</v>
      </c>
      <c r="D398" s="507">
        <v>0.59670000000000001</v>
      </c>
      <c r="E398" s="507">
        <v>0.59670000000000001</v>
      </c>
      <c r="F398" s="507">
        <v>0.59670000000000001</v>
      </c>
      <c r="G398" s="507">
        <v>0.52170000000000005</v>
      </c>
      <c r="H398" s="507">
        <v>0.52170000000000005</v>
      </c>
      <c r="I398" s="507">
        <v>0.44429999999999997</v>
      </c>
      <c r="J398" s="507">
        <v>0.44429999999999997</v>
      </c>
      <c r="K398" s="507">
        <v>0.44429999999999997</v>
      </c>
      <c r="L398" s="507">
        <v>0.44429999999999997</v>
      </c>
      <c r="M398" s="507">
        <v>0.44429999999999997</v>
      </c>
    </row>
    <row r="399" spans="1:13">
      <c r="A399" s="508">
        <v>9.1</v>
      </c>
      <c r="B399" s="507">
        <v>0.63649999999999995</v>
      </c>
      <c r="C399" s="507">
        <v>0.63649999999999995</v>
      </c>
      <c r="D399" s="507">
        <v>0.59540000000000004</v>
      </c>
      <c r="E399" s="507">
        <v>0.59540000000000004</v>
      </c>
      <c r="F399" s="507">
        <v>0.59540000000000004</v>
      </c>
      <c r="G399" s="507">
        <v>0.52029999999999998</v>
      </c>
      <c r="H399" s="507">
        <v>0.52029999999999998</v>
      </c>
      <c r="I399" s="507">
        <v>0.44290000000000002</v>
      </c>
      <c r="J399" s="507">
        <v>0.44290000000000002</v>
      </c>
      <c r="K399" s="507">
        <v>0.44290000000000002</v>
      </c>
      <c r="L399" s="507">
        <v>0.44290000000000002</v>
      </c>
      <c r="M399" s="507">
        <v>0.44290000000000002</v>
      </c>
    </row>
    <row r="400" spans="1:13">
      <c r="A400" s="508">
        <v>9.1999999999999993</v>
      </c>
      <c r="B400" s="507">
        <v>0.63549999999999995</v>
      </c>
      <c r="C400" s="507">
        <v>0.63549999999999995</v>
      </c>
      <c r="D400" s="507">
        <v>0.59409999999999996</v>
      </c>
      <c r="E400" s="507">
        <v>0.59409999999999996</v>
      </c>
      <c r="F400" s="507">
        <v>0.59409999999999996</v>
      </c>
      <c r="G400" s="507">
        <v>0.51880000000000004</v>
      </c>
      <c r="H400" s="507">
        <v>0.51880000000000004</v>
      </c>
      <c r="I400" s="507">
        <v>0.44159999999999999</v>
      </c>
      <c r="J400" s="507">
        <v>0.44159999999999999</v>
      </c>
      <c r="K400" s="507">
        <v>0.44159999999999999</v>
      </c>
      <c r="L400" s="507">
        <v>0.44159999999999999</v>
      </c>
      <c r="M400" s="507">
        <v>0.44159999999999999</v>
      </c>
    </row>
    <row r="401" spans="1:13">
      <c r="A401" s="508">
        <v>9.3000000000000007</v>
      </c>
      <c r="B401" s="507">
        <v>0.63449999999999995</v>
      </c>
      <c r="C401" s="507">
        <v>0.63449999999999995</v>
      </c>
      <c r="D401" s="507">
        <v>0.59279999999999999</v>
      </c>
      <c r="E401" s="507">
        <v>0.59279999999999999</v>
      </c>
      <c r="F401" s="507">
        <v>0.59279999999999999</v>
      </c>
      <c r="G401" s="507">
        <v>0.51739999999999997</v>
      </c>
      <c r="H401" s="507">
        <v>0.51739999999999997</v>
      </c>
      <c r="I401" s="507">
        <v>0.44019999999999998</v>
      </c>
      <c r="J401" s="507">
        <v>0.44019999999999998</v>
      </c>
      <c r="K401" s="507">
        <v>0.44019999999999998</v>
      </c>
      <c r="L401" s="507">
        <v>0.44019999999999998</v>
      </c>
      <c r="M401" s="507">
        <v>0.44019999999999998</v>
      </c>
    </row>
    <row r="402" spans="1:13">
      <c r="A402" s="508">
        <v>9.4</v>
      </c>
      <c r="B402" s="507">
        <v>0.63349999999999995</v>
      </c>
      <c r="C402" s="507">
        <v>0.63349999999999995</v>
      </c>
      <c r="D402" s="507">
        <v>0.59150000000000003</v>
      </c>
      <c r="E402" s="507">
        <v>0.59150000000000003</v>
      </c>
      <c r="F402" s="507">
        <v>0.59150000000000003</v>
      </c>
      <c r="G402" s="507">
        <v>0.51600000000000001</v>
      </c>
      <c r="H402" s="507">
        <v>0.51600000000000001</v>
      </c>
      <c r="I402" s="507">
        <v>0.43880000000000002</v>
      </c>
      <c r="J402" s="507">
        <v>0.43880000000000002</v>
      </c>
      <c r="K402" s="507">
        <v>0.43880000000000002</v>
      </c>
      <c r="L402" s="507">
        <v>0.43880000000000002</v>
      </c>
      <c r="M402" s="507">
        <v>0.43880000000000002</v>
      </c>
    </row>
    <row r="403" spans="1:13">
      <c r="A403" s="508">
        <v>9.5</v>
      </c>
      <c r="B403" s="507">
        <v>0.63249999999999995</v>
      </c>
      <c r="C403" s="507">
        <v>0.63249999999999995</v>
      </c>
      <c r="D403" s="507">
        <v>0.59030000000000005</v>
      </c>
      <c r="E403" s="507">
        <v>0.59030000000000005</v>
      </c>
      <c r="F403" s="507">
        <v>0.59030000000000005</v>
      </c>
      <c r="G403" s="507">
        <v>0.51470000000000005</v>
      </c>
      <c r="H403" s="507">
        <v>0.51470000000000005</v>
      </c>
      <c r="I403" s="507">
        <v>0.4375</v>
      </c>
      <c r="J403" s="507">
        <v>0.4375</v>
      </c>
      <c r="K403" s="507">
        <v>0.4375</v>
      </c>
      <c r="L403" s="507">
        <v>0.4375</v>
      </c>
      <c r="M403" s="507">
        <v>0.4375</v>
      </c>
    </row>
    <row r="404" spans="1:13">
      <c r="A404" s="508">
        <v>9.6</v>
      </c>
      <c r="B404" s="507">
        <v>0.63149999999999995</v>
      </c>
      <c r="C404" s="507">
        <v>0.63149999999999995</v>
      </c>
      <c r="D404" s="507">
        <v>0.58909999999999996</v>
      </c>
      <c r="E404" s="507">
        <v>0.58909999999999996</v>
      </c>
      <c r="F404" s="507">
        <v>0.58909999999999996</v>
      </c>
      <c r="G404" s="507">
        <v>0.51329999999999998</v>
      </c>
      <c r="H404" s="507">
        <v>0.51329999999999998</v>
      </c>
      <c r="I404" s="507">
        <v>0.43609999999999999</v>
      </c>
      <c r="J404" s="507">
        <v>0.43609999999999999</v>
      </c>
      <c r="K404" s="507">
        <v>0.43609999999999999</v>
      </c>
      <c r="L404" s="507">
        <v>0.43609999999999999</v>
      </c>
      <c r="M404" s="507">
        <v>0.43609999999999999</v>
      </c>
    </row>
    <row r="405" spans="1:13">
      <c r="A405" s="508">
        <v>9.6999999999999993</v>
      </c>
      <c r="B405" s="507">
        <v>0.63049999999999995</v>
      </c>
      <c r="C405" s="507">
        <v>0.63049999999999995</v>
      </c>
      <c r="D405" s="507">
        <v>0.58789999999999998</v>
      </c>
      <c r="E405" s="507">
        <v>0.58789999999999998</v>
      </c>
      <c r="F405" s="507">
        <v>0.58789999999999998</v>
      </c>
      <c r="G405" s="507">
        <v>0.51200000000000001</v>
      </c>
      <c r="H405" s="507">
        <v>0.51200000000000001</v>
      </c>
      <c r="I405" s="507">
        <v>0.43480000000000002</v>
      </c>
      <c r="J405" s="507">
        <v>0.43480000000000002</v>
      </c>
      <c r="K405" s="507">
        <v>0.43480000000000002</v>
      </c>
      <c r="L405" s="507">
        <v>0.43480000000000002</v>
      </c>
      <c r="M405" s="507">
        <v>0.43480000000000002</v>
      </c>
    </row>
    <row r="406" spans="1:13">
      <c r="A406" s="508">
        <v>9.8000000000000007</v>
      </c>
      <c r="B406" s="507">
        <v>0.62949999999999995</v>
      </c>
      <c r="C406" s="507">
        <v>0.62949999999999995</v>
      </c>
      <c r="D406" s="507">
        <v>0.5867</v>
      </c>
      <c r="E406" s="507">
        <v>0.5867</v>
      </c>
      <c r="F406" s="507">
        <v>0.5867</v>
      </c>
      <c r="G406" s="507">
        <v>0.51060000000000005</v>
      </c>
      <c r="H406" s="507">
        <v>0.51060000000000005</v>
      </c>
      <c r="I406" s="507">
        <v>0.43340000000000001</v>
      </c>
      <c r="J406" s="507">
        <v>0.43340000000000001</v>
      </c>
      <c r="K406" s="507">
        <v>0.43340000000000001</v>
      </c>
      <c r="L406" s="507">
        <v>0.43340000000000001</v>
      </c>
      <c r="M406" s="507">
        <v>0.43340000000000001</v>
      </c>
    </row>
    <row r="407" spans="1:13">
      <c r="A407" s="508">
        <v>9.9</v>
      </c>
      <c r="B407" s="507">
        <v>0.62849999999999995</v>
      </c>
      <c r="C407" s="507">
        <v>0.62849999999999995</v>
      </c>
      <c r="D407" s="507">
        <v>0.58550000000000002</v>
      </c>
      <c r="E407" s="507">
        <v>0.58550000000000002</v>
      </c>
      <c r="F407" s="507">
        <v>0.58550000000000002</v>
      </c>
      <c r="G407" s="507">
        <v>0.50919999999999999</v>
      </c>
      <c r="H407" s="507">
        <v>0.50919999999999999</v>
      </c>
      <c r="I407" s="507">
        <v>0.432</v>
      </c>
      <c r="J407" s="507">
        <v>0.432</v>
      </c>
      <c r="K407" s="507">
        <v>0.432</v>
      </c>
      <c r="L407" s="507">
        <v>0.432</v>
      </c>
      <c r="M407" s="507">
        <v>0.432</v>
      </c>
    </row>
    <row r="408" spans="1:13">
      <c r="A408" s="508">
        <v>10</v>
      </c>
      <c r="B408" s="507">
        <v>0.62749999999999995</v>
      </c>
      <c r="C408" s="507">
        <v>0.62749999999999995</v>
      </c>
      <c r="D408" s="507">
        <v>0.58430000000000004</v>
      </c>
      <c r="E408" s="507">
        <v>0.58430000000000004</v>
      </c>
      <c r="F408" s="507">
        <v>0.58430000000000004</v>
      </c>
      <c r="G408" s="507">
        <v>0.50790000000000002</v>
      </c>
      <c r="H408" s="507">
        <v>0.50790000000000002</v>
      </c>
      <c r="I408" s="507">
        <v>0.43070000000000003</v>
      </c>
      <c r="J408" s="507">
        <v>0.43070000000000003</v>
      </c>
      <c r="K408" s="507">
        <v>0.43070000000000003</v>
      </c>
      <c r="L408" s="507">
        <v>0.43070000000000003</v>
      </c>
      <c r="M408" s="507">
        <v>0.43070000000000003</v>
      </c>
    </row>
  </sheetData>
  <sheetProtection password="C66D" sheet="1" objects="1" scenarios="1" formatCells="0" formatColumns="0" formatRows="0"/>
  <phoneticPr fontId="225" type="noConversion"/>
  <pageMargins left="0.69930555555555596" right="0.69930555555555596"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491" customWidth="1"/>
    <col min="2" max="2" width="12.5" style="491" customWidth="1"/>
    <col min="3" max="3" width="12.125" style="491" customWidth="1"/>
    <col min="4" max="4" width="14.125" style="491" customWidth="1"/>
    <col min="5" max="5" width="12.5" style="491" customWidth="1"/>
    <col min="6" max="16384" width="9" style="491"/>
  </cols>
  <sheetData>
    <row r="1" spans="1:5" ht="21">
      <c r="A1" s="492" t="s">
        <v>2248</v>
      </c>
    </row>
    <row r="2" spans="1:5" ht="15.75">
      <c r="A2" s="493" t="s">
        <v>97</v>
      </c>
      <c r="B2" s="494" t="e">
        <f ca="1">SUMIF(B6:B13,"&lt;&gt;#ref!",B6:B13)</f>
        <v>#DIV/0!</v>
      </c>
      <c r="C2" s="493" t="s">
        <v>2249</v>
      </c>
      <c r="D2" s="493" t="s">
        <v>2250</v>
      </c>
      <c r="E2" s="494">
        <f ca="1">SUMIF(E6:E13,"&lt;&gt;#ref!",E6:E13)</f>
        <v>0</v>
      </c>
    </row>
    <row r="3" spans="1:5" ht="15.75">
      <c r="A3" s="493" t="s">
        <v>2251</v>
      </c>
      <c r="B3" s="494" t="e">
        <f ca="1">ROUND(B2*10000/E2,0)</f>
        <v>#DIV/0!</v>
      </c>
      <c r="C3" s="493" t="s">
        <v>2252</v>
      </c>
      <c r="D3" s="495"/>
      <c r="E3" s="495"/>
    </row>
    <row r="4" spans="1:5" ht="15.75">
      <c r="A4" s="496"/>
      <c r="B4" s="495"/>
      <c r="C4" s="495"/>
      <c r="D4" s="495"/>
      <c r="E4" s="495"/>
    </row>
    <row r="5" spans="1:5" ht="28.5">
      <c r="A5" s="497" t="s">
        <v>2253</v>
      </c>
      <c r="B5" s="493" t="s">
        <v>2254</v>
      </c>
      <c r="C5" s="494"/>
      <c r="D5" s="495"/>
      <c r="E5" s="493" t="s">
        <v>2255</v>
      </c>
    </row>
    <row r="6" spans="1:5" ht="15.75">
      <c r="A6" s="498" t="s">
        <v>2256</v>
      </c>
      <c r="B6" s="494" t="e">
        <f ca="1">SUMIF(INDIRECT("'"&amp;A6&amp;"'"&amp;"!A:A"),"总价",INDIRECT("'"&amp;A6&amp;"'"&amp;"!B:B"))</f>
        <v>#DIV/0!</v>
      </c>
      <c r="C6" s="493" t="s">
        <v>2249</v>
      </c>
      <c r="D6" s="495"/>
      <c r="E6" s="499">
        <f ca="1">SUMIF(INDIRECT("'"&amp;A6&amp;"'"&amp;"!C:C"),"建筑面积",INDIRECT("'"&amp;A6&amp;"'"&amp;"!D:D"))</f>
        <v>0</v>
      </c>
    </row>
    <row r="7" spans="1:5" ht="15.75">
      <c r="A7" s="498"/>
      <c r="B7" s="494" t="e">
        <f ca="1">SUMIF(INDIRECT("'"&amp;A7&amp;"'"&amp;"!A:A"),"总价",INDIRECT("'"&amp;A7&amp;"'"&amp;"!B:B"))</f>
        <v>#REF!</v>
      </c>
      <c r="C7" s="493" t="s">
        <v>2249</v>
      </c>
      <c r="D7" s="495"/>
      <c r="E7" s="499" t="e">
        <f t="shared" ref="E7:E13" ca="1" si="0">SUMIF(INDIRECT("'"&amp;A7&amp;"'"&amp;"!C:C"),"建筑面积",INDIRECT("'"&amp;A7&amp;"'"&amp;"!D:D"))</f>
        <v>#REF!</v>
      </c>
    </row>
    <row r="8" spans="1:5" ht="15.75">
      <c r="A8" s="498"/>
      <c r="B8" s="494" t="e">
        <f t="shared" ref="B8:B13" ca="1" si="1">SUMIF(INDIRECT("'"&amp;A8&amp;"'"&amp;"!A:A"),"总价",INDIRECT("'"&amp;A8&amp;"'"&amp;"!B:B"))</f>
        <v>#REF!</v>
      </c>
      <c r="C8" s="493" t="s">
        <v>2249</v>
      </c>
      <c r="D8" s="495"/>
      <c r="E8" s="499" t="e">
        <f t="shared" ca="1" si="0"/>
        <v>#REF!</v>
      </c>
    </row>
    <row r="9" spans="1:5" ht="15.75">
      <c r="A9" s="498"/>
      <c r="B9" s="494" t="e">
        <f t="shared" ca="1" si="1"/>
        <v>#REF!</v>
      </c>
      <c r="C9" s="493" t="s">
        <v>2249</v>
      </c>
      <c r="D9" s="495"/>
      <c r="E9" s="499" t="e">
        <f t="shared" ca="1" si="0"/>
        <v>#REF!</v>
      </c>
    </row>
    <row r="10" spans="1:5" ht="15.75">
      <c r="A10" s="498"/>
      <c r="B10" s="494" t="e">
        <f t="shared" ca="1" si="1"/>
        <v>#REF!</v>
      </c>
      <c r="C10" s="493" t="s">
        <v>2249</v>
      </c>
      <c r="D10" s="495"/>
      <c r="E10" s="499" t="e">
        <f t="shared" ca="1" si="0"/>
        <v>#REF!</v>
      </c>
    </row>
    <row r="11" spans="1:5" ht="15.75">
      <c r="A11" s="498"/>
      <c r="B11" s="494" t="e">
        <f t="shared" ca="1" si="1"/>
        <v>#REF!</v>
      </c>
      <c r="C11" s="493" t="s">
        <v>2249</v>
      </c>
      <c r="D11" s="495"/>
      <c r="E11" s="499" t="e">
        <f t="shared" ca="1" si="0"/>
        <v>#REF!</v>
      </c>
    </row>
    <row r="12" spans="1:5" ht="15.75">
      <c r="A12" s="498"/>
      <c r="B12" s="494" t="e">
        <f t="shared" ca="1" si="1"/>
        <v>#REF!</v>
      </c>
      <c r="C12" s="493" t="s">
        <v>2249</v>
      </c>
      <c r="D12" s="495"/>
      <c r="E12" s="499" t="e">
        <f t="shared" ca="1" si="0"/>
        <v>#REF!</v>
      </c>
    </row>
    <row r="13" spans="1:5" ht="15.75">
      <c r="A13" s="498"/>
      <c r="B13" s="494" t="e">
        <f t="shared" ca="1" si="1"/>
        <v>#REF!</v>
      </c>
      <c r="C13" s="493" t="s">
        <v>2249</v>
      </c>
      <c r="D13" s="495"/>
      <c r="E13" s="499" t="e">
        <f t="shared" ca="1" si="0"/>
        <v>#REF!</v>
      </c>
    </row>
  </sheetData>
  <sheetProtection password="C66D" sheet="1" objects="1" scenarios="1" formatCells="0"/>
  <phoneticPr fontId="225" type="noConversion"/>
  <dataValidations count="1">
    <dataValidation type="list" allowBlank="1" showInputMessage="1" showErrorMessage="1" sqref="A6:A13">
      <formula1>估价方法</formula1>
    </dataValidation>
  </dataValidations>
  <pageMargins left="0.69930555555555596" right="0.69930555555555596"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L7" sqref="L7"/>
    </sheetView>
  </sheetViews>
  <sheetFormatPr defaultColWidth="9" defaultRowHeight="12.75"/>
  <cols>
    <col min="1" max="1" width="9" style="355"/>
    <col min="2" max="6" width="9" style="355" customWidth="1"/>
    <col min="7" max="7" width="9" style="356"/>
    <col min="8" max="8" width="9" style="355"/>
    <col min="9" max="12" width="9" style="355" customWidth="1"/>
    <col min="13" max="13" width="2.25" style="355" customWidth="1"/>
    <col min="14" max="14" width="9" style="356" customWidth="1"/>
    <col min="15" max="17" width="9" style="355" customWidth="1"/>
    <col min="18" max="18" width="2.375" style="355" customWidth="1"/>
    <col min="19" max="19" width="7.125" style="356" customWidth="1"/>
    <col min="20" max="22" width="7.125" style="355" customWidth="1"/>
    <col min="23" max="23" width="24.25" style="355" customWidth="1"/>
    <col min="24" max="25" width="9" style="355"/>
    <col min="26" max="27" width="11.625" style="355" customWidth="1"/>
    <col min="28" max="28" width="9" style="355"/>
    <col min="29" max="29" width="2" style="355" customWidth="1"/>
    <col min="30" max="16384" width="9" style="355"/>
  </cols>
  <sheetData>
    <row r="1" spans="1:34" s="346" customFormat="1">
      <c r="B1" s="3584" t="s">
        <v>2257</v>
      </c>
      <c r="C1" s="3584"/>
      <c r="D1" s="3584"/>
      <c r="E1" s="3584"/>
      <c r="F1" s="3584"/>
      <c r="G1" s="3585" t="s">
        <v>2258</v>
      </c>
      <c r="H1" s="3585"/>
      <c r="I1" s="3585"/>
      <c r="J1" s="3585"/>
      <c r="K1" s="3585"/>
      <c r="L1" s="3585"/>
      <c r="N1" s="3585" t="s">
        <v>2259</v>
      </c>
      <c r="O1" s="3585"/>
      <c r="P1" s="3585"/>
      <c r="Q1" s="3585"/>
      <c r="R1" s="357"/>
      <c r="S1" s="3585" t="s">
        <v>2260</v>
      </c>
      <c r="T1" s="3585"/>
      <c r="U1" s="3585"/>
      <c r="V1" s="3585"/>
      <c r="X1" s="3586" t="s">
        <v>2261</v>
      </c>
      <c r="Y1" s="3585"/>
      <c r="Z1" s="3585"/>
      <c r="AA1" s="3585"/>
      <c r="AB1" s="3585"/>
      <c r="AD1" s="3586" t="s">
        <v>2262</v>
      </c>
      <c r="AE1" s="3585"/>
      <c r="AF1" s="3585"/>
      <c r="AG1" s="3585"/>
      <c r="AH1" s="3585"/>
    </row>
    <row r="2" spans="1:34" s="347" customFormat="1" ht="13.5">
      <c r="B2" s="358" t="s">
        <v>2263</v>
      </c>
      <c r="C2" s="358" t="s">
        <v>2264</v>
      </c>
      <c r="D2" s="359" t="s">
        <v>2042</v>
      </c>
      <c r="E2" s="359" t="s">
        <v>2043</v>
      </c>
      <c r="F2" s="358" t="s">
        <v>2265</v>
      </c>
      <c r="G2" s="360"/>
      <c r="H2" s="361"/>
      <c r="I2" s="358" t="s">
        <v>2263</v>
      </c>
      <c r="J2" s="359" t="s">
        <v>2266</v>
      </c>
      <c r="K2" s="359" t="s">
        <v>2043</v>
      </c>
      <c r="L2" s="358" t="s">
        <v>2265</v>
      </c>
      <c r="N2" s="358" t="s">
        <v>2263</v>
      </c>
      <c r="O2" s="359" t="s">
        <v>2266</v>
      </c>
      <c r="P2" s="359" t="s">
        <v>2043</v>
      </c>
      <c r="Q2" s="358" t="s">
        <v>2265</v>
      </c>
      <c r="R2" s="437"/>
      <c r="S2" s="358" t="s">
        <v>2263</v>
      </c>
      <c r="T2" s="359" t="s">
        <v>2266</v>
      </c>
      <c r="U2" s="359" t="s">
        <v>2043</v>
      </c>
      <c r="V2" s="358" t="s">
        <v>2265</v>
      </c>
      <c r="X2" s="358" t="s">
        <v>2263</v>
      </c>
      <c r="Y2" s="358" t="s">
        <v>2264</v>
      </c>
      <c r="Z2" s="359" t="s">
        <v>2042</v>
      </c>
      <c r="AA2" s="359" t="s">
        <v>2043</v>
      </c>
      <c r="AB2" s="358" t="s">
        <v>2265</v>
      </c>
      <c r="AD2" s="358" t="s">
        <v>2263</v>
      </c>
      <c r="AE2" s="358" t="s">
        <v>2264</v>
      </c>
      <c r="AF2" s="359" t="s">
        <v>2042</v>
      </c>
      <c r="AG2" s="359" t="s">
        <v>2043</v>
      </c>
      <c r="AH2" s="358" t="s">
        <v>2265</v>
      </c>
    </row>
    <row r="3" spans="1:34" s="348" customFormat="1" ht="14.25">
      <c r="A3" s="362" t="s">
        <v>2267</v>
      </c>
      <c r="B3" s="363"/>
      <c r="C3" s="363"/>
      <c r="D3" s="364"/>
      <c r="E3" s="364"/>
      <c r="F3" s="363"/>
      <c r="G3" s="365"/>
      <c r="H3" s="366"/>
      <c r="I3" s="402">
        <f>ROUND(AVERAGE($I8:$I23),2)</f>
        <v>2.4500000000000002</v>
      </c>
      <c r="J3" s="402">
        <f>ROUND(AVERAGE($J8:$J23),2)</f>
        <v>1.65</v>
      </c>
      <c r="K3" s="402">
        <f>ROUND(AVERAGE($K8:$K23),2)</f>
        <v>2.71</v>
      </c>
      <c r="L3" s="402">
        <f>ROUND(AVERAGE($L8:$L23),2)</f>
        <v>1.39</v>
      </c>
      <c r="N3" s="365"/>
      <c r="O3" s="403"/>
      <c r="P3" s="403"/>
      <c r="Q3" s="403"/>
      <c r="R3" s="403"/>
      <c r="S3" s="365"/>
      <c r="T3" s="403"/>
      <c r="U3" s="403"/>
      <c r="V3" s="403"/>
      <c r="W3" s="438"/>
      <c r="X3" s="439">
        <f>ROUND(SUMPRODUCT(PRODUCT(1+N3:N$22)),4)</f>
        <v>1.4733000000000001</v>
      </c>
      <c r="Y3" s="439">
        <f>ROUND(SUMPRODUCT(PRODUCT(1+O3:O$22)),4)</f>
        <v>1.3052999999999999</v>
      </c>
      <c r="Z3" s="439">
        <f t="shared" ref="Z3:Z20" si="0">Y3</f>
        <v>1.3052999999999999</v>
      </c>
      <c r="AA3" s="439">
        <f>ROUND(SUMPRODUCT(PRODUCT(1+P3:P$22)),4)</f>
        <v>1.5306999999999999</v>
      </c>
      <c r="AB3" s="439">
        <f>ROUND(SUMPRODUCT(PRODUCT(1+Q3:Q$22)),4)</f>
        <v>1.2863</v>
      </c>
      <c r="AD3" s="462">
        <f>ROUND(AVERAGE(I3:I$23)/100,4)</f>
        <v>2.24E-2</v>
      </c>
      <c r="AE3" s="462">
        <f>ROUND(AVERAGE(J3:J$23)/100,4)</f>
        <v>1.54E-2</v>
      </c>
      <c r="AF3" s="462">
        <f t="shared" ref="AF3:AF21" si="1">AE3</f>
        <v>1.54E-2</v>
      </c>
      <c r="AG3" s="462">
        <f>ROUND(AVERAGE(K3:K$23)/100,4)</f>
        <v>2.47E-2</v>
      </c>
      <c r="AH3" s="462">
        <f>ROUND(AVERAGE(L3:L$23)/100,4)</f>
        <v>1.41E-2</v>
      </c>
    </row>
    <row r="4" spans="1:34" s="349" customFormat="1" ht="14.25">
      <c r="B4" s="367"/>
      <c r="C4" s="367"/>
      <c r="D4" s="368"/>
      <c r="E4" s="368"/>
      <c r="F4" s="367"/>
      <c r="G4" s="369"/>
      <c r="H4" s="370"/>
      <c r="I4" s="404"/>
      <c r="J4" s="404"/>
      <c r="K4" s="404"/>
      <c r="L4" s="404"/>
      <c r="N4" s="369"/>
      <c r="O4" s="405"/>
      <c r="P4" s="405"/>
      <c r="Q4" s="405"/>
      <c r="R4" s="405"/>
      <c r="S4" s="369"/>
      <c r="T4" s="405"/>
      <c r="U4" s="405"/>
      <c r="V4" s="405"/>
      <c r="X4" s="440"/>
      <c r="Y4" s="440"/>
      <c r="Z4" s="440"/>
      <c r="AA4" s="440"/>
      <c r="AB4" s="440"/>
      <c r="AD4" s="457"/>
      <c r="AE4" s="457"/>
      <c r="AF4" s="457"/>
      <c r="AG4" s="457"/>
      <c r="AH4" s="457"/>
    </row>
    <row r="5" spans="1:34" s="350" customFormat="1">
      <c r="A5" s="371" t="s">
        <v>2268</v>
      </c>
      <c r="B5" s="372">
        <f t="shared" ref="B5" si="2">B6*(1+N5)</f>
        <v>453.11529869999998</v>
      </c>
      <c r="C5" s="372">
        <f t="shared" ref="C5" si="3">C6*(1+O5)</f>
        <v>336.47787263999999</v>
      </c>
      <c r="D5" s="372">
        <f t="shared" ref="D5" si="4">C5</f>
        <v>336.47787263999999</v>
      </c>
      <c r="E5" s="372">
        <f t="shared" ref="E5" si="5">E6*(1+P5)</f>
        <v>647.35186824000004</v>
      </c>
      <c r="F5" s="372">
        <f t="shared" ref="F5" si="6">F6*(1+Q5)</f>
        <v>295.73229451999998</v>
      </c>
      <c r="G5" s="373">
        <v>2018</v>
      </c>
      <c r="H5" s="374">
        <v>3</v>
      </c>
      <c r="I5" s="406">
        <v>0</v>
      </c>
      <c r="J5" s="406">
        <v>0</v>
      </c>
      <c r="K5" s="406">
        <v>0</v>
      </c>
      <c r="L5" s="406">
        <v>0</v>
      </c>
      <c r="N5" s="407">
        <f>I5/100</f>
        <v>0</v>
      </c>
      <c r="O5" s="407">
        <f t="shared" ref="O5" si="7">J5/100</f>
        <v>0</v>
      </c>
      <c r="P5" s="407">
        <f t="shared" ref="P5" si="8">K5/100</f>
        <v>0</v>
      </c>
      <c r="Q5" s="407">
        <f t="shared" ref="Q5" si="9">L5/100</f>
        <v>0</v>
      </c>
      <c r="R5" s="441"/>
      <c r="S5" s="442"/>
      <c r="T5" s="441"/>
      <c r="U5" s="441"/>
      <c r="V5" s="441"/>
      <c r="W5" s="443" t="s">
        <v>2269</v>
      </c>
      <c r="X5" s="444">
        <f>ROUND(SUMPRODUCT(PRODUCT(1+N5:N$22)),4)</f>
        <v>1.4733000000000001</v>
      </c>
      <c r="Y5" s="444">
        <f>ROUND(SUMPRODUCT(PRODUCT(1+O5:O$22)),4)</f>
        <v>1.3052999999999999</v>
      </c>
      <c r="Z5" s="444">
        <f t="shared" ref="Z5" si="10">Y5</f>
        <v>1.3052999999999999</v>
      </c>
      <c r="AA5" s="444">
        <f>ROUND(SUMPRODUCT(PRODUCT(1+P5:P$22)),4)</f>
        <v>1.5306999999999999</v>
      </c>
      <c r="AB5" s="444">
        <f>ROUND(SUMPRODUCT(PRODUCT(1+Q5:Q$22)),4)</f>
        <v>1.2863</v>
      </c>
      <c r="AD5" s="463">
        <f>ROUND(AVERAGE(I5:I$23)/100,4)</f>
        <v>2.23E-2</v>
      </c>
      <c r="AE5" s="463">
        <f>ROUND(AVERAGE(J5:J$23)/100,4)</f>
        <v>1.54E-2</v>
      </c>
      <c r="AF5" s="463">
        <f t="shared" ref="AF5" si="11">AE5</f>
        <v>1.54E-2</v>
      </c>
      <c r="AG5" s="463">
        <f>ROUND(AVERAGE(K5:K$23)/100,4)</f>
        <v>2.4500000000000001E-2</v>
      </c>
      <c r="AH5" s="463">
        <f>ROUND(AVERAGE(L5:L$23)/100,4)</f>
        <v>1.41E-2</v>
      </c>
    </row>
    <row r="6" spans="1:34" s="351" customFormat="1">
      <c r="A6" s="375" t="s">
        <v>2270</v>
      </c>
      <c r="B6" s="376">
        <f t="shared" ref="B6" si="12">B7*(1+N6)</f>
        <v>453.11529869999998</v>
      </c>
      <c r="C6" s="376">
        <f t="shared" ref="C6" si="13">C7*(1+O6)</f>
        <v>336.47787263999999</v>
      </c>
      <c r="D6" s="376">
        <f t="shared" ref="D6" si="14">C6</f>
        <v>336.47787263999999</v>
      </c>
      <c r="E6" s="376">
        <f t="shared" ref="E6" si="15">E7*(1+P6)</f>
        <v>647.35186824000004</v>
      </c>
      <c r="F6" s="376">
        <f t="shared" ref="F6" si="16">F7*(1+Q6)</f>
        <v>295.73229451999998</v>
      </c>
      <c r="G6" s="377"/>
      <c r="H6" s="378">
        <v>2</v>
      </c>
      <c r="I6" s="378">
        <v>1.49</v>
      </c>
      <c r="J6" s="378">
        <v>0.96</v>
      </c>
      <c r="K6" s="378">
        <v>1.58</v>
      </c>
      <c r="L6" s="408">
        <v>2.44</v>
      </c>
      <c r="M6" s="355"/>
      <c r="N6" s="409">
        <f t="shared" ref="N6" si="17">I6/100</f>
        <v>1.49E-2</v>
      </c>
      <c r="O6" s="410">
        <f t="shared" ref="O6" si="18">J6/100</f>
        <v>9.5999999999999992E-3</v>
      </c>
      <c r="P6" s="410">
        <f t="shared" ref="P6" si="19">K6/100</f>
        <v>1.5800000000000002E-2</v>
      </c>
      <c r="Q6" s="410">
        <f t="shared" ref="Q6" si="20">L6/100</f>
        <v>2.4400000000000002E-2</v>
      </c>
      <c r="R6" s="445"/>
      <c r="S6" s="409"/>
      <c r="T6" s="410"/>
      <c r="U6" s="410"/>
      <c r="V6" s="410"/>
      <c r="W6" s="446"/>
      <c r="X6" s="447">
        <f>ROUND(SUMPRODUCT(PRODUCT(1+N6:N$22)),4)</f>
        <v>1.4733000000000001</v>
      </c>
      <c r="Y6" s="447">
        <f>ROUND(SUMPRODUCT(PRODUCT(1+O6:O$22)),4)</f>
        <v>1.3052999999999999</v>
      </c>
      <c r="Z6" s="447">
        <f t="shared" ref="Z6" si="21">Y6</f>
        <v>1.3052999999999999</v>
      </c>
      <c r="AA6" s="447">
        <f>ROUND(SUMPRODUCT(PRODUCT(1+P6:P$22)),4)</f>
        <v>1.5306999999999999</v>
      </c>
      <c r="AB6" s="447">
        <f>ROUND(SUMPRODUCT(PRODUCT(1+Q6:Q$22)),4)</f>
        <v>1.2863</v>
      </c>
      <c r="AC6" s="446"/>
      <c r="AD6" s="464">
        <f>ROUND(AVERAGE(I6:I$23)/100,4)</f>
        <v>2.35E-2</v>
      </c>
      <c r="AE6" s="464">
        <f>ROUND(AVERAGE(J6:J$23)/100,4)</f>
        <v>1.6199999999999999E-2</v>
      </c>
      <c r="AF6" s="464">
        <f t="shared" ref="AF6" si="22">AE6</f>
        <v>1.6199999999999999E-2</v>
      </c>
      <c r="AG6" s="464">
        <f>ROUND(AVERAGE(K6:K$23)/100,4)</f>
        <v>2.5899999999999999E-2</v>
      </c>
      <c r="AH6" s="464">
        <f>ROUND(AVERAGE(L6:L$23)/100,4)</f>
        <v>1.49E-2</v>
      </c>
    </row>
    <row r="7" spans="1:34" s="351" customFormat="1">
      <c r="A7" s="375" t="s">
        <v>2271</v>
      </c>
      <c r="B7" s="376">
        <f t="shared" ref="B7" si="23">B8*(1+N7)</f>
        <v>446.46300000000002</v>
      </c>
      <c r="C7" s="376">
        <f t="shared" ref="C7" si="24">C8*(1+O7)</f>
        <v>333.27839999999998</v>
      </c>
      <c r="D7" s="376">
        <f t="shared" ref="D7:D8" si="25">C7</f>
        <v>333.27839999999998</v>
      </c>
      <c r="E7" s="376">
        <f t="shared" ref="E7" si="26">E8*(1+P7)</f>
        <v>637.28279999999995</v>
      </c>
      <c r="F7" s="376">
        <f t="shared" ref="F7" si="27">F8*(1+Q7)</f>
        <v>288.68830000000003</v>
      </c>
      <c r="G7" s="377"/>
      <c r="H7" s="378">
        <v>1</v>
      </c>
      <c r="I7" s="378">
        <v>1.7</v>
      </c>
      <c r="J7" s="378">
        <v>1.92</v>
      </c>
      <c r="K7" s="378">
        <v>1.64</v>
      </c>
      <c r="L7" s="408">
        <v>2.0099999999999998</v>
      </c>
      <c r="M7" s="355"/>
      <c r="N7" s="409">
        <f t="shared" ref="N7:N12" si="28">I7/100</f>
        <v>1.7000000000000001E-2</v>
      </c>
      <c r="O7" s="410">
        <f t="shared" ref="O7" si="29">J7/100</f>
        <v>1.9199999999999998E-2</v>
      </c>
      <c r="P7" s="410">
        <f t="shared" ref="P7" si="30">K7/100</f>
        <v>1.6400000000000001E-2</v>
      </c>
      <c r="Q7" s="410">
        <f t="shared" ref="Q7" si="31">L7/100</f>
        <v>2.01E-2</v>
      </c>
      <c r="R7" s="445"/>
      <c r="S7" s="409">
        <f>B7/B8-1</f>
        <v>1.6999999999999901E-2</v>
      </c>
      <c r="T7" s="410">
        <f t="shared" ref="T7" si="32">C7/C8-1</f>
        <v>1.9200000000000099E-2</v>
      </c>
      <c r="U7" s="410">
        <f t="shared" ref="U7" si="33">D7/D8-1</f>
        <v>1.9200000000000099E-2</v>
      </c>
      <c r="V7" s="410">
        <f t="shared" ref="V7" si="34">E7/E8-1</f>
        <v>1.6400000000000001E-2</v>
      </c>
      <c r="W7" s="446"/>
      <c r="X7" s="447">
        <f>ROUND(SUMPRODUCT(PRODUCT(1+N7:N$22)),4)</f>
        <v>1.4517</v>
      </c>
      <c r="Y7" s="447">
        <f>ROUND(SUMPRODUCT(PRODUCT(1+O7:O$22)),4)</f>
        <v>1.2928999999999999</v>
      </c>
      <c r="Z7" s="447">
        <f t="shared" ref="Z7" si="35">Y7</f>
        <v>1.2928999999999999</v>
      </c>
      <c r="AA7" s="447">
        <f>ROUND(SUMPRODUCT(PRODUCT(1+P7:P$22)),4)</f>
        <v>1.5068999999999999</v>
      </c>
      <c r="AB7" s="447">
        <f>ROUND(SUMPRODUCT(PRODUCT(1+Q7:Q$22)),4)</f>
        <v>1.2557</v>
      </c>
      <c r="AC7" s="446"/>
      <c r="AD7" s="464">
        <f>ROUND(AVERAGE(I7:I$23)/100,4)</f>
        <v>2.4E-2</v>
      </c>
      <c r="AE7" s="464">
        <f>ROUND(AVERAGE(J7:J$23)/100,4)</f>
        <v>1.66E-2</v>
      </c>
      <c r="AF7" s="464">
        <f t="shared" ref="AF7" si="36">AE7</f>
        <v>1.66E-2</v>
      </c>
      <c r="AG7" s="464">
        <f>ROUND(AVERAGE(K7:K$23)/100,4)</f>
        <v>2.6499999999999999E-2</v>
      </c>
      <c r="AH7" s="464">
        <f>ROUND(AVERAGE(L7:L$23)/100,4)</f>
        <v>1.43E-2</v>
      </c>
    </row>
    <row r="8" spans="1:34">
      <c r="A8" s="375" t="s">
        <v>2272</v>
      </c>
      <c r="B8" s="379">
        <v>439</v>
      </c>
      <c r="C8" s="379">
        <v>327</v>
      </c>
      <c r="D8" s="379">
        <f t="shared" si="25"/>
        <v>327</v>
      </c>
      <c r="E8" s="379">
        <v>627</v>
      </c>
      <c r="F8" s="380">
        <v>283</v>
      </c>
      <c r="G8" s="373">
        <v>2017</v>
      </c>
      <c r="H8" s="381">
        <v>4</v>
      </c>
      <c r="I8" s="381">
        <v>1.71</v>
      </c>
      <c r="J8" s="381">
        <v>1.78</v>
      </c>
      <c r="K8" s="381">
        <v>1.71</v>
      </c>
      <c r="L8" s="411">
        <v>1.43</v>
      </c>
      <c r="N8" s="409">
        <f t="shared" si="28"/>
        <v>1.7100000000000001E-2</v>
      </c>
      <c r="O8" s="410">
        <f t="shared" ref="O8" si="37">J8/100</f>
        <v>1.78E-2</v>
      </c>
      <c r="P8" s="410">
        <f t="shared" ref="P8" si="38">K8/100</f>
        <v>1.7100000000000001E-2</v>
      </c>
      <c r="Q8" s="410">
        <f t="shared" ref="Q8" si="39">L8/100</f>
        <v>1.43E-2</v>
      </c>
      <c r="R8" s="445"/>
      <c r="S8" s="448"/>
      <c r="T8" s="449"/>
      <c r="U8" s="449"/>
      <c r="V8" s="449"/>
      <c r="X8" s="440">
        <f>ROUND(SUMPRODUCT(PRODUCT(1+N8:N$22)),4)</f>
        <v>1.4274</v>
      </c>
      <c r="Y8" s="440">
        <f>ROUND(SUMPRODUCT(PRODUCT(1+O8:O$22)),4)</f>
        <v>1.2685</v>
      </c>
      <c r="Z8" s="440">
        <f t="shared" si="0"/>
        <v>1.2685</v>
      </c>
      <c r="AA8" s="440">
        <f>ROUND(SUMPRODUCT(PRODUCT(1+P8:P$22)),4)</f>
        <v>1.4825999999999999</v>
      </c>
      <c r="AB8" s="440">
        <f>ROUND(SUMPRODUCT(PRODUCT(1+Q8:Q$22)),4)</f>
        <v>1.2309000000000001</v>
      </c>
      <c r="AD8" s="457">
        <f>ROUND(AVERAGE(I8:I$23)/100,4)</f>
        <v>2.4500000000000001E-2</v>
      </c>
      <c r="AE8" s="457">
        <f>ROUND(AVERAGE(J8:J$23)/100,4)</f>
        <v>1.6500000000000001E-2</v>
      </c>
      <c r="AF8" s="457">
        <f t="shared" si="1"/>
        <v>1.6500000000000001E-2</v>
      </c>
      <c r="AG8" s="457">
        <f>ROUND(AVERAGE(K8:K$23)/100,4)</f>
        <v>2.7099999999999999E-2</v>
      </c>
      <c r="AH8" s="457">
        <f>ROUND(AVERAGE(L8:L$23)/100,4)</f>
        <v>1.3899999999999999E-2</v>
      </c>
    </row>
    <row r="9" spans="1:34" s="351" customFormat="1">
      <c r="A9" s="375" t="s">
        <v>2273</v>
      </c>
      <c r="B9" s="376">
        <f t="shared" ref="B9:B11" si="40">B10*(1+N9)</f>
        <v>431.80730811680002</v>
      </c>
      <c r="C9" s="376">
        <f t="shared" ref="C9:C11" si="41">C10*(1+O9)</f>
        <v>320.57880516479997</v>
      </c>
      <c r="D9" s="376">
        <f t="shared" ref="D9:D12" si="42">C9</f>
        <v>320.57880516479997</v>
      </c>
      <c r="E9" s="376">
        <f t="shared" ref="E9:E11" si="43">E10*(1+P9)</f>
        <v>615.96110553196797</v>
      </c>
      <c r="F9" s="376">
        <f t="shared" ref="F9:F11" si="44">F10*(1+Q9)</f>
        <v>279.46777300108801</v>
      </c>
      <c r="G9" s="382"/>
      <c r="H9" s="378">
        <v>3</v>
      </c>
      <c r="I9" s="378">
        <v>2.98</v>
      </c>
      <c r="J9" s="378">
        <v>2.11</v>
      </c>
      <c r="K9" s="378">
        <v>3.24</v>
      </c>
      <c r="L9" s="408">
        <v>1.72</v>
      </c>
      <c r="M9" s="355"/>
      <c r="N9" s="409">
        <f t="shared" si="28"/>
        <v>2.98E-2</v>
      </c>
      <c r="O9" s="410">
        <f t="shared" ref="O9" si="45">J9/100</f>
        <v>2.1100000000000001E-2</v>
      </c>
      <c r="P9" s="410">
        <f t="shared" ref="P9" si="46">K9/100</f>
        <v>3.2399999999999998E-2</v>
      </c>
      <c r="Q9" s="410">
        <f t="shared" ref="Q9" si="47">L9/100</f>
        <v>1.72E-2</v>
      </c>
      <c r="R9" s="445"/>
      <c r="S9" s="409"/>
      <c r="T9" s="410"/>
      <c r="U9" s="410"/>
      <c r="V9" s="410"/>
      <c r="W9" s="446"/>
      <c r="X9" s="447">
        <f>ROUND(SUMPRODUCT(PRODUCT(1+N9:N$22)),4)</f>
        <v>1.4034</v>
      </c>
      <c r="Y9" s="447">
        <f>ROUND(SUMPRODUCT(PRODUCT(1+O9:O$22)),4)</f>
        <v>1.2463</v>
      </c>
      <c r="Z9" s="447">
        <f t="shared" si="0"/>
        <v>1.2463</v>
      </c>
      <c r="AA9" s="447">
        <f>ROUND(SUMPRODUCT(PRODUCT(1+P9:P$22)),4)</f>
        <v>1.4577</v>
      </c>
      <c r="AB9" s="447">
        <f>ROUND(SUMPRODUCT(PRODUCT(1+Q9:Q$22)),4)</f>
        <v>1.2136</v>
      </c>
      <c r="AC9" s="446"/>
      <c r="AD9" s="464">
        <f>ROUND(AVERAGE(I9:I$23)/100,4)</f>
        <v>2.4899999999999999E-2</v>
      </c>
      <c r="AE9" s="464">
        <f>ROUND(AVERAGE(J9:J$23)/100,4)</f>
        <v>1.6400000000000001E-2</v>
      </c>
      <c r="AF9" s="464">
        <f t="shared" si="1"/>
        <v>1.6400000000000001E-2</v>
      </c>
      <c r="AG9" s="464">
        <f>ROUND(AVERAGE(K9:K$23)/100,4)</f>
        <v>2.7799999999999998E-2</v>
      </c>
      <c r="AH9" s="464">
        <f>ROUND(AVERAGE(L9:L$23)/100,4)</f>
        <v>1.3899999999999999E-2</v>
      </c>
    </row>
    <row r="10" spans="1:34" s="350" customFormat="1">
      <c r="A10" s="375" t="s">
        <v>2274</v>
      </c>
      <c r="B10" s="376">
        <f t="shared" si="40"/>
        <v>419.31181600000002</v>
      </c>
      <c r="C10" s="376">
        <f t="shared" si="41"/>
        <v>313.95436799999999</v>
      </c>
      <c r="D10" s="376">
        <f t="shared" si="42"/>
        <v>313.95436799999999</v>
      </c>
      <c r="E10" s="376">
        <f t="shared" si="43"/>
        <v>596.63028431999999</v>
      </c>
      <c r="F10" s="376">
        <f t="shared" si="44"/>
        <v>274.74220703999998</v>
      </c>
      <c r="G10" s="383"/>
      <c r="H10" s="384">
        <v>2</v>
      </c>
      <c r="I10" s="384">
        <v>3.4</v>
      </c>
      <c r="J10" s="384">
        <v>2</v>
      </c>
      <c r="K10" s="384">
        <v>3.82</v>
      </c>
      <c r="L10" s="412">
        <v>1.68</v>
      </c>
      <c r="M10" s="355"/>
      <c r="N10" s="409">
        <f t="shared" si="28"/>
        <v>3.4000000000000002E-2</v>
      </c>
      <c r="O10" s="410">
        <f t="shared" ref="O10" si="48">J10/100</f>
        <v>0.02</v>
      </c>
      <c r="P10" s="410">
        <f t="shared" ref="P10" si="49">K10/100</f>
        <v>3.8199999999999998E-2</v>
      </c>
      <c r="Q10" s="410">
        <f t="shared" ref="Q10" si="50">L10/100</f>
        <v>1.6799999999999999E-2</v>
      </c>
      <c r="R10" s="445"/>
      <c r="S10" s="448"/>
      <c r="T10" s="449"/>
      <c r="U10" s="449"/>
      <c r="V10" s="449"/>
      <c r="W10" s="349"/>
      <c r="X10" s="447">
        <f>ROUND(SUMPRODUCT(PRODUCT(1+N10:N$22)),4)</f>
        <v>1.3628</v>
      </c>
      <c r="Y10" s="447">
        <f>ROUND(SUMPRODUCT(PRODUCT(1+O10:O$22)),4)</f>
        <v>1.2205999999999999</v>
      </c>
      <c r="Z10" s="447">
        <f t="shared" si="0"/>
        <v>1.2205999999999999</v>
      </c>
      <c r="AA10" s="447">
        <f>ROUND(SUMPRODUCT(PRODUCT(1+P10:P$22)),4)</f>
        <v>1.4118999999999999</v>
      </c>
      <c r="AB10" s="447">
        <f>ROUND(SUMPRODUCT(PRODUCT(1+Q10:Q$22)),4)</f>
        <v>1.1930000000000001</v>
      </c>
      <c r="AC10" s="349"/>
      <c r="AD10" s="464">
        <f>ROUND(AVERAGE(I10:I$23)/100,4)</f>
        <v>2.46E-2</v>
      </c>
      <c r="AE10" s="464">
        <f>ROUND(AVERAGE(J10:J$23)/100,4)</f>
        <v>1.6E-2</v>
      </c>
      <c r="AF10" s="464">
        <f t="shared" si="1"/>
        <v>1.6E-2</v>
      </c>
      <c r="AG10" s="464">
        <f>ROUND(AVERAGE(K10:K$23)/100,4)</f>
        <v>2.75E-2</v>
      </c>
      <c r="AH10" s="464">
        <f>ROUND(AVERAGE(L10:L$23)/100,4)</f>
        <v>1.37E-2</v>
      </c>
    </row>
    <row r="11" spans="1:34" s="351" customFormat="1">
      <c r="A11" s="375" t="s">
        <v>2275</v>
      </c>
      <c r="B11" s="376">
        <f t="shared" si="40"/>
        <v>405.524</v>
      </c>
      <c r="C11" s="376">
        <f t="shared" si="41"/>
        <v>307.79840000000002</v>
      </c>
      <c r="D11" s="376">
        <f t="shared" si="42"/>
        <v>307.79840000000002</v>
      </c>
      <c r="E11" s="376">
        <f t="shared" si="43"/>
        <v>574.67759999999998</v>
      </c>
      <c r="F11" s="376">
        <f t="shared" si="44"/>
        <v>270.20280000000002</v>
      </c>
      <c r="G11" s="382"/>
      <c r="H11" s="378">
        <v>1</v>
      </c>
      <c r="I11" s="378">
        <v>3.45</v>
      </c>
      <c r="J11" s="378">
        <v>1.92</v>
      </c>
      <c r="K11" s="378">
        <v>3.92</v>
      </c>
      <c r="L11" s="408">
        <v>1.58</v>
      </c>
      <c r="M11" s="355"/>
      <c r="N11" s="409">
        <f t="shared" si="28"/>
        <v>3.4500000000000003E-2</v>
      </c>
      <c r="O11" s="410">
        <f t="shared" ref="O11:Q26" si="51">J11/100</f>
        <v>1.9199999999999998E-2</v>
      </c>
      <c r="P11" s="410">
        <f t="shared" si="51"/>
        <v>3.9199999999999999E-2</v>
      </c>
      <c r="Q11" s="410">
        <f t="shared" si="51"/>
        <v>1.5800000000000002E-2</v>
      </c>
      <c r="R11" s="445"/>
      <c r="S11" s="409">
        <f>B11/B12-1</f>
        <v>3.4500000000000003E-2</v>
      </c>
      <c r="T11" s="410">
        <f t="shared" ref="T11:V11" si="52">C11/C12-1</f>
        <v>1.9200000000000099E-2</v>
      </c>
      <c r="U11" s="410">
        <f t="shared" si="52"/>
        <v>1.9200000000000099E-2</v>
      </c>
      <c r="V11" s="410">
        <f t="shared" si="52"/>
        <v>3.9199999999999902E-2</v>
      </c>
      <c r="W11" s="446"/>
      <c r="X11" s="447">
        <f>ROUND(SUMPRODUCT(PRODUCT(1+N11:N$22)),4)</f>
        <v>1.3180000000000001</v>
      </c>
      <c r="Y11" s="447">
        <f>ROUND(SUMPRODUCT(PRODUCT(1+O11:O$22)),4)</f>
        <v>1.1966000000000001</v>
      </c>
      <c r="Z11" s="447">
        <f t="shared" si="0"/>
        <v>1.1966000000000001</v>
      </c>
      <c r="AA11" s="447">
        <f>ROUND(SUMPRODUCT(PRODUCT(1+P11:P$22)),4)</f>
        <v>1.36</v>
      </c>
      <c r="AB11" s="447">
        <f>ROUND(SUMPRODUCT(PRODUCT(1+Q11:Q$22)),4)</f>
        <v>1.1733</v>
      </c>
      <c r="AC11" s="446"/>
      <c r="AD11" s="464">
        <f>ROUND(AVERAGE(I11:I$23)/100,4)</f>
        <v>2.3900000000000001E-2</v>
      </c>
      <c r="AE11" s="464">
        <f>ROUND(AVERAGE(J11:J$23)/100,4)</f>
        <v>1.5699999999999999E-2</v>
      </c>
      <c r="AF11" s="464">
        <f t="shared" si="1"/>
        <v>1.5699999999999999E-2</v>
      </c>
      <c r="AG11" s="464">
        <f>ROUND(AVERAGE(K11:K$23)/100,4)</f>
        <v>2.6599999999999999E-2</v>
      </c>
      <c r="AH11" s="464">
        <f>ROUND(AVERAGE(L11:L$23)/100,4)</f>
        <v>1.34E-2</v>
      </c>
    </row>
    <row r="12" spans="1:34">
      <c r="A12" s="375" t="s">
        <v>2276</v>
      </c>
      <c r="B12" s="379">
        <v>392</v>
      </c>
      <c r="C12" s="379">
        <v>302</v>
      </c>
      <c r="D12" s="379">
        <f t="shared" si="42"/>
        <v>302</v>
      </c>
      <c r="E12" s="379">
        <v>553</v>
      </c>
      <c r="F12" s="380">
        <v>266</v>
      </c>
      <c r="G12" s="3587">
        <v>2016</v>
      </c>
      <c r="H12" s="381">
        <v>4</v>
      </c>
      <c r="I12" s="381">
        <v>4.5599999999999996</v>
      </c>
      <c r="J12" s="381">
        <v>2.15</v>
      </c>
      <c r="K12" s="381">
        <v>5.32</v>
      </c>
      <c r="L12" s="411">
        <v>1.57</v>
      </c>
      <c r="N12" s="409">
        <f t="shared" si="28"/>
        <v>4.5600000000000002E-2</v>
      </c>
      <c r="O12" s="410">
        <f t="shared" si="51"/>
        <v>2.1499999999999998E-2</v>
      </c>
      <c r="P12" s="410">
        <f t="shared" si="51"/>
        <v>5.3199999999999997E-2</v>
      </c>
      <c r="Q12" s="410">
        <f t="shared" si="51"/>
        <v>1.5699999999999999E-2</v>
      </c>
      <c r="R12" s="445"/>
      <c r="S12" s="448"/>
      <c r="T12" s="449"/>
      <c r="U12" s="449"/>
      <c r="V12" s="449"/>
      <c r="X12" s="440">
        <f>ROUND(SUMPRODUCT(PRODUCT(1+N12:N$22)),4)</f>
        <v>1.274</v>
      </c>
      <c r="Y12" s="440">
        <f>ROUND(SUMPRODUCT(PRODUCT(1+O12:O$22)),4)</f>
        <v>1.1740999999999999</v>
      </c>
      <c r="Z12" s="440">
        <f t="shared" si="0"/>
        <v>1.1740999999999999</v>
      </c>
      <c r="AA12" s="440">
        <f>ROUND(SUMPRODUCT(PRODUCT(1+P12:P$22)),4)</f>
        <v>1.3087</v>
      </c>
      <c r="AB12" s="440">
        <f>ROUND(SUMPRODUCT(PRODUCT(1+Q12:Q$22)),4)</f>
        <v>1.1551</v>
      </c>
      <c r="AD12" s="457">
        <f>ROUND(AVERAGE(I12:I$23)/100,4)</f>
        <v>2.3E-2</v>
      </c>
      <c r="AE12" s="457">
        <f>ROUND(AVERAGE(J12:J$23)/100,4)</f>
        <v>1.55E-2</v>
      </c>
      <c r="AF12" s="457">
        <f t="shared" si="1"/>
        <v>1.55E-2</v>
      </c>
      <c r="AG12" s="457">
        <f>ROUND(AVERAGE(K12:K$23)/100,4)</f>
        <v>2.5600000000000001E-2</v>
      </c>
      <c r="AH12" s="457">
        <f>ROUND(AVERAGE(L12:L$23)/100,4)</f>
        <v>1.32E-2</v>
      </c>
    </row>
    <row r="13" spans="1:34">
      <c r="A13" s="375" t="s">
        <v>2277</v>
      </c>
      <c r="B13" s="376">
        <f t="shared" ref="B13:C15" si="53">B12/(1+N12)</f>
        <v>374.90436113236399</v>
      </c>
      <c r="C13" s="376">
        <f t="shared" si="53"/>
        <v>295.64366128242801</v>
      </c>
      <c r="D13" s="376">
        <f t="shared" ref="D13:D72" si="54">C13</f>
        <v>295.64366128242801</v>
      </c>
      <c r="E13" s="376">
        <f t="shared" ref="E13:F15" si="55">E12/(1+P12)</f>
        <v>525.06646410938095</v>
      </c>
      <c r="F13" s="376">
        <f t="shared" si="55"/>
        <v>261.88835286009601</v>
      </c>
      <c r="G13" s="3588"/>
      <c r="H13" s="378">
        <v>3</v>
      </c>
      <c r="I13" s="378">
        <v>4.12</v>
      </c>
      <c r="J13" s="378">
        <v>2</v>
      </c>
      <c r="K13" s="378">
        <v>4.79</v>
      </c>
      <c r="L13" s="408">
        <v>1.97</v>
      </c>
      <c r="N13" s="409">
        <f t="shared" ref="N13:Q47" si="56">I13/100</f>
        <v>4.1200000000000001E-2</v>
      </c>
      <c r="O13" s="410">
        <f t="shared" si="51"/>
        <v>0.02</v>
      </c>
      <c r="P13" s="410">
        <f t="shared" si="51"/>
        <v>4.7899999999999998E-2</v>
      </c>
      <c r="Q13" s="410">
        <f t="shared" si="51"/>
        <v>1.9699999999999999E-2</v>
      </c>
      <c r="R13" s="445"/>
      <c r="S13" s="409"/>
      <c r="T13" s="410"/>
      <c r="U13" s="410"/>
      <c r="V13" s="410"/>
      <c r="X13" s="440">
        <f>ROUND(SUMPRODUCT(PRODUCT(1+N13:N$22)),4)</f>
        <v>1.2184999999999999</v>
      </c>
      <c r="Y13" s="440">
        <f>ROUND(SUMPRODUCT(PRODUCT(1+O13:O$22)),4)</f>
        <v>1.1494</v>
      </c>
      <c r="Z13" s="440">
        <f t="shared" si="0"/>
        <v>1.1494</v>
      </c>
      <c r="AA13" s="440">
        <f>ROUND(SUMPRODUCT(PRODUCT(1+P13:P$22)),4)</f>
        <v>1.2425999999999999</v>
      </c>
      <c r="AB13" s="440">
        <f>ROUND(SUMPRODUCT(PRODUCT(1+Q13:Q$22)),4)</f>
        <v>1.1372</v>
      </c>
      <c r="AD13" s="457">
        <f>ROUND(AVERAGE(I13:I$23)/100,4)</f>
        <v>2.0899999999999998E-2</v>
      </c>
      <c r="AE13" s="457">
        <f>ROUND(AVERAGE(J13:J$23)/100,4)</f>
        <v>1.49E-2</v>
      </c>
      <c r="AF13" s="457">
        <f t="shared" si="1"/>
        <v>1.49E-2</v>
      </c>
      <c r="AG13" s="457">
        <f>ROUND(AVERAGE(K13:K$23)/100,4)</f>
        <v>2.3099999999999999E-2</v>
      </c>
      <c r="AH13" s="457">
        <f>ROUND(AVERAGE(L13:L$23)/100,4)</f>
        <v>1.2999999999999999E-2</v>
      </c>
    </row>
    <row r="14" spans="1:34">
      <c r="A14" s="375" t="s">
        <v>2278</v>
      </c>
      <c r="B14" s="376">
        <f t="shared" si="53"/>
        <v>360.06949782209398</v>
      </c>
      <c r="C14" s="376">
        <f t="shared" si="53"/>
        <v>289.84672674747799</v>
      </c>
      <c r="D14" s="376">
        <f t="shared" si="54"/>
        <v>289.84672674747799</v>
      </c>
      <c r="E14" s="376">
        <f t="shared" si="55"/>
        <v>501.06543001181501</v>
      </c>
      <c r="F14" s="376">
        <f t="shared" si="55"/>
        <v>256.82882500745001</v>
      </c>
      <c r="G14" s="3588"/>
      <c r="H14" s="384">
        <v>2</v>
      </c>
      <c r="I14" s="384">
        <v>3.85</v>
      </c>
      <c r="J14" s="384">
        <v>1.95</v>
      </c>
      <c r="K14" s="384">
        <v>4.4800000000000004</v>
      </c>
      <c r="L14" s="412">
        <v>1.41</v>
      </c>
      <c r="N14" s="409">
        <f t="shared" si="56"/>
        <v>3.85E-2</v>
      </c>
      <c r="O14" s="410">
        <f t="shared" si="51"/>
        <v>1.95E-2</v>
      </c>
      <c r="P14" s="410">
        <f t="shared" si="51"/>
        <v>4.48E-2</v>
      </c>
      <c r="Q14" s="410">
        <f t="shared" si="51"/>
        <v>1.41E-2</v>
      </c>
      <c r="R14" s="445"/>
      <c r="S14" s="409"/>
      <c r="T14" s="410"/>
      <c r="U14" s="410"/>
      <c r="V14" s="410"/>
      <c r="X14" s="440">
        <f>ROUND(SUMPRODUCT(PRODUCT(1+N14:N$22)),4)</f>
        <v>1.1702999999999999</v>
      </c>
      <c r="Y14" s="440">
        <f>ROUND(SUMPRODUCT(PRODUCT(1+O14:O$22)),4)</f>
        <v>1.1269</v>
      </c>
      <c r="Z14" s="440">
        <f t="shared" si="0"/>
        <v>1.1269</v>
      </c>
      <c r="AA14" s="440">
        <f>ROUND(SUMPRODUCT(PRODUCT(1+P14:P$22)),4)</f>
        <v>1.1858</v>
      </c>
      <c r="AB14" s="440">
        <f>ROUND(SUMPRODUCT(PRODUCT(1+Q14:Q$22)),4)</f>
        <v>1.1152</v>
      </c>
      <c r="AD14" s="457">
        <f>ROUND(AVERAGE(I14:I$23)/100,4)</f>
        <v>1.89E-2</v>
      </c>
      <c r="AE14" s="457">
        <f>ROUND(AVERAGE(J14:J$23)/100,4)</f>
        <v>1.44E-2</v>
      </c>
      <c r="AF14" s="457">
        <f t="shared" si="1"/>
        <v>1.44E-2</v>
      </c>
      <c r="AG14" s="457">
        <f>ROUND(AVERAGE(K14:K$23)/100,4)</f>
        <v>2.06E-2</v>
      </c>
      <c r="AH14" s="457">
        <f>ROUND(AVERAGE(L14:L$23)/100,4)</f>
        <v>1.23E-2</v>
      </c>
    </row>
    <row r="15" spans="1:34">
      <c r="A15" s="375" t="s">
        <v>2279</v>
      </c>
      <c r="B15" s="376">
        <f t="shared" si="53"/>
        <v>346.720748986128</v>
      </c>
      <c r="C15" s="376">
        <f t="shared" si="53"/>
        <v>284.30282172386302</v>
      </c>
      <c r="D15" s="376">
        <f t="shared" si="54"/>
        <v>284.30282172386302</v>
      </c>
      <c r="E15" s="376">
        <f t="shared" si="55"/>
        <v>479.58023546306902</v>
      </c>
      <c r="F15" s="376">
        <f t="shared" si="55"/>
        <v>253.25788877571199</v>
      </c>
      <c r="G15" s="3589"/>
      <c r="H15" s="378">
        <v>1</v>
      </c>
      <c r="I15" s="378">
        <v>4.09</v>
      </c>
      <c r="J15" s="378">
        <v>2.93</v>
      </c>
      <c r="K15" s="378">
        <v>4.54</v>
      </c>
      <c r="L15" s="408">
        <v>1.48</v>
      </c>
      <c r="N15" s="409">
        <f t="shared" si="56"/>
        <v>4.0899999999999999E-2</v>
      </c>
      <c r="O15" s="410">
        <f t="shared" si="51"/>
        <v>2.93E-2</v>
      </c>
      <c r="P15" s="410">
        <f t="shared" si="51"/>
        <v>4.5400000000000003E-2</v>
      </c>
      <c r="Q15" s="410">
        <f t="shared" si="51"/>
        <v>1.4800000000000001E-2</v>
      </c>
      <c r="R15" s="445"/>
      <c r="S15" s="418">
        <f>B15/B16-1</f>
        <v>4.1203450408792801E-2</v>
      </c>
      <c r="T15" s="419">
        <f>C15/C16-1</f>
        <v>2.6363977342465102E-2</v>
      </c>
      <c r="U15" s="419">
        <f>E15/E16-1</f>
        <v>4.4837114298626399E-2</v>
      </c>
      <c r="V15" s="419">
        <f>F15/F16-1</f>
        <v>1.7099954922538602E-2</v>
      </c>
      <c r="X15" s="440">
        <f>ROUND(SUMPRODUCT(PRODUCT(1+N15:N$22)),4)</f>
        <v>1.1269</v>
      </c>
      <c r="Y15" s="440">
        <f>ROUND(SUMPRODUCT(PRODUCT(1+O15:O$22)),4)</f>
        <v>1.1052999999999999</v>
      </c>
      <c r="Z15" s="440">
        <f t="shared" si="0"/>
        <v>1.1052999999999999</v>
      </c>
      <c r="AA15" s="440">
        <f>ROUND(SUMPRODUCT(PRODUCT(1+P15:P$22)),4)</f>
        <v>1.1349</v>
      </c>
      <c r="AB15" s="440">
        <f>ROUND(SUMPRODUCT(PRODUCT(1+Q15:Q$22)),4)</f>
        <v>1.0996999999999999</v>
      </c>
      <c r="AD15" s="457">
        <f>ROUND(AVERAGE(I15:I$23)/100,4)</f>
        <v>1.67E-2</v>
      </c>
      <c r="AE15" s="457">
        <f>ROUND(AVERAGE(J15:J$23)/100,4)</f>
        <v>1.38E-2</v>
      </c>
      <c r="AF15" s="457">
        <f t="shared" si="1"/>
        <v>1.38E-2</v>
      </c>
      <c r="AG15" s="457">
        <f>ROUND(AVERAGE(K15:K$23)/100,4)</f>
        <v>1.7899999999999999E-2</v>
      </c>
      <c r="AH15" s="457">
        <f>ROUND(AVERAGE(L15:L$23)/100,4)</f>
        <v>1.21E-2</v>
      </c>
    </row>
    <row r="16" spans="1:34">
      <c r="A16" s="375" t="s">
        <v>2280</v>
      </c>
      <c r="B16" s="379">
        <v>333</v>
      </c>
      <c r="C16" s="379">
        <v>277</v>
      </c>
      <c r="D16" s="379">
        <f t="shared" si="54"/>
        <v>277</v>
      </c>
      <c r="E16" s="379">
        <v>459</v>
      </c>
      <c r="F16" s="380">
        <v>249</v>
      </c>
      <c r="G16" s="3590">
        <v>2015</v>
      </c>
      <c r="H16" s="385">
        <v>4</v>
      </c>
      <c r="I16" s="385">
        <v>1.63</v>
      </c>
      <c r="J16" s="385">
        <v>1.1100000000000001</v>
      </c>
      <c r="K16" s="385">
        <v>1.77</v>
      </c>
      <c r="L16" s="413">
        <v>1.89</v>
      </c>
      <c r="N16" s="414">
        <f t="shared" si="56"/>
        <v>1.6299999999999999E-2</v>
      </c>
      <c r="O16" s="415">
        <f t="shared" si="51"/>
        <v>1.11E-2</v>
      </c>
      <c r="P16" s="415">
        <f t="shared" si="51"/>
        <v>1.77E-2</v>
      </c>
      <c r="Q16" s="415">
        <f t="shared" si="51"/>
        <v>1.89E-2</v>
      </c>
      <c r="R16" s="445"/>
      <c r="X16" s="440">
        <f>ROUND(SUMPRODUCT(PRODUCT(1+N16:N$22)),4)</f>
        <v>1.0826</v>
      </c>
      <c r="Y16" s="440">
        <f>ROUND(SUMPRODUCT(PRODUCT(1+O16:O$22)),4)</f>
        <v>1.0738000000000001</v>
      </c>
      <c r="Z16" s="440">
        <f t="shared" si="0"/>
        <v>1.0738000000000001</v>
      </c>
      <c r="AA16" s="440">
        <f>ROUND(SUMPRODUCT(PRODUCT(1+P16:P$22)),4)</f>
        <v>1.0855999999999999</v>
      </c>
      <c r="AB16" s="440">
        <f>ROUND(SUMPRODUCT(PRODUCT(1+Q16:Q$22)),4)</f>
        <v>1.0837000000000001</v>
      </c>
      <c r="AD16" s="457">
        <f>ROUND(AVERAGE(I16:I$23)/100,4)</f>
        <v>1.37E-2</v>
      </c>
      <c r="AE16" s="457">
        <f>ROUND(AVERAGE(J16:J$23)/100,4)</f>
        <v>1.1900000000000001E-2</v>
      </c>
      <c r="AF16" s="457">
        <f t="shared" si="1"/>
        <v>1.1900000000000001E-2</v>
      </c>
      <c r="AG16" s="457">
        <f>ROUND(AVERAGE(K16:K$23)/100,4)</f>
        <v>1.4500000000000001E-2</v>
      </c>
      <c r="AH16" s="457">
        <f>ROUND(AVERAGE(L16:L$23)/100,4)</f>
        <v>1.18E-2</v>
      </c>
    </row>
    <row r="17" spans="1:34">
      <c r="A17" s="375" t="s">
        <v>2281</v>
      </c>
      <c r="B17" s="376">
        <f t="shared" ref="B17:C19" si="57">B16/(1+N16)</f>
        <v>327.65915576109398</v>
      </c>
      <c r="C17" s="376">
        <f t="shared" si="57"/>
        <v>273.959054495104</v>
      </c>
      <c r="D17" s="376">
        <f t="shared" si="54"/>
        <v>273.959054495104</v>
      </c>
      <c r="E17" s="376">
        <f t="shared" ref="E17:F19" si="58">E16/(1+P16)</f>
        <v>451.01699911565299</v>
      </c>
      <c r="F17" s="376">
        <f t="shared" si="58"/>
        <v>244.381195406811</v>
      </c>
      <c r="G17" s="3588"/>
      <c r="H17" s="386">
        <v>3</v>
      </c>
      <c r="I17" s="386">
        <v>1.65</v>
      </c>
      <c r="J17" s="386">
        <v>0.92</v>
      </c>
      <c r="K17" s="386">
        <v>1.88</v>
      </c>
      <c r="L17" s="416">
        <v>1.26</v>
      </c>
      <c r="N17" s="409">
        <f t="shared" si="56"/>
        <v>1.6500000000000001E-2</v>
      </c>
      <c r="O17" s="417">
        <f t="shared" si="51"/>
        <v>9.1999999999999998E-3</v>
      </c>
      <c r="P17" s="417">
        <f t="shared" si="51"/>
        <v>1.8800000000000001E-2</v>
      </c>
      <c r="Q17" s="417">
        <f t="shared" si="51"/>
        <v>1.26E-2</v>
      </c>
      <c r="R17" s="445"/>
      <c r="S17" s="409"/>
      <c r="T17" s="410"/>
      <c r="U17" s="410"/>
      <c r="V17" s="410"/>
      <c r="X17" s="440">
        <f>ROUND(SUMPRODUCT(PRODUCT(1+N17:N$22)),4)</f>
        <v>1.0651999999999999</v>
      </c>
      <c r="Y17" s="440">
        <f>ROUND(SUMPRODUCT(PRODUCT(1+O17:O$22)),4)</f>
        <v>1.0621</v>
      </c>
      <c r="Z17" s="440">
        <f t="shared" si="0"/>
        <v>1.0621</v>
      </c>
      <c r="AA17" s="440">
        <f>ROUND(SUMPRODUCT(PRODUCT(1+P17:P$22)),4)</f>
        <v>1.0668</v>
      </c>
      <c r="AB17" s="440">
        <f>ROUND(SUMPRODUCT(PRODUCT(1+Q17:Q$22)),4)</f>
        <v>1.0636000000000001</v>
      </c>
      <c r="AD17" s="457">
        <f>ROUND(AVERAGE(I17:I$23)/100,4)</f>
        <v>1.3299999999999999E-2</v>
      </c>
      <c r="AE17" s="457">
        <f>ROUND(AVERAGE(J17:J$23)/100,4)</f>
        <v>1.2E-2</v>
      </c>
      <c r="AF17" s="457">
        <f t="shared" si="1"/>
        <v>1.2E-2</v>
      </c>
      <c r="AG17" s="457">
        <f>ROUND(AVERAGE(K17:K$23)/100,4)</f>
        <v>1.4E-2</v>
      </c>
      <c r="AH17" s="457">
        <f>ROUND(AVERAGE(L17:L$23)/100,4)</f>
        <v>1.0800000000000001E-2</v>
      </c>
    </row>
    <row r="18" spans="1:34">
      <c r="A18" s="375" t="s">
        <v>2282</v>
      </c>
      <c r="B18" s="376">
        <f t="shared" si="57"/>
        <v>322.34053690220799</v>
      </c>
      <c r="C18" s="376">
        <f t="shared" si="57"/>
        <v>271.461607704225</v>
      </c>
      <c r="D18" s="376">
        <f t="shared" si="54"/>
        <v>271.461607704225</v>
      </c>
      <c r="E18" s="376">
        <f t="shared" si="58"/>
        <v>442.69434542172502</v>
      </c>
      <c r="F18" s="376">
        <f t="shared" si="58"/>
        <v>241.34030753190899</v>
      </c>
      <c r="G18" s="3588"/>
      <c r="H18" s="384">
        <v>2</v>
      </c>
      <c r="I18" s="384">
        <v>0.77</v>
      </c>
      <c r="J18" s="384">
        <v>0.69</v>
      </c>
      <c r="K18" s="384">
        <v>0.8</v>
      </c>
      <c r="L18" s="412">
        <v>0.88</v>
      </c>
      <c r="N18" s="409">
        <f t="shared" si="56"/>
        <v>7.7000000000000002E-3</v>
      </c>
      <c r="O18" s="417">
        <f t="shared" si="51"/>
        <v>6.8999999999999999E-3</v>
      </c>
      <c r="P18" s="417">
        <f t="shared" si="51"/>
        <v>8.0000000000000002E-3</v>
      </c>
      <c r="Q18" s="417">
        <f t="shared" si="51"/>
        <v>8.8000000000000005E-3</v>
      </c>
      <c r="R18" s="445"/>
      <c r="S18" s="409"/>
      <c r="T18" s="410"/>
      <c r="U18" s="410"/>
      <c r="V18" s="410"/>
      <c r="X18" s="440">
        <f>ROUND(SUMPRODUCT(PRODUCT(1+N18:N$22)),4)</f>
        <v>1.048</v>
      </c>
      <c r="Y18" s="440">
        <f>ROUND(SUMPRODUCT(PRODUCT(1+O18:O$22)),4)</f>
        <v>1.0524</v>
      </c>
      <c r="Z18" s="440">
        <f t="shared" si="0"/>
        <v>1.0524</v>
      </c>
      <c r="AA18" s="440">
        <f>ROUND(SUMPRODUCT(PRODUCT(1+P18:P$22)),4)</f>
        <v>1.0470999999999999</v>
      </c>
      <c r="AB18" s="440">
        <f>ROUND(SUMPRODUCT(PRODUCT(1+Q18:Q$22)),4)</f>
        <v>1.0504</v>
      </c>
      <c r="AD18" s="457">
        <f>ROUND(AVERAGE(I18:I$23)/100,4)</f>
        <v>1.2800000000000001E-2</v>
      </c>
      <c r="AE18" s="457">
        <f>ROUND(AVERAGE(J18:J$23)/100,4)</f>
        <v>1.2500000000000001E-2</v>
      </c>
      <c r="AF18" s="457">
        <f t="shared" si="1"/>
        <v>1.2500000000000001E-2</v>
      </c>
      <c r="AG18" s="457">
        <f>ROUND(AVERAGE(K18:K$23)/100,4)</f>
        <v>1.32E-2</v>
      </c>
      <c r="AH18" s="457">
        <f>ROUND(AVERAGE(L18:L$23)/100,4)</f>
        <v>1.0500000000000001E-2</v>
      </c>
    </row>
    <row r="19" spans="1:34">
      <c r="A19" s="375" t="s">
        <v>2283</v>
      </c>
      <c r="B19" s="376">
        <f t="shared" si="57"/>
        <v>319.87748030386803</v>
      </c>
      <c r="C19" s="376">
        <f t="shared" si="57"/>
        <v>269.60135833173598</v>
      </c>
      <c r="D19" s="376">
        <f t="shared" si="54"/>
        <v>269.60135833173598</v>
      </c>
      <c r="E19" s="376">
        <f t="shared" si="58"/>
        <v>439.18089823583801</v>
      </c>
      <c r="F19" s="376">
        <f t="shared" si="58"/>
        <v>239.23503918706299</v>
      </c>
      <c r="G19" s="3589"/>
      <c r="H19" s="378">
        <v>1</v>
      </c>
      <c r="I19" s="378">
        <v>0.51</v>
      </c>
      <c r="J19" s="378">
        <v>0.54</v>
      </c>
      <c r="K19" s="378">
        <v>0.48</v>
      </c>
      <c r="L19" s="408">
        <v>0.93</v>
      </c>
      <c r="N19" s="418">
        <f t="shared" si="56"/>
        <v>5.1000000000000004E-3</v>
      </c>
      <c r="O19" s="419">
        <f t="shared" si="51"/>
        <v>5.4000000000000003E-3</v>
      </c>
      <c r="P19" s="419">
        <f t="shared" si="51"/>
        <v>4.7999999999999996E-3</v>
      </c>
      <c r="Q19" s="419">
        <f t="shared" si="51"/>
        <v>9.2999999999999992E-3</v>
      </c>
      <c r="R19" s="445"/>
      <c r="S19" s="418">
        <f>B19/B20-1</f>
        <v>5.9040261127922796E-3</v>
      </c>
      <c r="T19" s="419">
        <f>C19/C20-1</f>
        <v>5.9752176557332799E-3</v>
      </c>
      <c r="U19" s="419">
        <f>E19/E20-1</f>
        <v>4.9906138119859599E-3</v>
      </c>
      <c r="V19" s="419">
        <f>F19/F20-1</f>
        <v>9.4305450930933805E-3</v>
      </c>
      <c r="X19" s="440">
        <f>ROUND(SUMPRODUCT(PRODUCT(1+N19:N$22)),4)</f>
        <v>1.0399</v>
      </c>
      <c r="Y19" s="440">
        <f>ROUND(SUMPRODUCT(PRODUCT(1+O19:O$22)),4)</f>
        <v>1.0451999999999999</v>
      </c>
      <c r="Z19" s="440">
        <f t="shared" si="0"/>
        <v>1.0451999999999999</v>
      </c>
      <c r="AA19" s="440">
        <f>ROUND(SUMPRODUCT(PRODUCT(1+P19:P$22)),4)</f>
        <v>1.0387999999999999</v>
      </c>
      <c r="AB19" s="440">
        <f>ROUND(SUMPRODUCT(PRODUCT(1+Q19:Q$22)),4)</f>
        <v>1.0411999999999999</v>
      </c>
      <c r="AD19" s="457">
        <f>ROUND(AVERAGE(I19:I$23)/100,4)</f>
        <v>1.38E-2</v>
      </c>
      <c r="AE19" s="457">
        <f>ROUND(AVERAGE(J19:J$23)/100,4)</f>
        <v>1.3599999999999999E-2</v>
      </c>
      <c r="AF19" s="457">
        <f t="shared" si="1"/>
        <v>1.3599999999999999E-2</v>
      </c>
      <c r="AG19" s="457">
        <f>ROUND(AVERAGE(K19:K$23)/100,4)</f>
        <v>1.4200000000000001E-2</v>
      </c>
      <c r="AH19" s="457">
        <f>ROUND(AVERAGE(L19:L$23)/100,4)</f>
        <v>1.0800000000000001E-2</v>
      </c>
    </row>
    <row r="20" spans="1:34">
      <c r="A20" s="375" t="s">
        <v>2284</v>
      </c>
      <c r="B20" s="387">
        <v>318</v>
      </c>
      <c r="C20" s="387">
        <v>268</v>
      </c>
      <c r="D20" s="387">
        <f t="shared" si="54"/>
        <v>268</v>
      </c>
      <c r="E20" s="387">
        <v>437</v>
      </c>
      <c r="F20" s="388">
        <v>237</v>
      </c>
      <c r="G20" s="3590">
        <v>2014</v>
      </c>
      <c r="H20" s="385">
        <v>4</v>
      </c>
      <c r="I20" s="385">
        <v>0.21</v>
      </c>
      <c r="J20" s="385">
        <v>0.41</v>
      </c>
      <c r="K20" s="385">
        <v>0.12</v>
      </c>
      <c r="L20" s="413">
        <v>0.89</v>
      </c>
      <c r="N20" s="409">
        <f t="shared" si="56"/>
        <v>2.0999999999999999E-3</v>
      </c>
      <c r="O20" s="410">
        <f t="shared" si="51"/>
        <v>4.1000000000000003E-3</v>
      </c>
      <c r="P20" s="410">
        <f t="shared" si="51"/>
        <v>1.1999999999999999E-3</v>
      </c>
      <c r="Q20" s="410">
        <f t="shared" si="51"/>
        <v>8.8999999999999999E-3</v>
      </c>
      <c r="R20" s="445"/>
      <c r="S20" s="448"/>
      <c r="T20" s="449"/>
      <c r="U20" s="449"/>
      <c r="V20" s="449"/>
      <c r="X20" s="440">
        <f>ROUND(SUMPRODUCT(PRODUCT(1+N20:N$22)),4)</f>
        <v>1.0347</v>
      </c>
      <c r="Y20" s="440">
        <f>ROUND(SUMPRODUCT(PRODUCT(1+O20:O$22)),4)</f>
        <v>1.0395000000000001</v>
      </c>
      <c r="Z20" s="440">
        <f t="shared" si="0"/>
        <v>1.0395000000000001</v>
      </c>
      <c r="AA20" s="440">
        <f>ROUND(SUMPRODUCT(PRODUCT(1+P20:P$22)),4)</f>
        <v>1.0338000000000001</v>
      </c>
      <c r="AB20" s="440">
        <f>ROUND(SUMPRODUCT(PRODUCT(1+Q20:Q$22)),4)</f>
        <v>1.0316000000000001</v>
      </c>
      <c r="AD20" s="457">
        <f>ROUND(AVERAGE(I20:I$23)/100,4)</f>
        <v>1.6E-2</v>
      </c>
      <c r="AE20" s="457">
        <f>ROUND(AVERAGE(J20:J$23)/100,4)</f>
        <v>1.5599999999999999E-2</v>
      </c>
      <c r="AF20" s="457">
        <f t="shared" si="1"/>
        <v>1.5599999999999999E-2</v>
      </c>
      <c r="AG20" s="457">
        <f>ROUND(AVERAGE(K20:K$23)/100,4)</f>
        <v>1.66E-2</v>
      </c>
      <c r="AH20" s="457">
        <f>ROUND(AVERAGE(L20:L$23)/100,4)</f>
        <v>1.12E-2</v>
      </c>
    </row>
    <row r="21" spans="1:34">
      <c r="A21" s="375" t="s">
        <v>2285</v>
      </c>
      <c r="B21" s="376">
        <f t="shared" ref="B21:C23" si="59">B20/(1+N20)</f>
        <v>317.33359944117399</v>
      </c>
      <c r="C21" s="376">
        <f t="shared" si="59"/>
        <v>266.90568668459298</v>
      </c>
      <c r="D21" s="376">
        <f t="shared" si="54"/>
        <v>266.90568668459298</v>
      </c>
      <c r="E21" s="376">
        <f t="shared" ref="E21:F23" si="60">E20/(1+P20)</f>
        <v>436.47622852576899</v>
      </c>
      <c r="F21" s="376">
        <f t="shared" si="60"/>
        <v>234.909307166221</v>
      </c>
      <c r="G21" s="3588"/>
      <c r="H21" s="389">
        <v>3</v>
      </c>
      <c r="I21" s="389">
        <v>0.83</v>
      </c>
      <c r="J21" s="389">
        <v>1.47</v>
      </c>
      <c r="K21" s="389">
        <v>0.65</v>
      </c>
      <c r="L21" s="420">
        <v>0.72</v>
      </c>
      <c r="N21" s="409">
        <f t="shared" si="56"/>
        <v>8.3000000000000001E-3</v>
      </c>
      <c r="O21" s="410">
        <f t="shared" si="51"/>
        <v>1.47E-2</v>
      </c>
      <c r="P21" s="410">
        <f t="shared" si="51"/>
        <v>6.4999999999999997E-3</v>
      </c>
      <c r="Q21" s="410">
        <f t="shared" si="51"/>
        <v>7.1999999999999998E-3</v>
      </c>
      <c r="R21" s="445"/>
      <c r="S21" s="409"/>
      <c r="T21" s="410"/>
      <c r="U21" s="410"/>
      <c r="V21" s="410"/>
      <c r="X21" s="440">
        <f>ROUND(SUMPRODUCT(PRODUCT(1+N21:N$22)),4)</f>
        <v>1.0325</v>
      </c>
      <c r="Y21" s="440">
        <f>ROUND(SUMPRODUCT(PRODUCT(1+O21:O$22)),4)</f>
        <v>1.0353000000000001</v>
      </c>
      <c r="Z21" s="440">
        <f t="shared" ref="Z21:Z22" si="61">Y21</f>
        <v>1.0353000000000001</v>
      </c>
      <c r="AA21" s="440">
        <f>ROUND(SUMPRODUCT(PRODUCT(1+P21:P$22)),4)</f>
        <v>1.0326</v>
      </c>
      <c r="AB21" s="440">
        <f>ROUND(SUMPRODUCT(PRODUCT(1+Q21:Q$22)),4)</f>
        <v>1.0225</v>
      </c>
      <c r="AD21" s="457">
        <f>ROUND(AVERAGE(I21:I$23)/100,4)</f>
        <v>2.07E-2</v>
      </c>
      <c r="AE21" s="457">
        <f>ROUND(AVERAGE(J21:J$23)/100,4)</f>
        <v>1.95E-2</v>
      </c>
      <c r="AF21" s="457">
        <f t="shared" si="1"/>
        <v>1.95E-2</v>
      </c>
      <c r="AG21" s="457">
        <f>ROUND(AVERAGE(K21:K$23)/100,4)</f>
        <v>2.1700000000000001E-2</v>
      </c>
      <c r="AH21" s="457">
        <f>ROUND(AVERAGE(L21:L$23)/100,4)</f>
        <v>1.2E-2</v>
      </c>
    </row>
    <row r="22" spans="1:34">
      <c r="A22" s="375" t="s">
        <v>2286</v>
      </c>
      <c r="B22" s="376">
        <f t="shared" si="59"/>
        <v>314.721411723865</v>
      </c>
      <c r="C22" s="376">
        <f t="shared" si="59"/>
        <v>263.03901319069001</v>
      </c>
      <c r="D22" s="376">
        <f t="shared" si="54"/>
        <v>263.03901319069001</v>
      </c>
      <c r="E22" s="376">
        <f t="shared" si="60"/>
        <v>433.65745506782798</v>
      </c>
      <c r="F22" s="376">
        <f t="shared" si="60"/>
        <v>233.23005080045701</v>
      </c>
      <c r="G22" s="3588"/>
      <c r="H22" s="385">
        <v>2</v>
      </c>
      <c r="I22" s="385">
        <v>2.4</v>
      </c>
      <c r="J22" s="385">
        <v>2.0299999999999998</v>
      </c>
      <c r="K22" s="385">
        <v>2.59</v>
      </c>
      <c r="L22" s="413">
        <v>1.52</v>
      </c>
      <c r="N22" s="409">
        <f t="shared" si="56"/>
        <v>2.4E-2</v>
      </c>
      <c r="O22" s="410">
        <f t="shared" si="51"/>
        <v>2.0299999999999999E-2</v>
      </c>
      <c r="P22" s="410">
        <f t="shared" si="51"/>
        <v>2.5899999999999999E-2</v>
      </c>
      <c r="Q22" s="410">
        <f t="shared" si="51"/>
        <v>1.52E-2</v>
      </c>
      <c r="R22" s="445"/>
      <c r="S22" s="409"/>
      <c r="T22" s="410"/>
      <c r="U22" s="410"/>
      <c r="V22" s="410"/>
      <c r="X22" s="440">
        <f>1+N22</f>
        <v>1.024</v>
      </c>
      <c r="Y22" s="440">
        <f>1+O22</f>
        <v>1.0203</v>
      </c>
      <c r="Z22" s="440">
        <f t="shared" si="61"/>
        <v>1.0203</v>
      </c>
      <c r="AA22" s="440">
        <f>1+P22</f>
        <v>1.0259</v>
      </c>
      <c r="AB22" s="440">
        <f>1+Q22</f>
        <v>1.0152000000000001</v>
      </c>
      <c r="AD22" s="457">
        <f>ROUND(AVERAGE(I22:I$23)/100,4)</f>
        <v>2.69E-2</v>
      </c>
      <c r="AE22" s="457">
        <f>ROUND(AVERAGE(J22:J$23)/100,4)</f>
        <v>2.1899999999999999E-2</v>
      </c>
      <c r="AF22" s="457">
        <f t="shared" ref="AF22:AF23" si="62">AE22</f>
        <v>2.1899999999999999E-2</v>
      </c>
      <c r="AG22" s="457">
        <f>ROUND(AVERAGE(K22:K$23)/100,4)</f>
        <v>2.9399999999999999E-2</v>
      </c>
      <c r="AH22" s="457">
        <f>ROUND(AVERAGE(L22:L$23)/100,4)</f>
        <v>1.44E-2</v>
      </c>
    </row>
    <row r="23" spans="1:34" s="352" customFormat="1">
      <c r="A23" s="390" t="s">
        <v>2287</v>
      </c>
      <c r="B23" s="391">
        <f t="shared" si="59"/>
        <v>307.34512863658699</v>
      </c>
      <c r="C23" s="391">
        <f t="shared" si="59"/>
        <v>257.80556031626998</v>
      </c>
      <c r="D23" s="391">
        <f t="shared" si="54"/>
        <v>257.80556031626998</v>
      </c>
      <c r="E23" s="391">
        <f t="shared" si="60"/>
        <v>422.70928459677202</v>
      </c>
      <c r="F23" s="391">
        <f t="shared" si="60"/>
        <v>229.738032703366</v>
      </c>
      <c r="G23" s="3589"/>
      <c r="H23" s="392">
        <v>1</v>
      </c>
      <c r="I23" s="392">
        <v>2.97</v>
      </c>
      <c r="J23" s="392">
        <v>2.34</v>
      </c>
      <c r="K23" s="392">
        <v>3.28</v>
      </c>
      <c r="L23" s="421">
        <v>1.36</v>
      </c>
      <c r="N23" s="422">
        <f t="shared" si="56"/>
        <v>2.9700000000000001E-2</v>
      </c>
      <c r="O23" s="423">
        <f t="shared" si="51"/>
        <v>2.3400000000000001E-2</v>
      </c>
      <c r="P23" s="423">
        <f t="shared" si="51"/>
        <v>3.2800000000000003E-2</v>
      </c>
      <c r="Q23" s="423">
        <f t="shared" si="51"/>
        <v>1.3599999999999999E-2</v>
      </c>
      <c r="R23" s="450"/>
      <c r="S23" s="451">
        <f>B23/B24-1</f>
        <v>2.7910129219355501E-2</v>
      </c>
      <c r="T23" s="452">
        <f>C23/C24-1</f>
        <v>2.3037937762975198E-2</v>
      </c>
      <c r="U23" s="452">
        <f>E23/E24-1</f>
        <v>3.3519033243940802E-2</v>
      </c>
      <c r="V23" s="452">
        <f>F23/F24-1</f>
        <v>1.20618180765029E-2</v>
      </c>
      <c r="W23" s="453" t="s">
        <v>2288</v>
      </c>
      <c r="X23" s="454">
        <v>1</v>
      </c>
      <c r="Y23" s="454">
        <v>1</v>
      </c>
      <c r="Z23" s="454">
        <v>1</v>
      </c>
      <c r="AA23" s="454">
        <v>1</v>
      </c>
      <c r="AB23" s="454">
        <v>1</v>
      </c>
      <c r="AD23" s="465">
        <f>I23/100</f>
        <v>2.9700000000000001E-2</v>
      </c>
      <c r="AE23" s="465">
        <f>J23/100</f>
        <v>2.3400000000000001E-2</v>
      </c>
      <c r="AF23" s="465">
        <f t="shared" si="62"/>
        <v>2.3400000000000001E-2</v>
      </c>
      <c r="AG23" s="465">
        <f>K23/100</f>
        <v>3.2800000000000003E-2</v>
      </c>
      <c r="AH23" s="465">
        <f>L23/100</f>
        <v>1.3599999999999999E-2</v>
      </c>
    </row>
    <row r="24" spans="1:34">
      <c r="A24" s="375" t="s">
        <v>2289</v>
      </c>
      <c r="B24" s="379">
        <v>299</v>
      </c>
      <c r="C24" s="379">
        <v>252</v>
      </c>
      <c r="D24" s="379">
        <f t="shared" si="54"/>
        <v>252</v>
      </c>
      <c r="E24" s="379">
        <v>409</v>
      </c>
      <c r="F24" s="380">
        <v>227</v>
      </c>
      <c r="G24" s="3591">
        <v>2013</v>
      </c>
      <c r="H24" s="393">
        <v>4</v>
      </c>
      <c r="I24" s="393">
        <v>1.83</v>
      </c>
      <c r="J24" s="393">
        <v>1.68</v>
      </c>
      <c r="K24" s="393">
        <v>1.97</v>
      </c>
      <c r="L24" s="424">
        <v>0.87</v>
      </c>
      <c r="N24" s="414">
        <f t="shared" si="56"/>
        <v>1.83E-2</v>
      </c>
      <c r="O24" s="415">
        <f t="shared" si="51"/>
        <v>1.6799999999999999E-2</v>
      </c>
      <c r="P24" s="415">
        <f t="shared" si="51"/>
        <v>1.9699999999999999E-2</v>
      </c>
      <c r="Q24" s="415">
        <f t="shared" si="51"/>
        <v>8.6999999999999994E-3</v>
      </c>
      <c r="R24" s="445"/>
      <c r="S24" s="448"/>
      <c r="T24" s="449"/>
      <c r="U24" s="449"/>
      <c r="V24" s="449"/>
      <c r="X24" s="449"/>
      <c r="Y24" s="449"/>
      <c r="Z24" s="449"/>
    </row>
    <row r="25" spans="1:34">
      <c r="A25" s="375" t="s">
        <v>2290</v>
      </c>
      <c r="B25" s="376">
        <f t="shared" ref="B25:C27" si="63">B24/(1+N24)</f>
        <v>293.62663262299901</v>
      </c>
      <c r="C25" s="376">
        <f t="shared" si="63"/>
        <v>247.836349331235</v>
      </c>
      <c r="D25" s="376">
        <f t="shared" si="54"/>
        <v>247.836349331235</v>
      </c>
      <c r="E25" s="376">
        <f t="shared" ref="E25:F27" si="64">E24/(1+P24)</f>
        <v>401.09836226341099</v>
      </c>
      <c r="F25" s="376">
        <f t="shared" si="64"/>
        <v>225.04213343908</v>
      </c>
      <c r="G25" s="3592"/>
      <c r="H25" s="386">
        <v>3</v>
      </c>
      <c r="I25" s="386">
        <v>1.86</v>
      </c>
      <c r="J25" s="386">
        <v>1.72</v>
      </c>
      <c r="K25" s="386">
        <v>1.98</v>
      </c>
      <c r="L25" s="416">
        <v>0.88</v>
      </c>
      <c r="N25" s="409">
        <f t="shared" si="56"/>
        <v>1.8599999999999998E-2</v>
      </c>
      <c r="O25" s="417">
        <f t="shared" si="51"/>
        <v>1.72E-2</v>
      </c>
      <c r="P25" s="417">
        <f t="shared" si="51"/>
        <v>1.9800000000000002E-2</v>
      </c>
      <c r="Q25" s="417">
        <f t="shared" si="51"/>
        <v>8.8000000000000005E-3</v>
      </c>
      <c r="R25" s="445"/>
      <c r="S25" s="409"/>
      <c r="T25" s="410"/>
      <c r="U25" s="410"/>
      <c r="V25" s="410"/>
    </row>
    <row r="26" spans="1:34">
      <c r="A26" s="375" t="s">
        <v>2291</v>
      </c>
      <c r="B26" s="376">
        <f t="shared" si="63"/>
        <v>288.264905382878</v>
      </c>
      <c r="C26" s="376">
        <f t="shared" si="63"/>
        <v>243.64564425013299</v>
      </c>
      <c r="D26" s="376">
        <f t="shared" si="54"/>
        <v>243.64564425013299</v>
      </c>
      <c r="E26" s="376">
        <f t="shared" si="64"/>
        <v>393.31080825986498</v>
      </c>
      <c r="F26" s="376">
        <f t="shared" si="64"/>
        <v>223.079037905512</v>
      </c>
      <c r="G26" s="3592"/>
      <c r="H26" s="384">
        <v>2</v>
      </c>
      <c r="I26" s="384">
        <v>2.04</v>
      </c>
      <c r="J26" s="384">
        <v>2.33</v>
      </c>
      <c r="K26" s="384">
        <v>2.0699999999999998</v>
      </c>
      <c r="L26" s="412">
        <v>0.69</v>
      </c>
      <c r="N26" s="409">
        <f t="shared" si="56"/>
        <v>2.0400000000000001E-2</v>
      </c>
      <c r="O26" s="417">
        <f t="shared" si="51"/>
        <v>2.3300000000000001E-2</v>
      </c>
      <c r="P26" s="417">
        <f t="shared" si="51"/>
        <v>2.07E-2</v>
      </c>
      <c r="Q26" s="417">
        <f t="shared" si="51"/>
        <v>6.8999999999999999E-3</v>
      </c>
      <c r="R26" s="445"/>
      <c r="S26" s="409"/>
      <c r="T26" s="410"/>
      <c r="U26" s="410"/>
      <c r="V26" s="410"/>
      <c r="X26" s="455"/>
      <c r="Y26" s="466"/>
    </row>
    <row r="27" spans="1:34">
      <c r="A27" s="375" t="s">
        <v>2292</v>
      </c>
      <c r="B27" s="376">
        <f t="shared" si="63"/>
        <v>282.50186729015797</v>
      </c>
      <c r="C27" s="376">
        <f t="shared" si="63"/>
        <v>238.097961741555</v>
      </c>
      <c r="D27" s="376">
        <f t="shared" si="54"/>
        <v>238.097961741555</v>
      </c>
      <c r="E27" s="376">
        <f t="shared" si="64"/>
        <v>385.33438646014099</v>
      </c>
      <c r="F27" s="376">
        <f t="shared" si="64"/>
        <v>221.550340555677</v>
      </c>
      <c r="G27" s="3593"/>
      <c r="H27" s="378">
        <v>1</v>
      </c>
      <c r="I27" s="378">
        <v>1.67</v>
      </c>
      <c r="J27" s="378">
        <v>1.31</v>
      </c>
      <c r="K27" s="378">
        <v>1.85</v>
      </c>
      <c r="L27" s="408">
        <v>0.96</v>
      </c>
      <c r="N27" s="418">
        <f t="shared" si="56"/>
        <v>1.67E-2</v>
      </c>
      <c r="O27" s="419">
        <f t="shared" si="56"/>
        <v>1.3100000000000001E-2</v>
      </c>
      <c r="P27" s="419">
        <f t="shared" si="56"/>
        <v>1.8499999999999999E-2</v>
      </c>
      <c r="Q27" s="419">
        <f t="shared" si="56"/>
        <v>9.5999999999999992E-3</v>
      </c>
      <c r="R27" s="445"/>
      <c r="S27" s="418">
        <f>B27/B28-1</f>
        <v>1.61937672307855E-2</v>
      </c>
      <c r="T27" s="419">
        <f>C27/C28-1</f>
        <v>1.7512657015190902E-2</v>
      </c>
      <c r="U27" s="419">
        <f>E27/E28-1</f>
        <v>1.6713420739156999E-2</v>
      </c>
      <c r="V27" s="419">
        <f>F27/F28-1</f>
        <v>7.0470025258062598E-3</v>
      </c>
      <c r="X27" s="456"/>
      <c r="Y27" s="457"/>
      <c r="Z27" s="457"/>
    </row>
    <row r="28" spans="1:34">
      <c r="A28" s="375" t="s">
        <v>2293</v>
      </c>
      <c r="B28" s="394">
        <v>278</v>
      </c>
      <c r="C28" s="394">
        <v>234</v>
      </c>
      <c r="D28" s="394">
        <f t="shared" si="54"/>
        <v>234</v>
      </c>
      <c r="E28" s="394">
        <v>379</v>
      </c>
      <c r="F28" s="395">
        <v>220</v>
      </c>
      <c r="G28" s="3590">
        <v>2012</v>
      </c>
      <c r="H28" s="385">
        <v>4</v>
      </c>
      <c r="I28" s="385">
        <v>0.91</v>
      </c>
      <c r="J28" s="385">
        <v>0.68</v>
      </c>
      <c r="K28" s="385">
        <v>0.98</v>
      </c>
      <c r="L28" s="413">
        <v>0.9</v>
      </c>
      <c r="N28" s="409">
        <f t="shared" si="56"/>
        <v>9.1000000000000004E-3</v>
      </c>
      <c r="O28" s="410">
        <f t="shared" si="56"/>
        <v>6.7999999999999996E-3</v>
      </c>
      <c r="P28" s="410">
        <f t="shared" si="56"/>
        <v>9.7999999999999997E-3</v>
      </c>
      <c r="Q28" s="410">
        <f t="shared" si="56"/>
        <v>8.9999999999999993E-3</v>
      </c>
      <c r="R28" s="445"/>
      <c r="S28" s="448"/>
      <c r="T28" s="449"/>
      <c r="U28" s="449"/>
      <c r="V28" s="449"/>
      <c r="X28" s="449"/>
      <c r="Y28" s="449"/>
      <c r="Z28" s="449"/>
    </row>
    <row r="29" spans="1:34">
      <c r="A29" s="375" t="s">
        <v>2294</v>
      </c>
      <c r="B29" s="376">
        <f>B28/(1+N28)</f>
        <v>275.49301357645402</v>
      </c>
      <c r="C29" s="376">
        <f>C28/(1+O28)</f>
        <v>232.41954707985701</v>
      </c>
      <c r="D29" s="376">
        <f t="shared" si="54"/>
        <v>232.41954707985701</v>
      </c>
      <c r="E29" s="376">
        <f t="shared" ref="E29:F31" si="65">E28/(1+P28)</f>
        <v>375.32184591008098</v>
      </c>
      <c r="F29" s="376">
        <f t="shared" si="65"/>
        <v>218.03766105054501</v>
      </c>
      <c r="G29" s="3588"/>
      <c r="H29" s="386">
        <v>3</v>
      </c>
      <c r="I29" s="386">
        <v>0.09</v>
      </c>
      <c r="J29" s="386">
        <v>0.28999999999999998</v>
      </c>
      <c r="K29" s="386">
        <v>-0.01</v>
      </c>
      <c r="L29" s="416">
        <v>0.57999999999999996</v>
      </c>
      <c r="N29" s="409">
        <f t="shared" si="56"/>
        <v>8.9999999999999998E-4</v>
      </c>
      <c r="O29" s="410">
        <f t="shared" si="56"/>
        <v>2.8999999999999998E-3</v>
      </c>
      <c r="P29" s="410">
        <f t="shared" si="56"/>
        <v>-1E-4</v>
      </c>
      <c r="Q29" s="410">
        <f t="shared" si="56"/>
        <v>5.7999999999999996E-3</v>
      </c>
      <c r="R29" s="445"/>
      <c r="S29" s="409"/>
      <c r="T29" s="410"/>
      <c r="U29" s="410"/>
      <c r="V29" s="410"/>
    </row>
    <row r="30" spans="1:34">
      <c r="A30" s="375" t="s">
        <v>2295</v>
      </c>
      <c r="B30" s="376">
        <f>B29/(1+N29)</f>
        <v>275.24529281292303</v>
      </c>
      <c r="C30" s="376">
        <f>C29/(1+O29)</f>
        <v>231.74747938962699</v>
      </c>
      <c r="D30" s="376">
        <f t="shared" si="54"/>
        <v>231.74747938962699</v>
      </c>
      <c r="E30" s="376">
        <f t="shared" si="65"/>
        <v>375.35938184826603</v>
      </c>
      <c r="F30" s="376">
        <f t="shared" si="65"/>
        <v>216.78033510692501</v>
      </c>
      <c r="G30" s="3588"/>
      <c r="H30" s="384">
        <v>2</v>
      </c>
      <c r="I30" s="384">
        <v>0.02</v>
      </c>
      <c r="J30" s="384">
        <v>0.12</v>
      </c>
      <c r="K30" s="384">
        <v>-0.08</v>
      </c>
      <c r="L30" s="412">
        <v>1.24</v>
      </c>
      <c r="N30" s="409">
        <f t="shared" si="56"/>
        <v>2.0000000000000001E-4</v>
      </c>
      <c r="O30" s="410">
        <f t="shared" si="56"/>
        <v>1.1999999999999999E-3</v>
      </c>
      <c r="P30" s="410">
        <f t="shared" si="56"/>
        <v>-8.0000000000000004E-4</v>
      </c>
      <c r="Q30" s="410">
        <f t="shared" si="56"/>
        <v>1.24E-2</v>
      </c>
      <c r="R30" s="445"/>
      <c r="S30" s="409"/>
      <c r="T30" s="410"/>
      <c r="U30" s="410"/>
      <c r="V30" s="410"/>
    </row>
    <row r="31" spans="1:34">
      <c r="A31" s="375" t="s">
        <v>2296</v>
      </c>
      <c r="B31" s="376">
        <f>B30/(1+N30)</f>
        <v>275.19025476196998</v>
      </c>
      <c r="C31" s="396">
        <v>232</v>
      </c>
      <c r="D31" s="396">
        <f t="shared" si="54"/>
        <v>232</v>
      </c>
      <c r="E31" s="376">
        <f t="shared" si="65"/>
        <v>375.65990977608698</v>
      </c>
      <c r="F31" s="376">
        <f t="shared" si="65"/>
        <v>214.12518283971301</v>
      </c>
      <c r="G31" s="3589"/>
      <c r="H31" s="378">
        <v>1</v>
      </c>
      <c r="I31" s="378">
        <v>0.02</v>
      </c>
      <c r="J31" s="378">
        <v>0.13</v>
      </c>
      <c r="K31" s="378">
        <v>-0.04</v>
      </c>
      <c r="L31" s="408">
        <v>0.46</v>
      </c>
      <c r="N31" s="409">
        <f t="shared" si="56"/>
        <v>2.0000000000000001E-4</v>
      </c>
      <c r="O31" s="410">
        <f t="shared" si="56"/>
        <v>1.2999999999999999E-3</v>
      </c>
      <c r="P31" s="410">
        <f t="shared" si="56"/>
        <v>-4.0000000000000002E-4</v>
      </c>
      <c r="Q31" s="410">
        <f t="shared" si="56"/>
        <v>4.5999999999999999E-3</v>
      </c>
      <c r="R31" s="445"/>
      <c r="S31" s="418">
        <f>B31/B32-1</f>
        <v>6.91835498073612E-4</v>
      </c>
      <c r="T31" s="419">
        <f>C31/C32-1</f>
        <v>0</v>
      </c>
      <c r="U31" s="419">
        <f>E31/E32-1</f>
        <v>-9.0449527636460303E-4</v>
      </c>
      <c r="V31" s="419">
        <f>F31/F32-1</f>
        <v>5.2825485432512797E-3</v>
      </c>
      <c r="X31" s="457"/>
      <c r="Y31" s="457"/>
      <c r="Z31" s="457"/>
    </row>
    <row r="32" spans="1:34">
      <c r="A32" s="375" t="s">
        <v>2297</v>
      </c>
      <c r="B32" s="379">
        <v>275</v>
      </c>
      <c r="C32" s="379">
        <v>232</v>
      </c>
      <c r="D32" s="379">
        <f t="shared" si="54"/>
        <v>232</v>
      </c>
      <c r="E32" s="379">
        <v>376</v>
      </c>
      <c r="F32" s="380">
        <v>213</v>
      </c>
      <c r="G32" s="3590">
        <v>2011</v>
      </c>
      <c r="H32" s="385">
        <v>4</v>
      </c>
      <c r="I32" s="385">
        <v>-0.2</v>
      </c>
      <c r="J32" s="385">
        <v>0.04</v>
      </c>
      <c r="K32" s="385">
        <v>-0.34</v>
      </c>
      <c r="L32" s="413">
        <v>0.46</v>
      </c>
      <c r="N32" s="414">
        <f t="shared" si="56"/>
        <v>-2E-3</v>
      </c>
      <c r="O32" s="415">
        <f t="shared" si="56"/>
        <v>4.0000000000000002E-4</v>
      </c>
      <c r="P32" s="415">
        <f t="shared" si="56"/>
        <v>-3.3999999999999998E-3</v>
      </c>
      <c r="Q32" s="415">
        <f t="shared" si="56"/>
        <v>4.5999999999999999E-3</v>
      </c>
      <c r="R32" s="445"/>
      <c r="S32" s="448"/>
      <c r="T32" s="449"/>
      <c r="U32" s="449"/>
      <c r="V32" s="449"/>
      <c r="X32" s="449"/>
      <c r="Y32" s="449"/>
      <c r="Z32" s="449"/>
    </row>
    <row r="33" spans="1:26">
      <c r="A33" s="375" t="s">
        <v>2298</v>
      </c>
      <c r="B33" s="376">
        <f t="shared" ref="B33:C35" si="66">B32/(1+N32)</f>
        <v>275.55110220440901</v>
      </c>
      <c r="C33" s="376">
        <f t="shared" si="66"/>
        <v>231.907237105158</v>
      </c>
      <c r="D33" s="376">
        <f t="shared" si="54"/>
        <v>231.907237105158</v>
      </c>
      <c r="E33" s="376">
        <f t="shared" ref="E33:F35" si="67">E32/(1+P32)</f>
        <v>377.28276138872201</v>
      </c>
      <c r="F33" s="376">
        <f t="shared" si="67"/>
        <v>212.02468644236501</v>
      </c>
      <c r="G33" s="3588">
        <v>2011</v>
      </c>
      <c r="H33" s="386">
        <v>3</v>
      </c>
      <c r="I33" s="386">
        <v>0.13</v>
      </c>
      <c r="J33" s="386">
        <v>0.75</v>
      </c>
      <c r="K33" s="386">
        <v>-0.08</v>
      </c>
      <c r="L33" s="416">
        <v>0.53</v>
      </c>
      <c r="N33" s="409">
        <f t="shared" si="56"/>
        <v>1.2999999999999999E-3</v>
      </c>
      <c r="O33" s="417">
        <f t="shared" si="56"/>
        <v>7.4999999999999997E-3</v>
      </c>
      <c r="P33" s="417">
        <f t="shared" si="56"/>
        <v>-8.0000000000000004E-4</v>
      </c>
      <c r="Q33" s="417">
        <f t="shared" si="56"/>
        <v>5.3E-3</v>
      </c>
      <c r="R33" s="445"/>
      <c r="S33" s="409"/>
      <c r="T33" s="410"/>
      <c r="U33" s="410"/>
      <c r="V33" s="410"/>
    </row>
    <row r="34" spans="1:26">
      <c r="A34" s="375" t="s">
        <v>2299</v>
      </c>
      <c r="B34" s="376">
        <f t="shared" si="66"/>
        <v>275.19335084830601</v>
      </c>
      <c r="C34" s="376">
        <f t="shared" si="66"/>
        <v>230.18088050139701</v>
      </c>
      <c r="D34" s="376">
        <f t="shared" si="54"/>
        <v>230.18088050139701</v>
      </c>
      <c r="E34" s="376">
        <f t="shared" si="67"/>
        <v>377.58482925212297</v>
      </c>
      <c r="F34" s="376">
        <f t="shared" si="67"/>
        <v>210.906879978479</v>
      </c>
      <c r="G34" s="3588">
        <v>2011</v>
      </c>
      <c r="H34" s="384">
        <v>2</v>
      </c>
      <c r="I34" s="384">
        <v>-0.4</v>
      </c>
      <c r="J34" s="384">
        <v>0.17</v>
      </c>
      <c r="K34" s="384">
        <v>-0.57999999999999996</v>
      </c>
      <c r="L34" s="412">
        <v>-0.2</v>
      </c>
      <c r="N34" s="409">
        <f t="shared" si="56"/>
        <v>-4.0000000000000001E-3</v>
      </c>
      <c r="O34" s="417">
        <f t="shared" si="56"/>
        <v>1.6999999999999999E-3</v>
      </c>
      <c r="P34" s="417">
        <f t="shared" si="56"/>
        <v>-5.7999999999999996E-3</v>
      </c>
      <c r="Q34" s="417">
        <f t="shared" si="56"/>
        <v>-2E-3</v>
      </c>
      <c r="R34" s="445"/>
      <c r="S34" s="409"/>
      <c r="T34" s="410"/>
      <c r="U34" s="410"/>
      <c r="V34" s="410"/>
    </row>
    <row r="35" spans="1:26">
      <c r="A35" s="375" t="s">
        <v>2300</v>
      </c>
      <c r="B35" s="376">
        <f t="shared" si="66"/>
        <v>276.29854502841999</v>
      </c>
      <c r="C35" s="376">
        <f t="shared" si="66"/>
        <v>229.79023709833001</v>
      </c>
      <c r="D35" s="376">
        <f t="shared" si="54"/>
        <v>229.79023709833001</v>
      </c>
      <c r="E35" s="376">
        <f t="shared" si="67"/>
        <v>379.78759731655902</v>
      </c>
      <c r="F35" s="376">
        <f t="shared" si="67"/>
        <v>211.32953905659201</v>
      </c>
      <c r="G35" s="3589">
        <v>2011</v>
      </c>
      <c r="H35" s="378">
        <v>1</v>
      </c>
      <c r="I35" s="378">
        <v>2.65</v>
      </c>
      <c r="J35" s="378">
        <v>3.76</v>
      </c>
      <c r="K35" s="378">
        <v>1.89</v>
      </c>
      <c r="L35" s="408">
        <v>7.95</v>
      </c>
      <c r="N35" s="418">
        <f t="shared" si="56"/>
        <v>2.6499999999999999E-2</v>
      </c>
      <c r="O35" s="419">
        <f t="shared" si="56"/>
        <v>3.7600000000000001E-2</v>
      </c>
      <c r="P35" s="419">
        <f t="shared" si="56"/>
        <v>1.89E-2</v>
      </c>
      <c r="Q35" s="419">
        <f t="shared" si="56"/>
        <v>7.9500000000000001E-2</v>
      </c>
      <c r="R35" s="445"/>
      <c r="S35" s="418">
        <f>B35/B36-1</f>
        <v>2.7132137652117898E-2</v>
      </c>
      <c r="T35" s="419">
        <f>C35/C36-1</f>
        <v>3.9774828499231897E-2</v>
      </c>
      <c r="U35" s="419">
        <f>E35/E36-1</f>
        <v>1.81973118406418E-2</v>
      </c>
      <c r="V35" s="419">
        <f>F35/F36-1</f>
        <v>7.8211933962205799E-2</v>
      </c>
      <c r="X35" s="457"/>
      <c r="Y35" s="457"/>
      <c r="Z35" s="457"/>
    </row>
    <row r="36" spans="1:26">
      <c r="A36" s="375" t="s">
        <v>2301</v>
      </c>
      <c r="B36" s="379">
        <v>269</v>
      </c>
      <c r="C36" s="379">
        <v>221</v>
      </c>
      <c r="D36" s="379">
        <f t="shared" si="54"/>
        <v>221</v>
      </c>
      <c r="E36" s="379">
        <v>373</v>
      </c>
      <c r="F36" s="380">
        <v>196</v>
      </c>
      <c r="G36" s="3590">
        <v>2010</v>
      </c>
      <c r="H36" s="385">
        <v>4</v>
      </c>
      <c r="I36" s="385">
        <v>5.72</v>
      </c>
      <c r="J36" s="385">
        <v>6.57</v>
      </c>
      <c r="K36" s="385">
        <v>5.72</v>
      </c>
      <c r="L36" s="413">
        <v>2.72</v>
      </c>
      <c r="N36" s="409">
        <f t="shared" si="56"/>
        <v>5.7200000000000001E-2</v>
      </c>
      <c r="O36" s="410">
        <f t="shared" si="56"/>
        <v>6.5699999999999995E-2</v>
      </c>
      <c r="P36" s="410">
        <f t="shared" si="56"/>
        <v>5.7200000000000001E-2</v>
      </c>
      <c r="Q36" s="410">
        <f t="shared" si="56"/>
        <v>2.7199999999999998E-2</v>
      </c>
      <c r="R36" s="445"/>
      <c r="S36" s="448"/>
      <c r="T36" s="449"/>
      <c r="U36" s="449"/>
      <c r="V36" s="449"/>
      <c r="X36" s="449"/>
      <c r="Y36" s="449"/>
      <c r="Z36" s="449"/>
    </row>
    <row r="37" spans="1:26">
      <c r="A37" s="375" t="s">
        <v>2302</v>
      </c>
      <c r="B37" s="376">
        <f t="shared" ref="B37:C39" si="68">B36/(1+N36)</f>
        <v>254.445705637533</v>
      </c>
      <c r="C37" s="376">
        <f t="shared" si="68"/>
        <v>207.375433987051</v>
      </c>
      <c r="D37" s="376">
        <f t="shared" si="54"/>
        <v>207.375433987051</v>
      </c>
      <c r="E37" s="376">
        <f t="shared" ref="E37:F39" si="69">E36/(1+P36)</f>
        <v>352.81876655315898</v>
      </c>
      <c r="F37" s="376">
        <f t="shared" si="69"/>
        <v>190.809968847352</v>
      </c>
      <c r="G37" s="3588">
        <v>2010</v>
      </c>
      <c r="H37" s="386">
        <v>3</v>
      </c>
      <c r="I37" s="386">
        <v>4.7300000000000004</v>
      </c>
      <c r="J37" s="386">
        <v>3.9</v>
      </c>
      <c r="K37" s="386">
        <v>5.03</v>
      </c>
      <c r="L37" s="416">
        <v>4.21</v>
      </c>
      <c r="N37" s="409">
        <f t="shared" si="56"/>
        <v>4.7300000000000002E-2</v>
      </c>
      <c r="O37" s="410">
        <f t="shared" si="56"/>
        <v>3.9E-2</v>
      </c>
      <c r="P37" s="410">
        <f t="shared" si="56"/>
        <v>5.0299999999999997E-2</v>
      </c>
      <c r="Q37" s="410">
        <f t="shared" si="56"/>
        <v>4.2099999999999999E-2</v>
      </c>
      <c r="R37" s="445"/>
      <c r="S37" s="409"/>
      <c r="T37" s="410"/>
      <c r="U37" s="410"/>
      <c r="V37" s="410"/>
    </row>
    <row r="38" spans="1:26">
      <c r="A38" s="375" t="s">
        <v>2303</v>
      </c>
      <c r="B38" s="376">
        <f t="shared" si="68"/>
        <v>242.95398227588399</v>
      </c>
      <c r="C38" s="376">
        <f t="shared" si="68"/>
        <v>199.591370536141</v>
      </c>
      <c r="D38" s="376">
        <f t="shared" si="54"/>
        <v>199.591370536141</v>
      </c>
      <c r="E38" s="376">
        <f t="shared" si="69"/>
        <v>335.92189522342102</v>
      </c>
      <c r="F38" s="376">
        <f t="shared" si="69"/>
        <v>183.101399911095</v>
      </c>
      <c r="G38" s="3588">
        <v>2010</v>
      </c>
      <c r="H38" s="384">
        <v>2</v>
      </c>
      <c r="I38" s="384">
        <v>4.6900000000000004</v>
      </c>
      <c r="J38" s="384">
        <v>3.55</v>
      </c>
      <c r="K38" s="384">
        <v>5.07</v>
      </c>
      <c r="L38" s="412">
        <v>4.2300000000000004</v>
      </c>
      <c r="N38" s="409">
        <f t="shared" si="56"/>
        <v>4.6899999999999997E-2</v>
      </c>
      <c r="O38" s="410">
        <f t="shared" si="56"/>
        <v>3.5499999999999997E-2</v>
      </c>
      <c r="P38" s="410">
        <f t="shared" si="56"/>
        <v>5.0700000000000002E-2</v>
      </c>
      <c r="Q38" s="410">
        <f t="shared" si="56"/>
        <v>4.2299999999999997E-2</v>
      </c>
      <c r="R38" s="445"/>
      <c r="S38" s="409"/>
      <c r="T38" s="410"/>
      <c r="U38" s="410"/>
      <c r="V38" s="410"/>
    </row>
    <row r="39" spans="1:26">
      <c r="A39" s="375" t="s">
        <v>2304</v>
      </c>
      <c r="B39" s="376">
        <f t="shared" si="68"/>
        <v>232.06990378821601</v>
      </c>
      <c r="C39" s="376">
        <f t="shared" si="68"/>
        <v>192.74878854286899</v>
      </c>
      <c r="D39" s="376">
        <f t="shared" si="54"/>
        <v>192.74878854286899</v>
      </c>
      <c r="E39" s="376">
        <f t="shared" si="69"/>
        <v>319.71247284993001</v>
      </c>
      <c r="F39" s="376">
        <f t="shared" si="69"/>
        <v>175.670536228624</v>
      </c>
      <c r="G39" s="3589">
        <v>2010</v>
      </c>
      <c r="H39" s="378">
        <v>1</v>
      </c>
      <c r="I39" s="378">
        <v>5.4</v>
      </c>
      <c r="J39" s="378">
        <v>3.2</v>
      </c>
      <c r="K39" s="378">
        <v>6.16</v>
      </c>
      <c r="L39" s="408">
        <v>4.51</v>
      </c>
      <c r="N39" s="409">
        <f t="shared" si="56"/>
        <v>5.3999999999999999E-2</v>
      </c>
      <c r="O39" s="410">
        <f t="shared" si="56"/>
        <v>3.2000000000000001E-2</v>
      </c>
      <c r="P39" s="410">
        <f t="shared" si="56"/>
        <v>6.1600000000000002E-2</v>
      </c>
      <c r="Q39" s="410">
        <f t="shared" si="56"/>
        <v>4.5100000000000001E-2</v>
      </c>
      <c r="R39" s="445"/>
      <c r="S39" s="418">
        <f>B39/B40-1</f>
        <v>5.4863199037347599E-2</v>
      </c>
      <c r="T39" s="419">
        <f>C39/C40-1</f>
        <v>3.0742184721226602E-2</v>
      </c>
      <c r="U39" s="419">
        <f>E39/E40-1</f>
        <v>6.2167683886810203E-2</v>
      </c>
      <c r="V39" s="419">
        <f>F39/F40-1</f>
        <v>4.5657953741810003E-2</v>
      </c>
      <c r="X39" s="457"/>
      <c r="Y39" s="457"/>
      <c r="Z39" s="457"/>
    </row>
    <row r="40" spans="1:26">
      <c r="A40" s="375" t="s">
        <v>2305</v>
      </c>
      <c r="B40" s="379">
        <v>220</v>
      </c>
      <c r="C40" s="379">
        <v>187</v>
      </c>
      <c r="D40" s="379">
        <f t="shared" si="54"/>
        <v>187</v>
      </c>
      <c r="E40" s="379">
        <v>301</v>
      </c>
      <c r="F40" s="380">
        <v>168</v>
      </c>
      <c r="G40" s="3590">
        <v>2009</v>
      </c>
      <c r="H40" s="385">
        <v>4</v>
      </c>
      <c r="I40" s="385">
        <v>2.2999999999999998</v>
      </c>
      <c r="J40" s="385">
        <v>1.04</v>
      </c>
      <c r="K40" s="385">
        <v>2.84</v>
      </c>
      <c r="L40" s="413">
        <v>0.67</v>
      </c>
      <c r="N40" s="414">
        <f t="shared" si="56"/>
        <v>2.3E-2</v>
      </c>
      <c r="O40" s="415">
        <f t="shared" si="56"/>
        <v>1.04E-2</v>
      </c>
      <c r="P40" s="415">
        <f t="shared" si="56"/>
        <v>2.8400000000000002E-2</v>
      </c>
      <c r="Q40" s="415">
        <f t="shared" si="56"/>
        <v>6.7000000000000002E-3</v>
      </c>
      <c r="R40" s="445"/>
      <c r="S40" s="448"/>
      <c r="T40" s="449"/>
      <c r="U40" s="449"/>
      <c r="V40" s="449"/>
      <c r="X40" s="449"/>
      <c r="Y40" s="449"/>
      <c r="Z40" s="449"/>
    </row>
    <row r="41" spans="1:26">
      <c r="A41" s="375" t="s">
        <v>2306</v>
      </c>
      <c r="B41" s="376">
        <f t="shared" ref="B41:C43" si="70">B40/(1+N40)</f>
        <v>215.05376344086</v>
      </c>
      <c r="C41" s="376">
        <f t="shared" si="70"/>
        <v>185.07521773555001</v>
      </c>
      <c r="D41" s="376">
        <f t="shared" si="54"/>
        <v>185.07521773555001</v>
      </c>
      <c r="E41" s="376">
        <f t="shared" ref="E41:F43" si="71">E40/(1+P40)</f>
        <v>292.68767016725002</v>
      </c>
      <c r="F41" s="376">
        <f t="shared" si="71"/>
        <v>166.881891328102</v>
      </c>
      <c r="G41" s="3588">
        <v>2009</v>
      </c>
      <c r="H41" s="386">
        <v>3</v>
      </c>
      <c r="I41" s="386">
        <v>2.1</v>
      </c>
      <c r="J41" s="386">
        <v>1.86</v>
      </c>
      <c r="K41" s="386">
        <v>2.29</v>
      </c>
      <c r="L41" s="416">
        <v>0.85</v>
      </c>
      <c r="N41" s="409">
        <f t="shared" si="56"/>
        <v>2.1000000000000001E-2</v>
      </c>
      <c r="O41" s="417">
        <f t="shared" si="56"/>
        <v>1.8599999999999998E-2</v>
      </c>
      <c r="P41" s="417">
        <f t="shared" si="56"/>
        <v>2.29E-2</v>
      </c>
      <c r="Q41" s="417">
        <f t="shared" si="56"/>
        <v>8.5000000000000006E-3</v>
      </c>
      <c r="R41" s="445"/>
      <c r="S41" s="409"/>
      <c r="T41" s="410"/>
      <c r="U41" s="410"/>
      <c r="V41" s="410"/>
    </row>
    <row r="42" spans="1:26">
      <c r="A42" s="375" t="s">
        <v>2307</v>
      </c>
      <c r="B42" s="376">
        <f t="shared" si="70"/>
        <v>210.630522469011</v>
      </c>
      <c r="C42" s="376">
        <f t="shared" si="70"/>
        <v>181.695678122472</v>
      </c>
      <c r="D42" s="376">
        <f t="shared" si="54"/>
        <v>181.695678122472</v>
      </c>
      <c r="E42" s="376">
        <f t="shared" si="71"/>
        <v>286.13517466736698</v>
      </c>
      <c r="F42" s="376">
        <f t="shared" si="71"/>
        <v>165.47535084591101</v>
      </c>
      <c r="G42" s="3588">
        <v>2009</v>
      </c>
      <c r="H42" s="384">
        <v>2</v>
      </c>
      <c r="I42" s="384">
        <v>0.86</v>
      </c>
      <c r="J42" s="384">
        <v>-1.1299999999999999</v>
      </c>
      <c r="K42" s="384">
        <v>1.79</v>
      </c>
      <c r="L42" s="412">
        <v>-2.0699999999999998</v>
      </c>
      <c r="N42" s="409">
        <f t="shared" si="56"/>
        <v>8.6E-3</v>
      </c>
      <c r="O42" s="417">
        <f t="shared" si="56"/>
        <v>-1.1299999999999999E-2</v>
      </c>
      <c r="P42" s="417">
        <f t="shared" si="56"/>
        <v>1.7899999999999999E-2</v>
      </c>
      <c r="Q42" s="417">
        <f t="shared" si="56"/>
        <v>-2.07E-2</v>
      </c>
      <c r="R42" s="445"/>
      <c r="S42" s="409"/>
      <c r="T42" s="410"/>
      <c r="U42" s="410"/>
      <c r="V42" s="410"/>
    </row>
    <row r="43" spans="1:26">
      <c r="A43" s="375" t="s">
        <v>2308</v>
      </c>
      <c r="B43" s="376">
        <f t="shared" si="70"/>
        <v>208.834545378754</v>
      </c>
      <c r="C43" s="376">
        <f t="shared" si="70"/>
        <v>183.77230517090399</v>
      </c>
      <c r="D43" s="376">
        <f t="shared" si="54"/>
        <v>183.77230517090399</v>
      </c>
      <c r="E43" s="376">
        <f t="shared" si="71"/>
        <v>281.10342338870902</v>
      </c>
      <c r="F43" s="376">
        <f t="shared" si="71"/>
        <v>168.97309388942301</v>
      </c>
      <c r="G43" s="3589">
        <v>2009</v>
      </c>
      <c r="H43" s="378">
        <v>1</v>
      </c>
      <c r="I43" s="378">
        <v>-2.64</v>
      </c>
      <c r="J43" s="378">
        <v>-2.5299999999999998</v>
      </c>
      <c r="K43" s="378">
        <v>-3.02</v>
      </c>
      <c r="L43" s="408">
        <v>1.52</v>
      </c>
      <c r="N43" s="418">
        <f t="shared" si="56"/>
        <v>-2.64E-2</v>
      </c>
      <c r="O43" s="419">
        <f t="shared" si="56"/>
        <v>-2.53E-2</v>
      </c>
      <c r="P43" s="419">
        <f t="shared" si="56"/>
        <v>-3.0200000000000001E-2</v>
      </c>
      <c r="Q43" s="419">
        <f t="shared" si="56"/>
        <v>1.52E-2</v>
      </c>
      <c r="R43" s="445"/>
      <c r="S43" s="418">
        <f>B43/B44-1</f>
        <v>-2.4137638417038799E-2</v>
      </c>
      <c r="T43" s="419">
        <f>C43/C44-1</f>
        <v>-2.2487738452641001E-2</v>
      </c>
      <c r="U43" s="419">
        <f>E43/E44-1</f>
        <v>-2.73237945027354E-2</v>
      </c>
      <c r="V43" s="419">
        <f>F43/F44-1</f>
        <v>1.7910204153148E-2</v>
      </c>
      <c r="X43" s="457"/>
      <c r="Y43" s="457"/>
      <c r="Z43" s="457"/>
    </row>
    <row r="44" spans="1:26">
      <c r="A44" s="375" t="s">
        <v>2309</v>
      </c>
      <c r="B44" s="394">
        <v>214</v>
      </c>
      <c r="C44" s="394">
        <v>188</v>
      </c>
      <c r="D44" s="394">
        <f t="shared" si="54"/>
        <v>188</v>
      </c>
      <c r="E44" s="394">
        <v>289</v>
      </c>
      <c r="F44" s="395">
        <v>166</v>
      </c>
      <c r="G44" s="3590">
        <v>2008</v>
      </c>
      <c r="H44" s="385">
        <v>4</v>
      </c>
      <c r="I44" s="385">
        <v>1.73</v>
      </c>
      <c r="J44" s="385">
        <v>0.03</v>
      </c>
      <c r="K44" s="385">
        <v>2.59</v>
      </c>
      <c r="L44" s="413">
        <v>-1.66</v>
      </c>
      <c r="N44" s="409">
        <f t="shared" si="56"/>
        <v>1.7299999999999999E-2</v>
      </c>
      <c r="O44" s="410">
        <f t="shared" si="56"/>
        <v>2.9999999999999997E-4</v>
      </c>
      <c r="P44" s="410">
        <f t="shared" si="56"/>
        <v>2.5899999999999999E-2</v>
      </c>
      <c r="Q44" s="410">
        <f t="shared" si="56"/>
        <v>-1.66E-2</v>
      </c>
      <c r="R44" s="445"/>
      <c r="S44" s="448"/>
      <c r="T44" s="449"/>
      <c r="U44" s="449"/>
      <c r="V44" s="449"/>
      <c r="X44" s="449"/>
      <c r="Y44" s="449"/>
      <c r="Z44" s="449"/>
    </row>
    <row r="45" spans="1:26">
      <c r="A45" s="375" t="s">
        <v>2310</v>
      </c>
      <c r="B45" s="376">
        <f t="shared" ref="B45:C47" si="72">B44/(1+N44)</f>
        <v>210.36075887152299</v>
      </c>
      <c r="C45" s="376">
        <f t="shared" si="72"/>
        <v>187.943616914926</v>
      </c>
      <c r="D45" s="376">
        <f t="shared" si="54"/>
        <v>187.943616914926</v>
      </c>
      <c r="E45" s="376">
        <f t="shared" ref="E45:F47" si="73">E44/(1+P44)</f>
        <v>281.703869772882</v>
      </c>
      <c r="F45" s="376">
        <f t="shared" si="73"/>
        <v>168.80211511083999</v>
      </c>
      <c r="G45" s="3588">
        <v>2008</v>
      </c>
      <c r="H45" s="386">
        <v>3</v>
      </c>
      <c r="I45" s="386">
        <v>1.96</v>
      </c>
      <c r="J45" s="386">
        <v>2.36</v>
      </c>
      <c r="K45" s="386">
        <v>1.82</v>
      </c>
      <c r="L45" s="416">
        <v>2.2200000000000002</v>
      </c>
      <c r="N45" s="409">
        <f t="shared" si="56"/>
        <v>1.9599999999999999E-2</v>
      </c>
      <c r="O45" s="410">
        <f t="shared" si="56"/>
        <v>2.3599999999999999E-2</v>
      </c>
      <c r="P45" s="410">
        <f t="shared" si="56"/>
        <v>1.8200000000000001E-2</v>
      </c>
      <c r="Q45" s="410">
        <f t="shared" si="56"/>
        <v>2.2200000000000001E-2</v>
      </c>
      <c r="R45" s="445"/>
      <c r="S45" s="409"/>
      <c r="T45" s="410"/>
      <c r="U45" s="410"/>
      <c r="V45" s="410"/>
    </row>
    <row r="46" spans="1:26">
      <c r="A46" s="375" t="s">
        <v>2311</v>
      </c>
      <c r="B46" s="376">
        <f t="shared" si="72"/>
        <v>206.31694671589099</v>
      </c>
      <c r="C46" s="376">
        <f t="shared" si="72"/>
        <v>183.61041121036101</v>
      </c>
      <c r="D46" s="376">
        <f t="shared" si="54"/>
        <v>183.61041121036101</v>
      </c>
      <c r="E46" s="376">
        <f t="shared" si="73"/>
        <v>276.66850301795603</v>
      </c>
      <c r="F46" s="376">
        <f t="shared" si="73"/>
        <v>165.136093827861</v>
      </c>
      <c r="G46" s="3588">
        <v>2008</v>
      </c>
      <c r="H46" s="384">
        <v>2</v>
      </c>
      <c r="I46" s="384">
        <v>4.93</v>
      </c>
      <c r="J46" s="384">
        <v>7.38</v>
      </c>
      <c r="K46" s="384">
        <v>3.98</v>
      </c>
      <c r="L46" s="412">
        <v>6.86</v>
      </c>
      <c r="N46" s="409">
        <f t="shared" si="56"/>
        <v>4.9299999999999997E-2</v>
      </c>
      <c r="O46" s="410">
        <f t="shared" si="56"/>
        <v>7.3800000000000004E-2</v>
      </c>
      <c r="P46" s="410">
        <f t="shared" si="56"/>
        <v>3.9800000000000002E-2</v>
      </c>
      <c r="Q46" s="410">
        <f t="shared" si="56"/>
        <v>6.8599999999999994E-2</v>
      </c>
      <c r="R46" s="445"/>
      <c r="S46" s="409"/>
      <c r="T46" s="410"/>
      <c r="U46" s="410"/>
      <c r="V46" s="410"/>
    </row>
    <row r="47" spans="1:26" s="353" customFormat="1">
      <c r="A47" s="375" t="s">
        <v>2312</v>
      </c>
      <c r="B47" s="397">
        <f t="shared" si="72"/>
        <v>196.62341248059801</v>
      </c>
      <c r="C47" s="397">
        <f t="shared" si="72"/>
        <v>170.99125648199001</v>
      </c>
      <c r="D47" s="397">
        <f t="shared" si="54"/>
        <v>170.99125648199001</v>
      </c>
      <c r="E47" s="397">
        <f t="shared" si="73"/>
        <v>266.07857570490103</v>
      </c>
      <c r="F47" s="397">
        <f t="shared" si="73"/>
        <v>154.53499328828499</v>
      </c>
      <c r="G47" s="3589">
        <v>2008</v>
      </c>
      <c r="H47" s="398">
        <v>1</v>
      </c>
      <c r="I47" s="398">
        <v>4.1399999999999997</v>
      </c>
      <c r="J47" s="398">
        <v>3.45</v>
      </c>
      <c r="K47" s="398">
        <v>4.95</v>
      </c>
      <c r="L47" s="425">
        <v>4.82</v>
      </c>
      <c r="N47" s="426">
        <f t="shared" si="56"/>
        <v>4.1399999999999999E-2</v>
      </c>
      <c r="O47" s="427">
        <f t="shared" si="56"/>
        <v>3.4500000000000003E-2</v>
      </c>
      <c r="P47" s="427">
        <f t="shared" si="56"/>
        <v>4.9500000000000002E-2</v>
      </c>
      <c r="Q47" s="427">
        <f t="shared" si="56"/>
        <v>4.82E-2</v>
      </c>
      <c r="R47" s="458"/>
      <c r="S47" s="426">
        <f>B47/B48-1</f>
        <v>4.5869215322328301E-2</v>
      </c>
      <c r="T47" s="427">
        <f>C47/C48-1</f>
        <v>3.6310645345394701E-2</v>
      </c>
      <c r="U47" s="427">
        <f>E47/E48-1</f>
        <v>4.7553447657088702E-2</v>
      </c>
      <c r="V47" s="427">
        <f>F47/F48-1</f>
        <v>4.41553600559801E-2</v>
      </c>
      <c r="X47" s="459"/>
      <c r="Y47" s="459"/>
      <c r="Z47" s="459"/>
    </row>
    <row r="48" spans="1:26">
      <c r="A48" s="375" t="s">
        <v>2313</v>
      </c>
      <c r="B48" s="379">
        <v>188</v>
      </c>
      <c r="C48" s="379">
        <v>165</v>
      </c>
      <c r="D48" s="379">
        <f t="shared" si="54"/>
        <v>165</v>
      </c>
      <c r="E48" s="379">
        <v>254</v>
      </c>
      <c r="F48" s="380">
        <v>148</v>
      </c>
      <c r="G48" s="3590">
        <v>2007</v>
      </c>
      <c r="H48" s="399">
        <v>4</v>
      </c>
      <c r="I48" s="399">
        <v>5.51</v>
      </c>
      <c r="J48" s="399">
        <v>4.8899999999999997</v>
      </c>
      <c r="K48" s="399">
        <v>6.43</v>
      </c>
      <c r="L48" s="428">
        <v>5.36</v>
      </c>
      <c r="N48" s="429">
        <f t="shared" ref="N48:O51" si="74">B48/B49-1</f>
        <v>4.1339718365245498E-2</v>
      </c>
      <c r="O48" s="430">
        <f t="shared" si="74"/>
        <v>4.0324492593775997E-2</v>
      </c>
      <c r="P48" s="430">
        <f t="shared" ref="P48:Q51" si="75">E48/E49-1</f>
        <v>6.1625555347991003E-2</v>
      </c>
      <c r="Q48" s="430">
        <f t="shared" si="75"/>
        <v>4.6757569250590603E-2</v>
      </c>
      <c r="R48" s="445"/>
      <c r="S48" s="448"/>
      <c r="T48" s="449"/>
      <c r="U48" s="449"/>
      <c r="V48" s="449"/>
      <c r="X48" s="449"/>
      <c r="Y48" s="449"/>
      <c r="Z48" s="449"/>
    </row>
    <row r="49" spans="1:26">
      <c r="A49" s="375" t="s">
        <v>2314</v>
      </c>
      <c r="B49" s="376">
        <f t="shared" ref="B49:C51" si="76">B50+(B$48-B$52)*I49/SUM(I$48:I$51)</f>
        <v>180.536665109762</v>
      </c>
      <c r="C49" s="376">
        <f t="shared" si="76"/>
        <v>158.60435967302499</v>
      </c>
      <c r="D49" s="376">
        <f t="shared" si="54"/>
        <v>158.60435967302499</v>
      </c>
      <c r="E49" s="376">
        <f t="shared" ref="E49:F51" si="77">E50+(E$48-E$52)*K49/SUM(K$48:K$51)</f>
        <v>239.255732607851</v>
      </c>
      <c r="F49" s="376">
        <f t="shared" si="77"/>
        <v>141.3889943074</v>
      </c>
      <c r="G49" s="3588">
        <v>2007</v>
      </c>
      <c r="H49" s="386">
        <v>3</v>
      </c>
      <c r="I49" s="386">
        <v>8.65</v>
      </c>
      <c r="J49" s="386">
        <v>8.06</v>
      </c>
      <c r="K49" s="386">
        <v>9.94</v>
      </c>
      <c r="L49" s="416">
        <v>5.8</v>
      </c>
      <c r="N49" s="429">
        <f t="shared" si="74"/>
        <v>6.9402175717400094E-2</v>
      </c>
      <c r="O49" s="430">
        <f t="shared" si="74"/>
        <v>7.11974824711534E-2</v>
      </c>
      <c r="P49" s="430">
        <f t="shared" si="75"/>
        <v>0.105296799225796</v>
      </c>
      <c r="Q49" s="430">
        <f t="shared" si="75"/>
        <v>5.3292245059512099E-2</v>
      </c>
      <c r="R49" s="445"/>
      <c r="S49" s="409"/>
      <c r="T49" s="410"/>
      <c r="U49" s="410"/>
      <c r="V49" s="410"/>
      <c r="X49" s="460"/>
      <c r="Y49" s="460"/>
      <c r="Z49" s="460"/>
    </row>
    <row r="50" spans="1:26">
      <c r="A50" s="375" t="s">
        <v>2315</v>
      </c>
      <c r="B50" s="376">
        <f t="shared" si="76"/>
        <v>168.820177487156</v>
      </c>
      <c r="C50" s="376">
        <f t="shared" si="76"/>
        <v>148.06267029972801</v>
      </c>
      <c r="D50" s="376">
        <f t="shared" si="54"/>
        <v>148.06267029972801</v>
      </c>
      <c r="E50" s="376">
        <f t="shared" si="77"/>
        <v>216.46288379323701</v>
      </c>
      <c r="F50" s="376">
        <f t="shared" si="77"/>
        <v>134.23529411764699</v>
      </c>
      <c r="G50" s="3588">
        <v>2007</v>
      </c>
      <c r="H50" s="384">
        <v>2</v>
      </c>
      <c r="I50" s="384">
        <v>3.67</v>
      </c>
      <c r="J50" s="384">
        <v>2.3199999999999998</v>
      </c>
      <c r="K50" s="384">
        <v>5.0199999999999996</v>
      </c>
      <c r="L50" s="412">
        <v>6.71</v>
      </c>
      <c r="N50" s="429">
        <f t="shared" si="74"/>
        <v>3.0339138143848001E-2</v>
      </c>
      <c r="O50" s="430">
        <f t="shared" si="74"/>
        <v>2.09223415887905E-2</v>
      </c>
      <c r="P50" s="430">
        <f t="shared" si="75"/>
        <v>5.6164796592717003E-2</v>
      </c>
      <c r="Q50" s="430">
        <f t="shared" si="75"/>
        <v>6.5704536723887305E-2</v>
      </c>
      <c r="R50" s="445"/>
      <c r="S50" s="409"/>
      <c r="T50" s="410"/>
      <c r="U50" s="410"/>
      <c r="V50" s="410"/>
      <c r="X50" s="460"/>
      <c r="Y50" s="460"/>
      <c r="Z50" s="460"/>
    </row>
    <row r="51" spans="1:26">
      <c r="A51" s="375" t="s">
        <v>2316</v>
      </c>
      <c r="B51" s="376">
        <f t="shared" si="76"/>
        <v>163.849135917795</v>
      </c>
      <c r="C51" s="376">
        <f t="shared" si="76"/>
        <v>145.028337874659</v>
      </c>
      <c r="D51" s="376">
        <f t="shared" si="54"/>
        <v>145.028337874659</v>
      </c>
      <c r="E51" s="376">
        <f t="shared" si="77"/>
        <v>204.95180722891601</v>
      </c>
      <c r="F51" s="376">
        <f t="shared" si="77"/>
        <v>125.959203036053</v>
      </c>
      <c r="G51" s="3589">
        <v>2007</v>
      </c>
      <c r="H51" s="378">
        <v>1</v>
      </c>
      <c r="I51" s="378">
        <v>3.58</v>
      </c>
      <c r="J51" s="378">
        <v>3.08</v>
      </c>
      <c r="K51" s="378">
        <v>4.34</v>
      </c>
      <c r="L51" s="408">
        <v>3.21</v>
      </c>
      <c r="N51" s="431">
        <f t="shared" si="74"/>
        <v>3.0497710174814101E-2</v>
      </c>
      <c r="O51" s="432">
        <f t="shared" si="74"/>
        <v>2.8569772160705002E-2</v>
      </c>
      <c r="P51" s="432">
        <f t="shared" si="75"/>
        <v>5.1034908866234303E-2</v>
      </c>
      <c r="Q51" s="432">
        <f t="shared" si="75"/>
        <v>3.2452483902074801E-2</v>
      </c>
      <c r="R51" s="445"/>
      <c r="S51" s="418">
        <f>B51/B52-1</f>
        <v>3.0497710174814101E-2</v>
      </c>
      <c r="T51" s="419">
        <f>C51/C52-1</f>
        <v>2.8569772160705002E-2</v>
      </c>
      <c r="U51" s="419">
        <f>E51/E52-1</f>
        <v>5.1034908866234303E-2</v>
      </c>
      <c r="V51" s="419">
        <f>F51/F52-1</f>
        <v>3.2452483902074801E-2</v>
      </c>
      <c r="X51" s="460"/>
      <c r="Y51" s="460"/>
      <c r="Z51" s="460"/>
    </row>
    <row r="52" spans="1:26">
      <c r="A52" s="375" t="s">
        <v>2317</v>
      </c>
      <c r="B52" s="387">
        <v>159</v>
      </c>
      <c r="C52" s="387">
        <v>141</v>
      </c>
      <c r="D52" s="387">
        <f t="shared" si="54"/>
        <v>141</v>
      </c>
      <c r="E52" s="387">
        <v>195</v>
      </c>
      <c r="F52" s="388">
        <v>122</v>
      </c>
      <c r="G52" s="3590">
        <v>2006</v>
      </c>
      <c r="H52" s="385">
        <v>4</v>
      </c>
      <c r="I52" s="385">
        <v>3.79</v>
      </c>
      <c r="J52" s="385">
        <v>2.21</v>
      </c>
      <c r="K52" s="385">
        <v>5.65</v>
      </c>
      <c r="L52" s="413">
        <v>5.41</v>
      </c>
      <c r="N52" s="429">
        <f t="shared" ref="N52:O55" si="78">I52/SUM(I$52:I$55)*(B$52/B$56-1)</f>
        <v>7.2454664627485302E-2</v>
      </c>
      <c r="O52" s="430">
        <f t="shared" si="78"/>
        <v>2.3237230038062801E-2</v>
      </c>
      <c r="P52" s="430">
        <f t="shared" ref="P52:Q55" si="79">K52/SUM(K$52:K$55)*(E$52/E$56-1)</f>
        <v>0.161468938663237</v>
      </c>
      <c r="Q52" s="430">
        <f t="shared" si="79"/>
        <v>5.0755230321793798E-2</v>
      </c>
      <c r="R52" s="445"/>
      <c r="S52" s="448"/>
      <c r="T52" s="449"/>
      <c r="U52" s="449"/>
      <c r="V52" s="449"/>
      <c r="X52" s="460"/>
      <c r="Y52" s="460"/>
      <c r="Z52" s="460"/>
    </row>
    <row r="53" spans="1:26">
      <c r="A53" s="375" t="s">
        <v>2318</v>
      </c>
      <c r="B53" s="376">
        <f t="shared" ref="B53:C55" si="80">B54+(B$52-B$56)*I53/SUM(I$52:I$55)</f>
        <v>149.001256281407</v>
      </c>
      <c r="C53" s="376">
        <f t="shared" si="80"/>
        <v>137.955922865014</v>
      </c>
      <c r="D53" s="376">
        <f t="shared" si="54"/>
        <v>137.955922865014</v>
      </c>
      <c r="E53" s="376">
        <f t="shared" ref="E53:F55" si="81">E54+(E$52-E$56)*K53/SUM(K$52:K$55)</f>
        <v>169.97231450719801</v>
      </c>
      <c r="F53" s="376">
        <f t="shared" si="81"/>
        <v>116.213903743316</v>
      </c>
      <c r="G53" s="3588">
        <v>2006</v>
      </c>
      <c r="H53" s="386">
        <v>3</v>
      </c>
      <c r="I53" s="386">
        <v>0.92</v>
      </c>
      <c r="J53" s="386">
        <v>1.08</v>
      </c>
      <c r="K53" s="386">
        <v>0.73</v>
      </c>
      <c r="L53" s="416">
        <v>1.08</v>
      </c>
      <c r="N53" s="429">
        <f t="shared" si="78"/>
        <v>1.75879396984925E-2</v>
      </c>
      <c r="O53" s="430">
        <f t="shared" si="78"/>
        <v>1.13557504258406E-2</v>
      </c>
      <c r="P53" s="430">
        <f t="shared" si="79"/>
        <v>2.0862358446754499E-2</v>
      </c>
      <c r="Q53" s="430">
        <f t="shared" si="79"/>
        <v>1.0132282578103001E-2</v>
      </c>
      <c r="R53" s="445"/>
      <c r="S53" s="409"/>
      <c r="T53" s="410"/>
      <c r="U53" s="410"/>
      <c r="V53" s="410"/>
      <c r="X53" s="460"/>
      <c r="Y53" s="460"/>
      <c r="Z53" s="460"/>
    </row>
    <row r="54" spans="1:26">
      <c r="A54" s="375" t="s">
        <v>2319</v>
      </c>
      <c r="B54" s="376">
        <f t="shared" si="80"/>
        <v>146.57412060301499</v>
      </c>
      <c r="C54" s="376">
        <f t="shared" si="80"/>
        <v>136.468319559229</v>
      </c>
      <c r="D54" s="376">
        <f t="shared" si="54"/>
        <v>136.468319559229</v>
      </c>
      <c r="E54" s="376">
        <f t="shared" si="81"/>
        <v>166.73864894795099</v>
      </c>
      <c r="F54" s="376">
        <f t="shared" si="81"/>
        <v>115.058823529412</v>
      </c>
      <c r="G54" s="3588">
        <v>2006</v>
      </c>
      <c r="H54" s="384">
        <v>2</v>
      </c>
      <c r="I54" s="384">
        <v>0.96</v>
      </c>
      <c r="J54" s="384">
        <v>0.25</v>
      </c>
      <c r="K54" s="384">
        <v>1.9</v>
      </c>
      <c r="L54" s="412">
        <v>0.95</v>
      </c>
      <c r="N54" s="429">
        <f t="shared" si="78"/>
        <v>1.8352632728861701E-2</v>
      </c>
      <c r="O54" s="430">
        <f t="shared" si="78"/>
        <v>2.62864593190755E-3</v>
      </c>
      <c r="P54" s="430">
        <f t="shared" si="79"/>
        <v>5.4299289107991297E-2</v>
      </c>
      <c r="Q54" s="430">
        <f t="shared" si="79"/>
        <v>8.9126559714794995E-3</v>
      </c>
      <c r="R54" s="445"/>
      <c r="S54" s="409"/>
      <c r="T54" s="410"/>
      <c r="U54" s="410"/>
      <c r="V54" s="410"/>
      <c r="X54" s="460"/>
      <c r="Y54" s="460"/>
      <c r="Z54" s="460"/>
    </row>
    <row r="55" spans="1:26">
      <c r="A55" s="375" t="s">
        <v>2320</v>
      </c>
      <c r="B55" s="376">
        <f t="shared" si="80"/>
        <v>144.04145728643201</v>
      </c>
      <c r="C55" s="376">
        <f t="shared" si="80"/>
        <v>136.123966942149</v>
      </c>
      <c r="D55" s="376">
        <f t="shared" si="54"/>
        <v>136.123966942149</v>
      </c>
      <c r="E55" s="376">
        <f t="shared" si="81"/>
        <v>158.32225913621301</v>
      </c>
      <c r="F55" s="376">
        <f t="shared" si="81"/>
        <v>114.04278074866301</v>
      </c>
      <c r="G55" s="3589">
        <v>2006</v>
      </c>
      <c r="H55" s="378">
        <v>1</v>
      </c>
      <c r="I55" s="378">
        <v>2.29</v>
      </c>
      <c r="J55" s="378">
        <v>3.72</v>
      </c>
      <c r="K55" s="378">
        <v>0.75</v>
      </c>
      <c r="L55" s="408">
        <v>0.04</v>
      </c>
      <c r="N55" s="431">
        <f t="shared" si="78"/>
        <v>4.3778675988638799E-2</v>
      </c>
      <c r="O55" s="432">
        <f t="shared" si="78"/>
        <v>3.9114251466784399E-2</v>
      </c>
      <c r="P55" s="432">
        <f t="shared" si="79"/>
        <v>2.1433929911049199E-2</v>
      </c>
      <c r="Q55" s="432">
        <f t="shared" si="79"/>
        <v>3.7526972511492602E-4</v>
      </c>
      <c r="R55" s="445"/>
      <c r="S55" s="418">
        <f>B55/B56-1</f>
        <v>4.3778675988638702E-2</v>
      </c>
      <c r="T55" s="419">
        <f>C55/C56-1</f>
        <v>3.91142514667846E-2</v>
      </c>
      <c r="U55" s="419">
        <f>E55/E56-1</f>
        <v>2.1433929911049299E-2</v>
      </c>
      <c r="V55" s="419">
        <f>F55/F56-1</f>
        <v>3.7526972511492401E-4</v>
      </c>
      <c r="X55" s="460"/>
      <c r="Y55" s="460"/>
      <c r="Z55" s="460"/>
    </row>
    <row r="56" spans="1:26">
      <c r="A56" s="375" t="s">
        <v>2321</v>
      </c>
      <c r="B56" s="387">
        <v>138</v>
      </c>
      <c r="C56" s="387">
        <v>131</v>
      </c>
      <c r="D56" s="387">
        <f t="shared" si="54"/>
        <v>131</v>
      </c>
      <c r="E56" s="387">
        <v>155</v>
      </c>
      <c r="F56" s="388">
        <v>114</v>
      </c>
      <c r="G56" s="3590">
        <v>2005</v>
      </c>
      <c r="H56" s="385">
        <v>4</v>
      </c>
      <c r="I56" s="385">
        <v>3.29</v>
      </c>
      <c r="J56" s="385">
        <v>1.44</v>
      </c>
      <c r="K56" s="385">
        <v>0.66</v>
      </c>
      <c r="L56" s="413">
        <v>7.78</v>
      </c>
      <c r="N56" s="429">
        <f t="shared" ref="N56:O59" si="82">I56/SUM(I$56:I$59)*(B$56/B$60-1)</f>
        <v>9.9404603216919907E-2</v>
      </c>
      <c r="O56" s="430">
        <f t="shared" si="82"/>
        <v>4.7636550760861603E-2</v>
      </c>
      <c r="P56" s="430">
        <f t="shared" ref="P56:Q59" si="83">K56/SUM(K$56:K$59)*(E$56/E$60-1)</f>
        <v>8.3756345177665004E-2</v>
      </c>
      <c r="Q56" s="430">
        <f t="shared" si="83"/>
        <v>5.2148766661559598E-2</v>
      </c>
      <c r="R56" s="445"/>
      <c r="S56" s="448"/>
      <c r="T56" s="449"/>
      <c r="U56" s="449"/>
      <c r="V56" s="449"/>
      <c r="X56" s="460"/>
      <c r="Y56" s="460"/>
      <c r="Z56" s="460"/>
    </row>
    <row r="57" spans="1:26">
      <c r="A57" s="375" t="s">
        <v>2322</v>
      </c>
      <c r="B57" s="376">
        <f t="shared" ref="B57:C59" si="84">B58+(B$56-B$60)*I57/SUM(I$56:I$59)</f>
        <v>125.972043010753</v>
      </c>
      <c r="C57" s="376">
        <f t="shared" si="84"/>
        <v>125.188340807175</v>
      </c>
      <c r="D57" s="376">
        <f t="shared" si="54"/>
        <v>125.188340807175</v>
      </c>
      <c r="E57" s="376">
        <f t="shared" ref="E57:F59" si="85">E58+(E$56-E$60)*K57/SUM(K$56:K$59)</f>
        <v>144.61421319797</v>
      </c>
      <c r="F57" s="376">
        <f t="shared" si="85"/>
        <v>108.42008196721299</v>
      </c>
      <c r="G57" s="3588">
        <v>2005</v>
      </c>
      <c r="H57" s="386">
        <v>3</v>
      </c>
      <c r="I57" s="386">
        <v>0.46</v>
      </c>
      <c r="J57" s="386">
        <v>0.32</v>
      </c>
      <c r="K57" s="386">
        <v>0.42</v>
      </c>
      <c r="L57" s="416">
        <v>0.64</v>
      </c>
      <c r="N57" s="429">
        <f t="shared" si="82"/>
        <v>1.38985159513019E-2</v>
      </c>
      <c r="O57" s="430">
        <f t="shared" si="82"/>
        <v>1.0585900169080301E-2</v>
      </c>
      <c r="P57" s="430">
        <f t="shared" si="83"/>
        <v>5.3299492385786802E-2</v>
      </c>
      <c r="Q57" s="430">
        <f t="shared" si="83"/>
        <v>4.2898728359123603E-3</v>
      </c>
      <c r="R57" s="445"/>
      <c r="S57" s="409"/>
      <c r="T57" s="410"/>
      <c r="U57" s="410"/>
      <c r="V57" s="410"/>
      <c r="X57" s="460"/>
      <c r="Y57" s="460"/>
      <c r="Z57" s="460"/>
    </row>
    <row r="58" spans="1:26">
      <c r="A58" s="375" t="s">
        <v>2323</v>
      </c>
      <c r="B58" s="376">
        <f t="shared" si="84"/>
        <v>124.290322580645</v>
      </c>
      <c r="C58" s="376">
        <f t="shared" si="84"/>
        <v>123.896860986547</v>
      </c>
      <c r="D58" s="376">
        <f t="shared" si="54"/>
        <v>123.896860986547</v>
      </c>
      <c r="E58" s="376">
        <f t="shared" si="85"/>
        <v>138.005076142132</v>
      </c>
      <c r="F58" s="376">
        <f t="shared" si="85"/>
        <v>107.96106557377</v>
      </c>
      <c r="G58" s="3588">
        <v>2005</v>
      </c>
      <c r="H58" s="384">
        <v>2</v>
      </c>
      <c r="I58" s="384">
        <v>0.47</v>
      </c>
      <c r="J58" s="384">
        <v>0.1</v>
      </c>
      <c r="K58" s="384">
        <v>0.52</v>
      </c>
      <c r="L58" s="412">
        <v>0.79</v>
      </c>
      <c r="N58" s="429">
        <f t="shared" si="82"/>
        <v>1.4200657602417101E-2</v>
      </c>
      <c r="O58" s="430">
        <f t="shared" si="82"/>
        <v>3.30809380283761E-3</v>
      </c>
      <c r="P58" s="430">
        <f t="shared" si="83"/>
        <v>6.5989847715736002E-2</v>
      </c>
      <c r="Q58" s="430">
        <f t="shared" si="83"/>
        <v>5.2953117818293196E-3</v>
      </c>
      <c r="R58" s="445"/>
      <c r="S58" s="409"/>
      <c r="T58" s="410"/>
      <c r="U58" s="410"/>
      <c r="V58" s="410"/>
      <c r="X58" s="460"/>
      <c r="Y58" s="460"/>
      <c r="Z58" s="460"/>
    </row>
    <row r="59" spans="1:26">
      <c r="A59" s="375" t="s">
        <v>2324</v>
      </c>
      <c r="B59" s="376">
        <f t="shared" si="84"/>
        <v>122.57204301075301</v>
      </c>
      <c r="C59" s="376">
        <f t="shared" si="84"/>
        <v>123.493273542601</v>
      </c>
      <c r="D59" s="376">
        <f t="shared" si="54"/>
        <v>123.493273542601</v>
      </c>
      <c r="E59" s="376">
        <f t="shared" si="85"/>
        <v>129.82233502538099</v>
      </c>
      <c r="F59" s="376">
        <f t="shared" si="85"/>
        <v>107.39446721311501</v>
      </c>
      <c r="G59" s="3589">
        <v>2005</v>
      </c>
      <c r="H59" s="378">
        <v>1</v>
      </c>
      <c r="I59" s="378">
        <v>0.43</v>
      </c>
      <c r="J59" s="378">
        <v>0.37</v>
      </c>
      <c r="K59" s="378">
        <v>0.37</v>
      </c>
      <c r="L59" s="408">
        <v>0.55000000000000004</v>
      </c>
      <c r="N59" s="431">
        <f t="shared" si="82"/>
        <v>1.2992090997956099E-2</v>
      </c>
      <c r="O59" s="432">
        <f t="shared" si="82"/>
        <v>1.22399470704992E-2</v>
      </c>
      <c r="P59" s="432">
        <f t="shared" si="83"/>
        <v>4.6954314720812199E-2</v>
      </c>
      <c r="Q59" s="432">
        <f t="shared" si="83"/>
        <v>3.6866094683621802E-3</v>
      </c>
      <c r="R59" s="445"/>
      <c r="S59" s="418">
        <f>B59/B60-1</f>
        <v>1.29920909979562E-2</v>
      </c>
      <c r="T59" s="419">
        <f>C59/C60-1</f>
        <v>1.22399470704992E-2</v>
      </c>
      <c r="U59" s="419">
        <f>E59/E60-1</f>
        <v>4.6954314720812199E-2</v>
      </c>
      <c r="V59" s="419">
        <f>F59/F60-1</f>
        <v>3.68660946836208E-3</v>
      </c>
      <c r="X59" s="460"/>
      <c r="Y59" s="460"/>
      <c r="Z59" s="460"/>
    </row>
    <row r="60" spans="1:26">
      <c r="A60" s="375" t="s">
        <v>2325</v>
      </c>
      <c r="B60" s="394">
        <v>121</v>
      </c>
      <c r="C60" s="394">
        <v>122</v>
      </c>
      <c r="D60" s="394">
        <f t="shared" si="54"/>
        <v>122</v>
      </c>
      <c r="E60" s="394">
        <v>124</v>
      </c>
      <c r="F60" s="395">
        <v>107</v>
      </c>
      <c r="G60" s="3590">
        <v>2004</v>
      </c>
      <c r="H60" s="385">
        <v>4</v>
      </c>
      <c r="I60" s="385">
        <v>0.33</v>
      </c>
      <c r="J60" s="385">
        <v>0.5</v>
      </c>
      <c r="K60" s="385">
        <v>0.5</v>
      </c>
      <c r="L60" s="413">
        <v>0</v>
      </c>
      <c r="N60" s="429">
        <f t="shared" ref="N60:O63" si="86">I60/SUM(I$60:I$63)*(B$60/B$64-1)</f>
        <v>1.33917701485269E-2</v>
      </c>
      <c r="O60" s="430">
        <f t="shared" si="86"/>
        <v>1.0632642211589599E-2</v>
      </c>
      <c r="P60" s="430">
        <f t="shared" ref="P60:Q63" si="87">K60/SUM(K$60:K$63)*(E$60/E$64-1)</f>
        <v>2.2244466688911099E-2</v>
      </c>
      <c r="Q60" s="430">
        <f t="shared" si="87"/>
        <v>0</v>
      </c>
      <c r="R60" s="445"/>
      <c r="S60" s="448"/>
      <c r="T60" s="449"/>
      <c r="U60" s="449"/>
      <c r="V60" s="449"/>
      <c r="X60" s="460"/>
      <c r="Y60" s="460"/>
      <c r="Z60" s="460"/>
    </row>
    <row r="61" spans="1:26">
      <c r="A61" s="375" t="s">
        <v>2326</v>
      </c>
      <c r="B61" s="376">
        <f t="shared" ref="B61:C63" si="88">B62+(B$60-B$64)*I61/SUM(I$60:I$63)</f>
        <v>119.513513513514</v>
      </c>
      <c r="C61" s="376">
        <f t="shared" si="88"/>
        <v>120.787878787879</v>
      </c>
      <c r="D61" s="376">
        <f t="shared" si="54"/>
        <v>120.787878787879</v>
      </c>
      <c r="E61" s="376">
        <f t="shared" ref="E61:F63" si="89">E62+(E$60-E$64)*K61/SUM(K$60:K$63)</f>
        <v>121.597597597598</v>
      </c>
      <c r="F61" s="376">
        <f t="shared" si="89"/>
        <v>107</v>
      </c>
      <c r="G61" s="3588">
        <v>2004</v>
      </c>
      <c r="H61" s="386">
        <v>3</v>
      </c>
      <c r="I61" s="386">
        <v>0.56000000000000005</v>
      </c>
      <c r="J61" s="386">
        <v>0.8</v>
      </c>
      <c r="K61" s="386">
        <v>0.83</v>
      </c>
      <c r="L61" s="416">
        <v>0.06</v>
      </c>
      <c r="N61" s="429">
        <f t="shared" si="86"/>
        <v>2.2725428130833499E-2</v>
      </c>
      <c r="O61" s="430">
        <f t="shared" si="86"/>
        <v>1.7012227538543302E-2</v>
      </c>
      <c r="P61" s="430">
        <f t="shared" si="87"/>
        <v>3.6925814703592498E-2</v>
      </c>
      <c r="Q61" s="430">
        <f t="shared" si="87"/>
        <v>2.8846153846153699E-2</v>
      </c>
      <c r="R61" s="445"/>
      <c r="S61" s="409"/>
      <c r="T61" s="410"/>
      <c r="U61" s="410"/>
      <c r="V61" s="410"/>
      <c r="X61" s="460"/>
      <c r="Y61" s="460"/>
      <c r="Z61" s="460"/>
    </row>
    <row r="62" spans="1:26">
      <c r="A62" s="375" t="s">
        <v>2327</v>
      </c>
      <c r="B62" s="376">
        <f t="shared" si="88"/>
        <v>116.99099099099099</v>
      </c>
      <c r="C62" s="376">
        <f t="shared" si="88"/>
        <v>118.848484848485</v>
      </c>
      <c r="D62" s="376">
        <f t="shared" si="54"/>
        <v>118.848484848485</v>
      </c>
      <c r="E62" s="376">
        <f t="shared" si="89"/>
        <v>117.60960960961</v>
      </c>
      <c r="F62" s="376">
        <f t="shared" si="89"/>
        <v>104</v>
      </c>
      <c r="G62" s="3588">
        <v>2004</v>
      </c>
      <c r="H62" s="384">
        <v>2</v>
      </c>
      <c r="I62" s="384">
        <v>1</v>
      </c>
      <c r="J62" s="384">
        <v>1.5</v>
      </c>
      <c r="K62" s="384">
        <v>1.5</v>
      </c>
      <c r="L62" s="412">
        <v>0</v>
      </c>
      <c r="N62" s="429">
        <f t="shared" si="86"/>
        <v>4.05811216622027E-2</v>
      </c>
      <c r="O62" s="430">
        <f t="shared" si="86"/>
        <v>3.1897926634768703E-2</v>
      </c>
      <c r="P62" s="430">
        <f t="shared" si="87"/>
        <v>6.6733400066733395E-2</v>
      </c>
      <c r="Q62" s="430">
        <f t="shared" si="87"/>
        <v>0</v>
      </c>
      <c r="R62" s="445"/>
      <c r="S62" s="409"/>
      <c r="T62" s="410"/>
      <c r="U62" s="410"/>
      <c r="V62" s="410"/>
      <c r="X62" s="460"/>
      <c r="Y62" s="460"/>
      <c r="Z62" s="460"/>
    </row>
    <row r="63" spans="1:26" s="353" customFormat="1">
      <c r="A63" s="375" t="s">
        <v>2328</v>
      </c>
      <c r="B63" s="397">
        <f t="shared" si="88"/>
        <v>112.486486486486</v>
      </c>
      <c r="C63" s="397">
        <f t="shared" si="88"/>
        <v>115.212121212121</v>
      </c>
      <c r="D63" s="397">
        <f t="shared" si="54"/>
        <v>115.212121212121</v>
      </c>
      <c r="E63" s="397">
        <f t="shared" si="89"/>
        <v>110.402402402402</v>
      </c>
      <c r="F63" s="397">
        <f t="shared" si="89"/>
        <v>104</v>
      </c>
      <c r="G63" s="3589">
        <v>2004</v>
      </c>
      <c r="H63" s="398">
        <v>1</v>
      </c>
      <c r="I63" s="398">
        <v>0.33</v>
      </c>
      <c r="J63" s="398">
        <v>0.5</v>
      </c>
      <c r="K63" s="398">
        <v>0.5</v>
      </c>
      <c r="L63" s="425">
        <v>0</v>
      </c>
      <c r="N63" s="433">
        <f t="shared" si="86"/>
        <v>1.33917701485269E-2</v>
      </c>
      <c r="O63" s="434">
        <f t="shared" si="86"/>
        <v>1.0632642211589599E-2</v>
      </c>
      <c r="P63" s="434">
        <f t="shared" si="87"/>
        <v>2.2244466688911099E-2</v>
      </c>
      <c r="Q63" s="434">
        <f t="shared" si="87"/>
        <v>0</v>
      </c>
      <c r="R63" s="458"/>
      <c r="S63" s="426">
        <f>B63/B64-1</f>
        <v>1.33917701485269E-2</v>
      </c>
      <c r="T63" s="427">
        <f>C63/C64-1</f>
        <v>1.06326422115897E-2</v>
      </c>
      <c r="U63" s="427">
        <f>E63/E64-1</f>
        <v>2.22444666889112E-2</v>
      </c>
      <c r="V63" s="427">
        <f>F63/F64-1</f>
        <v>0</v>
      </c>
      <c r="X63" s="461"/>
      <c r="Y63" s="461"/>
      <c r="Z63" s="461"/>
    </row>
    <row r="64" spans="1:26">
      <c r="A64" s="375" t="s">
        <v>2329</v>
      </c>
      <c r="B64" s="400">
        <v>111</v>
      </c>
      <c r="C64" s="400">
        <v>114</v>
      </c>
      <c r="D64" s="400">
        <f t="shared" si="54"/>
        <v>114</v>
      </c>
      <c r="E64" s="400">
        <v>108</v>
      </c>
      <c r="F64" s="401">
        <v>104</v>
      </c>
      <c r="G64" s="3590">
        <v>2003</v>
      </c>
      <c r="H64" s="399">
        <v>4</v>
      </c>
      <c r="I64" s="435"/>
      <c r="J64" s="435"/>
      <c r="K64" s="435"/>
      <c r="L64" s="435"/>
      <c r="N64" s="436"/>
      <c r="O64" s="435"/>
      <c r="P64" s="435"/>
      <c r="Q64" s="435"/>
      <c r="S64" s="436"/>
      <c r="T64" s="435"/>
      <c r="U64" s="435"/>
      <c r="V64" s="435"/>
      <c r="X64" s="460"/>
      <c r="Y64" s="460"/>
      <c r="Z64" s="460"/>
    </row>
    <row r="65" spans="1:26">
      <c r="A65" s="375" t="s">
        <v>2330</v>
      </c>
      <c r="B65" s="467">
        <f t="shared" ref="B65:C67" si="90">B66+(B$64-B$68)/4</f>
        <v>109.75</v>
      </c>
      <c r="C65" s="467">
        <f t="shared" si="90"/>
        <v>112.25</v>
      </c>
      <c r="D65" s="467">
        <f t="shared" si="54"/>
        <v>112.25</v>
      </c>
      <c r="E65" s="467">
        <f t="shared" ref="E65:F67" si="91">E66+(E$64-E$68)/4</f>
        <v>107.25</v>
      </c>
      <c r="F65" s="467">
        <f t="shared" si="91"/>
        <v>103.5</v>
      </c>
      <c r="G65" s="3588">
        <v>2003</v>
      </c>
      <c r="H65" s="386">
        <v>3</v>
      </c>
      <c r="I65" s="435"/>
      <c r="J65" s="435"/>
      <c r="K65" s="435"/>
      <c r="L65" s="435"/>
      <c r="X65" s="460"/>
      <c r="Y65" s="460"/>
      <c r="Z65" s="460"/>
    </row>
    <row r="66" spans="1:26">
      <c r="A66" s="375" t="s">
        <v>2331</v>
      </c>
      <c r="B66" s="467">
        <f t="shared" si="90"/>
        <v>108.5</v>
      </c>
      <c r="C66" s="467">
        <f t="shared" si="90"/>
        <v>110.5</v>
      </c>
      <c r="D66" s="467">
        <f t="shared" si="54"/>
        <v>110.5</v>
      </c>
      <c r="E66" s="467">
        <f t="shared" si="91"/>
        <v>106.5</v>
      </c>
      <c r="F66" s="467">
        <f t="shared" si="91"/>
        <v>103</v>
      </c>
      <c r="G66" s="3588">
        <v>2003</v>
      </c>
      <c r="H66" s="384">
        <v>2</v>
      </c>
      <c r="I66" s="435"/>
      <c r="J66" s="435"/>
      <c r="K66" s="435"/>
      <c r="L66" s="435"/>
      <c r="X66" s="460"/>
      <c r="Y66" s="460"/>
      <c r="Z66" s="460"/>
    </row>
    <row r="67" spans="1:26">
      <c r="A67" s="375" t="s">
        <v>2332</v>
      </c>
      <c r="B67" s="467">
        <f t="shared" si="90"/>
        <v>107.25</v>
      </c>
      <c r="C67" s="467">
        <f t="shared" si="90"/>
        <v>108.75</v>
      </c>
      <c r="D67" s="467">
        <f t="shared" si="54"/>
        <v>108.75</v>
      </c>
      <c r="E67" s="467">
        <f t="shared" si="91"/>
        <v>105.75</v>
      </c>
      <c r="F67" s="467">
        <f t="shared" si="91"/>
        <v>102.5</v>
      </c>
      <c r="G67" s="3589">
        <v>2003</v>
      </c>
      <c r="H67" s="468">
        <v>1</v>
      </c>
      <c r="I67" s="435"/>
      <c r="J67" s="435"/>
      <c r="K67" s="435"/>
      <c r="L67" s="435"/>
      <c r="S67" s="409"/>
      <c r="T67" s="410"/>
      <c r="U67" s="410"/>
      <c r="X67" s="460"/>
      <c r="Y67" s="460"/>
      <c r="Z67" s="460"/>
    </row>
    <row r="68" spans="1:26">
      <c r="A68" s="375" t="s">
        <v>2333</v>
      </c>
      <c r="B68" s="469">
        <v>106</v>
      </c>
      <c r="C68" s="469">
        <v>107</v>
      </c>
      <c r="D68" s="469">
        <f t="shared" si="54"/>
        <v>107</v>
      </c>
      <c r="E68" s="469">
        <v>105</v>
      </c>
      <c r="F68" s="470">
        <v>102</v>
      </c>
      <c r="G68" s="3590">
        <v>2002</v>
      </c>
      <c r="H68" s="385">
        <v>4</v>
      </c>
      <c r="I68" s="435"/>
      <c r="J68" s="435"/>
      <c r="K68" s="435"/>
      <c r="L68" s="435"/>
      <c r="N68" s="436"/>
      <c r="O68" s="435"/>
      <c r="P68" s="435"/>
      <c r="Q68" s="435"/>
      <c r="S68" s="436"/>
      <c r="T68" s="435"/>
      <c r="U68" s="435"/>
      <c r="V68" s="435"/>
      <c r="X68" s="460"/>
      <c r="Y68" s="460"/>
      <c r="Z68" s="460"/>
    </row>
    <row r="69" spans="1:26">
      <c r="A69" s="375" t="s">
        <v>2334</v>
      </c>
      <c r="B69" s="467">
        <f t="shared" ref="B69:C71" si="92">B70+(B$68-B$72)/4</f>
        <v>105</v>
      </c>
      <c r="C69" s="467">
        <f t="shared" si="92"/>
        <v>106</v>
      </c>
      <c r="D69" s="467">
        <f t="shared" si="54"/>
        <v>106</v>
      </c>
      <c r="E69" s="467">
        <f t="shared" ref="E69:F71" si="93">E70+(E$68-E$72)/4</f>
        <v>104.5</v>
      </c>
      <c r="F69" s="467">
        <f t="shared" si="93"/>
        <v>101.5</v>
      </c>
      <c r="G69" s="3588">
        <v>2002</v>
      </c>
      <c r="H69" s="386">
        <v>3</v>
      </c>
      <c r="I69" s="435"/>
      <c r="J69" s="435"/>
      <c r="K69" s="435"/>
      <c r="L69" s="435"/>
      <c r="X69" s="460"/>
      <c r="Y69" s="460"/>
      <c r="Z69" s="460"/>
    </row>
    <row r="70" spans="1:26">
      <c r="A70" s="375" t="s">
        <v>2335</v>
      </c>
      <c r="B70" s="467">
        <f t="shared" si="92"/>
        <v>104</v>
      </c>
      <c r="C70" s="467">
        <f t="shared" si="92"/>
        <v>105</v>
      </c>
      <c r="D70" s="467">
        <f t="shared" si="54"/>
        <v>105</v>
      </c>
      <c r="E70" s="467">
        <f t="shared" si="93"/>
        <v>104</v>
      </c>
      <c r="F70" s="467">
        <f t="shared" si="93"/>
        <v>101</v>
      </c>
      <c r="G70" s="3588">
        <v>2002</v>
      </c>
      <c r="H70" s="384">
        <v>2</v>
      </c>
      <c r="I70" s="435"/>
      <c r="J70" s="435"/>
      <c r="K70" s="435"/>
      <c r="L70" s="435"/>
      <c r="X70" s="460"/>
      <c r="Y70" s="460"/>
      <c r="Z70" s="460"/>
    </row>
    <row r="71" spans="1:26" s="352" customFormat="1">
      <c r="A71" s="390" t="s">
        <v>2336</v>
      </c>
      <c r="B71" s="471">
        <f t="shared" si="92"/>
        <v>103</v>
      </c>
      <c r="C71" s="471">
        <f t="shared" si="92"/>
        <v>104</v>
      </c>
      <c r="D71" s="471">
        <f t="shared" si="54"/>
        <v>104</v>
      </c>
      <c r="E71" s="471">
        <f t="shared" si="93"/>
        <v>103.5</v>
      </c>
      <c r="F71" s="471">
        <f t="shared" si="93"/>
        <v>100.5</v>
      </c>
      <c r="G71" s="3589">
        <v>2002</v>
      </c>
      <c r="H71" s="472">
        <v>1</v>
      </c>
      <c r="I71" s="478"/>
      <c r="J71" s="478"/>
      <c r="K71" s="478"/>
      <c r="L71" s="478"/>
      <c r="N71" s="479"/>
      <c r="S71" s="479"/>
      <c r="X71" s="482"/>
      <c r="Y71" s="482"/>
      <c r="Z71" s="482"/>
    </row>
    <row r="72" spans="1:26">
      <c r="B72" s="473">
        <v>102</v>
      </c>
      <c r="C72" s="474">
        <v>103</v>
      </c>
      <c r="D72" s="474">
        <f t="shared" si="54"/>
        <v>103</v>
      </c>
      <c r="E72" s="474">
        <v>103</v>
      </c>
      <c r="F72" s="475">
        <v>100</v>
      </c>
      <c r="I72" s="435"/>
      <c r="J72" s="435"/>
      <c r="K72" s="435"/>
      <c r="L72" s="435"/>
      <c r="N72" s="436"/>
      <c r="O72" s="435"/>
      <c r="P72" s="435"/>
      <c r="Q72" s="435"/>
      <c r="S72" s="436"/>
      <c r="T72" s="435"/>
      <c r="U72" s="435"/>
      <c r="V72" s="435"/>
      <c r="X72" s="449"/>
      <c r="Y72" s="449"/>
      <c r="Z72" s="449"/>
    </row>
    <row r="74" spans="1:26" s="354" customFormat="1">
      <c r="A74" s="476" t="s">
        <v>2337</v>
      </c>
      <c r="G74" s="477"/>
      <c r="N74" s="477"/>
      <c r="S74" s="477"/>
    </row>
    <row r="75" spans="1:26" s="354" customFormat="1">
      <c r="A75" s="354" t="s">
        <v>2338</v>
      </c>
      <c r="G75" s="477"/>
      <c r="N75" s="477"/>
      <c r="S75" s="477"/>
    </row>
    <row r="76" spans="1:26" s="354" customFormat="1">
      <c r="A76" s="354" t="s">
        <v>2339</v>
      </c>
      <c r="G76" s="477"/>
      <c r="I76" s="480"/>
      <c r="J76" s="480"/>
      <c r="K76" s="480"/>
      <c r="L76" s="480"/>
      <c r="N76" s="481"/>
      <c r="O76" s="480"/>
      <c r="P76" s="480"/>
      <c r="Q76" s="480"/>
      <c r="S76" s="481"/>
      <c r="T76" s="480"/>
      <c r="U76" s="480"/>
      <c r="V76" s="480"/>
    </row>
    <row r="77" spans="1:26" s="354" customFormat="1">
      <c r="A77" s="354" t="s">
        <v>2340</v>
      </c>
      <c r="G77" s="477"/>
      <c r="N77" s="477"/>
      <c r="S77" s="477"/>
    </row>
    <row r="85" spans="7:22">
      <c r="G85" s="355"/>
      <c r="S85" s="483" t="s">
        <v>2341</v>
      </c>
      <c r="T85" s="484" t="s">
        <v>2342</v>
      </c>
      <c r="U85" s="484" t="s">
        <v>2343</v>
      </c>
      <c r="V85" s="484" t="s">
        <v>2344</v>
      </c>
    </row>
    <row r="86" spans="7:22">
      <c r="G86" s="355"/>
      <c r="N86" s="448"/>
      <c r="O86" s="449"/>
      <c r="P86" s="449"/>
      <c r="Q86" s="449"/>
      <c r="S86" s="485">
        <v>2006</v>
      </c>
      <c r="T86" s="486">
        <v>15.1</v>
      </c>
      <c r="U86" s="486">
        <v>7.43</v>
      </c>
      <c r="V86" s="486">
        <v>26.26</v>
      </c>
    </row>
    <row r="87" spans="7:22">
      <c r="G87" s="355"/>
      <c r="N87" s="448"/>
      <c r="O87" s="449"/>
      <c r="P87" s="449"/>
      <c r="Q87" s="449"/>
      <c r="S87" s="487">
        <v>2005</v>
      </c>
      <c r="T87" s="488">
        <v>13.9</v>
      </c>
      <c r="U87" s="488">
        <v>7.49</v>
      </c>
      <c r="V87" s="488">
        <v>24.92</v>
      </c>
    </row>
    <row r="88" spans="7:22">
      <c r="G88" s="355"/>
      <c r="N88" s="448"/>
      <c r="O88" s="449"/>
      <c r="P88" s="449"/>
      <c r="Q88" s="449"/>
      <c r="S88" s="485">
        <v>2004</v>
      </c>
      <c r="T88" s="486">
        <v>9.48</v>
      </c>
      <c r="U88" s="486">
        <v>7.2</v>
      </c>
      <c r="V88" s="486">
        <v>14.68</v>
      </c>
    </row>
    <row r="89" spans="7:22">
      <c r="G89" s="355"/>
      <c r="N89" s="448"/>
      <c r="O89" s="449"/>
      <c r="P89" s="449"/>
      <c r="Q89" s="449"/>
      <c r="S89" s="487">
        <v>2003</v>
      </c>
      <c r="T89" s="488">
        <v>4.5</v>
      </c>
      <c r="U89" s="488">
        <v>6.12</v>
      </c>
      <c r="V89" s="488">
        <v>2.34</v>
      </c>
    </row>
    <row r="90" spans="7:22">
      <c r="G90" s="355"/>
      <c r="N90" s="448"/>
      <c r="O90" s="449"/>
      <c r="P90" s="449"/>
      <c r="Q90" s="449"/>
      <c r="S90" s="489">
        <v>2002</v>
      </c>
      <c r="T90" s="490">
        <v>3.59</v>
      </c>
      <c r="U90" s="490">
        <v>4.54</v>
      </c>
      <c r="V90" s="490">
        <v>2.5499999999999998</v>
      </c>
    </row>
    <row r="91" spans="7:22">
      <c r="G91" s="355"/>
      <c r="N91" s="448"/>
      <c r="O91" s="449"/>
      <c r="P91" s="449"/>
      <c r="Q91" s="449"/>
    </row>
    <row r="92" spans="7:22">
      <c r="G92" s="355"/>
      <c r="N92" s="448"/>
      <c r="O92" s="449"/>
      <c r="P92" s="449"/>
      <c r="Q92" s="449"/>
    </row>
    <row r="93" spans="7:22">
      <c r="G93" s="355"/>
      <c r="N93" s="448"/>
      <c r="O93" s="449"/>
      <c r="P93" s="449"/>
      <c r="Q93" s="449"/>
    </row>
    <row r="94" spans="7:22">
      <c r="G94" s="355"/>
      <c r="N94" s="448"/>
      <c r="O94" s="449"/>
      <c r="P94" s="449"/>
      <c r="Q94" s="449"/>
    </row>
    <row r="95" spans="7:22">
      <c r="G95" s="355"/>
      <c r="N95" s="448"/>
      <c r="O95" s="449"/>
      <c r="P95" s="449"/>
      <c r="Q95" s="449"/>
    </row>
    <row r="96" spans="7:22">
      <c r="G96" s="355"/>
      <c r="N96" s="448"/>
      <c r="O96" s="449"/>
      <c r="P96" s="449"/>
      <c r="Q96" s="449"/>
    </row>
    <row r="97" spans="7:19">
      <c r="G97" s="355"/>
      <c r="N97" s="448"/>
      <c r="O97" s="449"/>
      <c r="P97" s="449"/>
      <c r="Q97" s="449"/>
    </row>
    <row r="98" spans="7:19">
      <c r="G98" s="355"/>
      <c r="N98" s="448"/>
      <c r="O98" s="449"/>
      <c r="P98" s="449"/>
      <c r="Q98" s="449"/>
    </row>
    <row r="99" spans="7:19">
      <c r="G99" s="355"/>
      <c r="N99" s="448"/>
      <c r="O99" s="449"/>
      <c r="P99" s="449"/>
      <c r="Q99" s="449"/>
    </row>
    <row r="100" spans="7:19">
      <c r="G100" s="355"/>
      <c r="N100" s="448"/>
      <c r="O100" s="449"/>
      <c r="P100" s="449"/>
      <c r="Q100" s="449"/>
    </row>
    <row r="101" spans="7:19">
      <c r="G101" s="355"/>
      <c r="N101" s="448"/>
      <c r="O101" s="449"/>
      <c r="P101" s="449"/>
      <c r="Q101" s="449"/>
      <c r="S101" s="355"/>
    </row>
    <row r="102" spans="7:19">
      <c r="G102" s="355"/>
      <c r="N102" s="448"/>
      <c r="O102" s="449"/>
      <c r="P102" s="449"/>
      <c r="Q102" s="449"/>
      <c r="S102" s="355"/>
    </row>
    <row r="103" spans="7:19">
      <c r="G103" s="355"/>
      <c r="N103" s="448"/>
      <c r="O103" s="449"/>
      <c r="P103" s="449"/>
      <c r="Q103" s="449"/>
      <c r="S103" s="355"/>
    </row>
    <row r="104" spans="7:19">
      <c r="G104" s="355"/>
      <c r="N104" s="448"/>
      <c r="O104" s="449"/>
      <c r="P104" s="449"/>
      <c r="Q104" s="449"/>
      <c r="S104" s="355"/>
    </row>
    <row r="105" spans="7:19">
      <c r="G105" s="355"/>
      <c r="N105" s="448"/>
      <c r="O105" s="449"/>
      <c r="P105" s="449"/>
      <c r="Q105" s="449"/>
      <c r="S105" s="355"/>
    </row>
    <row r="106" spans="7:19">
      <c r="G106" s="355"/>
      <c r="N106" s="448"/>
      <c r="O106" s="449"/>
      <c r="P106" s="449"/>
      <c r="Q106" s="449"/>
      <c r="S106" s="355"/>
    </row>
  </sheetData>
  <sheetProtection sheet="1" objects="1" scenarios="1" formatCells="0"/>
  <mergeCells count="21">
    <mergeCell ref="G68:G71"/>
    <mergeCell ref="G48:G51"/>
    <mergeCell ref="G52:G55"/>
    <mergeCell ref="G56:G59"/>
    <mergeCell ref="G60:G63"/>
    <mergeCell ref="G64:G67"/>
    <mergeCell ref="G28:G31"/>
    <mergeCell ref="G32:G35"/>
    <mergeCell ref="G36:G39"/>
    <mergeCell ref="G40:G43"/>
    <mergeCell ref="G44:G47"/>
    <mergeCell ref="AD1:AH1"/>
    <mergeCell ref="G12:G15"/>
    <mergeCell ref="G16:G19"/>
    <mergeCell ref="G20:G23"/>
    <mergeCell ref="G24:G27"/>
    <mergeCell ref="B1:F1"/>
    <mergeCell ref="G1:L1"/>
    <mergeCell ref="N1:Q1"/>
    <mergeCell ref="S1:V1"/>
    <mergeCell ref="X1:AB1"/>
  </mergeCells>
  <phoneticPr fontId="225" type="noConversion"/>
  <pageMargins left="0.69930555555555596" right="0.69930555555555596"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G57"/>
  <sheetViews>
    <sheetView workbookViewId="0">
      <selection activeCell="I1" sqref="I1"/>
    </sheetView>
  </sheetViews>
  <sheetFormatPr defaultColWidth="8.375" defaultRowHeight="12.75"/>
  <cols>
    <col min="1" max="1" width="9.375" style="137" customWidth="1"/>
    <col min="2" max="2" width="29.25" style="138" customWidth="1"/>
    <col min="3" max="3" width="12.125" style="138" customWidth="1"/>
    <col min="4" max="5" width="11.25" style="139" customWidth="1"/>
    <col min="6" max="6" width="9.5" style="138" customWidth="1"/>
    <col min="7" max="7" width="31.875" style="138" customWidth="1"/>
    <col min="8" max="254" width="9" style="138" customWidth="1"/>
    <col min="255" max="16384" width="8.375" style="138"/>
  </cols>
  <sheetData>
    <row r="1" spans="1:7" s="132" customFormat="1" ht="20.25">
      <c r="A1" s="140" t="s">
        <v>2362</v>
      </c>
      <c r="B1" s="141"/>
      <c r="C1" s="142"/>
      <c r="D1" s="142"/>
      <c r="E1" s="142"/>
      <c r="F1" s="142"/>
      <c r="G1" s="143"/>
    </row>
    <row r="2" spans="1:7" s="132" customFormat="1" ht="18" customHeight="1">
      <c r="A2" s="144" t="s">
        <v>2363</v>
      </c>
      <c r="B2" s="145">
        <f ca="1">C52</f>
        <v>76427</v>
      </c>
      <c r="C2" s="146" t="s">
        <v>2364</v>
      </c>
      <c r="D2" s="143"/>
      <c r="E2" s="143"/>
      <c r="F2" s="143"/>
      <c r="G2" s="143"/>
    </row>
    <row r="3" spans="1:7" s="132" customFormat="1" ht="18" customHeight="1">
      <c r="A3" s="147" t="s">
        <v>2365</v>
      </c>
      <c r="B3" s="148">
        <f ca="1">ROUND(B2*10000/'数据-汇总表'!E3,0)</f>
        <v>7730</v>
      </c>
      <c r="C3" s="146" t="s">
        <v>2366</v>
      </c>
      <c r="D3" s="143"/>
      <c r="E3" s="143"/>
      <c r="F3" s="143"/>
      <c r="G3" s="143"/>
    </row>
    <row r="4" spans="1:7" s="133" customFormat="1" ht="15.75">
      <c r="A4" s="149" t="s">
        <v>2367</v>
      </c>
      <c r="B4" s="150"/>
      <c r="C4" s="150"/>
      <c r="D4" s="150"/>
      <c r="E4" s="150"/>
      <c r="F4" s="150"/>
      <c r="G4" s="151"/>
    </row>
    <row r="5" spans="1:7" s="134" customFormat="1" ht="13.5" customHeight="1">
      <c r="A5" s="152" t="s">
        <v>900</v>
      </c>
      <c r="B5" s="153" t="s">
        <v>2368</v>
      </c>
      <c r="C5" s="154">
        <f>C6+C7+C8</f>
        <v>20610</v>
      </c>
      <c r="D5" s="154" t="s">
        <v>2369</v>
      </c>
      <c r="E5" s="155" t="s">
        <v>2370</v>
      </c>
      <c r="F5" s="155" t="s">
        <v>2371</v>
      </c>
      <c r="G5" s="156"/>
    </row>
    <row r="6" spans="1:7" s="134" customFormat="1" ht="13.5" customHeight="1">
      <c r="A6" s="157" t="s">
        <v>904</v>
      </c>
      <c r="B6" s="158" t="s">
        <v>2372</v>
      </c>
      <c r="C6" s="159">
        <v>20000</v>
      </c>
      <c r="D6" s="160"/>
      <c r="E6" s="161"/>
      <c r="F6" s="161"/>
      <c r="G6" s="162"/>
    </row>
    <row r="7" spans="1:7" s="134" customFormat="1" ht="13.5" customHeight="1">
      <c r="A7" s="157" t="s">
        <v>906</v>
      </c>
      <c r="B7" s="158" t="s">
        <v>2373</v>
      </c>
      <c r="C7" s="163">
        <f>ROUND(C6*F7,0)</f>
        <v>610</v>
      </c>
      <c r="D7" s="163"/>
      <c r="E7" s="161"/>
      <c r="F7" s="164">
        <f>'数据-取费表'!B48+'数据-取费表'!B49</f>
        <v>3.0499999999999999E-2</v>
      </c>
      <c r="G7" s="162"/>
    </row>
    <row r="8" spans="1:7" s="135" customFormat="1">
      <c r="A8" s="157" t="s">
        <v>908</v>
      </c>
      <c r="B8" s="158" t="s">
        <v>2374</v>
      </c>
      <c r="C8" s="163" t="str">
        <f>IF(G8="已包含在土地购买价格中","0",'数据-取费表'!B29)</f>
        <v>0</v>
      </c>
      <c r="D8" s="165"/>
      <c r="E8" s="163"/>
      <c r="F8" s="164"/>
      <c r="G8" s="166" t="s">
        <v>2375</v>
      </c>
    </row>
    <row r="9" spans="1:7" s="134" customFormat="1" ht="13.5" customHeight="1">
      <c r="A9" s="167" t="s">
        <v>910</v>
      </c>
      <c r="B9" s="168" t="s">
        <v>2376</v>
      </c>
      <c r="C9" s="169">
        <f>ROUND(D9*E9/10000,0)</f>
        <v>0</v>
      </c>
      <c r="D9" s="170">
        <f>'数据-汇总表'!E5</f>
        <v>0</v>
      </c>
      <c r="E9" s="169">
        <f>'数据-取费表'!B27</f>
        <v>50</v>
      </c>
      <c r="F9" s="164"/>
      <c r="G9" s="171"/>
    </row>
    <row r="10" spans="1:7" s="134" customFormat="1" ht="13.5" customHeight="1">
      <c r="A10" s="167" t="s">
        <v>913</v>
      </c>
      <c r="B10" s="168" t="s">
        <v>2377</v>
      </c>
      <c r="C10" s="169">
        <f>ROUND(D10*E10/10000,0)</f>
        <v>890</v>
      </c>
      <c r="D10" s="170">
        <f>'数据-汇总表'!E6</f>
        <v>98873.18</v>
      </c>
      <c r="E10" s="169">
        <f>'数据-取费表'!B28</f>
        <v>90</v>
      </c>
      <c r="F10" s="164"/>
      <c r="G10" s="171"/>
    </row>
    <row r="11" spans="1:7" s="134" customFormat="1" ht="13.5" hidden="1" customHeight="1">
      <c r="A11" s="172" t="s">
        <v>915</v>
      </c>
      <c r="B11" s="158" t="s">
        <v>2378</v>
      </c>
      <c r="C11" s="154"/>
      <c r="D11" s="173"/>
      <c r="E11" s="161"/>
      <c r="F11" s="161"/>
      <c r="G11" s="162"/>
    </row>
    <row r="12" spans="1:7" s="134" customFormat="1" ht="13.5" hidden="1" customHeight="1">
      <c r="A12" s="172" t="s">
        <v>917</v>
      </c>
      <c r="B12" s="158" t="s">
        <v>2379</v>
      </c>
      <c r="C12" s="154">
        <v>0</v>
      </c>
      <c r="D12" s="173"/>
      <c r="E12" s="174"/>
      <c r="F12" s="164">
        <v>3.0499999999999999E-2</v>
      </c>
      <c r="G12" s="162"/>
    </row>
    <row r="13" spans="1:7" s="134" customFormat="1" ht="13.5" hidden="1" customHeight="1">
      <c r="A13" s="172" t="s">
        <v>918</v>
      </c>
      <c r="B13" s="158" t="s">
        <v>2380</v>
      </c>
      <c r="C13" s="154"/>
      <c r="D13" s="173"/>
      <c r="E13" s="161"/>
      <c r="F13" s="161"/>
      <c r="G13" s="162"/>
    </row>
    <row r="14" spans="1:7" s="134" customFormat="1" ht="13.5" hidden="1" customHeight="1">
      <c r="A14" s="172" t="s">
        <v>920</v>
      </c>
      <c r="B14" s="158" t="s">
        <v>2374</v>
      </c>
      <c r="C14" s="154"/>
      <c r="D14" s="173"/>
      <c r="E14" s="161"/>
      <c r="F14" s="161"/>
      <c r="G14" s="162" t="s">
        <v>2381</v>
      </c>
    </row>
    <row r="15" spans="1:7" s="134" customFormat="1" ht="13.5" hidden="1" customHeight="1">
      <c r="A15" s="172" t="s">
        <v>922</v>
      </c>
      <c r="B15" s="158" t="s">
        <v>2382</v>
      </c>
      <c r="C15" s="163"/>
      <c r="D15" s="173"/>
      <c r="E15" s="161"/>
      <c r="F15" s="161"/>
      <c r="G15" s="162" t="s">
        <v>2383</v>
      </c>
    </row>
    <row r="16" spans="1:7" s="134" customFormat="1" ht="13.5" hidden="1" customHeight="1">
      <c r="A16" s="172" t="s">
        <v>925</v>
      </c>
      <c r="B16" s="158" t="s">
        <v>2374</v>
      </c>
      <c r="C16" s="163"/>
      <c r="D16" s="173"/>
      <c r="E16" s="161"/>
      <c r="F16" s="161"/>
      <c r="G16" s="162"/>
    </row>
    <row r="17" spans="1:7" s="134" customFormat="1" ht="13.5" hidden="1" customHeight="1">
      <c r="A17" s="172" t="s">
        <v>926</v>
      </c>
      <c r="B17" s="158" t="s">
        <v>2384</v>
      </c>
      <c r="C17" s="175"/>
      <c r="D17" s="176"/>
      <c r="E17" s="175"/>
      <c r="F17" s="175"/>
      <c r="G17" s="162" t="s">
        <v>2383</v>
      </c>
    </row>
    <row r="18" spans="1:7" s="134" customFormat="1" ht="13.5" hidden="1" customHeight="1">
      <c r="A18" s="172" t="s">
        <v>928</v>
      </c>
      <c r="B18" s="158" t="s">
        <v>2385</v>
      </c>
      <c r="C18" s="163">
        <v>0</v>
      </c>
      <c r="D18" s="173"/>
      <c r="E18" s="161"/>
      <c r="F18" s="164">
        <v>3.0499999999999999E-2</v>
      </c>
      <c r="G18" s="162" t="s">
        <v>2386</v>
      </c>
    </row>
    <row r="19" spans="1:7" s="135" customFormat="1" ht="13.5" customHeight="1">
      <c r="A19" s="177" t="s">
        <v>1301</v>
      </c>
      <c r="B19" s="153" t="s">
        <v>2387</v>
      </c>
      <c r="C19" s="154">
        <f>IF(G19="已包含在土地取得成本中","0",ROUND(D19*E19/10000,0))</f>
        <v>1977</v>
      </c>
      <c r="D19" s="178">
        <f>'数据-汇总表'!E3</f>
        <v>98873.18</v>
      </c>
      <c r="E19" s="154">
        <f>'数据-取费表'!B31</f>
        <v>200</v>
      </c>
      <c r="F19" s="179"/>
      <c r="G19" s="166" t="s">
        <v>2388</v>
      </c>
    </row>
    <row r="20" spans="1:7" s="134" customFormat="1" ht="13.5" customHeight="1">
      <c r="A20" s="177" t="s">
        <v>2389</v>
      </c>
      <c r="B20" s="153" t="s">
        <v>2390</v>
      </c>
      <c r="C20" s="180">
        <f>ROUND((C5+C19)*F20,0)</f>
        <v>565</v>
      </c>
      <c r="D20" s="180"/>
      <c r="E20" s="180"/>
      <c r="F20" s="181">
        <f>'数据-取费表'!B37</f>
        <v>2.5000000000000001E-2</v>
      </c>
      <c r="G20" s="182" t="s">
        <v>2391</v>
      </c>
    </row>
    <row r="21" spans="1:7" s="134" customFormat="1" ht="13.5" customHeight="1">
      <c r="A21" s="177" t="s">
        <v>2392</v>
      </c>
      <c r="B21" s="153" t="s">
        <v>2393</v>
      </c>
      <c r="C21" s="183">
        <f>F21</f>
        <v>0.03</v>
      </c>
      <c r="D21" s="184" t="s">
        <v>2394</v>
      </c>
      <c r="E21" s="180"/>
      <c r="F21" s="181">
        <f>'数据-取费表'!B38</f>
        <v>0.03</v>
      </c>
      <c r="G21" s="185" t="s">
        <v>2395</v>
      </c>
    </row>
    <row r="22" spans="1:7" s="134" customFormat="1" ht="13.5" customHeight="1">
      <c r="A22" s="177" t="s">
        <v>2396</v>
      </c>
      <c r="B22" s="153" t="s">
        <v>2397</v>
      </c>
      <c r="C22" s="186">
        <f ca="1">ROUND(SUM(C23:C25),0)</f>
        <v>2223</v>
      </c>
      <c r="D22" s="183">
        <f ca="1">C26</f>
        <v>1.4E-3</v>
      </c>
      <c r="E22" s="184" t="s">
        <v>2394</v>
      </c>
      <c r="F22" s="187">
        <f ca="1">'数据-取费表'!B40</f>
        <v>4.7500000000000001E-2</v>
      </c>
      <c r="G22" s="182" t="str">
        <f>IF('数据-取费表'!B22&lt;=1,"单利计息","复利计息")</f>
        <v>复利计息</v>
      </c>
    </row>
    <row r="23" spans="1:7" s="134" customFormat="1" ht="13.5" customHeight="1">
      <c r="A23" s="188" t="s">
        <v>904</v>
      </c>
      <c r="B23" s="158" t="s">
        <v>2398</v>
      </c>
      <c r="C23" s="189">
        <f ca="1">ROUND(IF('数据-取费表'!B22&lt;=1,C5*F22*'数据-取费表'!B23,C5*(POWER((1+F22),'数据-取费表'!B23)-1)),0)</f>
        <v>2004</v>
      </c>
      <c r="D23" s="190"/>
      <c r="E23" s="190"/>
      <c r="F23" s="191"/>
      <c r="G23" s="192" t="s">
        <v>2399</v>
      </c>
    </row>
    <row r="24" spans="1:7" s="134" customFormat="1" ht="13.5" customHeight="1">
      <c r="A24" s="188" t="s">
        <v>906</v>
      </c>
      <c r="B24" s="158" t="s">
        <v>2400</v>
      </c>
      <c r="C24" s="189">
        <f ca="1">ROUND(IF('数据-取费表'!B22&lt;=1,C19*F22*('数据-取费表'!B19/2+'数据-取费表'!B21),C19*(POWER((1+F22),('数据-取费表'!B19/2+'数据-取费表'!B21))-1)),0)</f>
        <v>192</v>
      </c>
      <c r="D24" s="190"/>
      <c r="E24" s="190"/>
      <c r="F24" s="191"/>
      <c r="G24" s="192" t="s">
        <v>2401</v>
      </c>
    </row>
    <row r="25" spans="1:7" s="134" customFormat="1" ht="24">
      <c r="A25" s="188" t="s">
        <v>908</v>
      </c>
      <c r="B25" s="158" t="s">
        <v>2402</v>
      </c>
      <c r="C25" s="189">
        <f ca="1">ROUND(IF('数据-取费表'!B22&lt;=1,C20*F22*'数据-取费表'!B23/2,C20*(POWER((1+F22),'数据-取费表'!B23/2)-1)),0)</f>
        <v>27</v>
      </c>
      <c r="D25" s="190"/>
      <c r="E25" s="193"/>
      <c r="F25" s="191"/>
      <c r="G25" s="194" t="s">
        <v>2403</v>
      </c>
    </row>
    <row r="26" spans="1:7" s="134" customFormat="1">
      <c r="A26" s="188" t="s">
        <v>948</v>
      </c>
      <c r="B26" s="158" t="s">
        <v>2404</v>
      </c>
      <c r="C26" s="190">
        <f ca="1">ROUND(IF('数据-取费表'!B22&lt;=1,F21*F22*'数据-取费表'!B23/2,F21*(POWER((1+F22),'数据-取费表'!B23/2)-1)),4)</f>
        <v>1.4E-3</v>
      </c>
      <c r="D26" s="190"/>
      <c r="E26" s="193"/>
      <c r="F26" s="191"/>
      <c r="G26" s="195"/>
    </row>
    <row r="27" spans="1:7" s="134" customFormat="1" ht="24.75">
      <c r="A27" s="177" t="s">
        <v>2405</v>
      </c>
      <c r="B27" s="196" t="s">
        <v>2406</v>
      </c>
      <c r="C27" s="197">
        <f>C28</f>
        <v>4630</v>
      </c>
      <c r="D27" s="183">
        <f>C29</f>
        <v>6.0000000000000001E-3</v>
      </c>
      <c r="E27" s="184" t="s">
        <v>2394</v>
      </c>
      <c r="F27" s="198">
        <f>'数据-取费表'!Q16</f>
        <v>0.2</v>
      </c>
      <c r="G27" s="199" t="s">
        <v>2407</v>
      </c>
    </row>
    <row r="28" spans="1:7" s="134" customFormat="1" ht="13.5" customHeight="1">
      <c r="A28" s="188" t="s">
        <v>904</v>
      </c>
      <c r="B28" s="200" t="s">
        <v>2408</v>
      </c>
      <c r="C28" s="201">
        <f>ROUND((C5+C19+C20)*F27*'数据-取费表'!B21/'数据-取费表'!B20,0)</f>
        <v>4630</v>
      </c>
      <c r="D28" s="183"/>
      <c r="E28" s="184"/>
      <c r="F28" s="198"/>
      <c r="G28" s="199"/>
    </row>
    <row r="29" spans="1:7" s="134" customFormat="1" ht="13.5" customHeight="1">
      <c r="A29" s="188" t="s">
        <v>906</v>
      </c>
      <c r="B29" s="200" t="s">
        <v>2409</v>
      </c>
      <c r="C29" s="190">
        <f>ROUND(C21*F27*'数据-取费表'!B21/'数据-取费表'!B20,4)</f>
        <v>6.0000000000000001E-3</v>
      </c>
      <c r="D29" s="183"/>
      <c r="E29" s="184"/>
      <c r="F29" s="198"/>
      <c r="G29" s="199"/>
    </row>
    <row r="30" spans="1:7" s="134" customFormat="1" ht="13.5" customHeight="1">
      <c r="A30" s="177" t="s">
        <v>2410</v>
      </c>
      <c r="B30" s="153" t="s">
        <v>2411</v>
      </c>
      <c r="C30" s="183">
        <f>F30</f>
        <v>5.6000000000000001E-2</v>
      </c>
      <c r="D30" s="184" t="s">
        <v>2412</v>
      </c>
      <c r="E30" s="193"/>
      <c r="F30" s="187">
        <f>'数据-取费表'!B41</f>
        <v>5.6000000000000001E-2</v>
      </c>
      <c r="G30" s="185" t="s">
        <v>2413</v>
      </c>
    </row>
    <row r="31" spans="1:7" ht="16.5" customHeight="1">
      <c r="A31" s="202">
        <v>1</v>
      </c>
      <c r="B31" s="153" t="s">
        <v>2414</v>
      </c>
      <c r="C31" s="154">
        <f ca="1">ROUND((C5+C19+C20+C22+C27)/(1-C21-D22-D27-C30/(1+'数据-取费表'!B42)),0)</f>
        <v>32999</v>
      </c>
      <c r="D31" s="203"/>
      <c r="E31" s="154"/>
      <c r="F31" s="204"/>
      <c r="G31" s="185" t="s">
        <v>2415</v>
      </c>
    </row>
    <row r="32" spans="1:7" s="133" customFormat="1" ht="15.75">
      <c r="A32" s="205" t="s">
        <v>2416</v>
      </c>
      <c r="B32" s="206"/>
      <c r="C32" s="206"/>
      <c r="D32" s="206"/>
      <c r="E32" s="206"/>
      <c r="F32" s="206"/>
      <c r="G32" s="207"/>
    </row>
    <row r="33" spans="1:7" s="134" customFormat="1" ht="13.5" customHeight="1">
      <c r="A33" s="152" t="s">
        <v>900</v>
      </c>
      <c r="B33" s="153" t="s">
        <v>2417</v>
      </c>
      <c r="C33" s="208">
        <f>SUM(C34:C38)</f>
        <v>33567</v>
      </c>
      <c r="D33" s="180"/>
      <c r="E33" s="155"/>
      <c r="F33" s="193"/>
      <c r="G33" s="185"/>
    </row>
    <row r="34" spans="1:7" s="136" customFormat="1" ht="13.5" customHeight="1">
      <c r="A34" s="188" t="s">
        <v>904</v>
      </c>
      <c r="B34" s="158" t="s">
        <v>2418</v>
      </c>
      <c r="C34" s="163">
        <f>IF(F34=100%,'数据-取费表'!M16-SUMIF('数据-取费表'!C:C,"公共配套",'数据-取费表'!M:M),'数据-取费表'!O16-SUMIF('数据-取费表'!C:C,"公共配套",'数据-取费表'!O:O))</f>
        <v>29662</v>
      </c>
      <c r="D34" s="160"/>
      <c r="E34" s="163"/>
      <c r="F34" s="209">
        <f>IF('数据-取费表'!B24=0,1,'数据-取费表'!N16)</f>
        <v>1</v>
      </c>
      <c r="G34" s="162" t="s">
        <v>2419</v>
      </c>
    </row>
    <row r="35" spans="1:7" ht="13.5" customHeight="1">
      <c r="A35" s="188" t="s">
        <v>906</v>
      </c>
      <c r="B35" s="158" t="s">
        <v>2420</v>
      </c>
      <c r="C35" s="163">
        <f>ROUND(C34*F35,0)</f>
        <v>1483</v>
      </c>
      <c r="D35" s="163"/>
      <c r="E35" s="163"/>
      <c r="F35" s="210">
        <f>'数据-取费表'!B33</f>
        <v>0.05</v>
      </c>
      <c r="G35" s="162" t="s">
        <v>2421</v>
      </c>
    </row>
    <row r="36" spans="1:7" ht="24">
      <c r="A36" s="188" t="s">
        <v>908</v>
      </c>
      <c r="B36" s="158" t="s">
        <v>2422</v>
      </c>
      <c r="C36" s="163">
        <f>ROUND(IF(SUMIF('数据-取费表'!C:C,"住宅",IF(F34=100%,'数据-取费表'!M:M,'数据-取费表'!O:O))=0,0,IF(F36=0,SUMIF('数据-取费表'!C:C,"公共配套",IF(F34=100%,'数据-取费表'!M:M,'数据-取费表'!O:O)),SUMIF('数据-取费表'!C:C,"住宅",IF(F34=100%,'数据-取费表'!M:M,'数据-取费表'!O:O))*F36)),0)</f>
        <v>0</v>
      </c>
      <c r="D36" s="163"/>
      <c r="E36" s="163"/>
      <c r="F36" s="210">
        <f>'数据-取费表'!B34</f>
        <v>0</v>
      </c>
      <c r="G36" s="211" t="s">
        <v>2423</v>
      </c>
    </row>
    <row r="37" spans="1:7" s="136" customFormat="1" ht="13.5" customHeight="1">
      <c r="A37" s="188" t="s">
        <v>948</v>
      </c>
      <c r="B37" s="158" t="s">
        <v>2424</v>
      </c>
      <c r="C37" s="201">
        <f>ROUND(E37*D37*F34/10000,0)</f>
        <v>1977</v>
      </c>
      <c r="D37" s="160">
        <f>'数据-汇总表'!E3</f>
        <v>98873.18</v>
      </c>
      <c r="E37" s="201">
        <f>'数据-取费表'!B35</f>
        <v>200</v>
      </c>
      <c r="F37" s="210"/>
      <c r="G37" s="212" t="s">
        <v>2425</v>
      </c>
    </row>
    <row r="38" spans="1:7" ht="13.5" customHeight="1">
      <c r="A38" s="188" t="s">
        <v>970</v>
      </c>
      <c r="B38" s="158" t="s">
        <v>2379</v>
      </c>
      <c r="C38" s="163">
        <f>ROUND(C34*F38,0)</f>
        <v>445</v>
      </c>
      <c r="D38" s="163"/>
      <c r="E38" s="163"/>
      <c r="F38" s="210">
        <f>'数据-取费表'!B36</f>
        <v>1.4999999999999999E-2</v>
      </c>
      <c r="G38" s="162" t="s">
        <v>2421</v>
      </c>
    </row>
    <row r="39" spans="1:7" s="134" customFormat="1" ht="13.5" customHeight="1">
      <c r="A39" s="177" t="s">
        <v>1301</v>
      </c>
      <c r="B39" s="153" t="s">
        <v>2390</v>
      </c>
      <c r="C39" s="180">
        <f>ROUND(C33*F20,0)</f>
        <v>839</v>
      </c>
      <c r="D39" s="180"/>
      <c r="E39" s="180"/>
      <c r="F39" s="181"/>
      <c r="G39" s="182" t="s">
        <v>2426</v>
      </c>
    </row>
    <row r="40" spans="1:7" s="134" customFormat="1" ht="13.5" customHeight="1">
      <c r="A40" s="177" t="s">
        <v>2389</v>
      </c>
      <c r="B40" s="153" t="s">
        <v>2393</v>
      </c>
      <c r="C40" s="213">
        <f>F21</f>
        <v>0.03</v>
      </c>
      <c r="D40" s="184" t="s">
        <v>2427</v>
      </c>
      <c r="E40" s="180"/>
      <c r="F40" s="181"/>
      <c r="G40" s="185" t="s">
        <v>2428</v>
      </c>
    </row>
    <row r="41" spans="1:7" s="134" customFormat="1" ht="13.5" customHeight="1">
      <c r="A41" s="177" t="s">
        <v>2392</v>
      </c>
      <c r="B41" s="153" t="s">
        <v>2397</v>
      </c>
      <c r="C41" s="180">
        <f ca="1">ROUND(SUM(C42:C43),0)</f>
        <v>1634</v>
      </c>
      <c r="D41" s="183">
        <f ca="1">C44</f>
        <v>1.4E-3</v>
      </c>
      <c r="E41" s="184" t="s">
        <v>2427</v>
      </c>
      <c r="F41" s="187"/>
      <c r="G41" s="182" t="str">
        <f>IF('数据-取费表'!B22&lt;=1,"单利计息","复利计息")</f>
        <v>复利计息</v>
      </c>
    </row>
    <row r="42" spans="1:7" ht="13.5" customHeight="1">
      <c r="A42" s="188" t="s">
        <v>904</v>
      </c>
      <c r="B42" s="158" t="s">
        <v>2398</v>
      </c>
      <c r="C42" s="190">
        <f ca="1">ROUND(IF('数据-取费表'!B22&lt;=1,C33*F22*'数据-取费表'!B21/2,C33*(POWER((1+F22),'数据-取费表'!B21/2)-1)),0)</f>
        <v>1594</v>
      </c>
      <c r="D42" s="190"/>
      <c r="E42" s="190"/>
      <c r="F42" s="191"/>
      <c r="G42" s="3454" t="s">
        <v>2429</v>
      </c>
    </row>
    <row r="43" spans="1:7" ht="13.5" customHeight="1">
      <c r="A43" s="188" t="s">
        <v>906</v>
      </c>
      <c r="B43" s="158" t="s">
        <v>2400</v>
      </c>
      <c r="C43" s="190">
        <f ca="1">ROUND(IF('数据-取费表'!B22&lt;=1,C39*F22*'数据-取费表'!B21/2,C39*(POWER((1+F22),'数据-取费表'!B21/2)-1)),0)</f>
        <v>40</v>
      </c>
      <c r="D43" s="190"/>
      <c r="E43" s="190"/>
      <c r="F43" s="191"/>
      <c r="G43" s="3455"/>
    </row>
    <row r="44" spans="1:7" ht="13.5" customHeight="1">
      <c r="A44" s="188" t="s">
        <v>908</v>
      </c>
      <c r="B44" s="158" t="s">
        <v>2402</v>
      </c>
      <c r="C44" s="190">
        <f ca="1">ROUND(IF('数据-取费表'!B22&lt;=1,C40*F22*'数据-取费表'!B21/2,C40*(POWER((1+F22),'数据-取费表'!B21/2)-1)),4)</f>
        <v>1.4E-3</v>
      </c>
      <c r="D44" s="190"/>
      <c r="E44" s="190"/>
      <c r="F44" s="191"/>
      <c r="G44" s="3456"/>
    </row>
    <row r="45" spans="1:7" s="134" customFormat="1" ht="13.5" customHeight="1">
      <c r="A45" s="177" t="s">
        <v>2396</v>
      </c>
      <c r="B45" s="196" t="s">
        <v>2406</v>
      </c>
      <c r="C45" s="197">
        <f>C46</f>
        <v>6881</v>
      </c>
      <c r="D45" s="183">
        <f>C47</f>
        <v>6.0000000000000001E-3</v>
      </c>
      <c r="E45" s="184" t="s">
        <v>2427</v>
      </c>
      <c r="F45" s="198"/>
      <c r="G45" s="199" t="s">
        <v>2430</v>
      </c>
    </row>
    <row r="46" spans="1:7" s="134" customFormat="1" ht="13.5" customHeight="1">
      <c r="A46" s="188" t="s">
        <v>904</v>
      </c>
      <c r="B46" s="200" t="s">
        <v>2431</v>
      </c>
      <c r="C46" s="201">
        <f>ROUND((C33+C39)*F27,0)</f>
        <v>6881</v>
      </c>
      <c r="D46" s="214"/>
      <c r="E46" s="184"/>
      <c r="F46" s="198"/>
      <c r="G46" s="199"/>
    </row>
    <row r="47" spans="1:7" s="134" customFormat="1" ht="13.5" customHeight="1">
      <c r="A47" s="188" t="s">
        <v>906</v>
      </c>
      <c r="B47" s="200" t="s">
        <v>2432</v>
      </c>
      <c r="C47" s="190">
        <f>ROUND(C40*F27,4)</f>
        <v>6.0000000000000001E-3</v>
      </c>
      <c r="D47" s="214"/>
      <c r="E47" s="184"/>
      <c r="F47" s="198"/>
      <c r="G47" s="199"/>
    </row>
    <row r="48" spans="1:7" s="134" customFormat="1" ht="13.5" customHeight="1">
      <c r="A48" s="177" t="s">
        <v>2405</v>
      </c>
      <c r="B48" s="153" t="s">
        <v>2411</v>
      </c>
      <c r="C48" s="213">
        <f>F30</f>
        <v>5.6000000000000001E-2</v>
      </c>
      <c r="D48" s="184" t="s">
        <v>2433</v>
      </c>
      <c r="E48" s="180"/>
      <c r="F48" s="187"/>
      <c r="G48" s="185" t="s">
        <v>2434</v>
      </c>
    </row>
    <row r="49" spans="1:7" ht="16.5" customHeight="1">
      <c r="A49" s="177" t="s">
        <v>2410</v>
      </c>
      <c r="B49" s="153" t="s">
        <v>2435</v>
      </c>
      <c r="C49" s="180">
        <f ca="1">ROUND((C33+C39+C41+C45)/(1-C40-D41-D45-C48/(1+'数据-取费表'!B42)),0)</f>
        <v>47204</v>
      </c>
      <c r="D49" s="180"/>
      <c r="E49" s="180"/>
      <c r="F49" s="215"/>
      <c r="G49" s="185" t="s">
        <v>2436</v>
      </c>
    </row>
    <row r="50" spans="1:7" s="136" customFormat="1" ht="24">
      <c r="A50" s="177" t="s">
        <v>2437</v>
      </c>
      <c r="B50" s="153" t="s">
        <v>2438</v>
      </c>
      <c r="C50" s="180"/>
      <c r="D50" s="180"/>
      <c r="E50" s="180"/>
      <c r="F50" s="215">
        <f>IF('数据-取费表'!B24=0,'数据-取费表'!N16,1)</f>
        <v>0.92</v>
      </c>
      <c r="G50" s="199" t="s">
        <v>2439</v>
      </c>
    </row>
    <row r="51" spans="1:7" ht="16.5" customHeight="1">
      <c r="A51" s="177" t="s">
        <v>2440</v>
      </c>
      <c r="B51" s="153" t="s">
        <v>2441</v>
      </c>
      <c r="C51" s="180">
        <f ca="1">ROUND(C49*F50,0)</f>
        <v>43428</v>
      </c>
      <c r="D51" s="180"/>
      <c r="E51" s="180"/>
      <c r="F51" s="215"/>
      <c r="G51" s="185" t="s">
        <v>2442</v>
      </c>
    </row>
    <row r="52" spans="1:7" s="133" customFormat="1" ht="15.75">
      <c r="A52" s="216" t="s">
        <v>2443</v>
      </c>
      <c r="B52" s="217"/>
      <c r="C52" s="218">
        <f ca="1">C31+C51</f>
        <v>76427</v>
      </c>
      <c r="D52" s="217"/>
      <c r="E52" s="217"/>
      <c r="F52" s="217"/>
      <c r="G52" s="219"/>
    </row>
    <row r="55" spans="1:7" ht="15">
      <c r="B55" s="220" t="s">
        <v>2444</v>
      </c>
      <c r="C55" s="221"/>
    </row>
    <row r="56" spans="1:7">
      <c r="B56" s="222" t="s">
        <v>2445</v>
      </c>
      <c r="C56" s="223">
        <f ca="1">ROUND(C51/C52,3)</f>
        <v>0.56799999999999995</v>
      </c>
    </row>
    <row r="57" spans="1:7">
      <c r="B57" s="222" t="s">
        <v>2446</v>
      </c>
      <c r="C57" s="224">
        <f ca="1">1-C56</f>
        <v>0.43200000000000005</v>
      </c>
    </row>
  </sheetData>
  <mergeCells count="1">
    <mergeCell ref="G42:G44"/>
  </mergeCells>
  <phoneticPr fontId="225"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69930555555555596" right="0.69930555555555596" top="0.75" bottom="0.75" header="0.3" footer="0.3"/>
  <pageSetup paperSize="9" scale="77" orientation="portrai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1" customWidth="1"/>
    <col min="2" max="5" width="10.25" style="82" customWidth="1"/>
    <col min="6" max="6" width="9" style="82"/>
    <col min="7" max="8" width="9" style="113"/>
    <col min="9" max="16384" width="9" style="82"/>
  </cols>
  <sheetData>
    <row r="1" spans="1:19">
      <c r="A1" s="3594" t="s">
        <v>2447</v>
      </c>
      <c r="B1" s="3594"/>
      <c r="C1" s="3594"/>
      <c r="D1" s="3594"/>
      <c r="E1" s="3594"/>
      <c r="F1" s="3594"/>
      <c r="H1" s="114" t="s">
        <v>233</v>
      </c>
      <c r="I1" s="128" t="s">
        <v>244</v>
      </c>
      <c r="J1" s="128" t="s">
        <v>254</v>
      </c>
      <c r="K1" s="128" t="s">
        <v>262</v>
      </c>
      <c r="L1" s="128" t="s">
        <v>270</v>
      </c>
      <c r="M1" s="128" t="s">
        <v>276</v>
      </c>
      <c r="N1" s="128" t="s">
        <v>281</v>
      </c>
      <c r="O1" s="128" t="s">
        <v>286</v>
      </c>
      <c r="P1" s="128" t="s">
        <v>289</v>
      </c>
      <c r="Q1" s="128" t="s">
        <v>292</v>
      </c>
      <c r="R1" s="128" t="s">
        <v>295</v>
      </c>
      <c r="S1" s="129" t="s">
        <v>298</v>
      </c>
    </row>
    <row r="2" spans="1:19">
      <c r="A2" s="3595" t="s">
        <v>2448</v>
      </c>
      <c r="B2" s="3595"/>
      <c r="C2" s="3595"/>
      <c r="D2" s="3595"/>
      <c r="E2" s="3595"/>
      <c r="F2" s="3595"/>
      <c r="H2" s="115" t="s">
        <v>2449</v>
      </c>
      <c r="I2" s="91" t="s">
        <v>2450</v>
      </c>
      <c r="J2" s="91" t="s">
        <v>2451</v>
      </c>
      <c r="K2" s="91" t="s">
        <v>2452</v>
      </c>
      <c r="L2" s="91" t="s">
        <v>2453</v>
      </c>
      <c r="M2" s="91" t="s">
        <v>2454</v>
      </c>
      <c r="N2" s="91" t="s">
        <v>2455</v>
      </c>
      <c r="O2" s="91" t="s">
        <v>2456</v>
      </c>
      <c r="P2" s="91" t="s">
        <v>2457</v>
      </c>
      <c r="Q2" s="91" t="s">
        <v>2458</v>
      </c>
      <c r="R2" s="91" t="s">
        <v>2459</v>
      </c>
      <c r="S2" s="91" t="s">
        <v>2460</v>
      </c>
    </row>
    <row r="3" spans="1:19" s="112" customFormat="1" ht="19.5" customHeight="1">
      <c r="A3" s="3596" t="s">
        <v>2461</v>
      </c>
      <c r="B3" s="116"/>
      <c r="C3" s="117" t="s">
        <v>2041</v>
      </c>
      <c r="D3" s="117" t="s">
        <v>2042</v>
      </c>
      <c r="E3" s="117" t="s">
        <v>2043</v>
      </c>
      <c r="F3" s="117" t="s">
        <v>2044</v>
      </c>
      <c r="G3" s="118"/>
      <c r="H3" s="115" t="s">
        <v>2462</v>
      </c>
      <c r="I3" s="91" t="s">
        <v>2463</v>
      </c>
      <c r="J3" s="91" t="s">
        <v>2464</v>
      </c>
      <c r="K3" s="91" t="s">
        <v>2465</v>
      </c>
      <c r="L3" s="91" t="s">
        <v>2466</v>
      </c>
      <c r="M3" s="91" t="s">
        <v>2467</v>
      </c>
      <c r="N3" s="91" t="s">
        <v>2468</v>
      </c>
      <c r="O3" s="91" t="s">
        <v>2469</v>
      </c>
      <c r="P3" s="91" t="s">
        <v>2470</v>
      </c>
      <c r="Q3" s="91" t="s">
        <v>2471</v>
      </c>
      <c r="R3" s="91" t="s">
        <v>2472</v>
      </c>
      <c r="S3" s="91" t="s">
        <v>2473</v>
      </c>
    </row>
    <row r="4" spans="1:19" s="112" customFormat="1" ht="19.5" customHeight="1">
      <c r="A4" s="3597"/>
      <c r="B4" s="119" t="s">
        <v>2474</v>
      </c>
      <c r="C4" s="119" t="s">
        <v>2475</v>
      </c>
      <c r="D4" s="119" t="s">
        <v>2475</v>
      </c>
      <c r="E4" s="119" t="s">
        <v>2475</v>
      </c>
      <c r="F4" s="120" t="s">
        <v>2475</v>
      </c>
      <c r="G4" s="118"/>
      <c r="H4" s="115" t="s">
        <v>2476</v>
      </c>
      <c r="I4" s="91" t="s">
        <v>2477</v>
      </c>
      <c r="J4" s="91" t="s">
        <v>2478</v>
      </c>
      <c r="K4" s="91" t="s">
        <v>2479</v>
      </c>
      <c r="L4" s="91" t="s">
        <v>2480</v>
      </c>
      <c r="M4" s="91" t="s">
        <v>2481</v>
      </c>
      <c r="N4" s="91" t="s">
        <v>2482</v>
      </c>
      <c r="O4" s="91" t="s">
        <v>2483</v>
      </c>
      <c r="P4" s="91" t="s">
        <v>2484</v>
      </c>
      <c r="Q4" s="91" t="s">
        <v>2485</v>
      </c>
      <c r="R4" s="91" t="s">
        <v>2486</v>
      </c>
      <c r="S4" s="91" t="s">
        <v>2487</v>
      </c>
    </row>
    <row r="5" spans="1:19" ht="14.25" customHeight="1">
      <c r="A5" s="87" t="s">
        <v>233</v>
      </c>
      <c r="B5" s="88" t="s">
        <v>2449</v>
      </c>
      <c r="C5" s="88">
        <v>29530</v>
      </c>
      <c r="D5" s="88">
        <v>28130</v>
      </c>
      <c r="E5" s="88">
        <v>27930</v>
      </c>
      <c r="F5" s="121">
        <v>11300</v>
      </c>
      <c r="G5" s="118"/>
      <c r="H5" s="115" t="s">
        <v>2488</v>
      </c>
      <c r="I5" s="91" t="s">
        <v>2489</v>
      </c>
      <c r="J5" s="91" t="s">
        <v>2490</v>
      </c>
      <c r="K5" s="91" t="s">
        <v>2491</v>
      </c>
      <c r="L5" s="91" t="s">
        <v>2492</v>
      </c>
      <c r="M5" s="91" t="s">
        <v>2493</v>
      </c>
      <c r="N5" s="91" t="s">
        <v>2494</v>
      </c>
      <c r="O5" s="91" t="s">
        <v>2495</v>
      </c>
      <c r="P5" s="91" t="s">
        <v>2496</v>
      </c>
      <c r="Q5" s="91" t="s">
        <v>2497</v>
      </c>
      <c r="R5" s="91" t="s">
        <v>2498</v>
      </c>
      <c r="S5" s="91" t="s">
        <v>2499</v>
      </c>
    </row>
    <row r="6" spans="1:19" ht="14.25" customHeight="1">
      <c r="A6" s="87" t="s">
        <v>233</v>
      </c>
      <c r="B6" s="91" t="s">
        <v>2462</v>
      </c>
      <c r="C6" s="91">
        <v>30290</v>
      </c>
      <c r="D6" s="91">
        <v>29210</v>
      </c>
      <c r="E6" s="91">
        <v>28860</v>
      </c>
      <c r="F6" s="122">
        <v>12600</v>
      </c>
      <c r="G6" s="118"/>
      <c r="H6" s="115" t="s">
        <v>2500</v>
      </c>
      <c r="I6" s="91" t="s">
        <v>2501</v>
      </c>
      <c r="J6" s="91" t="s">
        <v>2502</v>
      </c>
      <c r="K6" s="91" t="s">
        <v>2503</v>
      </c>
      <c r="L6" s="91" t="s">
        <v>2504</v>
      </c>
      <c r="M6" s="91" t="s">
        <v>2505</v>
      </c>
      <c r="N6" s="91" t="s">
        <v>2506</v>
      </c>
      <c r="O6" s="91" t="s">
        <v>2507</v>
      </c>
      <c r="P6" s="91" t="s">
        <v>2508</v>
      </c>
      <c r="Q6" s="91" t="s">
        <v>2509</v>
      </c>
      <c r="R6" s="91" t="s">
        <v>2510</v>
      </c>
      <c r="S6" s="91" t="s">
        <v>2511</v>
      </c>
    </row>
    <row r="7" spans="1:19" ht="14.25" customHeight="1">
      <c r="A7" s="87" t="s">
        <v>233</v>
      </c>
      <c r="B7" s="94" t="s">
        <v>2476</v>
      </c>
      <c r="C7" s="91">
        <v>29350</v>
      </c>
      <c r="D7" s="91">
        <v>28410</v>
      </c>
      <c r="E7" s="91">
        <v>27990</v>
      </c>
      <c r="F7" s="122">
        <v>12300</v>
      </c>
      <c r="G7" s="118"/>
      <c r="I7" s="91" t="s">
        <v>2512</v>
      </c>
      <c r="J7" s="91" t="s">
        <v>2513</v>
      </c>
      <c r="K7" s="91" t="s">
        <v>2514</v>
      </c>
      <c r="L7" s="91" t="s">
        <v>2515</v>
      </c>
      <c r="M7" s="91" t="s">
        <v>2516</v>
      </c>
      <c r="N7" s="91" t="s">
        <v>2517</v>
      </c>
      <c r="O7" s="91" t="s">
        <v>2518</v>
      </c>
      <c r="P7" s="91" t="s">
        <v>2519</v>
      </c>
      <c r="Q7" s="91" t="s">
        <v>2520</v>
      </c>
      <c r="R7" s="91" t="s">
        <v>2521</v>
      </c>
      <c r="S7" s="94" t="s">
        <v>2522</v>
      </c>
    </row>
    <row r="8" spans="1:19" ht="14.25" customHeight="1">
      <c r="A8" s="87" t="s">
        <v>233</v>
      </c>
      <c r="B8" s="91" t="s">
        <v>2488</v>
      </c>
      <c r="C8" s="91">
        <v>30890</v>
      </c>
      <c r="D8" s="91">
        <v>29780</v>
      </c>
      <c r="E8" s="91">
        <v>29270</v>
      </c>
      <c r="F8" s="122">
        <v>11600</v>
      </c>
      <c r="G8" s="118"/>
      <c r="I8" s="91" t="s">
        <v>2523</v>
      </c>
      <c r="J8" s="91" t="s">
        <v>2524</v>
      </c>
      <c r="K8" s="91" t="s">
        <v>2525</v>
      </c>
      <c r="L8" s="91" t="s">
        <v>2526</v>
      </c>
      <c r="M8" s="91" t="s">
        <v>2527</v>
      </c>
      <c r="N8" s="91" t="s">
        <v>2528</v>
      </c>
      <c r="O8" s="91" t="s">
        <v>2529</v>
      </c>
      <c r="P8" s="91" t="s">
        <v>2530</v>
      </c>
      <c r="Q8" s="91" t="s">
        <v>2531</v>
      </c>
      <c r="R8" s="91" t="s">
        <v>2532</v>
      </c>
      <c r="S8" s="91" t="s">
        <v>2533</v>
      </c>
    </row>
    <row r="9" spans="1:19" ht="14.25" customHeight="1">
      <c r="A9" s="87" t="s">
        <v>233</v>
      </c>
      <c r="B9" s="96" t="s">
        <v>2500</v>
      </c>
      <c r="C9" s="102">
        <v>28140</v>
      </c>
      <c r="D9" s="102"/>
      <c r="E9" s="102"/>
      <c r="F9" s="123"/>
      <c r="G9" s="118"/>
      <c r="I9" s="91" t="s">
        <v>2534</v>
      </c>
      <c r="J9" s="91" t="s">
        <v>2535</v>
      </c>
      <c r="K9" s="91" t="s">
        <v>2536</v>
      </c>
      <c r="L9" s="91" t="s">
        <v>2537</v>
      </c>
      <c r="M9" s="91" t="s">
        <v>2538</v>
      </c>
      <c r="N9" s="91" t="s">
        <v>2539</v>
      </c>
      <c r="O9" s="91" t="s">
        <v>2540</v>
      </c>
      <c r="P9" s="91" t="s">
        <v>2541</v>
      </c>
      <c r="Q9" s="91" t="s">
        <v>2542</v>
      </c>
      <c r="R9" s="91" t="s">
        <v>2543</v>
      </c>
    </row>
    <row r="10" spans="1:19" ht="14.25" customHeight="1">
      <c r="A10" s="87" t="s">
        <v>244</v>
      </c>
      <c r="B10" s="88" t="s">
        <v>2450</v>
      </c>
      <c r="C10" s="88">
        <v>27450</v>
      </c>
      <c r="D10" s="88">
        <v>26180</v>
      </c>
      <c r="E10" s="88">
        <v>25980</v>
      </c>
      <c r="F10" s="121">
        <v>8910</v>
      </c>
      <c r="G10" s="118"/>
      <c r="I10" s="91" t="s">
        <v>2544</v>
      </c>
      <c r="J10" s="91" t="s">
        <v>2545</v>
      </c>
      <c r="K10" s="91" t="s">
        <v>2546</v>
      </c>
      <c r="L10" s="91" t="s">
        <v>2547</v>
      </c>
      <c r="M10" s="91" t="s">
        <v>2548</v>
      </c>
      <c r="N10" s="91" t="s">
        <v>2549</v>
      </c>
      <c r="O10" s="91" t="s">
        <v>2550</v>
      </c>
      <c r="P10" s="91" t="s">
        <v>2551</v>
      </c>
      <c r="Q10" s="91" t="s">
        <v>2552</v>
      </c>
      <c r="R10" s="91" t="s">
        <v>2553</v>
      </c>
    </row>
    <row r="11" spans="1:19" ht="14.25" customHeight="1">
      <c r="A11" s="87" t="s">
        <v>244</v>
      </c>
      <c r="B11" s="94" t="s">
        <v>2463</v>
      </c>
      <c r="C11" s="91">
        <v>22950</v>
      </c>
      <c r="D11" s="91">
        <v>22630</v>
      </c>
      <c r="E11" s="91">
        <v>22030</v>
      </c>
      <c r="F11" s="124">
        <v>8330</v>
      </c>
      <c r="G11" s="118"/>
      <c r="I11" s="91" t="s">
        <v>2554</v>
      </c>
      <c r="J11" s="91" t="s">
        <v>2555</v>
      </c>
      <c r="K11" s="91" t="s">
        <v>2556</v>
      </c>
      <c r="L11" s="91" t="s">
        <v>2557</v>
      </c>
      <c r="M11" s="91" t="s">
        <v>2558</v>
      </c>
      <c r="N11" s="91" t="s">
        <v>2559</v>
      </c>
      <c r="O11" s="91" t="s">
        <v>2560</v>
      </c>
      <c r="P11" s="91" t="s">
        <v>2561</v>
      </c>
      <c r="Q11" s="91" t="s">
        <v>2562</v>
      </c>
      <c r="R11" s="91" t="s">
        <v>2563</v>
      </c>
    </row>
    <row r="12" spans="1:19" ht="14.25" customHeight="1">
      <c r="A12" s="87" t="s">
        <v>244</v>
      </c>
      <c r="B12" s="94" t="s">
        <v>2477</v>
      </c>
      <c r="C12" s="91">
        <v>24940</v>
      </c>
      <c r="D12" s="91">
        <v>23180</v>
      </c>
      <c r="E12" s="91">
        <v>22910</v>
      </c>
      <c r="F12" s="124">
        <v>7180</v>
      </c>
      <c r="G12" s="118"/>
      <c r="I12" s="91" t="s">
        <v>2564</v>
      </c>
      <c r="J12" s="91" t="s">
        <v>2565</v>
      </c>
      <c r="K12" s="91" t="s">
        <v>2566</v>
      </c>
      <c r="L12" s="91" t="s">
        <v>2567</v>
      </c>
      <c r="M12" s="91" t="s">
        <v>2568</v>
      </c>
      <c r="N12" s="91" t="s">
        <v>2569</v>
      </c>
      <c r="O12" s="91" t="s">
        <v>2570</v>
      </c>
      <c r="P12" s="91" t="s">
        <v>2571</v>
      </c>
      <c r="Q12" s="91" t="s">
        <v>2572</v>
      </c>
      <c r="R12" s="91" t="s">
        <v>2573</v>
      </c>
    </row>
    <row r="13" spans="1:19" ht="14.25" customHeight="1">
      <c r="A13" s="87" t="s">
        <v>244</v>
      </c>
      <c r="B13" s="94" t="s">
        <v>2489</v>
      </c>
      <c r="C13" s="91">
        <v>24140</v>
      </c>
      <c r="D13" s="91">
        <v>22270</v>
      </c>
      <c r="E13" s="91">
        <v>21950</v>
      </c>
      <c r="F13" s="124">
        <v>7600</v>
      </c>
      <c r="G13" s="118"/>
      <c r="I13" s="91" t="s">
        <v>2574</v>
      </c>
      <c r="J13" s="91" t="s">
        <v>2575</v>
      </c>
      <c r="K13" s="91" t="s">
        <v>2576</v>
      </c>
      <c r="L13" s="91" t="s">
        <v>2577</v>
      </c>
      <c r="M13" s="91" t="s">
        <v>2578</v>
      </c>
      <c r="N13" s="91" t="s">
        <v>2579</v>
      </c>
      <c r="O13" s="91" t="s">
        <v>2580</v>
      </c>
      <c r="P13" s="91" t="s">
        <v>2581</v>
      </c>
      <c r="Q13" s="91" t="s">
        <v>2582</v>
      </c>
      <c r="R13" s="91" t="s">
        <v>2583</v>
      </c>
    </row>
    <row r="14" spans="1:19" ht="14.25" customHeight="1">
      <c r="A14" s="87" t="s">
        <v>244</v>
      </c>
      <c r="B14" s="94" t="s">
        <v>2501</v>
      </c>
      <c r="C14" s="91">
        <v>25600</v>
      </c>
      <c r="D14" s="91">
        <v>22260</v>
      </c>
      <c r="E14" s="91">
        <v>22110</v>
      </c>
      <c r="F14" s="124">
        <v>7630</v>
      </c>
      <c r="G14" s="118"/>
      <c r="I14" s="91" t="s">
        <v>2584</v>
      </c>
      <c r="J14" s="91" t="s">
        <v>2585</v>
      </c>
      <c r="K14" s="91" t="s">
        <v>2586</v>
      </c>
      <c r="L14" s="91" t="s">
        <v>2587</v>
      </c>
      <c r="M14" s="91" t="s">
        <v>2588</v>
      </c>
      <c r="N14" s="91" t="s">
        <v>2589</v>
      </c>
      <c r="O14" s="91" t="s">
        <v>2590</v>
      </c>
      <c r="P14" s="91" t="s">
        <v>2591</v>
      </c>
      <c r="Q14" s="91" t="s">
        <v>2592</v>
      </c>
      <c r="R14" s="91" t="s">
        <v>2593</v>
      </c>
    </row>
    <row r="15" spans="1:19" ht="14.25" customHeight="1">
      <c r="A15" s="87" t="s">
        <v>244</v>
      </c>
      <c r="B15" s="94" t="s">
        <v>2512</v>
      </c>
      <c r="C15" s="91">
        <v>24760</v>
      </c>
      <c r="D15" s="91">
        <v>24440</v>
      </c>
      <c r="E15" s="91">
        <v>24130</v>
      </c>
      <c r="F15" s="124">
        <v>9480</v>
      </c>
      <c r="G15" s="118"/>
      <c r="I15" s="91" t="s">
        <v>2594</v>
      </c>
      <c r="J15" s="91" t="s">
        <v>2595</v>
      </c>
      <c r="K15" s="91" t="s">
        <v>2596</v>
      </c>
      <c r="L15" s="91" t="s">
        <v>2597</v>
      </c>
      <c r="M15" s="91" t="s">
        <v>2598</v>
      </c>
      <c r="N15" s="91" t="s">
        <v>2599</v>
      </c>
      <c r="O15" s="91" t="s">
        <v>2600</v>
      </c>
      <c r="P15" s="91" t="s">
        <v>2601</v>
      </c>
      <c r="Q15" s="91" t="s">
        <v>2602</v>
      </c>
      <c r="R15" s="91" t="s">
        <v>2603</v>
      </c>
    </row>
    <row r="16" spans="1:19" ht="14.25" customHeight="1">
      <c r="A16" s="87" t="s">
        <v>244</v>
      </c>
      <c r="B16" s="94" t="s">
        <v>2523</v>
      </c>
      <c r="C16" s="91">
        <v>22220</v>
      </c>
      <c r="D16" s="91">
        <v>22310</v>
      </c>
      <c r="E16" s="91">
        <v>22000</v>
      </c>
      <c r="F16" s="124">
        <v>8900</v>
      </c>
      <c r="G16" s="118"/>
      <c r="I16" s="91" t="s">
        <v>2604</v>
      </c>
      <c r="J16" s="91" t="s">
        <v>2605</v>
      </c>
      <c r="K16" s="91" t="s">
        <v>2606</v>
      </c>
      <c r="L16" s="91" t="s">
        <v>2607</v>
      </c>
      <c r="M16" s="91" t="s">
        <v>2608</v>
      </c>
      <c r="N16" s="91" t="s">
        <v>2609</v>
      </c>
      <c r="O16" s="91" t="s">
        <v>2610</v>
      </c>
      <c r="P16" s="91" t="s">
        <v>2611</v>
      </c>
      <c r="Q16" s="91" t="s">
        <v>2612</v>
      </c>
      <c r="R16" s="91" t="s">
        <v>2613</v>
      </c>
    </row>
    <row r="17" spans="1:18" ht="14.25" customHeight="1">
      <c r="A17" s="87" t="s">
        <v>244</v>
      </c>
      <c r="B17" s="94" t="s">
        <v>2534</v>
      </c>
      <c r="C17" s="91">
        <v>24700</v>
      </c>
      <c r="D17" s="91">
        <v>25150</v>
      </c>
      <c r="E17" s="91">
        <v>24700</v>
      </c>
      <c r="F17" s="125"/>
      <c r="G17" s="118"/>
      <c r="I17" s="91" t="s">
        <v>2614</v>
      </c>
      <c r="J17" s="91" t="s">
        <v>2615</v>
      </c>
      <c r="K17" s="91" t="s">
        <v>2616</v>
      </c>
      <c r="L17" s="91" t="s">
        <v>2617</v>
      </c>
      <c r="M17" s="91" t="s">
        <v>2618</v>
      </c>
      <c r="N17" s="91" t="s">
        <v>2619</v>
      </c>
      <c r="O17" s="91" t="s">
        <v>2620</v>
      </c>
      <c r="P17" s="91" t="s">
        <v>2621</v>
      </c>
      <c r="Q17" s="91" t="s">
        <v>2622</v>
      </c>
      <c r="R17" s="91" t="s">
        <v>2623</v>
      </c>
    </row>
    <row r="18" spans="1:18" ht="14.25" customHeight="1">
      <c r="A18" s="87" t="s">
        <v>244</v>
      </c>
      <c r="B18" s="94" t="s">
        <v>2544</v>
      </c>
      <c r="C18" s="91">
        <v>22350</v>
      </c>
      <c r="D18" s="91">
        <v>24340</v>
      </c>
      <c r="E18" s="91">
        <v>24100</v>
      </c>
      <c r="F18" s="125"/>
      <c r="G18" s="118"/>
      <c r="I18" s="91" t="s">
        <v>2624</v>
      </c>
      <c r="J18" s="91" t="s">
        <v>2625</v>
      </c>
      <c r="K18" s="91" t="s">
        <v>2626</v>
      </c>
      <c r="L18" s="91" t="s">
        <v>2627</v>
      </c>
      <c r="M18" s="91" t="s">
        <v>2628</v>
      </c>
      <c r="N18" s="91" t="s">
        <v>2629</v>
      </c>
      <c r="O18" s="91" t="s">
        <v>2630</v>
      </c>
      <c r="P18" s="91" t="s">
        <v>2631</v>
      </c>
      <c r="Q18" s="91" t="s">
        <v>2632</v>
      </c>
      <c r="R18" s="91" t="s">
        <v>2633</v>
      </c>
    </row>
    <row r="19" spans="1:18" ht="14.25" customHeight="1">
      <c r="A19" s="87" t="s">
        <v>244</v>
      </c>
      <c r="B19" s="94" t="s">
        <v>2554</v>
      </c>
      <c r="C19" s="91">
        <v>23430</v>
      </c>
      <c r="D19" s="91">
        <v>21580</v>
      </c>
      <c r="E19" s="91">
        <v>21350</v>
      </c>
      <c r="F19" s="125"/>
      <c r="G19" s="118"/>
      <c r="I19" s="91" t="s">
        <v>2634</v>
      </c>
      <c r="J19" s="91" t="s">
        <v>2635</v>
      </c>
      <c r="K19" s="91" t="s">
        <v>2636</v>
      </c>
      <c r="L19" s="91" t="s">
        <v>2637</v>
      </c>
      <c r="M19" s="91" t="s">
        <v>2638</v>
      </c>
      <c r="N19" s="91" t="s">
        <v>2639</v>
      </c>
      <c r="O19" s="91" t="s">
        <v>2640</v>
      </c>
      <c r="P19" s="91" t="s">
        <v>2641</v>
      </c>
      <c r="Q19" s="91" t="s">
        <v>2642</v>
      </c>
      <c r="R19" s="91" t="s">
        <v>2643</v>
      </c>
    </row>
    <row r="20" spans="1:18" ht="14.25" customHeight="1">
      <c r="A20" s="87" t="s">
        <v>244</v>
      </c>
      <c r="B20" s="94" t="s">
        <v>2564</v>
      </c>
      <c r="C20" s="91">
        <v>27660</v>
      </c>
      <c r="D20" s="91">
        <v>24240</v>
      </c>
      <c r="E20" s="91">
        <v>24020</v>
      </c>
      <c r="F20" s="125"/>
      <c r="I20" s="91" t="s">
        <v>2644</v>
      </c>
      <c r="J20" s="91" t="s">
        <v>2645</v>
      </c>
      <c r="K20" s="91" t="s">
        <v>2646</v>
      </c>
      <c r="L20" s="91" t="s">
        <v>2647</v>
      </c>
      <c r="M20" s="91" t="s">
        <v>2648</v>
      </c>
      <c r="N20" s="91" t="s">
        <v>2649</v>
      </c>
      <c r="O20" s="91" t="s">
        <v>2650</v>
      </c>
      <c r="P20" s="91" t="s">
        <v>2651</v>
      </c>
      <c r="Q20" s="91" t="s">
        <v>2652</v>
      </c>
      <c r="R20" s="91" t="s">
        <v>2653</v>
      </c>
    </row>
    <row r="21" spans="1:18" ht="14.25" customHeight="1">
      <c r="A21" s="87" t="s">
        <v>244</v>
      </c>
      <c r="B21" s="94" t="s">
        <v>2574</v>
      </c>
      <c r="C21" s="91">
        <v>24720</v>
      </c>
      <c r="D21" s="91">
        <v>21670</v>
      </c>
      <c r="E21" s="91">
        <v>21510</v>
      </c>
      <c r="F21" s="125"/>
      <c r="J21" s="91" t="s">
        <v>2654</v>
      </c>
      <c r="K21" s="91" t="s">
        <v>2655</v>
      </c>
      <c r="L21" s="91" t="s">
        <v>2656</v>
      </c>
      <c r="M21" s="91" t="s">
        <v>2657</v>
      </c>
      <c r="N21" s="91" t="s">
        <v>2658</v>
      </c>
      <c r="O21" s="91" t="s">
        <v>2659</v>
      </c>
      <c r="P21" s="91" t="s">
        <v>2660</v>
      </c>
      <c r="Q21" s="91" t="s">
        <v>2661</v>
      </c>
      <c r="R21" s="91" t="s">
        <v>2662</v>
      </c>
    </row>
    <row r="22" spans="1:18" ht="14.25" customHeight="1">
      <c r="A22" s="87" t="s">
        <v>244</v>
      </c>
      <c r="B22" s="94" t="s">
        <v>2584</v>
      </c>
      <c r="C22" s="91">
        <v>26530</v>
      </c>
      <c r="D22" s="91">
        <v>22980</v>
      </c>
      <c r="E22" s="91">
        <v>22650</v>
      </c>
      <c r="F22" s="125"/>
      <c r="K22" s="91" t="s">
        <v>2663</v>
      </c>
      <c r="L22" s="91" t="s">
        <v>2664</v>
      </c>
      <c r="M22" s="91" t="s">
        <v>2665</v>
      </c>
      <c r="N22" s="91" t="s">
        <v>2666</v>
      </c>
      <c r="O22" s="91" t="s">
        <v>2667</v>
      </c>
      <c r="P22" s="91" t="s">
        <v>2668</v>
      </c>
      <c r="Q22" s="91" t="s">
        <v>2669</v>
      </c>
      <c r="R22" s="94" t="s">
        <v>2670</v>
      </c>
    </row>
    <row r="23" spans="1:18" ht="14.25" customHeight="1">
      <c r="A23" s="87" t="s">
        <v>244</v>
      </c>
      <c r="B23" s="94" t="s">
        <v>2594</v>
      </c>
      <c r="C23" s="91">
        <v>24700</v>
      </c>
      <c r="D23" s="91">
        <v>27290</v>
      </c>
      <c r="E23" s="91">
        <v>26710</v>
      </c>
      <c r="F23" s="125"/>
      <c r="K23" s="91" t="s">
        <v>2671</v>
      </c>
      <c r="L23" s="91" t="s">
        <v>2672</v>
      </c>
      <c r="M23" s="91" t="s">
        <v>2673</v>
      </c>
      <c r="N23" s="91" t="s">
        <v>2674</v>
      </c>
      <c r="O23" s="91" t="s">
        <v>2675</v>
      </c>
      <c r="P23" s="91" t="s">
        <v>2676</v>
      </c>
      <c r="Q23" s="91" t="s">
        <v>2677</v>
      </c>
    </row>
    <row r="24" spans="1:18" ht="14.25" customHeight="1">
      <c r="A24" s="87" t="s">
        <v>244</v>
      </c>
      <c r="B24" s="94" t="s">
        <v>2604</v>
      </c>
      <c r="C24" s="91">
        <v>23070</v>
      </c>
      <c r="D24" s="91">
        <v>24130</v>
      </c>
      <c r="E24" s="91">
        <v>23860</v>
      </c>
      <c r="F24" s="125"/>
      <c r="K24" s="91" t="s">
        <v>2678</v>
      </c>
      <c r="L24" s="91" t="s">
        <v>2679</v>
      </c>
      <c r="M24" s="91" t="s">
        <v>2680</v>
      </c>
      <c r="N24" s="91" t="s">
        <v>2681</v>
      </c>
      <c r="O24" s="91" t="s">
        <v>2682</v>
      </c>
      <c r="P24" s="91" t="s">
        <v>2683</v>
      </c>
      <c r="Q24" s="91" t="s">
        <v>2684</v>
      </c>
    </row>
    <row r="25" spans="1:18" ht="14.25" customHeight="1">
      <c r="A25" s="87" t="s">
        <v>244</v>
      </c>
      <c r="B25" s="94" t="s">
        <v>2614</v>
      </c>
      <c r="C25" s="91">
        <v>27550</v>
      </c>
      <c r="D25" s="91">
        <v>25850</v>
      </c>
      <c r="E25" s="91">
        <v>25340</v>
      </c>
      <c r="F25" s="125"/>
      <c r="K25" s="91" t="s">
        <v>2685</v>
      </c>
      <c r="L25" s="91" t="s">
        <v>2686</v>
      </c>
      <c r="M25" s="91" t="s">
        <v>2687</v>
      </c>
      <c r="N25" s="91" t="s">
        <v>2688</v>
      </c>
      <c r="O25" s="91" t="s">
        <v>2689</v>
      </c>
      <c r="P25" s="91" t="s">
        <v>2690</v>
      </c>
      <c r="Q25" s="91" t="s">
        <v>2691</v>
      </c>
    </row>
    <row r="26" spans="1:18" ht="14.25" customHeight="1">
      <c r="A26" s="87" t="s">
        <v>244</v>
      </c>
      <c r="B26" s="94" t="s">
        <v>2624</v>
      </c>
      <c r="C26" s="91"/>
      <c r="D26" s="91">
        <v>23900</v>
      </c>
      <c r="E26" s="91">
        <v>23590</v>
      </c>
      <c r="F26" s="125"/>
      <c r="K26" s="91" t="s">
        <v>2692</v>
      </c>
      <c r="L26" s="91" t="s">
        <v>2693</v>
      </c>
      <c r="M26" s="91" t="s">
        <v>2694</v>
      </c>
      <c r="N26" s="91" t="s">
        <v>2695</v>
      </c>
      <c r="O26" s="91" t="s">
        <v>2696</v>
      </c>
      <c r="P26" s="91" t="s">
        <v>2697</v>
      </c>
      <c r="Q26" s="91" t="s">
        <v>2698</v>
      </c>
    </row>
    <row r="27" spans="1:18" ht="14.25" customHeight="1">
      <c r="A27" s="87" t="s">
        <v>244</v>
      </c>
      <c r="B27" s="94" t="s">
        <v>2634</v>
      </c>
      <c r="C27" s="91"/>
      <c r="D27" s="91">
        <v>22850</v>
      </c>
      <c r="E27" s="91">
        <v>21920</v>
      </c>
      <c r="F27" s="125"/>
      <c r="K27" s="91" t="s">
        <v>2699</v>
      </c>
      <c r="L27" s="91" t="s">
        <v>2700</v>
      </c>
      <c r="M27" s="91" t="s">
        <v>2701</v>
      </c>
      <c r="N27" s="91" t="s">
        <v>2702</v>
      </c>
      <c r="O27" s="91" t="s">
        <v>2703</v>
      </c>
      <c r="P27" s="91" t="s">
        <v>2704</v>
      </c>
      <c r="Q27" s="91" t="s">
        <v>2705</v>
      </c>
    </row>
    <row r="28" spans="1:18" ht="14.25" customHeight="1">
      <c r="A28" s="95" t="s">
        <v>244</v>
      </c>
      <c r="B28" s="96" t="s">
        <v>2644</v>
      </c>
      <c r="C28" s="102"/>
      <c r="D28" s="102">
        <v>26610</v>
      </c>
      <c r="E28" s="102">
        <v>26370</v>
      </c>
      <c r="F28" s="123"/>
      <c r="K28" s="91" t="s">
        <v>2706</v>
      </c>
      <c r="L28" s="91" t="s">
        <v>2707</v>
      </c>
      <c r="M28" s="91" t="s">
        <v>2708</v>
      </c>
      <c r="N28" s="91" t="s">
        <v>2709</v>
      </c>
      <c r="O28" s="91" t="s">
        <v>2710</v>
      </c>
      <c r="P28" s="91" t="s">
        <v>2711</v>
      </c>
    </row>
    <row r="29" spans="1:18" ht="14.25" customHeight="1">
      <c r="A29" s="87" t="s">
        <v>254</v>
      </c>
      <c r="B29" s="88" t="s">
        <v>2451</v>
      </c>
      <c r="C29" s="88">
        <v>22090</v>
      </c>
      <c r="D29" s="88">
        <v>21860</v>
      </c>
      <c r="E29" s="88">
        <v>19380</v>
      </c>
      <c r="F29" s="121">
        <v>6610</v>
      </c>
      <c r="L29" s="91" t="s">
        <v>2712</v>
      </c>
      <c r="M29" s="91" t="s">
        <v>2713</v>
      </c>
      <c r="N29" s="91" t="s">
        <v>2714</v>
      </c>
      <c r="O29" s="91" t="s">
        <v>2715</v>
      </c>
      <c r="P29" s="91" t="s">
        <v>2716</v>
      </c>
    </row>
    <row r="30" spans="1:18" ht="14.25" customHeight="1">
      <c r="A30" s="87" t="s">
        <v>254</v>
      </c>
      <c r="B30" s="94" t="s">
        <v>2464</v>
      </c>
      <c r="C30" s="91">
        <v>21380</v>
      </c>
      <c r="D30" s="91">
        <v>19930</v>
      </c>
      <c r="E30" s="91">
        <v>19860</v>
      </c>
      <c r="F30" s="124">
        <v>6010</v>
      </c>
      <c r="L30" s="91" t="s">
        <v>2717</v>
      </c>
      <c r="M30" s="91" t="s">
        <v>2718</v>
      </c>
      <c r="N30" s="91" t="s">
        <v>2719</v>
      </c>
      <c r="O30" s="91" t="s">
        <v>2720</v>
      </c>
      <c r="P30" s="91" t="s">
        <v>2721</v>
      </c>
    </row>
    <row r="31" spans="1:18" ht="14.25" customHeight="1">
      <c r="A31" s="87" t="s">
        <v>254</v>
      </c>
      <c r="B31" s="94" t="s">
        <v>2478</v>
      </c>
      <c r="C31" s="91">
        <v>21670</v>
      </c>
      <c r="D31" s="91">
        <v>20660</v>
      </c>
      <c r="E31" s="91">
        <v>20290</v>
      </c>
      <c r="F31" s="124">
        <v>5840</v>
      </c>
      <c r="L31" s="91" t="s">
        <v>2722</v>
      </c>
      <c r="M31" s="91" t="s">
        <v>2723</v>
      </c>
      <c r="N31" s="91" t="s">
        <v>2724</v>
      </c>
      <c r="O31" s="91" t="s">
        <v>2725</v>
      </c>
      <c r="P31" s="91" t="s">
        <v>2726</v>
      </c>
    </row>
    <row r="32" spans="1:18" ht="14.25" customHeight="1">
      <c r="A32" s="87" t="s">
        <v>254</v>
      </c>
      <c r="B32" s="94" t="s">
        <v>2490</v>
      </c>
      <c r="C32" s="91">
        <v>22280</v>
      </c>
      <c r="D32" s="91">
        <v>21800</v>
      </c>
      <c r="E32" s="91">
        <v>17650</v>
      </c>
      <c r="F32" s="124">
        <v>4690</v>
      </c>
      <c r="L32" s="91" t="s">
        <v>2727</v>
      </c>
      <c r="M32" s="91" t="s">
        <v>2728</v>
      </c>
      <c r="N32" s="91" t="s">
        <v>2729</v>
      </c>
      <c r="O32" s="91" t="s">
        <v>2730</v>
      </c>
      <c r="P32" s="91" t="s">
        <v>2731</v>
      </c>
    </row>
    <row r="33" spans="1:16" ht="14.25" customHeight="1">
      <c r="A33" s="87" t="s">
        <v>254</v>
      </c>
      <c r="B33" s="94" t="s">
        <v>2502</v>
      </c>
      <c r="C33" s="91">
        <v>22130</v>
      </c>
      <c r="D33" s="91">
        <v>20460</v>
      </c>
      <c r="E33" s="91">
        <v>18500</v>
      </c>
      <c r="F33" s="124">
        <v>5340</v>
      </c>
      <c r="L33" s="91" t="s">
        <v>2732</v>
      </c>
      <c r="M33" s="91" t="s">
        <v>2733</v>
      </c>
      <c r="N33" s="91" t="s">
        <v>2734</v>
      </c>
      <c r="O33" s="91" t="s">
        <v>2735</v>
      </c>
      <c r="P33" s="91" t="s">
        <v>2736</v>
      </c>
    </row>
    <row r="34" spans="1:16" ht="14.25" customHeight="1">
      <c r="A34" s="87" t="s">
        <v>254</v>
      </c>
      <c r="B34" s="94" t="s">
        <v>2513</v>
      </c>
      <c r="C34" s="91">
        <v>22070</v>
      </c>
      <c r="D34" s="91">
        <v>20110</v>
      </c>
      <c r="E34" s="91">
        <v>18830</v>
      </c>
      <c r="F34" s="124">
        <v>5190</v>
      </c>
      <c r="L34" s="91" t="s">
        <v>2737</v>
      </c>
      <c r="M34" s="91" t="s">
        <v>2738</v>
      </c>
      <c r="N34" s="91" t="s">
        <v>2739</v>
      </c>
      <c r="O34" s="91" t="s">
        <v>2740</v>
      </c>
      <c r="P34" s="91" t="s">
        <v>2741</v>
      </c>
    </row>
    <row r="35" spans="1:16" ht="14.25" customHeight="1">
      <c r="A35" s="87" t="s">
        <v>254</v>
      </c>
      <c r="B35" s="94" t="s">
        <v>2524</v>
      </c>
      <c r="C35" s="91">
        <v>22240</v>
      </c>
      <c r="D35" s="91">
        <v>19550</v>
      </c>
      <c r="E35" s="91">
        <v>19220</v>
      </c>
      <c r="F35" s="124">
        <v>5800</v>
      </c>
      <c r="L35" s="91" t="s">
        <v>2742</v>
      </c>
      <c r="M35" s="91" t="s">
        <v>2743</v>
      </c>
      <c r="N35" s="91" t="s">
        <v>2744</v>
      </c>
      <c r="O35" s="91" t="s">
        <v>2745</v>
      </c>
      <c r="P35" s="91" t="s">
        <v>2746</v>
      </c>
    </row>
    <row r="36" spans="1:16" ht="14.25" customHeight="1">
      <c r="A36" s="87" t="s">
        <v>254</v>
      </c>
      <c r="B36" s="94" t="s">
        <v>2535</v>
      </c>
      <c r="C36" s="91">
        <v>19750</v>
      </c>
      <c r="D36" s="91">
        <v>19790</v>
      </c>
      <c r="E36" s="91">
        <v>18510</v>
      </c>
      <c r="F36" s="124">
        <v>6520</v>
      </c>
      <c r="M36" s="91" t="s">
        <v>2747</v>
      </c>
      <c r="N36" s="91" t="s">
        <v>2748</v>
      </c>
      <c r="O36" s="91" t="s">
        <v>2749</v>
      </c>
      <c r="P36" s="91" t="s">
        <v>2750</v>
      </c>
    </row>
    <row r="37" spans="1:16" ht="14.25" customHeight="1">
      <c r="A37" s="87" t="s">
        <v>254</v>
      </c>
      <c r="B37" s="94" t="s">
        <v>2545</v>
      </c>
      <c r="C37" s="91">
        <v>22380</v>
      </c>
      <c r="D37" s="91">
        <v>18530</v>
      </c>
      <c r="E37" s="91">
        <v>17930</v>
      </c>
      <c r="F37" s="124">
        <v>6270</v>
      </c>
      <c r="M37" s="91" t="s">
        <v>2751</v>
      </c>
      <c r="N37" s="91" t="s">
        <v>2752</v>
      </c>
      <c r="O37" s="91" t="s">
        <v>2753</v>
      </c>
      <c r="P37" s="91" t="s">
        <v>2754</v>
      </c>
    </row>
    <row r="38" spans="1:16" ht="14.25" customHeight="1">
      <c r="A38" s="87" t="s">
        <v>254</v>
      </c>
      <c r="B38" s="94" t="s">
        <v>2555</v>
      </c>
      <c r="C38" s="91">
        <v>20200</v>
      </c>
      <c r="D38" s="91">
        <v>20070</v>
      </c>
      <c r="E38" s="91">
        <v>19950</v>
      </c>
      <c r="F38" s="124"/>
      <c r="M38" s="91" t="s">
        <v>2755</v>
      </c>
      <c r="N38" s="91" t="s">
        <v>2756</v>
      </c>
      <c r="O38" s="91" t="s">
        <v>2757</v>
      </c>
      <c r="P38" s="91" t="s">
        <v>2758</v>
      </c>
    </row>
    <row r="39" spans="1:16" ht="14.25" customHeight="1">
      <c r="A39" s="87" t="s">
        <v>254</v>
      </c>
      <c r="B39" s="94" t="s">
        <v>2565</v>
      </c>
      <c r="C39" s="91">
        <v>19300</v>
      </c>
      <c r="D39" s="91">
        <v>20360</v>
      </c>
      <c r="E39" s="91">
        <v>20230</v>
      </c>
      <c r="F39" s="124"/>
      <c r="M39" s="91" t="s">
        <v>2759</v>
      </c>
      <c r="N39" s="91" t="s">
        <v>2760</v>
      </c>
      <c r="O39" s="91" t="s">
        <v>2761</v>
      </c>
      <c r="P39" s="91" t="s">
        <v>2762</v>
      </c>
    </row>
    <row r="40" spans="1:16" ht="14.25" customHeight="1">
      <c r="A40" s="87" t="s">
        <v>254</v>
      </c>
      <c r="B40" s="94" t="s">
        <v>2575</v>
      </c>
      <c r="C40" s="91">
        <v>20210</v>
      </c>
      <c r="D40" s="91">
        <v>19060</v>
      </c>
      <c r="E40" s="91">
        <v>18890</v>
      </c>
      <c r="F40" s="124"/>
      <c r="M40" s="91" t="s">
        <v>2763</v>
      </c>
      <c r="N40" s="91" t="s">
        <v>2764</v>
      </c>
      <c r="O40" s="91" t="s">
        <v>2765</v>
      </c>
      <c r="P40" s="91" t="s">
        <v>2766</v>
      </c>
    </row>
    <row r="41" spans="1:16" ht="14.25" customHeight="1">
      <c r="A41" s="87" t="s">
        <v>254</v>
      </c>
      <c r="B41" s="94" t="s">
        <v>2585</v>
      </c>
      <c r="C41" s="91">
        <v>20560</v>
      </c>
      <c r="D41" s="91">
        <v>21040</v>
      </c>
      <c r="E41" s="91">
        <v>20740</v>
      </c>
      <c r="F41" s="124"/>
      <c r="M41" s="94" t="s">
        <v>2767</v>
      </c>
      <c r="N41" s="94" t="s">
        <v>2768</v>
      </c>
      <c r="P41" s="94" t="s">
        <v>2769</v>
      </c>
    </row>
    <row r="42" spans="1:16" ht="14.25" customHeight="1">
      <c r="A42" s="87" t="s">
        <v>254</v>
      </c>
      <c r="B42" s="94" t="s">
        <v>2595</v>
      </c>
      <c r="C42" s="91">
        <v>19280</v>
      </c>
      <c r="D42" s="91">
        <v>22940</v>
      </c>
      <c r="E42" s="91">
        <v>22500</v>
      </c>
      <c r="F42" s="124"/>
      <c r="M42" s="91" t="s">
        <v>2770</v>
      </c>
      <c r="N42" s="91" t="s">
        <v>2771</v>
      </c>
      <c r="P42" s="91" t="s">
        <v>2772</v>
      </c>
    </row>
    <row r="43" spans="1:16" ht="14.25" customHeight="1">
      <c r="A43" s="87" t="s">
        <v>254</v>
      </c>
      <c r="B43" s="94" t="s">
        <v>2605</v>
      </c>
      <c r="C43" s="91">
        <v>21520</v>
      </c>
      <c r="D43" s="91">
        <v>19230</v>
      </c>
      <c r="E43" s="91">
        <v>18540</v>
      </c>
      <c r="F43" s="124"/>
      <c r="M43" s="91" t="s">
        <v>2773</v>
      </c>
      <c r="N43" s="91" t="s">
        <v>2774</v>
      </c>
      <c r="P43" s="91" t="s">
        <v>2775</v>
      </c>
    </row>
    <row r="44" spans="1:16" ht="14.25" customHeight="1">
      <c r="A44" s="87" t="s">
        <v>254</v>
      </c>
      <c r="B44" s="94" t="s">
        <v>2615</v>
      </c>
      <c r="C44" s="91">
        <v>23260</v>
      </c>
      <c r="D44" s="91">
        <v>21180</v>
      </c>
      <c r="E44" s="91">
        <v>20730</v>
      </c>
      <c r="F44" s="124"/>
      <c r="M44" s="91" t="s">
        <v>2776</v>
      </c>
      <c r="N44" s="91" t="s">
        <v>2777</v>
      </c>
      <c r="P44" s="91" t="s">
        <v>2778</v>
      </c>
    </row>
    <row r="45" spans="1:16" ht="14.25" customHeight="1">
      <c r="A45" s="87" t="s">
        <v>254</v>
      </c>
      <c r="B45" s="94" t="s">
        <v>2625</v>
      </c>
      <c r="C45" s="91">
        <v>19610</v>
      </c>
      <c r="D45" s="91">
        <v>18090</v>
      </c>
      <c r="E45" s="91">
        <v>17970</v>
      </c>
      <c r="F45" s="124"/>
      <c r="M45" s="91" t="s">
        <v>2779</v>
      </c>
      <c r="N45" s="91" t="s">
        <v>2780</v>
      </c>
      <c r="P45" s="91" t="s">
        <v>2781</v>
      </c>
    </row>
    <row r="46" spans="1:16" ht="14.25" customHeight="1">
      <c r="A46" s="87" t="s">
        <v>254</v>
      </c>
      <c r="B46" s="94" t="s">
        <v>2635</v>
      </c>
      <c r="C46" s="91">
        <v>21660</v>
      </c>
      <c r="D46" s="91">
        <v>19190</v>
      </c>
      <c r="E46" s="91">
        <v>19790</v>
      </c>
      <c r="F46" s="124"/>
      <c r="M46" s="91" t="s">
        <v>2782</v>
      </c>
      <c r="N46" s="91" t="s">
        <v>2783</v>
      </c>
      <c r="P46" s="91" t="s">
        <v>2784</v>
      </c>
    </row>
    <row r="47" spans="1:16" ht="14.25" customHeight="1">
      <c r="A47" s="87" t="s">
        <v>254</v>
      </c>
      <c r="B47" s="94" t="s">
        <v>2645</v>
      </c>
      <c r="C47" s="91">
        <v>18220</v>
      </c>
      <c r="D47" s="91"/>
      <c r="E47" s="91">
        <v>17220</v>
      </c>
      <c r="F47" s="124"/>
      <c r="M47" s="91" t="s">
        <v>2785</v>
      </c>
      <c r="N47" s="91" t="s">
        <v>2786</v>
      </c>
    </row>
    <row r="48" spans="1:16" ht="14.25" customHeight="1">
      <c r="A48" s="87" t="s">
        <v>254</v>
      </c>
      <c r="B48" s="96" t="s">
        <v>2654</v>
      </c>
      <c r="C48" s="102">
        <v>19430</v>
      </c>
      <c r="D48" s="102"/>
      <c r="E48" s="102">
        <v>17830</v>
      </c>
      <c r="F48" s="126"/>
      <c r="M48" s="91" t="s">
        <v>2787</v>
      </c>
      <c r="N48" s="91" t="s">
        <v>2788</v>
      </c>
    </row>
    <row r="49" spans="1:14" ht="14.25" customHeight="1">
      <c r="A49" s="87" t="s">
        <v>262</v>
      </c>
      <c r="B49" s="88" t="s">
        <v>2452</v>
      </c>
      <c r="C49" s="88">
        <v>17090</v>
      </c>
      <c r="D49" s="88">
        <v>16950</v>
      </c>
      <c r="E49" s="88">
        <v>16310</v>
      </c>
      <c r="F49" s="121">
        <v>4540</v>
      </c>
      <c r="M49" s="91" t="s">
        <v>2789</v>
      </c>
      <c r="N49" s="91" t="s">
        <v>2790</v>
      </c>
    </row>
    <row r="50" spans="1:14" ht="14.25" customHeight="1">
      <c r="A50" s="87" t="s">
        <v>262</v>
      </c>
      <c r="B50" s="91" t="s">
        <v>2465</v>
      </c>
      <c r="C50" s="91">
        <v>19040</v>
      </c>
      <c r="D50" s="91">
        <v>16960</v>
      </c>
      <c r="E50" s="91">
        <v>14800</v>
      </c>
      <c r="F50" s="124">
        <v>3940</v>
      </c>
    </row>
    <row r="51" spans="1:14" ht="14.25" customHeight="1">
      <c r="A51" s="87" t="s">
        <v>262</v>
      </c>
      <c r="B51" s="91" t="s">
        <v>2479</v>
      </c>
      <c r="C51" s="91">
        <v>17040</v>
      </c>
      <c r="D51" s="91">
        <v>16930</v>
      </c>
      <c r="E51" s="91">
        <v>15030</v>
      </c>
      <c r="F51" s="124">
        <v>4120</v>
      </c>
    </row>
    <row r="52" spans="1:14" ht="14.25" customHeight="1">
      <c r="A52" s="87" t="s">
        <v>262</v>
      </c>
      <c r="B52" s="91" t="s">
        <v>2491</v>
      </c>
      <c r="C52" s="91">
        <v>17110</v>
      </c>
      <c r="D52" s="91">
        <v>17750</v>
      </c>
      <c r="E52" s="91">
        <v>17310</v>
      </c>
      <c r="F52" s="124">
        <v>3220</v>
      </c>
    </row>
    <row r="53" spans="1:14" ht="14.25" customHeight="1">
      <c r="A53" s="87" t="s">
        <v>262</v>
      </c>
      <c r="B53" s="91" t="s">
        <v>2503</v>
      </c>
      <c r="C53" s="91">
        <v>17810</v>
      </c>
      <c r="D53" s="91">
        <v>17260</v>
      </c>
      <c r="E53" s="91">
        <v>17090</v>
      </c>
      <c r="F53" s="124">
        <v>3520</v>
      </c>
    </row>
    <row r="54" spans="1:14" ht="14.25" customHeight="1">
      <c r="A54" s="87" t="s">
        <v>262</v>
      </c>
      <c r="B54" s="91" t="s">
        <v>2514</v>
      </c>
      <c r="C54" s="91">
        <v>17410</v>
      </c>
      <c r="D54" s="91">
        <v>16780</v>
      </c>
      <c r="E54" s="91">
        <v>16370</v>
      </c>
      <c r="F54" s="124">
        <v>3410</v>
      </c>
    </row>
    <row r="55" spans="1:14" ht="14.25" customHeight="1">
      <c r="A55" s="87" t="s">
        <v>262</v>
      </c>
      <c r="B55" s="91" t="s">
        <v>2525</v>
      </c>
      <c r="C55" s="91">
        <v>16930</v>
      </c>
      <c r="D55" s="91">
        <v>14720</v>
      </c>
      <c r="E55" s="91">
        <v>15000</v>
      </c>
      <c r="F55" s="124">
        <v>3710</v>
      </c>
    </row>
    <row r="56" spans="1:14" ht="14.25" customHeight="1">
      <c r="A56" s="87" t="s">
        <v>262</v>
      </c>
      <c r="B56" s="91" t="s">
        <v>2536</v>
      </c>
      <c r="C56" s="91">
        <v>14930</v>
      </c>
      <c r="D56" s="91">
        <v>15850</v>
      </c>
      <c r="E56" s="91">
        <v>14320</v>
      </c>
      <c r="F56" s="124">
        <v>3960</v>
      </c>
    </row>
    <row r="57" spans="1:14" ht="14.25" customHeight="1">
      <c r="A57" s="87" t="s">
        <v>262</v>
      </c>
      <c r="B57" s="91" t="s">
        <v>2546</v>
      </c>
      <c r="C57" s="91">
        <v>16160</v>
      </c>
      <c r="D57" s="91">
        <v>16190</v>
      </c>
      <c r="E57" s="91">
        <v>15650</v>
      </c>
      <c r="F57" s="124">
        <v>4200</v>
      </c>
    </row>
    <row r="58" spans="1:14" ht="14.25" customHeight="1">
      <c r="A58" s="87" t="s">
        <v>262</v>
      </c>
      <c r="B58" s="91" t="s">
        <v>2556</v>
      </c>
      <c r="C58" s="91">
        <v>16360</v>
      </c>
      <c r="D58" s="91">
        <v>14050</v>
      </c>
      <c r="E58" s="91">
        <v>16070</v>
      </c>
      <c r="F58" s="124">
        <v>3990</v>
      </c>
    </row>
    <row r="59" spans="1:14" ht="14.25" customHeight="1">
      <c r="A59" s="87" t="s">
        <v>262</v>
      </c>
      <c r="B59" s="91" t="s">
        <v>2566</v>
      </c>
      <c r="C59" s="91">
        <v>14160</v>
      </c>
      <c r="D59" s="91">
        <v>16620</v>
      </c>
      <c r="E59" s="91">
        <v>13940</v>
      </c>
      <c r="F59" s="124">
        <v>4260</v>
      </c>
    </row>
    <row r="60" spans="1:14" ht="14.25" customHeight="1">
      <c r="A60" s="87" t="s">
        <v>262</v>
      </c>
      <c r="B60" s="91" t="s">
        <v>2576</v>
      </c>
      <c r="C60" s="91">
        <v>16750</v>
      </c>
      <c r="D60" s="91">
        <v>13910</v>
      </c>
      <c r="E60" s="91">
        <v>16550</v>
      </c>
      <c r="F60" s="124">
        <v>4550</v>
      </c>
    </row>
    <row r="61" spans="1:14" ht="14.25" customHeight="1">
      <c r="A61" s="87" t="s">
        <v>262</v>
      </c>
      <c r="B61" s="91" t="s">
        <v>2586</v>
      </c>
      <c r="C61" s="91">
        <v>14000</v>
      </c>
      <c r="D61" s="91">
        <v>14550</v>
      </c>
      <c r="E61" s="91">
        <v>13860</v>
      </c>
      <c r="F61" s="127"/>
    </row>
    <row r="62" spans="1:14" ht="14.25" customHeight="1">
      <c r="A62" s="87" t="s">
        <v>262</v>
      </c>
      <c r="B62" s="91" t="s">
        <v>2596</v>
      </c>
      <c r="C62" s="91">
        <v>14660</v>
      </c>
      <c r="D62" s="91">
        <v>17450</v>
      </c>
      <c r="E62" s="91">
        <v>14470</v>
      </c>
      <c r="F62" s="127"/>
    </row>
    <row r="63" spans="1:14" ht="14.25" customHeight="1">
      <c r="A63" s="87" t="s">
        <v>262</v>
      </c>
      <c r="B63" s="91" t="s">
        <v>2606</v>
      </c>
      <c r="C63" s="91">
        <v>17610</v>
      </c>
      <c r="D63" s="91">
        <v>16500</v>
      </c>
      <c r="E63" s="91">
        <v>17330</v>
      </c>
      <c r="F63" s="127"/>
    </row>
    <row r="64" spans="1:14" ht="14.25" customHeight="1">
      <c r="A64" s="87" t="s">
        <v>262</v>
      </c>
      <c r="B64" s="91" t="s">
        <v>2616</v>
      </c>
      <c r="C64" s="91">
        <v>16590</v>
      </c>
      <c r="D64" s="91">
        <v>15130</v>
      </c>
      <c r="E64" s="91">
        <v>16420</v>
      </c>
      <c r="F64" s="127"/>
    </row>
    <row r="65" spans="1:6" s="113" customFormat="1" ht="14.25" customHeight="1">
      <c r="A65" s="87" t="s">
        <v>262</v>
      </c>
      <c r="B65" s="91" t="s">
        <v>2626</v>
      </c>
      <c r="C65" s="91">
        <v>15220</v>
      </c>
      <c r="D65" s="91">
        <v>14660</v>
      </c>
      <c r="E65" s="91">
        <v>15060</v>
      </c>
      <c r="F65" s="124"/>
    </row>
    <row r="66" spans="1:6" s="113" customFormat="1" ht="14.25" customHeight="1">
      <c r="A66" s="87" t="s">
        <v>262</v>
      </c>
      <c r="B66" s="91" t="s">
        <v>2636</v>
      </c>
      <c r="C66" s="91">
        <v>14720</v>
      </c>
      <c r="D66" s="91">
        <v>15970</v>
      </c>
      <c r="E66" s="91">
        <v>14610</v>
      </c>
      <c r="F66" s="124"/>
    </row>
    <row r="67" spans="1:6" s="113" customFormat="1" ht="14.25" customHeight="1">
      <c r="A67" s="87" t="s">
        <v>262</v>
      </c>
      <c r="B67" s="91" t="s">
        <v>2646</v>
      </c>
      <c r="C67" s="91">
        <v>16080</v>
      </c>
      <c r="D67" s="91">
        <v>14840</v>
      </c>
      <c r="E67" s="91">
        <v>15630</v>
      </c>
      <c r="F67" s="124"/>
    </row>
    <row r="68" spans="1:6" s="113" customFormat="1" ht="14.25" customHeight="1">
      <c r="A68" s="87" t="s">
        <v>262</v>
      </c>
      <c r="B68" s="91" t="s">
        <v>2655</v>
      </c>
      <c r="C68" s="91">
        <v>14940</v>
      </c>
      <c r="D68" s="91">
        <v>18000</v>
      </c>
      <c r="E68" s="91">
        <v>14040</v>
      </c>
      <c r="F68" s="124"/>
    </row>
    <row r="69" spans="1:6" s="113" customFormat="1" ht="14.25" customHeight="1">
      <c r="A69" s="87" t="s">
        <v>262</v>
      </c>
      <c r="B69" s="91" t="s">
        <v>2663</v>
      </c>
      <c r="C69" s="91">
        <v>18810</v>
      </c>
      <c r="D69" s="91">
        <v>15100</v>
      </c>
      <c r="E69" s="91">
        <v>14710</v>
      </c>
      <c r="F69" s="124"/>
    </row>
    <row r="70" spans="1:6" s="113" customFormat="1" ht="14.25" customHeight="1">
      <c r="A70" s="87" t="s">
        <v>262</v>
      </c>
      <c r="B70" s="91" t="s">
        <v>2671</v>
      </c>
      <c r="C70" s="91">
        <v>18270</v>
      </c>
      <c r="D70" s="91"/>
      <c r="E70" s="91"/>
      <c r="F70" s="124"/>
    </row>
    <row r="71" spans="1:6" s="113" customFormat="1" ht="14.25" customHeight="1">
      <c r="A71" s="87" t="s">
        <v>262</v>
      </c>
      <c r="B71" s="91" t="s">
        <v>2678</v>
      </c>
      <c r="C71" s="91">
        <v>15230</v>
      </c>
      <c r="D71" s="91"/>
      <c r="E71" s="91"/>
      <c r="F71" s="124"/>
    </row>
    <row r="72" spans="1:6" s="113" customFormat="1" ht="14.25" customHeight="1">
      <c r="A72" s="87" t="s">
        <v>262</v>
      </c>
      <c r="B72" s="91" t="s">
        <v>2685</v>
      </c>
      <c r="C72" s="91"/>
      <c r="D72" s="91"/>
      <c r="E72" s="91"/>
      <c r="F72" s="124">
        <v>4120</v>
      </c>
    </row>
    <row r="73" spans="1:6" s="113" customFormat="1" ht="14.25" customHeight="1">
      <c r="A73" s="87" t="s">
        <v>262</v>
      </c>
      <c r="B73" s="91" t="s">
        <v>2692</v>
      </c>
      <c r="C73" s="91"/>
      <c r="D73" s="91"/>
      <c r="E73" s="91"/>
      <c r="F73" s="124">
        <v>3930</v>
      </c>
    </row>
    <row r="74" spans="1:6" s="113" customFormat="1" ht="14.25" customHeight="1">
      <c r="A74" s="87" t="s">
        <v>262</v>
      </c>
      <c r="B74" s="91" t="s">
        <v>2699</v>
      </c>
      <c r="C74" s="91"/>
      <c r="D74" s="91"/>
      <c r="E74" s="91"/>
      <c r="F74" s="124">
        <v>4060</v>
      </c>
    </row>
    <row r="75" spans="1:6" s="113" customFormat="1" ht="14.25" customHeight="1">
      <c r="A75" s="87" t="s">
        <v>262</v>
      </c>
      <c r="B75" s="102" t="s">
        <v>2706</v>
      </c>
      <c r="C75" s="102"/>
      <c r="D75" s="102"/>
      <c r="E75" s="102"/>
      <c r="F75" s="126">
        <v>3750</v>
      </c>
    </row>
    <row r="76" spans="1:6" s="113" customFormat="1" ht="14.25" customHeight="1">
      <c r="A76" s="87" t="s">
        <v>270</v>
      </c>
      <c r="B76" s="88" t="s">
        <v>2453</v>
      </c>
      <c r="C76" s="88">
        <v>14690</v>
      </c>
      <c r="D76" s="88">
        <v>14640</v>
      </c>
      <c r="E76" s="88">
        <v>14590</v>
      </c>
      <c r="F76" s="121">
        <v>3060</v>
      </c>
    </row>
    <row r="77" spans="1:6" s="113" customFormat="1" ht="14.25" customHeight="1">
      <c r="A77" s="87" t="s">
        <v>270</v>
      </c>
      <c r="B77" s="91" t="s">
        <v>2466</v>
      </c>
      <c r="C77" s="91">
        <v>12550</v>
      </c>
      <c r="D77" s="91">
        <v>12480</v>
      </c>
      <c r="E77" s="91">
        <v>12450</v>
      </c>
      <c r="F77" s="124">
        <v>2590</v>
      </c>
    </row>
    <row r="78" spans="1:6" s="113" customFormat="1" ht="14.25" customHeight="1">
      <c r="A78" s="87" t="s">
        <v>270</v>
      </c>
      <c r="B78" s="91" t="s">
        <v>2480</v>
      </c>
      <c r="C78" s="91">
        <v>14360</v>
      </c>
      <c r="D78" s="91">
        <v>14320</v>
      </c>
      <c r="E78" s="91">
        <v>12510</v>
      </c>
      <c r="F78" s="124">
        <v>2700</v>
      </c>
    </row>
    <row r="79" spans="1:6" s="113" customFormat="1" ht="14.25" customHeight="1">
      <c r="A79" s="87" t="s">
        <v>270</v>
      </c>
      <c r="B79" s="91" t="s">
        <v>2492</v>
      </c>
      <c r="C79" s="91">
        <v>12590</v>
      </c>
      <c r="D79" s="91">
        <v>12540</v>
      </c>
      <c r="E79" s="91">
        <v>12350</v>
      </c>
      <c r="F79" s="124">
        <v>2740</v>
      </c>
    </row>
    <row r="80" spans="1:6" s="113" customFormat="1" ht="14.25" customHeight="1">
      <c r="A80" s="87" t="s">
        <v>270</v>
      </c>
      <c r="B80" s="91" t="s">
        <v>2504</v>
      </c>
      <c r="C80" s="91">
        <v>12450</v>
      </c>
      <c r="D80" s="91">
        <v>12370</v>
      </c>
      <c r="E80" s="91">
        <v>10790</v>
      </c>
      <c r="F80" s="124">
        <v>2290</v>
      </c>
    </row>
    <row r="81" spans="1:6" s="113" customFormat="1" ht="14.25" customHeight="1">
      <c r="A81" s="87" t="s">
        <v>270</v>
      </c>
      <c r="B81" s="91" t="s">
        <v>2515</v>
      </c>
      <c r="C81" s="91">
        <v>14210</v>
      </c>
      <c r="D81" s="91">
        <v>14150</v>
      </c>
      <c r="E81" s="91">
        <v>12730</v>
      </c>
      <c r="F81" s="124">
        <v>2240</v>
      </c>
    </row>
    <row r="82" spans="1:6" s="113" customFormat="1" ht="14.25" customHeight="1">
      <c r="A82" s="87" t="s">
        <v>270</v>
      </c>
      <c r="B82" s="91" t="s">
        <v>2526</v>
      </c>
      <c r="C82" s="91">
        <v>10860</v>
      </c>
      <c r="D82" s="91">
        <v>10820</v>
      </c>
      <c r="E82" s="91">
        <v>14720</v>
      </c>
      <c r="F82" s="124">
        <v>2490</v>
      </c>
    </row>
    <row r="83" spans="1:6" s="113" customFormat="1" ht="14.25" customHeight="1">
      <c r="A83" s="87" t="s">
        <v>270</v>
      </c>
      <c r="B83" s="91" t="s">
        <v>2537</v>
      </c>
      <c r="C83" s="91">
        <v>12810</v>
      </c>
      <c r="D83" s="91">
        <v>12760</v>
      </c>
      <c r="E83" s="91">
        <v>14830</v>
      </c>
      <c r="F83" s="124">
        <v>2450</v>
      </c>
    </row>
    <row r="84" spans="1:6" s="113" customFormat="1" ht="14.25" customHeight="1">
      <c r="A84" s="87" t="s">
        <v>270</v>
      </c>
      <c r="B84" s="91" t="s">
        <v>2547</v>
      </c>
      <c r="C84" s="91">
        <v>14950</v>
      </c>
      <c r="D84" s="91">
        <v>14810</v>
      </c>
      <c r="E84" s="91">
        <v>12590</v>
      </c>
      <c r="F84" s="124">
        <v>2540</v>
      </c>
    </row>
    <row r="85" spans="1:6" s="113" customFormat="1" ht="14.25" customHeight="1">
      <c r="A85" s="87" t="s">
        <v>270</v>
      </c>
      <c r="B85" s="91" t="s">
        <v>2557</v>
      </c>
      <c r="C85" s="91">
        <v>14960</v>
      </c>
      <c r="D85" s="91">
        <v>14890</v>
      </c>
      <c r="E85" s="91">
        <v>12840</v>
      </c>
      <c r="F85" s="124">
        <v>2840</v>
      </c>
    </row>
    <row r="86" spans="1:6" s="113" customFormat="1" ht="14.25" customHeight="1">
      <c r="A86" s="87" t="s">
        <v>270</v>
      </c>
      <c r="B86" s="91" t="s">
        <v>2567</v>
      </c>
      <c r="C86" s="91">
        <v>12730</v>
      </c>
      <c r="D86" s="91">
        <v>12660</v>
      </c>
      <c r="E86" s="91">
        <v>13310</v>
      </c>
      <c r="F86" s="124">
        <v>3140</v>
      </c>
    </row>
    <row r="87" spans="1:6" s="113" customFormat="1" ht="14.25" customHeight="1">
      <c r="A87" s="87" t="s">
        <v>270</v>
      </c>
      <c r="B87" s="91" t="s">
        <v>2577</v>
      </c>
      <c r="C87" s="91">
        <v>12940</v>
      </c>
      <c r="D87" s="91">
        <v>12890</v>
      </c>
      <c r="E87" s="91">
        <v>11580</v>
      </c>
      <c r="F87" s="127"/>
    </row>
    <row r="88" spans="1:6" s="113" customFormat="1" ht="14.25" customHeight="1">
      <c r="A88" s="87" t="s">
        <v>270</v>
      </c>
      <c r="B88" s="91" t="s">
        <v>2587</v>
      </c>
      <c r="C88" s="91">
        <v>13430</v>
      </c>
      <c r="D88" s="91">
        <v>13360</v>
      </c>
      <c r="E88" s="91">
        <v>12790</v>
      </c>
      <c r="F88" s="127"/>
    </row>
    <row r="89" spans="1:6" s="113" customFormat="1" ht="14.25" customHeight="1">
      <c r="A89" s="87" t="s">
        <v>270</v>
      </c>
      <c r="B89" s="91" t="s">
        <v>2597</v>
      </c>
      <c r="C89" s="91">
        <v>11680</v>
      </c>
      <c r="D89" s="91">
        <v>11630</v>
      </c>
      <c r="E89" s="91">
        <v>11320</v>
      </c>
      <c r="F89" s="127"/>
    </row>
    <row r="90" spans="1:6" s="113" customFormat="1" ht="14.25" customHeight="1">
      <c r="A90" s="87" t="s">
        <v>270</v>
      </c>
      <c r="B90" s="91" t="s">
        <v>2607</v>
      </c>
      <c r="C90" s="91">
        <v>12890</v>
      </c>
      <c r="D90" s="91">
        <v>12820</v>
      </c>
      <c r="E90" s="91">
        <v>12710</v>
      </c>
      <c r="F90" s="127"/>
    </row>
    <row r="91" spans="1:6" s="113" customFormat="1" ht="14.25" customHeight="1">
      <c r="A91" s="87" t="s">
        <v>270</v>
      </c>
      <c r="B91" s="91" t="s">
        <v>2617</v>
      </c>
      <c r="C91" s="91">
        <v>11410</v>
      </c>
      <c r="D91" s="91">
        <v>11360</v>
      </c>
      <c r="E91" s="91">
        <v>12670</v>
      </c>
      <c r="F91" s="127"/>
    </row>
    <row r="92" spans="1:6" s="113" customFormat="1" ht="14.25" customHeight="1">
      <c r="A92" s="87" t="s">
        <v>270</v>
      </c>
      <c r="B92" s="91" t="s">
        <v>2627</v>
      </c>
      <c r="C92" s="91">
        <v>12770</v>
      </c>
      <c r="D92" s="91">
        <v>12740</v>
      </c>
      <c r="E92" s="91">
        <v>11970</v>
      </c>
      <c r="F92" s="127"/>
    </row>
    <row r="93" spans="1:6" s="113" customFormat="1" ht="14.25" customHeight="1">
      <c r="A93" s="87" t="s">
        <v>270</v>
      </c>
      <c r="B93" s="91" t="s">
        <v>2637</v>
      </c>
      <c r="C93" s="91">
        <v>12740</v>
      </c>
      <c r="D93" s="91">
        <v>12700</v>
      </c>
      <c r="E93" s="91">
        <v>12540</v>
      </c>
      <c r="F93" s="127"/>
    </row>
    <row r="94" spans="1:6" s="113" customFormat="1" ht="14.25" customHeight="1">
      <c r="A94" s="87" t="s">
        <v>270</v>
      </c>
      <c r="B94" s="91" t="s">
        <v>2647</v>
      </c>
      <c r="C94" s="91">
        <v>12020</v>
      </c>
      <c r="D94" s="91">
        <v>11990</v>
      </c>
      <c r="E94" s="91">
        <v>13110</v>
      </c>
      <c r="F94" s="127"/>
    </row>
    <row r="95" spans="1:6" s="113" customFormat="1" ht="14.25" customHeight="1">
      <c r="A95" s="87" t="s">
        <v>270</v>
      </c>
      <c r="B95" s="91" t="s">
        <v>2656</v>
      </c>
      <c r="C95" s="91">
        <v>12620</v>
      </c>
      <c r="D95" s="91">
        <v>12580</v>
      </c>
      <c r="E95" s="91">
        <v>13160</v>
      </c>
      <c r="F95" s="124"/>
    </row>
    <row r="96" spans="1:6" s="113" customFormat="1" ht="14.25" customHeight="1">
      <c r="A96" s="87" t="s">
        <v>270</v>
      </c>
      <c r="B96" s="91" t="s">
        <v>2664</v>
      </c>
      <c r="C96" s="91">
        <v>13200</v>
      </c>
      <c r="D96" s="91">
        <v>13150</v>
      </c>
      <c r="E96" s="91">
        <v>12900</v>
      </c>
      <c r="F96" s="124"/>
    </row>
    <row r="97" spans="1:6" s="113" customFormat="1" ht="14.25" customHeight="1">
      <c r="A97" s="87" t="s">
        <v>270</v>
      </c>
      <c r="B97" s="91" t="s">
        <v>2672</v>
      </c>
      <c r="C97" s="91">
        <v>13270</v>
      </c>
      <c r="D97" s="91">
        <v>13210</v>
      </c>
      <c r="E97" s="91">
        <v>11080</v>
      </c>
      <c r="F97" s="124"/>
    </row>
    <row r="98" spans="1:6" s="113" customFormat="1" ht="14.25" customHeight="1">
      <c r="A98" s="87" t="s">
        <v>270</v>
      </c>
      <c r="B98" s="91" t="s">
        <v>2679</v>
      </c>
      <c r="C98" s="91">
        <v>13010</v>
      </c>
      <c r="D98" s="91">
        <v>12930</v>
      </c>
      <c r="E98" s="91">
        <v>12840</v>
      </c>
      <c r="F98" s="124"/>
    </row>
    <row r="99" spans="1:6" s="113" customFormat="1" ht="14.25" customHeight="1">
      <c r="A99" s="87" t="s">
        <v>270</v>
      </c>
      <c r="B99" s="91" t="s">
        <v>2686</v>
      </c>
      <c r="C99" s="91">
        <v>11190</v>
      </c>
      <c r="D99" s="91">
        <v>11130</v>
      </c>
      <c r="E99" s="91"/>
      <c r="F99" s="124"/>
    </row>
    <row r="100" spans="1:6" s="113" customFormat="1" ht="14.25" customHeight="1">
      <c r="A100" s="87" t="s">
        <v>270</v>
      </c>
      <c r="B100" s="91" t="s">
        <v>2693</v>
      </c>
      <c r="C100" s="91">
        <v>14280</v>
      </c>
      <c r="D100" s="91">
        <v>14180</v>
      </c>
      <c r="E100" s="91"/>
      <c r="F100" s="124"/>
    </row>
    <row r="101" spans="1:6" s="113" customFormat="1" ht="14.25" customHeight="1">
      <c r="A101" s="87" t="s">
        <v>270</v>
      </c>
      <c r="B101" s="91" t="s">
        <v>2700</v>
      </c>
      <c r="C101" s="91">
        <v>12960</v>
      </c>
      <c r="D101" s="91">
        <v>12890</v>
      </c>
      <c r="E101" s="91"/>
      <c r="F101" s="124"/>
    </row>
    <row r="102" spans="1:6" s="113" customFormat="1" ht="14.25" customHeight="1">
      <c r="A102" s="87" t="s">
        <v>270</v>
      </c>
      <c r="B102" s="91" t="s">
        <v>2707</v>
      </c>
      <c r="C102" s="91"/>
      <c r="D102" s="91"/>
      <c r="E102" s="91"/>
      <c r="F102" s="124">
        <v>3100</v>
      </c>
    </row>
    <row r="103" spans="1:6" s="113" customFormat="1" ht="14.25" customHeight="1">
      <c r="A103" s="87" t="s">
        <v>270</v>
      </c>
      <c r="B103" s="91" t="s">
        <v>2712</v>
      </c>
      <c r="C103" s="91"/>
      <c r="D103" s="91"/>
      <c r="E103" s="91"/>
      <c r="F103" s="124">
        <v>2320</v>
      </c>
    </row>
    <row r="104" spans="1:6" s="113" customFormat="1" ht="14.25" customHeight="1">
      <c r="A104" s="87" t="s">
        <v>270</v>
      </c>
      <c r="B104" s="91" t="s">
        <v>2717</v>
      </c>
      <c r="C104" s="91"/>
      <c r="D104" s="91"/>
      <c r="E104" s="91"/>
      <c r="F104" s="124">
        <v>2320</v>
      </c>
    </row>
    <row r="105" spans="1:6" s="113" customFormat="1" ht="14.25" customHeight="1">
      <c r="A105" s="87" t="s">
        <v>270</v>
      </c>
      <c r="B105" s="91" t="s">
        <v>2722</v>
      </c>
      <c r="C105" s="91"/>
      <c r="D105" s="91"/>
      <c r="E105" s="91"/>
      <c r="F105" s="124">
        <v>2320</v>
      </c>
    </row>
    <row r="106" spans="1:6" s="113" customFormat="1" ht="14.25" customHeight="1">
      <c r="A106" s="87" t="s">
        <v>270</v>
      </c>
      <c r="B106" s="91" t="s">
        <v>2727</v>
      </c>
      <c r="C106" s="91"/>
      <c r="D106" s="91"/>
      <c r="E106" s="91"/>
      <c r="F106" s="124">
        <v>2320</v>
      </c>
    </row>
    <row r="107" spans="1:6" s="113" customFormat="1" ht="14.25" customHeight="1">
      <c r="A107" s="87" t="s">
        <v>270</v>
      </c>
      <c r="B107" s="91" t="s">
        <v>2732</v>
      </c>
      <c r="C107" s="91"/>
      <c r="D107" s="91"/>
      <c r="E107" s="91"/>
      <c r="F107" s="124">
        <v>2280</v>
      </c>
    </row>
    <row r="108" spans="1:6" s="113" customFormat="1" ht="14.25" customHeight="1">
      <c r="A108" s="87" t="s">
        <v>270</v>
      </c>
      <c r="B108" s="91" t="s">
        <v>2737</v>
      </c>
      <c r="C108" s="91"/>
      <c r="D108" s="91"/>
      <c r="E108" s="91"/>
      <c r="F108" s="124">
        <v>2280</v>
      </c>
    </row>
    <row r="109" spans="1:6" s="113" customFormat="1" ht="14.25" customHeight="1">
      <c r="A109" s="87" t="s">
        <v>270</v>
      </c>
      <c r="B109" s="102" t="s">
        <v>2742</v>
      </c>
      <c r="C109" s="102"/>
      <c r="D109" s="102"/>
      <c r="E109" s="102"/>
      <c r="F109" s="126">
        <v>2280</v>
      </c>
    </row>
    <row r="110" spans="1:6" s="113" customFormat="1" ht="14.25" customHeight="1">
      <c r="A110" s="87" t="s">
        <v>276</v>
      </c>
      <c r="B110" s="88" t="s">
        <v>2454</v>
      </c>
      <c r="C110" s="88">
        <v>10520</v>
      </c>
      <c r="D110" s="88">
        <v>10490</v>
      </c>
      <c r="E110" s="88">
        <v>10760</v>
      </c>
      <c r="F110" s="121">
        <v>2160</v>
      </c>
    </row>
    <row r="111" spans="1:6" s="113" customFormat="1" ht="14.25" customHeight="1">
      <c r="A111" s="87" t="s">
        <v>276</v>
      </c>
      <c r="B111" s="91" t="s">
        <v>2467</v>
      </c>
      <c r="C111" s="91">
        <v>10090</v>
      </c>
      <c r="D111" s="91">
        <v>10060</v>
      </c>
      <c r="E111" s="91">
        <v>10300</v>
      </c>
      <c r="F111" s="124">
        <v>2010</v>
      </c>
    </row>
    <row r="112" spans="1:6" s="113" customFormat="1" ht="14.25" customHeight="1">
      <c r="A112" s="87" t="s">
        <v>276</v>
      </c>
      <c r="B112" s="91" t="s">
        <v>2481</v>
      </c>
      <c r="C112" s="91">
        <v>9910</v>
      </c>
      <c r="D112" s="91">
        <v>9850</v>
      </c>
      <c r="E112" s="91">
        <v>9960</v>
      </c>
      <c r="F112" s="124">
        <v>2090</v>
      </c>
    </row>
    <row r="113" spans="1:6" s="113" customFormat="1" ht="14.25" customHeight="1">
      <c r="A113" s="87" t="s">
        <v>276</v>
      </c>
      <c r="B113" s="91" t="s">
        <v>2493</v>
      </c>
      <c r="C113" s="91">
        <v>11430</v>
      </c>
      <c r="D113" s="91">
        <v>11400</v>
      </c>
      <c r="E113" s="91">
        <v>11710</v>
      </c>
      <c r="F113" s="124">
        <v>2050</v>
      </c>
    </row>
    <row r="114" spans="1:6" s="113" customFormat="1" ht="14.25" customHeight="1">
      <c r="A114" s="87" t="s">
        <v>276</v>
      </c>
      <c r="B114" s="91" t="s">
        <v>2505</v>
      </c>
      <c r="C114" s="91">
        <v>11390</v>
      </c>
      <c r="D114" s="91">
        <v>11350</v>
      </c>
      <c r="E114" s="91">
        <v>11640</v>
      </c>
      <c r="F114" s="124">
        <v>1620</v>
      </c>
    </row>
    <row r="115" spans="1:6" s="113" customFormat="1" ht="14.25" customHeight="1">
      <c r="A115" s="87" t="s">
        <v>276</v>
      </c>
      <c r="B115" s="91" t="s">
        <v>2516</v>
      </c>
      <c r="C115" s="91">
        <v>9930</v>
      </c>
      <c r="D115" s="91">
        <v>9900</v>
      </c>
      <c r="E115" s="91">
        <v>10160</v>
      </c>
      <c r="F115" s="124">
        <v>1580</v>
      </c>
    </row>
    <row r="116" spans="1:6" s="113" customFormat="1" ht="14.25" customHeight="1">
      <c r="A116" s="87" t="s">
        <v>276</v>
      </c>
      <c r="B116" s="91" t="s">
        <v>2527</v>
      </c>
      <c r="C116" s="91">
        <v>9150</v>
      </c>
      <c r="D116" s="91">
        <v>9120</v>
      </c>
      <c r="E116" s="91">
        <v>9380</v>
      </c>
      <c r="F116" s="124">
        <v>1750</v>
      </c>
    </row>
    <row r="117" spans="1:6" s="113" customFormat="1" ht="14.25" customHeight="1">
      <c r="A117" s="87" t="s">
        <v>276</v>
      </c>
      <c r="B117" s="91" t="s">
        <v>2538</v>
      </c>
      <c r="C117" s="91">
        <v>10680</v>
      </c>
      <c r="D117" s="91">
        <v>10650</v>
      </c>
      <c r="E117" s="91">
        <v>10970</v>
      </c>
      <c r="F117" s="124">
        <v>1730</v>
      </c>
    </row>
    <row r="118" spans="1:6" s="113" customFormat="1" ht="14.25" customHeight="1">
      <c r="A118" s="87" t="s">
        <v>276</v>
      </c>
      <c r="B118" s="91" t="s">
        <v>2548</v>
      </c>
      <c r="C118" s="91">
        <v>10080</v>
      </c>
      <c r="D118" s="91">
        <v>10050</v>
      </c>
      <c r="E118" s="91">
        <v>10350</v>
      </c>
      <c r="F118" s="124">
        <v>1920</v>
      </c>
    </row>
    <row r="119" spans="1:6" s="113" customFormat="1" ht="14.25" customHeight="1">
      <c r="A119" s="87" t="s">
        <v>276</v>
      </c>
      <c r="B119" s="91" t="s">
        <v>2558</v>
      </c>
      <c r="C119" s="91">
        <v>9450</v>
      </c>
      <c r="D119" s="91">
        <v>9410</v>
      </c>
      <c r="E119" s="91">
        <v>9680</v>
      </c>
      <c r="F119" s="124">
        <v>1880</v>
      </c>
    </row>
    <row r="120" spans="1:6" s="113" customFormat="1" ht="14.25" customHeight="1">
      <c r="A120" s="87" t="s">
        <v>276</v>
      </c>
      <c r="B120" s="91" t="s">
        <v>2568</v>
      </c>
      <c r="C120" s="91">
        <v>8730</v>
      </c>
      <c r="D120" s="91">
        <v>8700</v>
      </c>
      <c r="E120" s="91">
        <v>8950</v>
      </c>
      <c r="F120" s="124">
        <v>1830</v>
      </c>
    </row>
    <row r="121" spans="1:6" s="113" customFormat="1" ht="14.25" customHeight="1">
      <c r="A121" s="87" t="s">
        <v>276</v>
      </c>
      <c r="B121" s="91" t="s">
        <v>2578</v>
      </c>
      <c r="C121" s="91">
        <v>10070</v>
      </c>
      <c r="D121" s="91">
        <v>10040</v>
      </c>
      <c r="E121" s="91">
        <v>10270</v>
      </c>
      <c r="F121" s="124">
        <v>1960</v>
      </c>
    </row>
    <row r="122" spans="1:6" s="113" customFormat="1" ht="14.25" customHeight="1">
      <c r="A122" s="87" t="s">
        <v>276</v>
      </c>
      <c r="B122" s="91" t="s">
        <v>2588</v>
      </c>
      <c r="C122" s="91">
        <v>10500</v>
      </c>
      <c r="D122" s="91">
        <v>10470</v>
      </c>
      <c r="E122" s="91">
        <v>10780</v>
      </c>
      <c r="F122" s="124">
        <v>2180</v>
      </c>
    </row>
    <row r="123" spans="1:6" s="113" customFormat="1" ht="14.25" customHeight="1">
      <c r="A123" s="87" t="s">
        <v>276</v>
      </c>
      <c r="B123" s="91" t="s">
        <v>2598</v>
      </c>
      <c r="C123" s="91">
        <v>10390</v>
      </c>
      <c r="D123" s="91">
        <v>10360</v>
      </c>
      <c r="E123" s="91">
        <v>10660</v>
      </c>
      <c r="F123" s="124">
        <v>2040</v>
      </c>
    </row>
    <row r="124" spans="1:6" s="113" customFormat="1" ht="14.25" customHeight="1">
      <c r="A124" s="87" t="s">
        <v>276</v>
      </c>
      <c r="B124" s="91" t="s">
        <v>2608</v>
      </c>
      <c r="C124" s="91">
        <v>10390</v>
      </c>
      <c r="D124" s="91">
        <v>10360</v>
      </c>
      <c r="E124" s="91">
        <v>10680</v>
      </c>
      <c r="F124" s="127"/>
    </row>
    <row r="125" spans="1:6" s="113" customFormat="1" ht="14.25" customHeight="1">
      <c r="A125" s="87" t="s">
        <v>276</v>
      </c>
      <c r="B125" s="91" t="s">
        <v>2618</v>
      </c>
      <c r="C125" s="91">
        <v>10440</v>
      </c>
      <c r="D125" s="91">
        <v>10410</v>
      </c>
      <c r="E125" s="91">
        <v>10710</v>
      </c>
      <c r="F125" s="127"/>
    </row>
    <row r="126" spans="1:6" s="113" customFormat="1" ht="14.25" customHeight="1">
      <c r="A126" s="87" t="s">
        <v>276</v>
      </c>
      <c r="B126" s="91" t="s">
        <v>2628</v>
      </c>
      <c r="C126" s="91">
        <v>10780</v>
      </c>
      <c r="D126" s="91">
        <v>10750</v>
      </c>
      <c r="E126" s="91">
        <v>11080</v>
      </c>
      <c r="F126" s="127"/>
    </row>
    <row r="127" spans="1:6" s="113" customFormat="1" ht="14.25" customHeight="1">
      <c r="A127" s="87" t="s">
        <v>276</v>
      </c>
      <c r="B127" s="91" t="s">
        <v>2638</v>
      </c>
      <c r="C127" s="91">
        <v>10100</v>
      </c>
      <c r="D127" s="91">
        <v>10070</v>
      </c>
      <c r="E127" s="91">
        <v>10350</v>
      </c>
      <c r="F127" s="127"/>
    </row>
    <row r="128" spans="1:6" s="113" customFormat="1" ht="14.25" customHeight="1">
      <c r="A128" s="87" t="s">
        <v>276</v>
      </c>
      <c r="B128" s="91" t="s">
        <v>2648</v>
      </c>
      <c r="C128" s="91">
        <v>9200</v>
      </c>
      <c r="D128" s="91">
        <v>9160</v>
      </c>
      <c r="E128" s="91">
        <v>9660</v>
      </c>
      <c r="F128" s="127"/>
    </row>
    <row r="129" spans="1:6" s="113" customFormat="1" ht="14.25" customHeight="1">
      <c r="A129" s="87" t="s">
        <v>276</v>
      </c>
      <c r="B129" s="91" t="s">
        <v>2657</v>
      </c>
      <c r="C129" s="91">
        <v>10340</v>
      </c>
      <c r="D129" s="91">
        <v>10310</v>
      </c>
      <c r="E129" s="91">
        <v>10580</v>
      </c>
      <c r="F129" s="127"/>
    </row>
    <row r="130" spans="1:6" s="113" customFormat="1" ht="14.25" customHeight="1">
      <c r="A130" s="87" t="s">
        <v>276</v>
      </c>
      <c r="B130" s="91" t="s">
        <v>2665</v>
      </c>
      <c r="C130" s="91">
        <v>9680</v>
      </c>
      <c r="D130" s="91">
        <v>9660</v>
      </c>
      <c r="E130" s="91">
        <v>9950</v>
      </c>
      <c r="F130" s="127"/>
    </row>
    <row r="131" spans="1:6" s="113" customFormat="1" ht="14.25" customHeight="1">
      <c r="A131" s="87" t="s">
        <v>276</v>
      </c>
      <c r="B131" s="91" t="s">
        <v>2673</v>
      </c>
      <c r="C131" s="91">
        <v>9540</v>
      </c>
      <c r="D131" s="91">
        <v>9510</v>
      </c>
      <c r="E131" s="91">
        <v>9790</v>
      </c>
      <c r="F131" s="127"/>
    </row>
    <row r="132" spans="1:6" s="113" customFormat="1" ht="14.25" customHeight="1">
      <c r="A132" s="87" t="s">
        <v>276</v>
      </c>
      <c r="B132" s="91" t="s">
        <v>2680</v>
      </c>
      <c r="C132" s="91">
        <v>9320</v>
      </c>
      <c r="D132" s="91">
        <v>9290</v>
      </c>
      <c r="E132" s="91">
        <v>9570</v>
      </c>
      <c r="F132" s="127"/>
    </row>
    <row r="133" spans="1:6" s="113" customFormat="1" ht="14.25" customHeight="1">
      <c r="A133" s="87" t="s">
        <v>276</v>
      </c>
      <c r="B133" s="91" t="s">
        <v>2687</v>
      </c>
      <c r="C133" s="91">
        <v>10310</v>
      </c>
      <c r="D133" s="91">
        <v>10280</v>
      </c>
      <c r="E133" s="91">
        <v>10530</v>
      </c>
      <c r="F133" s="127"/>
    </row>
    <row r="134" spans="1:6" s="113" customFormat="1" ht="14.25" customHeight="1">
      <c r="A134" s="87" t="s">
        <v>276</v>
      </c>
      <c r="B134" s="91" t="s">
        <v>2694</v>
      </c>
      <c r="C134" s="91">
        <v>10370</v>
      </c>
      <c r="D134" s="91">
        <v>10310</v>
      </c>
      <c r="E134" s="91">
        <v>10240</v>
      </c>
      <c r="F134" s="124">
        <v>2060</v>
      </c>
    </row>
    <row r="135" spans="1:6" s="113" customFormat="1" ht="14.25" customHeight="1">
      <c r="A135" s="87" t="s">
        <v>276</v>
      </c>
      <c r="B135" s="91" t="s">
        <v>2701</v>
      </c>
      <c r="C135" s="91">
        <v>9300</v>
      </c>
      <c r="D135" s="91">
        <v>9270</v>
      </c>
      <c r="E135" s="91">
        <v>9350</v>
      </c>
      <c r="F135" s="127"/>
    </row>
    <row r="136" spans="1:6" s="113" customFormat="1" ht="14.25" customHeight="1">
      <c r="A136" s="87" t="s">
        <v>276</v>
      </c>
      <c r="B136" s="91" t="s">
        <v>2708</v>
      </c>
      <c r="C136" s="91">
        <v>10160</v>
      </c>
      <c r="D136" s="91">
        <v>10110</v>
      </c>
      <c r="E136" s="91">
        <v>10080</v>
      </c>
      <c r="F136" s="127"/>
    </row>
    <row r="137" spans="1:6" s="113" customFormat="1" ht="14.25" customHeight="1">
      <c r="A137" s="87" t="s">
        <v>276</v>
      </c>
      <c r="B137" s="91" t="s">
        <v>2713</v>
      </c>
      <c r="C137" s="91">
        <v>9200</v>
      </c>
      <c r="D137" s="91">
        <v>9170</v>
      </c>
      <c r="E137" s="91">
        <v>9450</v>
      </c>
      <c r="F137" s="127"/>
    </row>
    <row r="138" spans="1:6" s="113" customFormat="1" ht="14.25" customHeight="1">
      <c r="A138" s="87" t="s">
        <v>276</v>
      </c>
      <c r="B138" s="91" t="s">
        <v>2718</v>
      </c>
      <c r="C138" s="91">
        <v>9690</v>
      </c>
      <c r="D138" s="91">
        <v>9660</v>
      </c>
      <c r="E138" s="91">
        <v>9840</v>
      </c>
      <c r="F138" s="127"/>
    </row>
    <row r="139" spans="1:6" s="113" customFormat="1" ht="14.25" customHeight="1">
      <c r="A139" s="87" t="s">
        <v>276</v>
      </c>
      <c r="B139" s="91" t="s">
        <v>2723</v>
      </c>
      <c r="C139" s="91">
        <v>10290</v>
      </c>
      <c r="D139" s="91">
        <v>10260</v>
      </c>
      <c r="E139" s="91">
        <v>10550</v>
      </c>
      <c r="F139" s="124">
        <v>1700</v>
      </c>
    </row>
    <row r="140" spans="1:6" s="113" customFormat="1" ht="14.25" customHeight="1">
      <c r="A140" s="87" t="s">
        <v>276</v>
      </c>
      <c r="B140" s="91" t="s">
        <v>2728</v>
      </c>
      <c r="C140" s="91">
        <v>9740</v>
      </c>
      <c r="D140" s="91">
        <v>9710</v>
      </c>
      <c r="E140" s="91">
        <v>10000</v>
      </c>
      <c r="F140" s="124">
        <v>2000</v>
      </c>
    </row>
    <row r="141" spans="1:6" s="113" customFormat="1" ht="14.25" customHeight="1">
      <c r="A141" s="87" t="s">
        <v>276</v>
      </c>
      <c r="B141" s="91" t="s">
        <v>2733</v>
      </c>
      <c r="C141" s="91">
        <v>9810</v>
      </c>
      <c r="D141" s="91">
        <v>9770</v>
      </c>
      <c r="E141" s="91">
        <v>10060</v>
      </c>
      <c r="F141" s="127"/>
    </row>
    <row r="142" spans="1:6" s="113" customFormat="1" ht="14.25" customHeight="1">
      <c r="A142" s="87" t="s">
        <v>276</v>
      </c>
      <c r="B142" s="91" t="s">
        <v>2738</v>
      </c>
      <c r="C142" s="91">
        <v>9300</v>
      </c>
      <c r="D142" s="91">
        <v>9270</v>
      </c>
      <c r="E142" s="91">
        <v>9530</v>
      </c>
      <c r="F142" s="127"/>
    </row>
    <row r="143" spans="1:6" s="113" customFormat="1" ht="14.25" customHeight="1">
      <c r="A143" s="87" t="s">
        <v>276</v>
      </c>
      <c r="B143" s="91" t="s">
        <v>2743</v>
      </c>
      <c r="C143" s="91">
        <v>10080</v>
      </c>
      <c r="D143" s="91">
        <v>10050</v>
      </c>
      <c r="E143" s="91">
        <v>10340</v>
      </c>
      <c r="F143" s="127"/>
    </row>
    <row r="144" spans="1:6" s="113" customFormat="1" ht="14.25" customHeight="1">
      <c r="A144" s="87" t="s">
        <v>276</v>
      </c>
      <c r="B144" s="91" t="s">
        <v>2747</v>
      </c>
      <c r="C144" s="91">
        <v>9820</v>
      </c>
      <c r="D144" s="91">
        <v>9750</v>
      </c>
      <c r="E144" s="91">
        <v>9900</v>
      </c>
      <c r="F144" s="127"/>
    </row>
    <row r="145" spans="1:6" s="113" customFormat="1" ht="14.25" customHeight="1">
      <c r="A145" s="87" t="s">
        <v>276</v>
      </c>
      <c r="B145" s="91" t="s">
        <v>2751</v>
      </c>
      <c r="C145" s="91"/>
      <c r="D145" s="91"/>
      <c r="E145" s="91"/>
      <c r="F145" s="124">
        <v>1740</v>
      </c>
    </row>
    <row r="146" spans="1:6" s="113" customFormat="1" ht="14.25" customHeight="1">
      <c r="A146" s="87" t="s">
        <v>276</v>
      </c>
      <c r="B146" s="91" t="s">
        <v>2755</v>
      </c>
      <c r="C146" s="91"/>
      <c r="D146" s="91"/>
      <c r="E146" s="91"/>
      <c r="F146" s="124">
        <v>1740</v>
      </c>
    </row>
    <row r="147" spans="1:6" s="113" customFormat="1" ht="14.25" customHeight="1">
      <c r="A147" s="87" t="s">
        <v>276</v>
      </c>
      <c r="B147" s="91" t="s">
        <v>2759</v>
      </c>
      <c r="C147" s="91"/>
      <c r="D147" s="91"/>
      <c r="E147" s="91"/>
      <c r="F147" s="124">
        <v>1740</v>
      </c>
    </row>
    <row r="148" spans="1:6" s="113" customFormat="1" ht="14.25" customHeight="1">
      <c r="A148" s="87" t="s">
        <v>276</v>
      </c>
      <c r="B148" s="91" t="s">
        <v>2763</v>
      </c>
      <c r="C148" s="91"/>
      <c r="D148" s="91"/>
      <c r="E148" s="91"/>
      <c r="F148" s="124">
        <v>1740</v>
      </c>
    </row>
    <row r="149" spans="1:6" s="113" customFormat="1" ht="14.25" customHeight="1">
      <c r="A149" s="87" t="s">
        <v>276</v>
      </c>
      <c r="B149" s="91" t="s">
        <v>2767</v>
      </c>
      <c r="C149" s="91"/>
      <c r="D149" s="91"/>
      <c r="E149" s="91"/>
      <c r="F149" s="124">
        <v>1740</v>
      </c>
    </row>
    <row r="150" spans="1:6" s="113" customFormat="1" ht="14.25" customHeight="1">
      <c r="A150" s="87" t="s">
        <v>276</v>
      </c>
      <c r="B150" s="91" t="s">
        <v>2770</v>
      </c>
      <c r="C150" s="91"/>
      <c r="D150" s="91"/>
      <c r="E150" s="91"/>
      <c r="F150" s="124">
        <v>1610</v>
      </c>
    </row>
    <row r="151" spans="1:6" s="113" customFormat="1" ht="14.25" customHeight="1">
      <c r="A151" s="87" t="s">
        <v>276</v>
      </c>
      <c r="B151" s="91" t="s">
        <v>2773</v>
      </c>
      <c r="C151" s="91"/>
      <c r="D151" s="91"/>
      <c r="E151" s="91"/>
      <c r="F151" s="124">
        <v>1610</v>
      </c>
    </row>
    <row r="152" spans="1:6" s="113" customFormat="1" ht="14.25" customHeight="1">
      <c r="A152" s="87" t="s">
        <v>276</v>
      </c>
      <c r="B152" s="91" t="s">
        <v>2776</v>
      </c>
      <c r="C152" s="91"/>
      <c r="D152" s="91"/>
      <c r="E152" s="91"/>
      <c r="F152" s="124">
        <v>1610</v>
      </c>
    </row>
    <row r="153" spans="1:6" s="113" customFormat="1" ht="14.25" customHeight="1">
      <c r="A153" s="87" t="s">
        <v>276</v>
      </c>
      <c r="B153" s="91" t="s">
        <v>2779</v>
      </c>
      <c r="C153" s="91"/>
      <c r="D153" s="91"/>
      <c r="E153" s="91"/>
      <c r="F153" s="124">
        <v>1610</v>
      </c>
    </row>
    <row r="154" spans="1:6" s="113" customFormat="1" ht="14.25" customHeight="1">
      <c r="A154" s="87" t="s">
        <v>276</v>
      </c>
      <c r="B154" s="91" t="s">
        <v>2782</v>
      </c>
      <c r="C154" s="91"/>
      <c r="D154" s="91"/>
      <c r="E154" s="91"/>
      <c r="F154" s="124">
        <v>1610</v>
      </c>
    </row>
    <row r="155" spans="1:6" s="113" customFormat="1" ht="14.25" customHeight="1">
      <c r="A155" s="87" t="s">
        <v>276</v>
      </c>
      <c r="B155" s="91" t="s">
        <v>2785</v>
      </c>
      <c r="C155" s="91"/>
      <c r="D155" s="91"/>
      <c r="E155" s="91"/>
      <c r="F155" s="124">
        <v>1800</v>
      </c>
    </row>
    <row r="156" spans="1:6" s="113" customFormat="1" ht="14.25" customHeight="1">
      <c r="A156" s="87" t="s">
        <v>276</v>
      </c>
      <c r="B156" s="91" t="s">
        <v>2787</v>
      </c>
      <c r="C156" s="91"/>
      <c r="D156" s="91"/>
      <c r="E156" s="91"/>
      <c r="F156" s="124">
        <v>1910</v>
      </c>
    </row>
    <row r="157" spans="1:6" s="113" customFormat="1" ht="14.25" customHeight="1">
      <c r="A157" s="87" t="s">
        <v>276</v>
      </c>
      <c r="B157" s="102" t="s">
        <v>2789</v>
      </c>
      <c r="C157" s="102"/>
      <c r="D157" s="102"/>
      <c r="E157" s="102"/>
      <c r="F157" s="126">
        <v>1500</v>
      </c>
    </row>
    <row r="158" spans="1:6" s="113" customFormat="1" ht="14.25" customHeight="1">
      <c r="A158" s="87" t="s">
        <v>281</v>
      </c>
      <c r="B158" s="88" t="s">
        <v>2455</v>
      </c>
      <c r="C158" s="88">
        <v>8170</v>
      </c>
      <c r="D158" s="88">
        <v>8140</v>
      </c>
      <c r="E158" s="88">
        <v>8590</v>
      </c>
      <c r="F158" s="121">
        <v>1450</v>
      </c>
    </row>
    <row r="159" spans="1:6" s="113" customFormat="1" ht="14.25" customHeight="1">
      <c r="A159" s="87" t="s">
        <v>281</v>
      </c>
      <c r="B159" s="91" t="s">
        <v>2468</v>
      </c>
      <c r="C159" s="91">
        <v>7410</v>
      </c>
      <c r="D159" s="91">
        <v>7370</v>
      </c>
      <c r="E159" s="91">
        <v>8030</v>
      </c>
      <c r="F159" s="124">
        <v>1510</v>
      </c>
    </row>
    <row r="160" spans="1:6" s="113" customFormat="1" ht="14.25" customHeight="1">
      <c r="A160" s="87" t="s">
        <v>281</v>
      </c>
      <c r="B160" s="91" t="s">
        <v>2482</v>
      </c>
      <c r="C160" s="91">
        <v>7240</v>
      </c>
      <c r="D160" s="91">
        <v>7210</v>
      </c>
      <c r="E160" s="91">
        <v>7860</v>
      </c>
      <c r="F160" s="124">
        <v>1370</v>
      </c>
    </row>
    <row r="161" spans="1:6" s="113" customFormat="1" ht="14.25" customHeight="1">
      <c r="A161" s="87" t="s">
        <v>281</v>
      </c>
      <c r="B161" s="91" t="s">
        <v>2494</v>
      </c>
      <c r="C161" s="91">
        <v>7720</v>
      </c>
      <c r="D161" s="91">
        <v>7690</v>
      </c>
      <c r="E161" s="91">
        <v>8200</v>
      </c>
      <c r="F161" s="124">
        <v>1190</v>
      </c>
    </row>
    <row r="162" spans="1:6" s="113" customFormat="1" ht="14.25" customHeight="1">
      <c r="A162" s="87" t="s">
        <v>281</v>
      </c>
      <c r="B162" s="91" t="s">
        <v>2506</v>
      </c>
      <c r="C162" s="91">
        <v>6900</v>
      </c>
      <c r="D162" s="91">
        <v>6870</v>
      </c>
      <c r="E162" s="91">
        <v>7500</v>
      </c>
      <c r="F162" s="124">
        <v>1390</v>
      </c>
    </row>
    <row r="163" spans="1:6" s="113" customFormat="1" ht="14.25" customHeight="1">
      <c r="A163" s="87" t="s">
        <v>281</v>
      </c>
      <c r="B163" s="91" t="s">
        <v>2517</v>
      </c>
      <c r="C163" s="91">
        <v>7120</v>
      </c>
      <c r="D163" s="91">
        <v>7090</v>
      </c>
      <c r="E163" s="91">
        <v>7690</v>
      </c>
      <c r="F163" s="124">
        <v>1230</v>
      </c>
    </row>
    <row r="164" spans="1:6" s="113" customFormat="1" ht="14.25" customHeight="1">
      <c r="A164" s="87" t="s">
        <v>281</v>
      </c>
      <c r="B164" s="91" t="s">
        <v>2528</v>
      </c>
      <c r="C164" s="91">
        <v>6560</v>
      </c>
      <c r="D164" s="91">
        <v>6530</v>
      </c>
      <c r="E164" s="91">
        <v>7110</v>
      </c>
      <c r="F164" s="124">
        <v>1340</v>
      </c>
    </row>
    <row r="165" spans="1:6" s="113" customFormat="1" ht="14.25" customHeight="1">
      <c r="A165" s="87" t="s">
        <v>281</v>
      </c>
      <c r="B165" s="91" t="s">
        <v>2539</v>
      </c>
      <c r="C165" s="91">
        <v>7450</v>
      </c>
      <c r="D165" s="91">
        <v>7430</v>
      </c>
      <c r="E165" s="91">
        <v>8110</v>
      </c>
      <c r="F165" s="124">
        <v>1290</v>
      </c>
    </row>
    <row r="166" spans="1:6" s="113" customFormat="1" ht="14.25" customHeight="1">
      <c r="A166" s="87" t="s">
        <v>281</v>
      </c>
      <c r="B166" s="91" t="s">
        <v>2549</v>
      </c>
      <c r="C166" s="91">
        <v>7490</v>
      </c>
      <c r="D166" s="91">
        <v>7460</v>
      </c>
      <c r="E166" s="91">
        <v>8150</v>
      </c>
      <c r="F166" s="124">
        <v>1350</v>
      </c>
    </row>
    <row r="167" spans="1:6" s="113" customFormat="1" ht="14.25" customHeight="1">
      <c r="A167" s="87" t="s">
        <v>281</v>
      </c>
      <c r="B167" s="91" t="s">
        <v>2559</v>
      </c>
      <c r="C167" s="91">
        <v>7540</v>
      </c>
      <c r="D167" s="91">
        <v>7510</v>
      </c>
      <c r="E167" s="91">
        <v>8030</v>
      </c>
      <c r="F167" s="127"/>
    </row>
    <row r="168" spans="1:6" s="113" customFormat="1" ht="14.25" customHeight="1">
      <c r="A168" s="87" t="s">
        <v>281</v>
      </c>
      <c r="B168" s="91" t="s">
        <v>2569</v>
      </c>
      <c r="C168" s="91">
        <v>7210</v>
      </c>
      <c r="D168" s="91">
        <v>7180</v>
      </c>
      <c r="E168" s="91">
        <v>7830</v>
      </c>
      <c r="F168" s="127"/>
    </row>
    <row r="169" spans="1:6" s="113" customFormat="1" ht="14.25" customHeight="1">
      <c r="A169" s="87" t="s">
        <v>281</v>
      </c>
      <c r="B169" s="91" t="s">
        <v>2579</v>
      </c>
      <c r="C169" s="91">
        <v>7040</v>
      </c>
      <c r="D169" s="91">
        <v>7020</v>
      </c>
      <c r="E169" s="91">
        <v>7670</v>
      </c>
      <c r="F169" s="127"/>
    </row>
    <row r="170" spans="1:6" s="113" customFormat="1" ht="14.25" customHeight="1">
      <c r="A170" s="87" t="s">
        <v>281</v>
      </c>
      <c r="B170" s="91" t="s">
        <v>2589</v>
      </c>
      <c r="C170" s="91">
        <v>8040</v>
      </c>
      <c r="D170" s="91">
        <v>7190</v>
      </c>
      <c r="E170" s="91">
        <v>7850</v>
      </c>
      <c r="F170" s="127"/>
    </row>
    <row r="171" spans="1:6" s="113" customFormat="1" ht="14.25" customHeight="1">
      <c r="A171" s="87" t="s">
        <v>281</v>
      </c>
      <c r="B171" s="91" t="s">
        <v>2599</v>
      </c>
      <c r="C171" s="91">
        <v>7860</v>
      </c>
      <c r="D171" s="91">
        <v>7720</v>
      </c>
      <c r="E171" s="91">
        <v>8150</v>
      </c>
      <c r="F171" s="124">
        <v>1110</v>
      </c>
    </row>
    <row r="172" spans="1:6" s="113" customFormat="1" ht="14.25" customHeight="1">
      <c r="A172" s="87" t="s">
        <v>281</v>
      </c>
      <c r="B172" s="91" t="s">
        <v>2609</v>
      </c>
      <c r="C172" s="91">
        <v>7210</v>
      </c>
      <c r="D172" s="91">
        <v>7170</v>
      </c>
      <c r="E172" s="91">
        <v>7320</v>
      </c>
      <c r="F172" s="127"/>
    </row>
    <row r="173" spans="1:6" s="113" customFormat="1" ht="14.25" customHeight="1">
      <c r="A173" s="87" t="s">
        <v>281</v>
      </c>
      <c r="B173" s="91" t="s">
        <v>2619</v>
      </c>
      <c r="C173" s="91">
        <v>6860</v>
      </c>
      <c r="D173" s="91">
        <v>6810</v>
      </c>
      <c r="E173" s="91">
        <v>7440</v>
      </c>
      <c r="F173" s="127"/>
    </row>
    <row r="174" spans="1:6" s="113" customFormat="1" ht="14.25" customHeight="1">
      <c r="A174" s="87" t="s">
        <v>281</v>
      </c>
      <c r="B174" s="91" t="s">
        <v>2629</v>
      </c>
      <c r="C174" s="91">
        <v>7120</v>
      </c>
      <c r="D174" s="91">
        <v>7090</v>
      </c>
      <c r="E174" s="91">
        <v>7500</v>
      </c>
      <c r="F174" s="124">
        <v>1490</v>
      </c>
    </row>
    <row r="175" spans="1:6" s="113" customFormat="1" ht="14.25" customHeight="1">
      <c r="A175" s="87" t="s">
        <v>281</v>
      </c>
      <c r="B175" s="91" t="s">
        <v>2639</v>
      </c>
      <c r="C175" s="91">
        <v>7850</v>
      </c>
      <c r="D175" s="91">
        <v>7820</v>
      </c>
      <c r="E175" s="91">
        <v>8120</v>
      </c>
      <c r="F175" s="124">
        <v>1530</v>
      </c>
    </row>
    <row r="176" spans="1:6" s="113" customFormat="1" ht="14.25" customHeight="1">
      <c r="A176" s="87" t="s">
        <v>281</v>
      </c>
      <c r="B176" s="91" t="s">
        <v>2649</v>
      </c>
      <c r="C176" s="91">
        <v>7620</v>
      </c>
      <c r="D176" s="91">
        <v>7570</v>
      </c>
      <c r="E176" s="91">
        <v>7990</v>
      </c>
      <c r="F176" s="124">
        <v>1480</v>
      </c>
    </row>
    <row r="177" spans="1:6" s="113" customFormat="1" ht="14.25" customHeight="1">
      <c r="A177" s="87" t="s">
        <v>281</v>
      </c>
      <c r="B177" s="91" t="s">
        <v>2658</v>
      </c>
      <c r="C177" s="91">
        <v>8590</v>
      </c>
      <c r="D177" s="91">
        <v>8570</v>
      </c>
      <c r="E177" s="91">
        <v>8740</v>
      </c>
      <c r="F177" s="124">
        <v>1540</v>
      </c>
    </row>
    <row r="178" spans="1:6" s="113" customFormat="1" ht="14.25" customHeight="1">
      <c r="A178" s="87" t="s">
        <v>281</v>
      </c>
      <c r="B178" s="91" t="s">
        <v>2666</v>
      </c>
      <c r="C178" s="91">
        <v>7510</v>
      </c>
      <c r="D178" s="91">
        <v>7470</v>
      </c>
      <c r="E178" s="91">
        <v>8090</v>
      </c>
      <c r="F178" s="124">
        <v>1320</v>
      </c>
    </row>
    <row r="179" spans="1:6" s="113" customFormat="1" ht="14.25" customHeight="1">
      <c r="A179" s="87" t="s">
        <v>281</v>
      </c>
      <c r="B179" s="91" t="s">
        <v>2674</v>
      </c>
      <c r="C179" s="91">
        <v>6380</v>
      </c>
      <c r="D179" s="91">
        <v>6340</v>
      </c>
      <c r="E179" s="91">
        <v>6810</v>
      </c>
      <c r="F179" s="127"/>
    </row>
    <row r="180" spans="1:6" s="113" customFormat="1" ht="14.25" customHeight="1">
      <c r="A180" s="87" t="s">
        <v>281</v>
      </c>
      <c r="B180" s="91" t="s">
        <v>2681</v>
      </c>
      <c r="C180" s="91">
        <v>7830</v>
      </c>
      <c r="D180" s="91">
        <v>7800</v>
      </c>
      <c r="E180" s="91">
        <v>7780</v>
      </c>
      <c r="F180" s="124">
        <v>1440</v>
      </c>
    </row>
    <row r="181" spans="1:6" s="113" customFormat="1" ht="14.25" customHeight="1">
      <c r="A181" s="87" t="s">
        <v>281</v>
      </c>
      <c r="B181" s="91" t="s">
        <v>2688</v>
      </c>
      <c r="C181" s="91">
        <v>7110</v>
      </c>
      <c r="D181" s="91">
        <v>7080</v>
      </c>
      <c r="E181" s="91">
        <v>7730</v>
      </c>
      <c r="F181" s="124">
        <v>1350</v>
      </c>
    </row>
    <row r="182" spans="1:6" s="113" customFormat="1" ht="14.25" customHeight="1">
      <c r="A182" s="87" t="s">
        <v>281</v>
      </c>
      <c r="B182" s="91" t="s">
        <v>2695</v>
      </c>
      <c r="C182" s="91">
        <v>7310</v>
      </c>
      <c r="D182" s="91">
        <v>7280</v>
      </c>
      <c r="E182" s="91">
        <v>7950</v>
      </c>
      <c r="F182" s="124">
        <v>1220</v>
      </c>
    </row>
    <row r="183" spans="1:6" s="113" customFormat="1" ht="14.25" customHeight="1">
      <c r="A183" s="87" t="s">
        <v>281</v>
      </c>
      <c r="B183" s="91" t="s">
        <v>2702</v>
      </c>
      <c r="C183" s="91">
        <v>7470</v>
      </c>
      <c r="D183" s="91">
        <v>7440</v>
      </c>
      <c r="E183" s="91">
        <v>7880</v>
      </c>
      <c r="F183" s="127"/>
    </row>
    <row r="184" spans="1:6" s="113" customFormat="1" ht="14.25" customHeight="1">
      <c r="A184" s="87" t="s">
        <v>281</v>
      </c>
      <c r="B184" s="91" t="s">
        <v>2709</v>
      </c>
      <c r="C184" s="91">
        <v>6960</v>
      </c>
      <c r="D184" s="91">
        <v>6930</v>
      </c>
      <c r="E184" s="91">
        <v>7570</v>
      </c>
      <c r="F184" s="127"/>
    </row>
    <row r="185" spans="1:6" s="113" customFormat="1" ht="14.25" customHeight="1">
      <c r="A185" s="87" t="s">
        <v>281</v>
      </c>
      <c r="B185" s="91" t="s">
        <v>2714</v>
      </c>
      <c r="C185" s="91">
        <v>7260</v>
      </c>
      <c r="D185" s="91">
        <v>7230</v>
      </c>
      <c r="E185" s="91">
        <v>7710</v>
      </c>
      <c r="F185" s="124">
        <v>1360</v>
      </c>
    </row>
    <row r="186" spans="1:6" s="113" customFormat="1" ht="14.25" customHeight="1">
      <c r="A186" s="87" t="s">
        <v>281</v>
      </c>
      <c r="B186" s="91" t="s">
        <v>2719</v>
      </c>
      <c r="C186" s="91"/>
      <c r="D186" s="91"/>
      <c r="E186" s="91"/>
      <c r="F186" s="124">
        <v>1560</v>
      </c>
    </row>
    <row r="187" spans="1:6" s="113" customFormat="1" ht="14.25" customHeight="1">
      <c r="A187" s="87" t="s">
        <v>281</v>
      </c>
      <c r="B187" s="91" t="s">
        <v>2724</v>
      </c>
      <c r="C187" s="91"/>
      <c r="D187" s="91"/>
      <c r="E187" s="91"/>
      <c r="F187" s="124">
        <v>1560</v>
      </c>
    </row>
    <row r="188" spans="1:6" s="113" customFormat="1" ht="14.25" customHeight="1">
      <c r="A188" s="87" t="s">
        <v>281</v>
      </c>
      <c r="B188" s="91" t="s">
        <v>2729</v>
      </c>
      <c r="C188" s="91"/>
      <c r="D188" s="91"/>
      <c r="E188" s="91"/>
      <c r="F188" s="124">
        <v>1560</v>
      </c>
    </row>
    <row r="189" spans="1:6" s="113" customFormat="1" ht="14.25" customHeight="1">
      <c r="A189" s="87" t="s">
        <v>281</v>
      </c>
      <c r="B189" s="91" t="s">
        <v>2734</v>
      </c>
      <c r="C189" s="91"/>
      <c r="D189" s="91"/>
      <c r="E189" s="91"/>
      <c r="F189" s="124">
        <v>1320</v>
      </c>
    </row>
    <row r="190" spans="1:6" s="113" customFormat="1" ht="14.25" customHeight="1">
      <c r="A190" s="87" t="s">
        <v>281</v>
      </c>
      <c r="B190" s="91" t="s">
        <v>2739</v>
      </c>
      <c r="C190" s="91"/>
      <c r="D190" s="91"/>
      <c r="E190" s="91"/>
      <c r="F190" s="124">
        <v>1320</v>
      </c>
    </row>
    <row r="191" spans="1:6" s="113" customFormat="1" ht="14.25" customHeight="1">
      <c r="A191" s="87" t="s">
        <v>281</v>
      </c>
      <c r="B191" s="91" t="s">
        <v>2744</v>
      </c>
      <c r="C191" s="91"/>
      <c r="D191" s="91"/>
      <c r="E191" s="91"/>
      <c r="F191" s="124">
        <v>1320</v>
      </c>
    </row>
    <row r="192" spans="1:6" s="113" customFormat="1" ht="14.25" customHeight="1">
      <c r="A192" s="87" t="s">
        <v>281</v>
      </c>
      <c r="B192" s="91" t="s">
        <v>2748</v>
      </c>
      <c r="C192" s="91"/>
      <c r="D192" s="91"/>
      <c r="E192" s="91"/>
      <c r="F192" s="124">
        <v>1100</v>
      </c>
    </row>
    <row r="193" spans="1:6" s="113" customFormat="1" ht="14.25" customHeight="1">
      <c r="A193" s="87" t="s">
        <v>281</v>
      </c>
      <c r="B193" s="91" t="s">
        <v>2752</v>
      </c>
      <c r="C193" s="91"/>
      <c r="D193" s="91"/>
      <c r="E193" s="91"/>
      <c r="F193" s="124">
        <v>1100</v>
      </c>
    </row>
    <row r="194" spans="1:6" s="113" customFormat="1" ht="14.25" customHeight="1">
      <c r="A194" s="87" t="s">
        <v>281</v>
      </c>
      <c r="B194" s="91" t="s">
        <v>2756</v>
      </c>
      <c r="C194" s="91"/>
      <c r="D194" s="91"/>
      <c r="E194" s="91"/>
      <c r="F194" s="124">
        <v>1080</v>
      </c>
    </row>
    <row r="195" spans="1:6" s="113" customFormat="1" ht="14.25" customHeight="1">
      <c r="A195" s="87" t="s">
        <v>281</v>
      </c>
      <c r="B195" s="91" t="s">
        <v>2760</v>
      </c>
      <c r="C195" s="91"/>
      <c r="D195" s="91"/>
      <c r="E195" s="91"/>
      <c r="F195" s="124">
        <v>1270</v>
      </c>
    </row>
    <row r="196" spans="1:6" s="113" customFormat="1" ht="14.25" customHeight="1">
      <c r="A196" s="87" t="s">
        <v>281</v>
      </c>
      <c r="B196" s="91" t="s">
        <v>2764</v>
      </c>
      <c r="C196" s="91"/>
      <c r="D196" s="91"/>
      <c r="E196" s="91"/>
      <c r="F196" s="124">
        <v>1150</v>
      </c>
    </row>
    <row r="197" spans="1:6" s="113" customFormat="1" ht="14.25" customHeight="1">
      <c r="A197" s="87" t="s">
        <v>281</v>
      </c>
      <c r="B197" s="91" t="s">
        <v>2768</v>
      </c>
      <c r="C197" s="91"/>
      <c r="D197" s="91"/>
      <c r="E197" s="91"/>
      <c r="F197" s="124">
        <v>1330</v>
      </c>
    </row>
    <row r="198" spans="1:6" s="113" customFormat="1" ht="14.25" customHeight="1">
      <c r="A198" s="87" t="s">
        <v>281</v>
      </c>
      <c r="B198" s="91" t="s">
        <v>2771</v>
      </c>
      <c r="C198" s="91"/>
      <c r="D198" s="91"/>
      <c r="E198" s="91"/>
      <c r="F198" s="124">
        <v>1170</v>
      </c>
    </row>
    <row r="199" spans="1:6" s="113" customFormat="1" ht="14.25" customHeight="1">
      <c r="A199" s="87" t="s">
        <v>281</v>
      </c>
      <c r="B199" s="91" t="s">
        <v>2774</v>
      </c>
      <c r="C199" s="91"/>
      <c r="D199" s="91"/>
      <c r="E199" s="91"/>
      <c r="F199" s="124">
        <v>1120</v>
      </c>
    </row>
    <row r="200" spans="1:6" s="113" customFormat="1" ht="14.25" customHeight="1">
      <c r="A200" s="87" t="s">
        <v>281</v>
      </c>
      <c r="B200" s="91" t="s">
        <v>2777</v>
      </c>
      <c r="C200" s="91"/>
      <c r="D200" s="91"/>
      <c r="E200" s="91"/>
      <c r="F200" s="124">
        <v>1120</v>
      </c>
    </row>
    <row r="201" spans="1:6" s="113" customFormat="1" ht="14.25" customHeight="1">
      <c r="A201" s="87" t="s">
        <v>281</v>
      </c>
      <c r="B201" s="91" t="s">
        <v>2780</v>
      </c>
      <c r="C201" s="91"/>
      <c r="D201" s="91"/>
      <c r="E201" s="91"/>
      <c r="F201" s="124">
        <v>1540</v>
      </c>
    </row>
    <row r="202" spans="1:6" s="113" customFormat="1" ht="14.25" customHeight="1">
      <c r="A202" s="87" t="s">
        <v>281</v>
      </c>
      <c r="B202" s="91" t="s">
        <v>2783</v>
      </c>
      <c r="C202" s="91"/>
      <c r="D202" s="91"/>
      <c r="E202" s="91"/>
      <c r="F202" s="124">
        <v>1310</v>
      </c>
    </row>
    <row r="203" spans="1:6" s="113" customFormat="1" ht="14.25" customHeight="1">
      <c r="A203" s="87" t="s">
        <v>281</v>
      </c>
      <c r="B203" s="91" t="s">
        <v>2786</v>
      </c>
      <c r="C203" s="91"/>
      <c r="D203" s="91"/>
      <c r="E203" s="91"/>
      <c r="F203" s="124">
        <v>1310</v>
      </c>
    </row>
    <row r="204" spans="1:6" s="113" customFormat="1" ht="14.25" customHeight="1">
      <c r="A204" s="87" t="s">
        <v>281</v>
      </c>
      <c r="B204" s="91" t="s">
        <v>2788</v>
      </c>
      <c r="C204" s="91"/>
      <c r="D204" s="91"/>
      <c r="E204" s="91"/>
      <c r="F204" s="124">
        <v>1080</v>
      </c>
    </row>
    <row r="205" spans="1:6" s="113" customFormat="1" ht="14.25" customHeight="1">
      <c r="A205" s="87" t="s">
        <v>281</v>
      </c>
      <c r="B205" s="91" t="s">
        <v>2790</v>
      </c>
      <c r="C205" s="91"/>
      <c r="D205" s="91"/>
      <c r="E205" s="91"/>
      <c r="F205" s="124">
        <v>1080</v>
      </c>
    </row>
    <row r="206" spans="1:6" s="113" customFormat="1" ht="14.25" customHeight="1">
      <c r="A206" s="87" t="s">
        <v>286</v>
      </c>
      <c r="B206" s="88" t="s">
        <v>2456</v>
      </c>
      <c r="C206" s="88">
        <v>5450</v>
      </c>
      <c r="D206" s="88">
        <v>5430</v>
      </c>
      <c r="E206" s="88">
        <v>5700</v>
      </c>
      <c r="F206" s="121">
        <v>1020</v>
      </c>
    </row>
    <row r="207" spans="1:6" s="113" customFormat="1" ht="14.25" customHeight="1">
      <c r="A207" s="87" t="s">
        <v>286</v>
      </c>
      <c r="B207" s="91" t="s">
        <v>2469</v>
      </c>
      <c r="C207" s="91">
        <v>5860</v>
      </c>
      <c r="D207" s="91">
        <v>5820</v>
      </c>
      <c r="E207" s="91">
        <v>6050</v>
      </c>
      <c r="F207" s="124">
        <v>1080</v>
      </c>
    </row>
    <row r="208" spans="1:6" s="113" customFormat="1" ht="14.25" customHeight="1">
      <c r="A208" s="87" t="s">
        <v>286</v>
      </c>
      <c r="B208" s="91" t="s">
        <v>2483</v>
      </c>
      <c r="C208" s="91">
        <v>4630</v>
      </c>
      <c r="D208" s="91">
        <v>4600</v>
      </c>
      <c r="E208" s="91">
        <v>4840</v>
      </c>
      <c r="F208" s="124">
        <v>900</v>
      </c>
    </row>
    <row r="209" spans="1:6" s="113" customFormat="1" ht="14.25" customHeight="1">
      <c r="A209" s="87" t="s">
        <v>286</v>
      </c>
      <c r="B209" s="91" t="s">
        <v>2495</v>
      </c>
      <c r="C209" s="91">
        <v>5320</v>
      </c>
      <c r="D209" s="91">
        <v>5270</v>
      </c>
      <c r="E209" s="91">
        <v>5540</v>
      </c>
      <c r="F209" s="124">
        <v>980</v>
      </c>
    </row>
    <row r="210" spans="1:6" s="113" customFormat="1" ht="14.25" customHeight="1">
      <c r="A210" s="87" t="s">
        <v>286</v>
      </c>
      <c r="B210" s="91" t="s">
        <v>2507</v>
      </c>
      <c r="C210" s="91">
        <v>5760</v>
      </c>
      <c r="D210" s="91">
        <v>5710</v>
      </c>
      <c r="E210" s="91">
        <v>6010</v>
      </c>
      <c r="F210" s="124">
        <v>870</v>
      </c>
    </row>
    <row r="211" spans="1:6" s="113" customFormat="1" ht="14.25" customHeight="1">
      <c r="A211" s="87" t="s">
        <v>286</v>
      </c>
      <c r="B211" s="91" t="s">
        <v>2518</v>
      </c>
      <c r="C211" s="91">
        <v>4160</v>
      </c>
      <c r="D211" s="91">
        <v>4100</v>
      </c>
      <c r="E211" s="91">
        <v>4270</v>
      </c>
      <c r="F211" s="124">
        <v>790</v>
      </c>
    </row>
    <row r="212" spans="1:6" s="113" customFormat="1" ht="14.25" customHeight="1">
      <c r="A212" s="87" t="s">
        <v>286</v>
      </c>
      <c r="B212" s="91" t="s">
        <v>2529</v>
      </c>
      <c r="C212" s="91">
        <v>4880</v>
      </c>
      <c r="D212" s="91">
        <v>4850</v>
      </c>
      <c r="E212" s="91">
        <v>5110</v>
      </c>
      <c r="F212" s="124">
        <v>940</v>
      </c>
    </row>
    <row r="213" spans="1:6" s="113" customFormat="1" ht="14.25" customHeight="1">
      <c r="A213" s="87" t="s">
        <v>286</v>
      </c>
      <c r="B213" s="91" t="s">
        <v>2540</v>
      </c>
      <c r="C213" s="91">
        <v>4640</v>
      </c>
      <c r="D213" s="91">
        <v>4590</v>
      </c>
      <c r="E213" s="91">
        <v>4700</v>
      </c>
      <c r="F213" s="124">
        <v>1030</v>
      </c>
    </row>
    <row r="214" spans="1:6" s="113" customFormat="1" ht="14.25" customHeight="1">
      <c r="A214" s="87" t="s">
        <v>286</v>
      </c>
      <c r="B214" s="91" t="s">
        <v>2550</v>
      </c>
      <c r="C214" s="91">
        <v>4540</v>
      </c>
      <c r="D214" s="91">
        <v>4490</v>
      </c>
      <c r="E214" s="91">
        <v>4610</v>
      </c>
      <c r="F214" s="127"/>
    </row>
    <row r="215" spans="1:6" s="113" customFormat="1" ht="14.25" customHeight="1">
      <c r="A215" s="87" t="s">
        <v>286</v>
      </c>
      <c r="B215" s="91" t="s">
        <v>2560</v>
      </c>
      <c r="C215" s="91">
        <v>5280</v>
      </c>
      <c r="D215" s="91">
        <v>5250</v>
      </c>
      <c r="E215" s="91">
        <v>5520</v>
      </c>
      <c r="F215" s="124">
        <v>1000</v>
      </c>
    </row>
    <row r="216" spans="1:6" s="113" customFormat="1" ht="14.25" customHeight="1">
      <c r="A216" s="87" t="s">
        <v>286</v>
      </c>
      <c r="B216" s="91" t="s">
        <v>2570</v>
      </c>
      <c r="C216" s="91">
        <v>5100</v>
      </c>
      <c r="D216" s="91">
        <v>5050</v>
      </c>
      <c r="E216" s="91">
        <v>5300</v>
      </c>
      <c r="F216" s="124">
        <v>950</v>
      </c>
    </row>
    <row r="217" spans="1:6" s="113" customFormat="1" ht="14.25" customHeight="1">
      <c r="A217" s="87" t="s">
        <v>286</v>
      </c>
      <c r="B217" s="91" t="s">
        <v>2580</v>
      </c>
      <c r="C217" s="91">
        <v>5370</v>
      </c>
      <c r="D217" s="91">
        <v>5320</v>
      </c>
      <c r="E217" s="91">
        <v>5410</v>
      </c>
      <c r="F217" s="124">
        <v>950</v>
      </c>
    </row>
    <row r="218" spans="1:6" s="113" customFormat="1" ht="14.25" customHeight="1">
      <c r="A218" s="87" t="s">
        <v>286</v>
      </c>
      <c r="B218" s="91" t="s">
        <v>2590</v>
      </c>
      <c r="C218" s="91">
        <v>5540</v>
      </c>
      <c r="D218" s="91">
        <v>5480</v>
      </c>
      <c r="E218" s="91">
        <v>5740</v>
      </c>
      <c r="F218" s="124">
        <v>1020</v>
      </c>
    </row>
    <row r="219" spans="1:6" s="113" customFormat="1" ht="14.25" customHeight="1">
      <c r="A219" s="87" t="s">
        <v>286</v>
      </c>
      <c r="B219" s="91" t="s">
        <v>2600</v>
      </c>
      <c r="C219" s="91">
        <v>5140</v>
      </c>
      <c r="D219" s="91">
        <v>5100</v>
      </c>
      <c r="E219" s="91">
        <v>5350</v>
      </c>
      <c r="F219" s="124">
        <v>1120</v>
      </c>
    </row>
    <row r="220" spans="1:6" s="113" customFormat="1" ht="14.25" customHeight="1">
      <c r="A220" s="87" t="s">
        <v>286</v>
      </c>
      <c r="B220" s="91" t="s">
        <v>2610</v>
      </c>
      <c r="C220" s="91">
        <v>5040</v>
      </c>
      <c r="D220" s="91">
        <v>5000</v>
      </c>
      <c r="E220" s="91">
        <v>5240</v>
      </c>
      <c r="F220" s="124">
        <v>980</v>
      </c>
    </row>
    <row r="221" spans="1:6" s="113" customFormat="1" ht="14.25" customHeight="1">
      <c r="A221" s="87" t="s">
        <v>286</v>
      </c>
      <c r="B221" s="91" t="s">
        <v>2620</v>
      </c>
      <c r="C221" s="130"/>
      <c r="D221" s="130"/>
      <c r="E221" s="130"/>
      <c r="F221" s="124">
        <v>1070</v>
      </c>
    </row>
    <row r="222" spans="1:6" s="113" customFormat="1" ht="14.25" customHeight="1">
      <c r="A222" s="87" t="s">
        <v>286</v>
      </c>
      <c r="B222" s="91" t="s">
        <v>2630</v>
      </c>
      <c r="C222" s="130"/>
      <c r="D222" s="130"/>
      <c r="E222" s="130"/>
      <c r="F222" s="124">
        <v>870</v>
      </c>
    </row>
    <row r="223" spans="1:6" s="113" customFormat="1" ht="14.25" customHeight="1">
      <c r="A223" s="87" t="s">
        <v>286</v>
      </c>
      <c r="B223" s="91" t="s">
        <v>2640</v>
      </c>
      <c r="C223" s="130"/>
      <c r="D223" s="130"/>
      <c r="E223" s="130"/>
      <c r="F223" s="124">
        <v>940</v>
      </c>
    </row>
    <row r="224" spans="1:6" s="113" customFormat="1" ht="14.25" customHeight="1">
      <c r="A224" s="87" t="s">
        <v>286</v>
      </c>
      <c r="B224" s="91" t="s">
        <v>2650</v>
      </c>
      <c r="C224" s="130"/>
      <c r="D224" s="130"/>
      <c r="E224" s="130"/>
      <c r="F224" s="124">
        <v>990</v>
      </c>
    </row>
    <row r="225" spans="1:6" s="113" customFormat="1" ht="14.25" customHeight="1">
      <c r="A225" s="87" t="s">
        <v>286</v>
      </c>
      <c r="B225" s="91" t="s">
        <v>2659</v>
      </c>
      <c r="C225" s="91">
        <v>5730</v>
      </c>
      <c r="D225" s="91">
        <v>5680</v>
      </c>
      <c r="E225" s="91">
        <v>6020</v>
      </c>
      <c r="F225" s="124">
        <v>1000</v>
      </c>
    </row>
    <row r="226" spans="1:6" s="113" customFormat="1" ht="14.25" customHeight="1">
      <c r="A226" s="87" t="s">
        <v>286</v>
      </c>
      <c r="B226" s="91" t="s">
        <v>2667</v>
      </c>
      <c r="C226" s="91">
        <v>4970</v>
      </c>
      <c r="D226" s="91">
        <v>4940</v>
      </c>
      <c r="E226" s="91">
        <v>5180</v>
      </c>
      <c r="F226" s="124">
        <v>960</v>
      </c>
    </row>
    <row r="227" spans="1:6" s="113" customFormat="1" ht="14.25" customHeight="1">
      <c r="A227" s="87" t="s">
        <v>286</v>
      </c>
      <c r="B227" s="91" t="s">
        <v>2675</v>
      </c>
      <c r="C227" s="91">
        <v>5550</v>
      </c>
      <c r="D227" s="91">
        <v>5500</v>
      </c>
      <c r="E227" s="91">
        <v>5780</v>
      </c>
      <c r="F227" s="124">
        <v>940</v>
      </c>
    </row>
    <row r="228" spans="1:6" s="113" customFormat="1" ht="14.25" customHeight="1">
      <c r="A228" s="87" t="s">
        <v>286</v>
      </c>
      <c r="B228" s="91" t="s">
        <v>2682</v>
      </c>
      <c r="C228" s="91">
        <v>5460</v>
      </c>
      <c r="D228" s="91">
        <v>5420</v>
      </c>
      <c r="E228" s="91">
        <v>5690</v>
      </c>
      <c r="F228" s="124">
        <v>910</v>
      </c>
    </row>
    <row r="229" spans="1:6" s="113" customFormat="1" ht="14.25" customHeight="1">
      <c r="A229" s="87" t="s">
        <v>286</v>
      </c>
      <c r="B229" s="91" t="s">
        <v>2689</v>
      </c>
      <c r="C229" s="91">
        <v>5310</v>
      </c>
      <c r="D229" s="91">
        <v>5270</v>
      </c>
      <c r="E229" s="91">
        <v>5510</v>
      </c>
      <c r="F229" s="127"/>
    </row>
    <row r="230" spans="1:6" s="113" customFormat="1" ht="14.25" customHeight="1">
      <c r="A230" s="87" t="s">
        <v>286</v>
      </c>
      <c r="B230" s="91" t="s">
        <v>2696</v>
      </c>
      <c r="C230" s="91">
        <v>4540</v>
      </c>
      <c r="D230" s="91">
        <v>4500</v>
      </c>
      <c r="E230" s="91">
        <v>4730</v>
      </c>
      <c r="F230" s="127"/>
    </row>
    <row r="231" spans="1:6" s="113" customFormat="1" ht="14.25" customHeight="1">
      <c r="A231" s="87" t="s">
        <v>286</v>
      </c>
      <c r="B231" s="91" t="s">
        <v>2703</v>
      </c>
      <c r="C231" s="91">
        <v>4480</v>
      </c>
      <c r="D231" s="91">
        <v>4410</v>
      </c>
      <c r="E231" s="91">
        <v>4640</v>
      </c>
      <c r="F231" s="127"/>
    </row>
    <row r="232" spans="1:6" s="113" customFormat="1" ht="14.25" customHeight="1">
      <c r="A232" s="87" t="s">
        <v>286</v>
      </c>
      <c r="B232" s="91" t="s">
        <v>2710</v>
      </c>
      <c r="C232" s="91">
        <v>5670</v>
      </c>
      <c r="D232" s="91">
        <v>5600</v>
      </c>
      <c r="E232" s="91">
        <v>5890</v>
      </c>
      <c r="F232" s="124">
        <v>1150</v>
      </c>
    </row>
    <row r="233" spans="1:6" s="113" customFormat="1" ht="14.25" customHeight="1">
      <c r="A233" s="87" t="s">
        <v>286</v>
      </c>
      <c r="B233" s="91" t="s">
        <v>2715</v>
      </c>
      <c r="C233" s="91">
        <v>4590</v>
      </c>
      <c r="D233" s="91">
        <v>4500</v>
      </c>
      <c r="E233" s="91">
        <v>4600</v>
      </c>
      <c r="F233" s="127"/>
    </row>
    <row r="234" spans="1:6" s="113" customFormat="1" ht="14.25" customHeight="1">
      <c r="A234" s="87" t="s">
        <v>286</v>
      </c>
      <c r="B234" s="91" t="s">
        <v>2720</v>
      </c>
      <c r="C234" s="91">
        <v>3990</v>
      </c>
      <c r="D234" s="91">
        <v>3950</v>
      </c>
      <c r="E234" s="91">
        <v>4180</v>
      </c>
      <c r="F234" s="127"/>
    </row>
    <row r="235" spans="1:6" s="113" customFormat="1" ht="14.25" customHeight="1">
      <c r="A235" s="87" t="s">
        <v>286</v>
      </c>
      <c r="B235" s="91" t="s">
        <v>2725</v>
      </c>
      <c r="C235" s="91">
        <v>5590</v>
      </c>
      <c r="D235" s="91">
        <v>5540</v>
      </c>
      <c r="E235" s="91">
        <v>5810</v>
      </c>
      <c r="F235" s="124">
        <v>970</v>
      </c>
    </row>
    <row r="236" spans="1:6" s="113" customFormat="1" ht="14.25" customHeight="1">
      <c r="A236" s="87" t="s">
        <v>286</v>
      </c>
      <c r="B236" s="91" t="s">
        <v>2730</v>
      </c>
      <c r="C236" s="91"/>
      <c r="D236" s="91"/>
      <c r="E236" s="91"/>
      <c r="F236" s="124">
        <v>1020</v>
      </c>
    </row>
    <row r="237" spans="1:6" s="113" customFormat="1" ht="14.25" customHeight="1">
      <c r="A237" s="87" t="s">
        <v>286</v>
      </c>
      <c r="B237" s="91" t="s">
        <v>2735</v>
      </c>
      <c r="C237" s="91"/>
      <c r="D237" s="91"/>
      <c r="E237" s="91"/>
      <c r="F237" s="124">
        <v>960</v>
      </c>
    </row>
    <row r="238" spans="1:6" s="113" customFormat="1" ht="14.25" customHeight="1">
      <c r="A238" s="87" t="s">
        <v>286</v>
      </c>
      <c r="B238" s="91" t="s">
        <v>2740</v>
      </c>
      <c r="C238" s="91"/>
      <c r="D238" s="91"/>
      <c r="E238" s="91"/>
      <c r="F238" s="124">
        <v>960</v>
      </c>
    </row>
    <row r="239" spans="1:6" s="113" customFormat="1" ht="14.25" customHeight="1">
      <c r="A239" s="87" t="s">
        <v>286</v>
      </c>
      <c r="B239" s="91" t="s">
        <v>2745</v>
      </c>
      <c r="C239" s="91"/>
      <c r="D239" s="91"/>
      <c r="E239" s="91"/>
      <c r="F239" s="124">
        <v>960</v>
      </c>
    </row>
    <row r="240" spans="1:6" s="113" customFormat="1" ht="14.25" customHeight="1">
      <c r="A240" s="87" t="s">
        <v>286</v>
      </c>
      <c r="B240" s="91" t="s">
        <v>2749</v>
      </c>
      <c r="C240" s="91"/>
      <c r="D240" s="91"/>
      <c r="E240" s="91"/>
      <c r="F240" s="124">
        <v>990</v>
      </c>
    </row>
    <row r="241" spans="1:6" s="113" customFormat="1" ht="14.25" customHeight="1">
      <c r="A241" s="87" t="s">
        <v>286</v>
      </c>
      <c r="B241" s="91" t="s">
        <v>2753</v>
      </c>
      <c r="C241" s="91"/>
      <c r="D241" s="91"/>
      <c r="E241" s="91"/>
      <c r="F241" s="124">
        <v>1000</v>
      </c>
    </row>
    <row r="242" spans="1:6" s="113" customFormat="1" ht="14.25" customHeight="1">
      <c r="A242" s="87" t="s">
        <v>286</v>
      </c>
      <c r="B242" s="91" t="s">
        <v>2757</v>
      </c>
      <c r="C242" s="91"/>
      <c r="D242" s="91"/>
      <c r="E242" s="91"/>
      <c r="F242" s="124">
        <v>980</v>
      </c>
    </row>
    <row r="243" spans="1:6" s="113" customFormat="1" ht="14.25" customHeight="1">
      <c r="A243" s="87" t="s">
        <v>286</v>
      </c>
      <c r="B243" s="91" t="s">
        <v>2761</v>
      </c>
      <c r="C243" s="91"/>
      <c r="D243" s="91"/>
      <c r="E243" s="91"/>
      <c r="F243" s="124">
        <v>970</v>
      </c>
    </row>
    <row r="244" spans="1:6" s="113" customFormat="1" ht="14.25" customHeight="1">
      <c r="A244" s="87" t="s">
        <v>286</v>
      </c>
      <c r="B244" s="102" t="s">
        <v>2765</v>
      </c>
      <c r="C244" s="102"/>
      <c r="D244" s="102"/>
      <c r="E244" s="102"/>
      <c r="F244" s="126">
        <v>970</v>
      </c>
    </row>
    <row r="245" spans="1:6" s="113" customFormat="1" ht="14.25" customHeight="1">
      <c r="A245" s="87" t="s">
        <v>289</v>
      </c>
      <c r="B245" s="88" t="s">
        <v>2457</v>
      </c>
      <c r="C245" s="88">
        <v>4050</v>
      </c>
      <c r="D245" s="88">
        <v>4020</v>
      </c>
      <c r="E245" s="88">
        <v>4160</v>
      </c>
      <c r="F245" s="121">
        <v>840</v>
      </c>
    </row>
    <row r="246" spans="1:6" s="113" customFormat="1" ht="14.25" customHeight="1">
      <c r="A246" s="87" t="s">
        <v>289</v>
      </c>
      <c r="B246" s="91" t="s">
        <v>2470</v>
      </c>
      <c r="C246" s="91">
        <v>4010</v>
      </c>
      <c r="D246" s="91">
        <v>3960</v>
      </c>
      <c r="E246" s="91">
        <v>4130</v>
      </c>
      <c r="F246" s="124">
        <v>840</v>
      </c>
    </row>
    <row r="247" spans="1:6" s="113" customFormat="1" ht="14.25" customHeight="1">
      <c r="A247" s="87" t="s">
        <v>289</v>
      </c>
      <c r="B247" s="91" t="s">
        <v>2484</v>
      </c>
      <c r="C247" s="91">
        <v>3170</v>
      </c>
      <c r="D247" s="91">
        <v>3140</v>
      </c>
      <c r="E247" s="91">
        <v>3270</v>
      </c>
      <c r="F247" s="124">
        <v>640</v>
      </c>
    </row>
    <row r="248" spans="1:6" s="113" customFormat="1" ht="14.25" customHeight="1">
      <c r="A248" s="87" t="s">
        <v>289</v>
      </c>
      <c r="B248" s="91" t="s">
        <v>2496</v>
      </c>
      <c r="C248" s="91">
        <v>3140</v>
      </c>
      <c r="D248" s="91">
        <v>3120</v>
      </c>
      <c r="E248" s="91">
        <v>3240</v>
      </c>
      <c r="F248" s="124">
        <v>620</v>
      </c>
    </row>
    <row r="249" spans="1:6" s="113" customFormat="1" ht="14.25" customHeight="1">
      <c r="A249" s="87" t="s">
        <v>289</v>
      </c>
      <c r="B249" s="91" t="s">
        <v>2508</v>
      </c>
      <c r="C249" s="91">
        <v>3200</v>
      </c>
      <c r="D249" s="91">
        <v>3100</v>
      </c>
      <c r="E249" s="91">
        <v>3230</v>
      </c>
      <c r="F249" s="124">
        <v>750</v>
      </c>
    </row>
    <row r="250" spans="1:6" s="113" customFormat="1" ht="14.25" customHeight="1">
      <c r="A250" s="87" t="s">
        <v>289</v>
      </c>
      <c r="B250" s="91" t="s">
        <v>2519</v>
      </c>
      <c r="C250" s="91">
        <v>4060</v>
      </c>
      <c r="D250" s="91">
        <v>4000</v>
      </c>
      <c r="E250" s="91">
        <v>4140</v>
      </c>
      <c r="F250" s="124">
        <v>790</v>
      </c>
    </row>
    <row r="251" spans="1:6" s="113" customFormat="1" ht="14.25" customHeight="1">
      <c r="A251" s="87" t="s">
        <v>289</v>
      </c>
      <c r="B251" s="91" t="s">
        <v>2530</v>
      </c>
      <c r="C251" s="91">
        <v>3990</v>
      </c>
      <c r="D251" s="91">
        <v>3970</v>
      </c>
      <c r="E251" s="91">
        <v>4110</v>
      </c>
      <c r="F251" s="124">
        <v>730</v>
      </c>
    </row>
    <row r="252" spans="1:6" s="113" customFormat="1" ht="14.25" customHeight="1">
      <c r="A252" s="87" t="s">
        <v>289</v>
      </c>
      <c r="B252" s="91" t="s">
        <v>2541</v>
      </c>
      <c r="C252" s="91">
        <v>3560</v>
      </c>
      <c r="D252" s="91">
        <v>3530</v>
      </c>
      <c r="E252" s="91">
        <v>3650</v>
      </c>
      <c r="F252" s="124">
        <v>750</v>
      </c>
    </row>
    <row r="253" spans="1:6" s="113" customFormat="1" ht="14.25" customHeight="1">
      <c r="A253" s="87" t="s">
        <v>289</v>
      </c>
      <c r="B253" s="91" t="s">
        <v>2551</v>
      </c>
      <c r="C253" s="91">
        <v>3780</v>
      </c>
      <c r="D253" s="91">
        <v>3750</v>
      </c>
      <c r="E253" s="91">
        <v>3870</v>
      </c>
      <c r="F253" s="124">
        <v>770</v>
      </c>
    </row>
    <row r="254" spans="1:6" s="113" customFormat="1" ht="14.25" customHeight="1">
      <c r="A254" s="87" t="s">
        <v>289</v>
      </c>
      <c r="B254" s="91" t="s">
        <v>2561</v>
      </c>
      <c r="C254" s="130"/>
      <c r="D254" s="130"/>
      <c r="E254" s="130"/>
      <c r="F254" s="124">
        <v>740</v>
      </c>
    </row>
    <row r="255" spans="1:6" s="113" customFormat="1" ht="14.25" customHeight="1">
      <c r="A255" s="87" t="s">
        <v>289</v>
      </c>
      <c r="B255" s="91" t="s">
        <v>2571</v>
      </c>
      <c r="C255" s="130"/>
      <c r="D255" s="130"/>
      <c r="E255" s="130"/>
      <c r="F255" s="124">
        <v>760</v>
      </c>
    </row>
    <row r="256" spans="1:6" s="113" customFormat="1" ht="14.25" customHeight="1">
      <c r="A256" s="87" t="s">
        <v>289</v>
      </c>
      <c r="B256" s="91" t="s">
        <v>2581</v>
      </c>
      <c r="C256" s="91">
        <v>3760</v>
      </c>
      <c r="D256" s="91">
        <v>3730</v>
      </c>
      <c r="E256" s="91">
        <v>3870</v>
      </c>
      <c r="F256" s="124">
        <v>830</v>
      </c>
    </row>
    <row r="257" spans="1:6" s="113" customFormat="1" ht="14.25" customHeight="1">
      <c r="A257" s="87" t="s">
        <v>289</v>
      </c>
      <c r="B257" s="91" t="s">
        <v>2591</v>
      </c>
      <c r="C257" s="91">
        <v>3570</v>
      </c>
      <c r="D257" s="91">
        <v>3540</v>
      </c>
      <c r="E257" s="91">
        <v>3650</v>
      </c>
      <c r="F257" s="124">
        <v>790</v>
      </c>
    </row>
    <row r="258" spans="1:6" s="113" customFormat="1" ht="14.25" customHeight="1">
      <c r="A258" s="87" t="s">
        <v>289</v>
      </c>
      <c r="B258" s="91" t="s">
        <v>2601</v>
      </c>
      <c r="C258" s="91">
        <v>3410</v>
      </c>
      <c r="D258" s="91">
        <v>3380</v>
      </c>
      <c r="E258" s="91">
        <v>3500</v>
      </c>
      <c r="F258" s="124">
        <v>830</v>
      </c>
    </row>
    <row r="259" spans="1:6" s="113" customFormat="1" ht="14.25" customHeight="1">
      <c r="A259" s="87" t="s">
        <v>289</v>
      </c>
      <c r="B259" s="91" t="s">
        <v>2611</v>
      </c>
      <c r="C259" s="91">
        <v>3870</v>
      </c>
      <c r="D259" s="91">
        <v>3840</v>
      </c>
      <c r="E259" s="91">
        <v>3970</v>
      </c>
      <c r="F259" s="124">
        <v>830</v>
      </c>
    </row>
    <row r="260" spans="1:6" s="113" customFormat="1" ht="14.25" customHeight="1">
      <c r="A260" s="87" t="s">
        <v>289</v>
      </c>
      <c r="B260" s="91" t="s">
        <v>2621</v>
      </c>
      <c r="C260" s="91">
        <v>3700</v>
      </c>
      <c r="D260" s="91">
        <v>3660</v>
      </c>
      <c r="E260" s="91">
        <v>3810</v>
      </c>
      <c r="F260" s="124">
        <v>790</v>
      </c>
    </row>
    <row r="261" spans="1:6" s="113" customFormat="1" ht="14.25" customHeight="1">
      <c r="A261" s="87" t="s">
        <v>289</v>
      </c>
      <c r="B261" s="91" t="s">
        <v>2631</v>
      </c>
      <c r="C261" s="91">
        <v>3470</v>
      </c>
      <c r="D261" s="91">
        <v>3430</v>
      </c>
      <c r="E261" s="91">
        <v>3640</v>
      </c>
      <c r="F261" s="124">
        <v>760</v>
      </c>
    </row>
    <row r="262" spans="1:6" s="113" customFormat="1" ht="14.25" customHeight="1">
      <c r="A262" s="87" t="s">
        <v>289</v>
      </c>
      <c r="B262" s="91" t="s">
        <v>2641</v>
      </c>
      <c r="C262" s="91">
        <v>3510</v>
      </c>
      <c r="D262" s="91">
        <v>3470</v>
      </c>
      <c r="E262" s="91">
        <v>3680</v>
      </c>
      <c r="F262" s="127"/>
    </row>
    <row r="263" spans="1:6" s="113" customFormat="1" ht="14.25" customHeight="1">
      <c r="A263" s="87" t="s">
        <v>289</v>
      </c>
      <c r="B263" s="91" t="s">
        <v>2651</v>
      </c>
      <c r="C263" s="91">
        <v>3960</v>
      </c>
      <c r="D263" s="91">
        <v>3930</v>
      </c>
      <c r="E263" s="91">
        <v>4070</v>
      </c>
      <c r="F263" s="124">
        <v>830</v>
      </c>
    </row>
    <row r="264" spans="1:6" s="113" customFormat="1" ht="14.25" customHeight="1">
      <c r="A264" s="87" t="s">
        <v>289</v>
      </c>
      <c r="B264" s="91" t="s">
        <v>2660</v>
      </c>
      <c r="C264" s="91">
        <v>4010</v>
      </c>
      <c r="D264" s="91">
        <v>3980</v>
      </c>
      <c r="E264" s="91">
        <v>4150</v>
      </c>
      <c r="F264" s="124">
        <v>760</v>
      </c>
    </row>
    <row r="265" spans="1:6" s="113" customFormat="1" ht="14.25" customHeight="1">
      <c r="A265" s="87" t="s">
        <v>289</v>
      </c>
      <c r="B265" s="91" t="s">
        <v>2668</v>
      </c>
      <c r="C265" s="91">
        <v>3910</v>
      </c>
      <c r="D265" s="91">
        <v>3890</v>
      </c>
      <c r="E265" s="91">
        <v>4040</v>
      </c>
      <c r="F265" s="124">
        <v>780</v>
      </c>
    </row>
    <row r="266" spans="1:6" s="113" customFormat="1" ht="14.25" customHeight="1">
      <c r="A266" s="87" t="s">
        <v>289</v>
      </c>
      <c r="B266" s="91" t="s">
        <v>2676</v>
      </c>
      <c r="C266" s="91">
        <v>3930</v>
      </c>
      <c r="D266" s="91">
        <v>3900</v>
      </c>
      <c r="E266" s="91">
        <v>4080</v>
      </c>
      <c r="F266" s="124">
        <v>770</v>
      </c>
    </row>
    <row r="267" spans="1:6" s="113" customFormat="1" ht="14.25" customHeight="1">
      <c r="A267" s="87" t="s">
        <v>289</v>
      </c>
      <c r="B267" s="91" t="s">
        <v>2683</v>
      </c>
      <c r="C267" s="91">
        <v>3800</v>
      </c>
      <c r="D267" s="91">
        <v>3780</v>
      </c>
      <c r="E267" s="91">
        <v>3930</v>
      </c>
      <c r="F267" s="127"/>
    </row>
    <row r="268" spans="1:6" s="113" customFormat="1" ht="14.25" customHeight="1">
      <c r="A268" s="87" t="s">
        <v>289</v>
      </c>
      <c r="B268" s="91" t="s">
        <v>2690</v>
      </c>
      <c r="C268" s="91">
        <v>3460</v>
      </c>
      <c r="D268" s="91">
        <v>3430</v>
      </c>
      <c r="E268" s="91">
        <v>3560</v>
      </c>
      <c r="F268" s="124">
        <v>840</v>
      </c>
    </row>
    <row r="269" spans="1:6" s="113" customFormat="1" ht="14.25" customHeight="1">
      <c r="A269" s="87" t="s">
        <v>289</v>
      </c>
      <c r="B269" s="91" t="s">
        <v>2697</v>
      </c>
      <c r="C269" s="91">
        <v>3210</v>
      </c>
      <c r="D269" s="91">
        <v>3190</v>
      </c>
      <c r="E269" s="91">
        <v>3310</v>
      </c>
      <c r="F269" s="124">
        <v>730</v>
      </c>
    </row>
    <row r="270" spans="1:6" s="113" customFormat="1" ht="14.25" customHeight="1">
      <c r="A270" s="87" t="s">
        <v>289</v>
      </c>
      <c r="B270" s="91" t="s">
        <v>2704</v>
      </c>
      <c r="C270" s="91">
        <v>3240</v>
      </c>
      <c r="D270" s="91">
        <v>3210</v>
      </c>
      <c r="E270" s="91">
        <v>3390</v>
      </c>
      <c r="F270" s="124">
        <v>820</v>
      </c>
    </row>
    <row r="271" spans="1:6" s="113" customFormat="1" ht="14.25" customHeight="1">
      <c r="A271" s="87" t="s">
        <v>289</v>
      </c>
      <c r="B271" s="91" t="s">
        <v>2711</v>
      </c>
      <c r="C271" s="91">
        <v>3300</v>
      </c>
      <c r="D271" s="91">
        <v>3270</v>
      </c>
      <c r="E271" s="91">
        <v>3380</v>
      </c>
      <c r="F271" s="124">
        <v>750</v>
      </c>
    </row>
    <row r="272" spans="1:6" s="113" customFormat="1" ht="14.25" customHeight="1">
      <c r="A272" s="87" t="s">
        <v>289</v>
      </c>
      <c r="B272" s="91" t="s">
        <v>2716</v>
      </c>
      <c r="C272" s="130"/>
      <c r="D272" s="130"/>
      <c r="E272" s="130"/>
      <c r="F272" s="124">
        <v>740</v>
      </c>
    </row>
    <row r="273" spans="1:6" s="113" customFormat="1" ht="14.25" customHeight="1">
      <c r="A273" s="87" t="s">
        <v>289</v>
      </c>
      <c r="B273" s="91" t="s">
        <v>2721</v>
      </c>
      <c r="C273" s="91">
        <v>3130</v>
      </c>
      <c r="D273" s="91">
        <v>3100</v>
      </c>
      <c r="E273" s="91">
        <v>3230</v>
      </c>
      <c r="F273" s="124">
        <v>700</v>
      </c>
    </row>
    <row r="274" spans="1:6" s="113" customFormat="1" ht="14.25" customHeight="1">
      <c r="A274" s="87" t="s">
        <v>289</v>
      </c>
      <c r="B274" s="91" t="s">
        <v>2726</v>
      </c>
      <c r="C274" s="91">
        <v>3460</v>
      </c>
      <c r="D274" s="91">
        <v>3430</v>
      </c>
      <c r="E274" s="91">
        <v>3560</v>
      </c>
      <c r="F274" s="124">
        <v>690</v>
      </c>
    </row>
    <row r="275" spans="1:6" s="113" customFormat="1" ht="14.25" customHeight="1">
      <c r="A275" s="87" t="s">
        <v>289</v>
      </c>
      <c r="B275" s="91" t="s">
        <v>2731</v>
      </c>
      <c r="C275" s="91">
        <v>4040</v>
      </c>
      <c r="D275" s="91">
        <v>4020</v>
      </c>
      <c r="E275" s="91">
        <v>4160</v>
      </c>
      <c r="F275" s="124">
        <v>820</v>
      </c>
    </row>
    <row r="276" spans="1:6" s="113" customFormat="1" ht="14.25" customHeight="1">
      <c r="A276" s="87" t="s">
        <v>289</v>
      </c>
      <c r="B276" s="91" t="s">
        <v>2736</v>
      </c>
      <c r="C276" s="91">
        <v>3270</v>
      </c>
      <c r="D276" s="91">
        <v>3240</v>
      </c>
      <c r="E276" s="91">
        <v>3350</v>
      </c>
      <c r="F276" s="124">
        <v>680</v>
      </c>
    </row>
    <row r="277" spans="1:6" s="113" customFormat="1" ht="14.25" customHeight="1">
      <c r="A277" s="87" t="s">
        <v>289</v>
      </c>
      <c r="B277" s="91" t="s">
        <v>2741</v>
      </c>
      <c r="C277" s="91">
        <v>2930</v>
      </c>
      <c r="D277" s="91">
        <v>2900</v>
      </c>
      <c r="E277" s="91">
        <v>3000</v>
      </c>
      <c r="F277" s="124">
        <v>640</v>
      </c>
    </row>
    <row r="278" spans="1:6" s="113" customFormat="1" ht="14.25" customHeight="1">
      <c r="A278" s="87" t="s">
        <v>289</v>
      </c>
      <c r="B278" s="91" t="s">
        <v>2746</v>
      </c>
      <c r="C278" s="91">
        <v>4080</v>
      </c>
      <c r="D278" s="91">
        <v>4030</v>
      </c>
      <c r="E278" s="91">
        <v>4140</v>
      </c>
      <c r="F278" s="124">
        <v>850</v>
      </c>
    </row>
    <row r="279" spans="1:6" s="113" customFormat="1" ht="14.25" customHeight="1">
      <c r="A279" s="87" t="s">
        <v>289</v>
      </c>
      <c r="B279" s="91" t="s">
        <v>2750</v>
      </c>
      <c r="C279" s="91"/>
      <c r="D279" s="91"/>
      <c r="E279" s="91"/>
      <c r="F279" s="124">
        <v>760</v>
      </c>
    </row>
    <row r="280" spans="1:6" s="113" customFormat="1" ht="14.25" customHeight="1">
      <c r="A280" s="87" t="s">
        <v>289</v>
      </c>
      <c r="B280" s="91" t="s">
        <v>2754</v>
      </c>
      <c r="C280" s="91"/>
      <c r="D280" s="91"/>
      <c r="E280" s="91"/>
      <c r="F280" s="124">
        <v>760</v>
      </c>
    </row>
    <row r="281" spans="1:6" s="113" customFormat="1" ht="14.25" customHeight="1">
      <c r="A281" s="87" t="s">
        <v>289</v>
      </c>
      <c r="B281" s="91" t="s">
        <v>2758</v>
      </c>
      <c r="C281" s="91"/>
      <c r="D281" s="91"/>
      <c r="E281" s="91"/>
      <c r="F281" s="124">
        <v>780</v>
      </c>
    </row>
    <row r="282" spans="1:6" s="113" customFormat="1" ht="14.25" customHeight="1">
      <c r="A282" s="87" t="s">
        <v>289</v>
      </c>
      <c r="B282" s="91" t="s">
        <v>2762</v>
      </c>
      <c r="C282" s="91"/>
      <c r="D282" s="91"/>
      <c r="E282" s="91"/>
      <c r="F282" s="124">
        <v>730</v>
      </c>
    </row>
    <row r="283" spans="1:6" s="113" customFormat="1" ht="14.25" customHeight="1">
      <c r="A283" s="87" t="s">
        <v>289</v>
      </c>
      <c r="B283" s="91" t="s">
        <v>2766</v>
      </c>
      <c r="C283" s="91"/>
      <c r="D283" s="91"/>
      <c r="E283" s="91"/>
      <c r="F283" s="124">
        <v>770</v>
      </c>
    </row>
    <row r="284" spans="1:6" s="113" customFormat="1" ht="14.25" customHeight="1">
      <c r="A284" s="87" t="s">
        <v>289</v>
      </c>
      <c r="B284" s="91" t="s">
        <v>2769</v>
      </c>
      <c r="C284" s="91"/>
      <c r="D284" s="91"/>
      <c r="E284" s="91"/>
      <c r="F284" s="124">
        <v>640</v>
      </c>
    </row>
    <row r="285" spans="1:6" s="113" customFormat="1" ht="14.25" customHeight="1">
      <c r="A285" s="87" t="s">
        <v>289</v>
      </c>
      <c r="B285" s="91" t="s">
        <v>2772</v>
      </c>
      <c r="C285" s="91"/>
      <c r="D285" s="91"/>
      <c r="E285" s="91"/>
      <c r="F285" s="124">
        <v>640</v>
      </c>
    </row>
    <row r="286" spans="1:6" s="113" customFormat="1" ht="14.25" customHeight="1">
      <c r="A286" s="87" t="s">
        <v>289</v>
      </c>
      <c r="B286" s="91" t="s">
        <v>2775</v>
      </c>
      <c r="C286" s="91"/>
      <c r="D286" s="91"/>
      <c r="E286" s="91"/>
      <c r="F286" s="124">
        <v>850</v>
      </c>
    </row>
    <row r="287" spans="1:6" s="113" customFormat="1" ht="14.25" customHeight="1">
      <c r="A287" s="87" t="s">
        <v>289</v>
      </c>
      <c r="B287" s="91" t="s">
        <v>2778</v>
      </c>
      <c r="C287" s="91"/>
      <c r="D287" s="91"/>
      <c r="E287" s="91"/>
      <c r="F287" s="124">
        <v>760</v>
      </c>
    </row>
    <row r="288" spans="1:6" s="113" customFormat="1" ht="14.25" customHeight="1">
      <c r="A288" s="87" t="s">
        <v>289</v>
      </c>
      <c r="B288" s="91" t="s">
        <v>2781</v>
      </c>
      <c r="C288" s="91"/>
      <c r="D288" s="91"/>
      <c r="E288" s="91"/>
      <c r="F288" s="124">
        <v>830</v>
      </c>
    </row>
    <row r="289" spans="1:6" s="113" customFormat="1" ht="14.25" customHeight="1">
      <c r="A289" s="87" t="s">
        <v>289</v>
      </c>
      <c r="B289" s="102" t="s">
        <v>2784</v>
      </c>
      <c r="C289" s="102"/>
      <c r="D289" s="102"/>
      <c r="E289" s="102"/>
      <c r="F289" s="126">
        <v>680</v>
      </c>
    </row>
    <row r="290" spans="1:6" s="113" customFormat="1" ht="14.25" customHeight="1">
      <c r="A290" s="87" t="s">
        <v>292</v>
      </c>
      <c r="B290" s="88" t="s">
        <v>2458</v>
      </c>
      <c r="C290" s="88">
        <v>2770</v>
      </c>
      <c r="D290" s="88">
        <v>2740</v>
      </c>
      <c r="E290" s="88">
        <v>2720</v>
      </c>
      <c r="F290" s="131"/>
    </row>
    <row r="291" spans="1:6" s="113" customFormat="1" ht="14.25" customHeight="1">
      <c r="A291" s="87" t="s">
        <v>292</v>
      </c>
      <c r="B291" s="91" t="s">
        <v>2471</v>
      </c>
      <c r="C291" s="91">
        <v>2670</v>
      </c>
      <c r="D291" s="91">
        <v>2640</v>
      </c>
      <c r="E291" s="91">
        <v>2620</v>
      </c>
      <c r="F291" s="127"/>
    </row>
    <row r="292" spans="1:6" s="113" customFormat="1" ht="14.25" customHeight="1">
      <c r="A292" s="87" t="s">
        <v>292</v>
      </c>
      <c r="B292" s="91" t="s">
        <v>2485</v>
      </c>
      <c r="C292" s="91">
        <v>2180</v>
      </c>
      <c r="D292" s="91">
        <v>2140</v>
      </c>
      <c r="E292" s="91">
        <v>2120</v>
      </c>
      <c r="F292" s="124">
        <v>490</v>
      </c>
    </row>
    <row r="293" spans="1:6" s="113" customFormat="1" ht="14.25" customHeight="1">
      <c r="A293" s="87" t="s">
        <v>292</v>
      </c>
      <c r="B293" s="91" t="s">
        <v>2791</v>
      </c>
      <c r="C293" s="91"/>
      <c r="D293" s="91"/>
      <c r="E293" s="91"/>
      <c r="F293" s="124">
        <v>470</v>
      </c>
    </row>
    <row r="294" spans="1:6" s="113" customFormat="1" ht="14.25" customHeight="1">
      <c r="A294" s="87" t="s">
        <v>292</v>
      </c>
      <c r="B294" s="91" t="s">
        <v>2497</v>
      </c>
      <c r="C294" s="91">
        <v>2730</v>
      </c>
      <c r="D294" s="91">
        <v>2700</v>
      </c>
      <c r="E294" s="91">
        <v>2680</v>
      </c>
      <c r="F294" s="124">
        <v>490</v>
      </c>
    </row>
    <row r="295" spans="1:6" s="113" customFormat="1" ht="14.25" customHeight="1">
      <c r="A295" s="87" t="s">
        <v>292</v>
      </c>
      <c r="B295" s="91" t="s">
        <v>2509</v>
      </c>
      <c r="C295" s="91">
        <v>2380</v>
      </c>
      <c r="D295" s="91">
        <v>2350</v>
      </c>
      <c r="E295" s="91">
        <v>2330</v>
      </c>
      <c r="F295" s="124">
        <v>530</v>
      </c>
    </row>
    <row r="296" spans="1:6" s="113" customFormat="1" ht="14.25" customHeight="1">
      <c r="A296" s="87" t="s">
        <v>292</v>
      </c>
      <c r="B296" s="91" t="s">
        <v>2520</v>
      </c>
      <c r="C296" s="91">
        <v>2650</v>
      </c>
      <c r="D296" s="91">
        <v>2620</v>
      </c>
      <c r="E296" s="91">
        <v>2590</v>
      </c>
      <c r="F296" s="124">
        <v>590</v>
      </c>
    </row>
    <row r="297" spans="1:6" s="113" customFormat="1" ht="14.25" customHeight="1">
      <c r="A297" s="87" t="s">
        <v>292</v>
      </c>
      <c r="B297" s="91" t="s">
        <v>2531</v>
      </c>
      <c r="C297" s="91">
        <v>2700</v>
      </c>
      <c r="D297" s="91">
        <v>2670</v>
      </c>
      <c r="E297" s="91">
        <v>2650</v>
      </c>
      <c r="F297" s="124">
        <v>630</v>
      </c>
    </row>
    <row r="298" spans="1:6" s="113" customFormat="1" ht="14.25" customHeight="1">
      <c r="A298" s="87" t="s">
        <v>292</v>
      </c>
      <c r="B298" s="91" t="s">
        <v>2542</v>
      </c>
      <c r="C298" s="91">
        <v>2650</v>
      </c>
      <c r="D298" s="91">
        <v>2620</v>
      </c>
      <c r="E298" s="91">
        <v>2590</v>
      </c>
      <c r="F298" s="124">
        <v>640</v>
      </c>
    </row>
    <row r="299" spans="1:6" s="113" customFormat="1" ht="14.25" customHeight="1">
      <c r="A299" s="87" t="s">
        <v>292</v>
      </c>
      <c r="B299" s="91" t="s">
        <v>2552</v>
      </c>
      <c r="C299" s="91">
        <v>2500</v>
      </c>
      <c r="D299" s="91">
        <v>2480</v>
      </c>
      <c r="E299" s="91">
        <v>2460</v>
      </c>
      <c r="F299" s="127"/>
    </row>
    <row r="300" spans="1:6" s="113" customFormat="1" ht="14.25" customHeight="1">
      <c r="A300" s="87" t="s">
        <v>292</v>
      </c>
      <c r="B300" s="91" t="s">
        <v>2562</v>
      </c>
      <c r="C300" s="91">
        <v>2760</v>
      </c>
      <c r="D300" s="91">
        <v>2730</v>
      </c>
      <c r="E300" s="91">
        <v>2700</v>
      </c>
      <c r="F300" s="124">
        <v>630</v>
      </c>
    </row>
    <row r="301" spans="1:6" s="113" customFormat="1" ht="14.25" customHeight="1">
      <c r="A301" s="87" t="s">
        <v>292</v>
      </c>
      <c r="B301" s="91" t="s">
        <v>2572</v>
      </c>
      <c r="C301" s="91">
        <v>2510</v>
      </c>
      <c r="D301" s="91">
        <v>2480</v>
      </c>
      <c r="E301" s="91">
        <v>2460</v>
      </c>
      <c r="F301" s="127"/>
    </row>
    <row r="302" spans="1:6" s="113" customFormat="1" ht="14.25" customHeight="1">
      <c r="A302" s="87" t="s">
        <v>292</v>
      </c>
      <c r="B302" s="91" t="s">
        <v>2582</v>
      </c>
      <c r="C302" s="91">
        <v>2480</v>
      </c>
      <c r="D302" s="91">
        <v>2450</v>
      </c>
      <c r="E302" s="91">
        <v>2420</v>
      </c>
      <c r="F302" s="124">
        <v>600</v>
      </c>
    </row>
    <row r="303" spans="1:6" s="113" customFormat="1" ht="14.25" customHeight="1">
      <c r="A303" s="87" t="s">
        <v>292</v>
      </c>
      <c r="B303" s="91" t="s">
        <v>2592</v>
      </c>
      <c r="C303" s="91">
        <v>2270</v>
      </c>
      <c r="D303" s="91">
        <v>2240</v>
      </c>
      <c r="E303" s="91">
        <v>2210</v>
      </c>
      <c r="F303" s="124">
        <v>540</v>
      </c>
    </row>
    <row r="304" spans="1:6" s="113" customFormat="1" ht="14.25" customHeight="1">
      <c r="A304" s="87" t="s">
        <v>292</v>
      </c>
      <c r="B304" s="91" t="s">
        <v>2602</v>
      </c>
      <c r="C304" s="91">
        <v>2310</v>
      </c>
      <c r="D304" s="91">
        <v>2290</v>
      </c>
      <c r="E304" s="91">
        <v>2270</v>
      </c>
      <c r="F304" s="127"/>
    </row>
    <row r="305" spans="1:6" s="113" customFormat="1" ht="14.25" customHeight="1">
      <c r="A305" s="87" t="s">
        <v>292</v>
      </c>
      <c r="B305" s="91" t="s">
        <v>2612</v>
      </c>
      <c r="C305" s="91">
        <v>2490</v>
      </c>
      <c r="D305" s="91">
        <v>2470</v>
      </c>
      <c r="E305" s="91">
        <v>2440</v>
      </c>
      <c r="F305" s="124">
        <v>560</v>
      </c>
    </row>
    <row r="306" spans="1:6" s="113" customFormat="1" ht="14.25" customHeight="1">
      <c r="A306" s="87" t="s">
        <v>292</v>
      </c>
      <c r="B306" s="91" t="s">
        <v>2622</v>
      </c>
      <c r="C306" s="91">
        <v>2420</v>
      </c>
      <c r="D306" s="91">
        <v>2400</v>
      </c>
      <c r="E306" s="91">
        <v>2380</v>
      </c>
      <c r="F306" s="127"/>
    </row>
    <row r="307" spans="1:6" s="113" customFormat="1" ht="14.25" customHeight="1">
      <c r="A307" s="87" t="s">
        <v>292</v>
      </c>
      <c r="B307" s="91" t="s">
        <v>2632</v>
      </c>
      <c r="C307" s="91">
        <v>2770</v>
      </c>
      <c r="D307" s="91">
        <v>2740</v>
      </c>
      <c r="E307" s="91">
        <v>2710</v>
      </c>
      <c r="F307" s="124">
        <v>650</v>
      </c>
    </row>
    <row r="308" spans="1:6" s="113" customFormat="1" ht="14.25" customHeight="1">
      <c r="A308" s="87" t="s">
        <v>292</v>
      </c>
      <c r="B308" s="91" t="s">
        <v>2642</v>
      </c>
      <c r="C308" s="91">
        <v>2610</v>
      </c>
      <c r="D308" s="91">
        <v>2580</v>
      </c>
      <c r="E308" s="91">
        <v>2550</v>
      </c>
      <c r="F308" s="124">
        <v>580</v>
      </c>
    </row>
    <row r="309" spans="1:6" s="113" customFormat="1" ht="14.25" customHeight="1">
      <c r="A309" s="87" t="s">
        <v>292</v>
      </c>
      <c r="B309" s="91" t="s">
        <v>2652</v>
      </c>
      <c r="C309" s="91">
        <v>2690</v>
      </c>
      <c r="D309" s="91">
        <v>2670</v>
      </c>
      <c r="E309" s="91">
        <v>2650</v>
      </c>
      <c r="F309" s="127"/>
    </row>
    <row r="310" spans="1:6" s="113" customFormat="1" ht="14.25" customHeight="1">
      <c r="A310" s="87" t="s">
        <v>292</v>
      </c>
      <c r="B310" s="91" t="s">
        <v>2661</v>
      </c>
      <c r="C310" s="91">
        <v>2360</v>
      </c>
      <c r="D310" s="91">
        <v>2330</v>
      </c>
      <c r="E310" s="91">
        <v>2310</v>
      </c>
      <c r="F310" s="124">
        <v>560</v>
      </c>
    </row>
    <row r="311" spans="1:6" s="113" customFormat="1" ht="14.25" customHeight="1">
      <c r="A311" s="87" t="s">
        <v>292</v>
      </c>
      <c r="B311" s="91" t="s">
        <v>2669</v>
      </c>
      <c r="C311" s="91">
        <v>1970</v>
      </c>
      <c r="D311" s="91">
        <v>1950</v>
      </c>
      <c r="E311" s="91">
        <v>1920</v>
      </c>
      <c r="F311" s="124">
        <v>470</v>
      </c>
    </row>
    <row r="312" spans="1:6" s="113" customFormat="1" ht="14.25" customHeight="1">
      <c r="A312" s="87" t="s">
        <v>292</v>
      </c>
      <c r="B312" s="91" t="s">
        <v>2677</v>
      </c>
      <c r="C312" s="91">
        <v>2230</v>
      </c>
      <c r="D312" s="91">
        <v>2200</v>
      </c>
      <c r="E312" s="91">
        <v>2170</v>
      </c>
      <c r="F312" s="124">
        <v>460</v>
      </c>
    </row>
    <row r="313" spans="1:6" s="113" customFormat="1" ht="14.25" customHeight="1">
      <c r="A313" s="87" t="s">
        <v>292</v>
      </c>
      <c r="B313" s="91" t="s">
        <v>2684</v>
      </c>
      <c r="C313" s="91">
        <v>2770</v>
      </c>
      <c r="D313" s="91">
        <v>2740</v>
      </c>
      <c r="E313" s="91">
        <v>2710</v>
      </c>
      <c r="F313" s="124">
        <v>610</v>
      </c>
    </row>
    <row r="314" spans="1:6" s="113" customFormat="1" ht="14.25" customHeight="1">
      <c r="A314" s="87" t="s">
        <v>292</v>
      </c>
      <c r="B314" s="91" t="s">
        <v>2691</v>
      </c>
      <c r="C314" s="91"/>
      <c r="D314" s="91"/>
      <c r="E314" s="91"/>
      <c r="F314" s="124">
        <v>490</v>
      </c>
    </row>
    <row r="315" spans="1:6" s="113" customFormat="1" ht="14.25" customHeight="1">
      <c r="A315" s="87" t="s">
        <v>292</v>
      </c>
      <c r="B315" s="91" t="s">
        <v>2698</v>
      </c>
      <c r="C315" s="91"/>
      <c r="D315" s="91"/>
      <c r="E315" s="91"/>
      <c r="F315" s="124">
        <v>520</v>
      </c>
    </row>
    <row r="316" spans="1:6" s="113" customFormat="1" ht="14.25" customHeight="1">
      <c r="A316" s="87" t="s">
        <v>292</v>
      </c>
      <c r="B316" s="102" t="s">
        <v>2705</v>
      </c>
      <c r="C316" s="102"/>
      <c r="D316" s="102"/>
      <c r="E316" s="102"/>
      <c r="F316" s="126">
        <v>460</v>
      </c>
    </row>
    <row r="317" spans="1:6" s="113" customFormat="1" ht="14.25" customHeight="1">
      <c r="A317" s="87" t="s">
        <v>295</v>
      </c>
      <c r="B317" s="88" t="s">
        <v>2459</v>
      </c>
      <c r="C317" s="88">
        <v>1200</v>
      </c>
      <c r="D317" s="88">
        <v>1180</v>
      </c>
      <c r="E317" s="88">
        <v>1160</v>
      </c>
      <c r="F317" s="121">
        <v>370</v>
      </c>
    </row>
    <row r="318" spans="1:6" s="113" customFormat="1" ht="14.25" customHeight="1">
      <c r="A318" s="87" t="s">
        <v>295</v>
      </c>
      <c r="B318" s="91" t="s">
        <v>2472</v>
      </c>
      <c r="C318" s="91">
        <v>1090</v>
      </c>
      <c r="D318" s="91">
        <v>1060</v>
      </c>
      <c r="E318" s="91">
        <v>1040</v>
      </c>
      <c r="F318" s="127"/>
    </row>
    <row r="319" spans="1:6" s="113" customFormat="1" ht="14.25" customHeight="1">
      <c r="A319" s="87" t="s">
        <v>295</v>
      </c>
      <c r="B319" s="91" t="s">
        <v>2486</v>
      </c>
      <c r="C319" s="91">
        <v>1520</v>
      </c>
      <c r="D319" s="91">
        <v>1470</v>
      </c>
      <c r="E319" s="91">
        <v>1440</v>
      </c>
      <c r="F319" s="124">
        <v>370</v>
      </c>
    </row>
    <row r="320" spans="1:6" s="113" customFormat="1" ht="14.25" customHeight="1">
      <c r="A320" s="87" t="s">
        <v>295</v>
      </c>
      <c r="B320" s="91" t="s">
        <v>2498</v>
      </c>
      <c r="C320" s="91">
        <v>1360</v>
      </c>
      <c r="D320" s="91">
        <v>1300</v>
      </c>
      <c r="E320" s="91">
        <v>1270</v>
      </c>
      <c r="F320" s="127"/>
    </row>
    <row r="321" spans="1:6" s="113" customFormat="1" ht="14.25" customHeight="1">
      <c r="A321" s="87" t="s">
        <v>295</v>
      </c>
      <c r="B321" s="91" t="s">
        <v>2510</v>
      </c>
      <c r="C321" s="91">
        <v>1750</v>
      </c>
      <c r="D321" s="91">
        <v>1690</v>
      </c>
      <c r="E321" s="91">
        <v>1660</v>
      </c>
      <c r="F321" s="127"/>
    </row>
    <row r="322" spans="1:6" s="113" customFormat="1" ht="14.25" customHeight="1">
      <c r="A322" s="87" t="s">
        <v>295</v>
      </c>
      <c r="B322" s="91" t="s">
        <v>2521</v>
      </c>
      <c r="C322" s="91">
        <v>1650</v>
      </c>
      <c r="D322" s="91">
        <v>1610</v>
      </c>
      <c r="E322" s="91">
        <v>1580</v>
      </c>
      <c r="F322" s="124">
        <v>500</v>
      </c>
    </row>
    <row r="323" spans="1:6" s="113" customFormat="1" ht="14.25" customHeight="1">
      <c r="A323" s="87" t="s">
        <v>295</v>
      </c>
      <c r="B323" s="91" t="s">
        <v>2532</v>
      </c>
      <c r="C323" s="91">
        <v>1780</v>
      </c>
      <c r="D323" s="91">
        <v>1740</v>
      </c>
      <c r="E323" s="91">
        <v>1720</v>
      </c>
      <c r="F323" s="127"/>
    </row>
    <row r="324" spans="1:6" s="113" customFormat="1" ht="14.25" customHeight="1">
      <c r="A324" s="87" t="s">
        <v>295</v>
      </c>
      <c r="B324" s="91" t="s">
        <v>2543</v>
      </c>
      <c r="C324" s="91">
        <v>1650</v>
      </c>
      <c r="D324" s="91">
        <v>1610</v>
      </c>
      <c r="E324" s="91">
        <v>1580</v>
      </c>
      <c r="F324" s="127"/>
    </row>
    <row r="325" spans="1:6" s="113" customFormat="1" ht="14.25" customHeight="1">
      <c r="A325" s="87" t="s">
        <v>295</v>
      </c>
      <c r="B325" s="91" t="s">
        <v>2553</v>
      </c>
      <c r="C325" s="91">
        <v>1330</v>
      </c>
      <c r="D325" s="91">
        <v>1270</v>
      </c>
      <c r="E325" s="91">
        <v>1240</v>
      </c>
      <c r="F325" s="124">
        <v>430</v>
      </c>
    </row>
    <row r="326" spans="1:6" s="113" customFormat="1" ht="14.25" customHeight="1">
      <c r="A326" s="87" t="s">
        <v>295</v>
      </c>
      <c r="B326" s="91" t="s">
        <v>2563</v>
      </c>
      <c r="C326" s="91">
        <v>1470</v>
      </c>
      <c r="D326" s="91">
        <v>1430</v>
      </c>
      <c r="E326" s="91">
        <v>1400</v>
      </c>
      <c r="F326" s="127"/>
    </row>
    <row r="327" spans="1:6" s="113" customFormat="1" ht="14.25" customHeight="1">
      <c r="A327" s="87" t="s">
        <v>295</v>
      </c>
      <c r="B327" s="91" t="s">
        <v>2573</v>
      </c>
      <c r="C327" s="91">
        <v>1420</v>
      </c>
      <c r="D327" s="91">
        <v>1380</v>
      </c>
      <c r="E327" s="91">
        <v>1360</v>
      </c>
      <c r="F327" s="124">
        <v>420</v>
      </c>
    </row>
    <row r="328" spans="1:6" s="113" customFormat="1" ht="14.25" customHeight="1">
      <c r="A328" s="87" t="s">
        <v>295</v>
      </c>
      <c r="B328" s="91" t="s">
        <v>2583</v>
      </c>
      <c r="C328" s="91">
        <v>1400</v>
      </c>
      <c r="D328" s="91">
        <v>1360</v>
      </c>
      <c r="E328" s="91">
        <v>1330</v>
      </c>
      <c r="F328" s="124">
        <v>460</v>
      </c>
    </row>
    <row r="329" spans="1:6" s="113" customFormat="1" ht="14.25" customHeight="1">
      <c r="A329" s="87" t="s">
        <v>295</v>
      </c>
      <c r="B329" s="91" t="s">
        <v>2593</v>
      </c>
      <c r="C329" s="91">
        <v>1640</v>
      </c>
      <c r="D329" s="91">
        <v>1610</v>
      </c>
      <c r="E329" s="91">
        <v>1580</v>
      </c>
      <c r="F329" s="124">
        <v>410</v>
      </c>
    </row>
    <row r="330" spans="1:6" s="113" customFormat="1" ht="14.25" customHeight="1">
      <c r="A330" s="87" t="s">
        <v>295</v>
      </c>
      <c r="B330" s="91" t="s">
        <v>2603</v>
      </c>
      <c r="C330" s="91">
        <v>1260</v>
      </c>
      <c r="D330" s="91">
        <v>1220</v>
      </c>
      <c r="E330" s="91">
        <v>1200</v>
      </c>
      <c r="F330" s="127"/>
    </row>
    <row r="331" spans="1:6" s="113" customFormat="1" ht="14.25" customHeight="1">
      <c r="A331" s="87" t="s">
        <v>295</v>
      </c>
      <c r="B331" s="91" t="s">
        <v>2613</v>
      </c>
      <c r="C331" s="91">
        <v>1620</v>
      </c>
      <c r="D331" s="91">
        <v>1560</v>
      </c>
      <c r="E331" s="91">
        <v>1530</v>
      </c>
      <c r="F331" s="124">
        <v>490</v>
      </c>
    </row>
    <row r="332" spans="1:6" s="113" customFormat="1" ht="14.25" customHeight="1">
      <c r="A332" s="87" t="s">
        <v>295</v>
      </c>
      <c r="B332" s="91" t="s">
        <v>2623</v>
      </c>
      <c r="C332" s="91">
        <v>1520</v>
      </c>
      <c r="D332" s="91">
        <v>1470</v>
      </c>
      <c r="E332" s="91">
        <v>1440</v>
      </c>
      <c r="F332" s="124">
        <v>440</v>
      </c>
    </row>
    <row r="333" spans="1:6" s="113" customFormat="1" ht="14.25" customHeight="1">
      <c r="A333" s="87" t="s">
        <v>295</v>
      </c>
      <c r="B333" s="91" t="s">
        <v>2633</v>
      </c>
      <c r="C333" s="91">
        <v>1370</v>
      </c>
      <c r="D333" s="91">
        <v>1320</v>
      </c>
      <c r="E333" s="91">
        <v>1300</v>
      </c>
      <c r="F333" s="124">
        <v>460</v>
      </c>
    </row>
    <row r="334" spans="1:6" s="113" customFormat="1" ht="14.25" customHeight="1">
      <c r="A334" s="87" t="s">
        <v>295</v>
      </c>
      <c r="B334" s="91" t="s">
        <v>2643</v>
      </c>
      <c r="C334" s="91">
        <v>1410</v>
      </c>
      <c r="D334" s="91">
        <v>1340</v>
      </c>
      <c r="E334" s="91">
        <v>1310</v>
      </c>
      <c r="F334" s="124">
        <v>410</v>
      </c>
    </row>
    <row r="335" spans="1:6" s="113" customFormat="1" ht="14.25" customHeight="1">
      <c r="A335" s="87" t="s">
        <v>295</v>
      </c>
      <c r="B335" s="91" t="s">
        <v>2653</v>
      </c>
      <c r="C335" s="91">
        <v>1260</v>
      </c>
      <c r="D335" s="91">
        <v>1220</v>
      </c>
      <c r="E335" s="91">
        <v>1200</v>
      </c>
      <c r="F335" s="127"/>
    </row>
    <row r="336" spans="1:6" s="113" customFormat="1" ht="14.25" customHeight="1">
      <c r="A336" s="87" t="s">
        <v>295</v>
      </c>
      <c r="B336" s="91" t="s">
        <v>2662</v>
      </c>
      <c r="C336" s="91">
        <v>1160</v>
      </c>
      <c r="D336" s="91">
        <v>1140</v>
      </c>
      <c r="E336" s="91">
        <v>1120</v>
      </c>
      <c r="F336" s="124">
        <v>430</v>
      </c>
    </row>
    <row r="337" spans="1:6" s="113" customFormat="1" ht="14.25" customHeight="1">
      <c r="A337" s="87" t="s">
        <v>295</v>
      </c>
      <c r="B337" s="102" t="s">
        <v>2670</v>
      </c>
      <c r="C337" s="102"/>
      <c r="D337" s="102"/>
      <c r="E337" s="102"/>
      <c r="F337" s="126">
        <v>380</v>
      </c>
    </row>
    <row r="338" spans="1:6" s="113" customFormat="1" ht="14.25" customHeight="1">
      <c r="A338" s="87" t="s">
        <v>298</v>
      </c>
      <c r="B338" s="88" t="s">
        <v>2460</v>
      </c>
      <c r="C338" s="88">
        <v>880</v>
      </c>
      <c r="D338" s="88">
        <v>850</v>
      </c>
      <c r="E338" s="88">
        <v>830</v>
      </c>
      <c r="F338" s="131"/>
    </row>
    <row r="339" spans="1:6" s="113" customFormat="1" ht="14.25" customHeight="1">
      <c r="A339" s="87" t="s">
        <v>298</v>
      </c>
      <c r="B339" s="91" t="s">
        <v>2473</v>
      </c>
      <c r="C339" s="91">
        <v>830</v>
      </c>
      <c r="D339" s="91">
        <v>800</v>
      </c>
      <c r="E339" s="91">
        <v>780</v>
      </c>
      <c r="F339" s="127"/>
    </row>
    <row r="340" spans="1:6" s="113" customFormat="1" ht="14.25" customHeight="1">
      <c r="A340" s="87" t="s">
        <v>298</v>
      </c>
      <c r="B340" s="91" t="s">
        <v>2487</v>
      </c>
      <c r="C340" s="91">
        <v>980</v>
      </c>
      <c r="D340" s="91">
        <v>950</v>
      </c>
      <c r="E340" s="91">
        <v>920</v>
      </c>
      <c r="F340" s="127"/>
    </row>
    <row r="341" spans="1:6" s="113" customFormat="1" ht="14.25" customHeight="1">
      <c r="A341" s="87" t="s">
        <v>298</v>
      </c>
      <c r="B341" s="91" t="s">
        <v>2499</v>
      </c>
      <c r="C341" s="91">
        <v>760</v>
      </c>
      <c r="D341" s="91">
        <v>720</v>
      </c>
      <c r="E341" s="91">
        <v>690</v>
      </c>
      <c r="F341" s="124">
        <v>350</v>
      </c>
    </row>
    <row r="342" spans="1:6" s="113" customFormat="1" ht="14.25" customHeight="1">
      <c r="A342" s="87" t="s">
        <v>298</v>
      </c>
      <c r="B342" s="91" t="s">
        <v>2511</v>
      </c>
      <c r="C342" s="91">
        <v>910</v>
      </c>
      <c r="D342" s="91">
        <v>870</v>
      </c>
      <c r="E342" s="91">
        <v>850</v>
      </c>
      <c r="F342" s="124">
        <v>370</v>
      </c>
    </row>
    <row r="343" spans="1:6" s="113" customFormat="1" ht="14.25" customHeight="1">
      <c r="A343" s="87" t="s">
        <v>298</v>
      </c>
      <c r="B343" s="91" t="s">
        <v>2522</v>
      </c>
      <c r="C343" s="91">
        <v>800</v>
      </c>
      <c r="D343" s="91">
        <v>760</v>
      </c>
      <c r="E343" s="91">
        <v>730</v>
      </c>
      <c r="F343" s="124">
        <v>340</v>
      </c>
    </row>
    <row r="344" spans="1:6" s="113" customFormat="1" ht="14.25" customHeight="1">
      <c r="A344" s="87" t="s">
        <v>298</v>
      </c>
      <c r="B344" s="102" t="s">
        <v>2533</v>
      </c>
      <c r="C344" s="102">
        <v>720</v>
      </c>
      <c r="D344" s="102">
        <v>690</v>
      </c>
      <c r="E344" s="102">
        <v>660</v>
      </c>
      <c r="F344" s="126">
        <v>300</v>
      </c>
    </row>
  </sheetData>
  <sheetProtection password="C66D" sheet="1" objects="1" scenarios="1" formatCells="0" formatColumns="0" formatRows="0"/>
  <mergeCells count="3">
    <mergeCell ref="A1:F1"/>
    <mergeCell ref="A2:F2"/>
    <mergeCell ref="A3:A4"/>
  </mergeCells>
  <phoneticPr fontId="225" type="noConversion"/>
  <pageMargins left="0.69930555555555596" right="0.69930555555555596"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zoomScale="90" zoomScaleNormal="90" workbookViewId="0">
      <selection sqref="A1:XFD1048576"/>
    </sheetView>
  </sheetViews>
  <sheetFormatPr defaultColWidth="9" defaultRowHeight="14.25"/>
  <cols>
    <col min="1" max="1" width="27.625" style="491" customWidth="1"/>
    <col min="2" max="9" width="12.125" style="491" customWidth="1"/>
    <col min="10" max="16384" width="9" style="491"/>
  </cols>
  <sheetData>
    <row r="1" spans="1:9" ht="18">
      <c r="A1" s="3190" t="str">
        <f>IF(项目基本情况!B9="房地产市场价值","估价结果一览表","结果表-2")</f>
        <v>结果表-2</v>
      </c>
      <c r="B1" s="3190"/>
      <c r="C1" s="3190"/>
      <c r="D1" s="3190"/>
      <c r="E1" s="3190"/>
      <c r="F1" s="3190"/>
      <c r="G1" s="3190"/>
      <c r="H1" s="3190"/>
      <c r="I1" s="3190"/>
    </row>
    <row r="2" spans="1:9" ht="30" customHeight="1">
      <c r="A2" s="3191" t="s">
        <v>107</v>
      </c>
      <c r="B2" s="3191" t="s">
        <v>108</v>
      </c>
      <c r="C2" s="3191" t="s">
        <v>109</v>
      </c>
      <c r="D2" s="3191" t="str">
        <f>结果表!D116</f>
        <v>出让国有建设用地使用权价值</v>
      </c>
      <c r="E2" s="3191"/>
      <c r="F2" s="3191" t="str">
        <f>结果表!F116</f>
        <v>在建建筑物价值</v>
      </c>
      <c r="G2" s="3191"/>
      <c r="H2" s="3191" t="str">
        <f>IF(项目基本情况!B9="房地产市场价值","房地产市场价值","房地产价值")</f>
        <v>房地产价值</v>
      </c>
      <c r="I2" s="3191"/>
    </row>
    <row r="3" spans="1:9" ht="15">
      <c r="A3" s="3192"/>
      <c r="B3" s="3192"/>
      <c r="C3" s="3192"/>
      <c r="D3" s="2944" t="s">
        <v>110</v>
      </c>
      <c r="E3" s="2944" t="s">
        <v>111</v>
      </c>
      <c r="F3" s="2944" t="s">
        <v>110</v>
      </c>
      <c r="G3" s="2944" t="s">
        <v>111</v>
      </c>
      <c r="H3" s="2944" t="s">
        <v>110</v>
      </c>
      <c r="I3" s="2944" t="s">
        <v>111</v>
      </c>
    </row>
    <row r="4" spans="1:9" ht="30">
      <c r="A4" s="2945" t="str">
        <f>项目基本情况!S2</f>
        <v>贵州省贵阳市观山湖区环城高速以东（西南商贸城）房地产</v>
      </c>
      <c r="B4" s="2944">
        <f>项目基本情况!C17</f>
        <v>98873.18</v>
      </c>
      <c r="C4" s="2944">
        <f>项目基本情况!C18</f>
        <v>45839.15</v>
      </c>
      <c r="D4" s="2944" t="e">
        <f ca="1">结果表!D118</f>
        <v>#REF!</v>
      </c>
      <c r="E4" s="2944" t="e">
        <f ca="1">结果表!E118</f>
        <v>#REF!</v>
      </c>
      <c r="F4" s="2944" t="e">
        <f ca="1">结果表!F118</f>
        <v>#REF!</v>
      </c>
      <c r="G4" s="2944" t="e">
        <f ca="1">结果表!G118</f>
        <v>#REF!</v>
      </c>
      <c r="H4" s="2944">
        <f ca="1">结果表!H118</f>
        <v>93418</v>
      </c>
      <c r="I4" s="2944">
        <f ca="1">结果表!I118</f>
        <v>9448</v>
      </c>
    </row>
    <row r="5" spans="1:9" ht="30" customHeight="1">
      <c r="A5" s="3192" t="s">
        <v>112</v>
      </c>
      <c r="B5" s="3192"/>
      <c r="C5" s="3192"/>
      <c r="D5" s="3193" t="e">
        <f ca="1">结果表!D119</f>
        <v>#REF!</v>
      </c>
      <c r="E5" s="3193"/>
      <c r="F5" s="3193" t="e">
        <f ca="1">结果表!F119</f>
        <v>#REF!</v>
      </c>
      <c r="G5" s="3193"/>
      <c r="H5" s="3193" t="str">
        <f ca="1">结果表!H119</f>
        <v>玖亿叁仟肆佰壹拾捌万元整</v>
      </c>
      <c r="I5" s="3193"/>
    </row>
    <row r="6" spans="1:9" ht="15.75">
      <c r="A6" s="3194" t="str">
        <f>结果表!A120</f>
        <v>估价师知悉的法定优先受偿款</v>
      </c>
      <c r="B6" s="3194"/>
      <c r="C6" s="3194"/>
      <c r="D6" s="3194">
        <f>结果表!D120</f>
        <v>0</v>
      </c>
      <c r="E6" s="3194"/>
      <c r="F6" s="3194"/>
      <c r="G6" s="3194"/>
      <c r="H6" s="3194"/>
      <c r="I6" s="3194"/>
    </row>
    <row r="7" spans="1:9" ht="15">
      <c r="A7" s="3192" t="s">
        <v>112</v>
      </c>
      <c r="B7" s="3192"/>
      <c r="C7" s="3192"/>
      <c r="D7" s="3195" t="str">
        <f>结果表!D121</f>
        <v>零元整</v>
      </c>
      <c r="E7" s="3196"/>
      <c r="F7" s="3196"/>
      <c r="G7" s="3196"/>
      <c r="H7" s="3196"/>
      <c r="I7" s="3197"/>
    </row>
    <row r="8" spans="1:9" ht="15.75">
      <c r="A8" s="3194" t="str">
        <f>结果表!A122</f>
        <v>房地产抵押价值</v>
      </c>
      <c r="B8" s="3194"/>
      <c r="C8" s="3194"/>
      <c r="D8" s="3194">
        <f ca="1">结果表!D122</f>
        <v>93418</v>
      </c>
      <c r="E8" s="3194"/>
      <c r="F8" s="3194"/>
      <c r="G8" s="3194"/>
      <c r="H8" s="3194"/>
      <c r="I8" s="3194"/>
    </row>
    <row r="9" spans="1:9" ht="15">
      <c r="A9" s="3192" t="s">
        <v>112</v>
      </c>
      <c r="B9" s="3192"/>
      <c r="C9" s="3192"/>
      <c r="D9" s="3193" t="str">
        <f ca="1">结果表!D123</f>
        <v>玖亿叁仟肆佰壹拾捌万元整</v>
      </c>
      <c r="E9" s="3193"/>
      <c r="F9" s="3193"/>
      <c r="G9" s="3193"/>
      <c r="H9" s="3193"/>
      <c r="I9" s="3193"/>
    </row>
    <row r="10" spans="1:9" ht="15.75">
      <c r="A10" s="3194" t="str">
        <f>结果表!A124</f>
        <v>抵押担保权已注销时的房地产抵押价值</v>
      </c>
      <c r="B10" s="3194"/>
      <c r="C10" s="3194"/>
      <c r="D10" s="3194">
        <f ca="1">结果表!D124</f>
        <v>93418</v>
      </c>
      <c r="E10" s="3194"/>
      <c r="F10" s="3194"/>
      <c r="G10" s="3194"/>
      <c r="H10" s="3194"/>
      <c r="I10" s="3194"/>
    </row>
    <row r="11" spans="1:9" ht="15">
      <c r="A11" s="3192" t="s">
        <v>112</v>
      </c>
      <c r="B11" s="3192"/>
      <c r="C11" s="3192"/>
      <c r="D11" s="3193" t="str">
        <f ca="1">结果表!D125</f>
        <v>玖亿叁仟肆佰壹拾捌万元整</v>
      </c>
      <c r="E11" s="3193"/>
      <c r="F11" s="3193"/>
      <c r="G11" s="3193"/>
      <c r="H11" s="3193"/>
      <c r="I11" s="3193"/>
    </row>
    <row r="12" spans="1:9" ht="15.75">
      <c r="A12" s="3194" t="str">
        <f>结果表!A126</f>
        <v/>
      </c>
      <c r="B12" s="3194"/>
      <c r="C12" s="3194"/>
      <c r="D12" s="3194" t="str">
        <f>结果表!D126</f>
        <v>——</v>
      </c>
      <c r="E12" s="3194"/>
      <c r="F12" s="3194"/>
      <c r="G12" s="3194"/>
      <c r="H12" s="3194"/>
      <c r="I12" s="3194"/>
    </row>
    <row r="13" spans="1:9" ht="15">
      <c r="A13" s="3198" t="s">
        <v>112</v>
      </c>
      <c r="B13" s="3198"/>
      <c r="C13" s="3198"/>
      <c r="D13" s="3199" t="e">
        <f>结果表!D127</f>
        <v>#VALUE!</v>
      </c>
      <c r="E13" s="3199"/>
      <c r="F13" s="3199"/>
      <c r="G13" s="3199"/>
      <c r="H13" s="3199"/>
      <c r="I13" s="3199"/>
    </row>
    <row r="14" spans="1:9">
      <c r="A14" s="3200" t="s">
        <v>113</v>
      </c>
      <c r="B14" s="3200"/>
      <c r="C14" s="3200"/>
      <c r="D14" s="3200"/>
      <c r="E14" s="3200"/>
      <c r="F14" s="3200"/>
      <c r="G14" s="3200"/>
      <c r="H14" s="3200"/>
      <c r="I14" s="3200"/>
    </row>
    <row r="16" spans="1:9" ht="18.75">
      <c r="A16" s="2946" t="s">
        <v>106</v>
      </c>
      <c r="B16" s="2941"/>
      <c r="C16" s="2941"/>
      <c r="D16" s="2941"/>
      <c r="E16" s="2941"/>
      <c r="F16" s="2941"/>
      <c r="G16" s="2941"/>
      <c r="H16" s="2941"/>
      <c r="I16" s="2941"/>
    </row>
    <row r="17" spans="1:9">
      <c r="A17" s="2941"/>
      <c r="B17" s="2941"/>
      <c r="C17" s="2941"/>
      <c r="D17" s="2941"/>
      <c r="E17" s="2941"/>
      <c r="F17" s="2941"/>
      <c r="G17" s="2941"/>
      <c r="H17" s="2941"/>
      <c r="I17" s="2941"/>
    </row>
    <row r="18" spans="1:9">
      <c r="A18" s="2941"/>
      <c r="B18" s="2941"/>
      <c r="C18" s="2941"/>
      <c r="D18" s="2941"/>
      <c r="E18" s="2941"/>
      <c r="F18" s="2941"/>
      <c r="G18" s="2941"/>
      <c r="H18" s="2941"/>
      <c r="I18" s="2941"/>
    </row>
    <row r="19" spans="1:9">
      <c r="A19" s="2941"/>
      <c r="B19" s="2941"/>
      <c r="C19" s="2941"/>
      <c r="D19" s="2941"/>
      <c r="E19" s="2941"/>
      <c r="F19" s="2941"/>
      <c r="G19" s="2941"/>
      <c r="H19" s="2941"/>
      <c r="I19" s="2941"/>
    </row>
    <row r="20" spans="1:9">
      <c r="A20" s="2941"/>
      <c r="B20" s="2941"/>
      <c r="C20" s="2941"/>
      <c r="D20" s="2941"/>
      <c r="E20" s="2941"/>
      <c r="F20" s="2941"/>
      <c r="G20" s="2941"/>
      <c r="H20" s="2941"/>
      <c r="I20" s="2941"/>
    </row>
    <row r="21" spans="1:9">
      <c r="A21" s="2941"/>
      <c r="B21" s="2941"/>
      <c r="C21" s="2941"/>
      <c r="D21" s="2941"/>
      <c r="E21" s="2941"/>
      <c r="F21" s="2941"/>
      <c r="G21" s="2941"/>
      <c r="H21" s="2941"/>
      <c r="I21" s="2941"/>
    </row>
    <row r="22" spans="1:9">
      <c r="A22" s="2941"/>
      <c r="B22" s="2941"/>
      <c r="C22" s="2941"/>
      <c r="D22" s="2941"/>
      <c r="E22" s="2941"/>
      <c r="F22" s="2941"/>
      <c r="G22" s="2941"/>
      <c r="H22" s="2941"/>
      <c r="I22" s="2941"/>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25" type="noConversion"/>
  <printOptions horizontalCentered="1"/>
  <pageMargins left="0.98402777777777795" right="0.98402777777777795" top="1.25972222222222" bottom="0.98402777777777795" header="0.86597222222222203" footer="0.59027777777777801"/>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ColWidth="9" defaultRowHeight="13.5"/>
  <cols>
    <col min="1" max="1" width="12.625" style="81" customWidth="1"/>
    <col min="2" max="2" width="10.25" style="82" customWidth="1"/>
  </cols>
  <sheetData>
    <row r="1" spans="1:6">
      <c r="A1" s="3594" t="s">
        <v>2792</v>
      </c>
      <c r="B1" s="3594"/>
    </row>
    <row r="2" spans="1:6">
      <c r="A2" s="83"/>
      <c r="B2" s="83"/>
    </row>
    <row r="3" spans="1:6">
      <c r="A3" s="83"/>
      <c r="B3" s="83"/>
      <c r="C3" s="84" t="s">
        <v>2041</v>
      </c>
      <c r="D3" s="84" t="s">
        <v>2042</v>
      </c>
      <c r="E3" s="84" t="s">
        <v>2043</v>
      </c>
      <c r="F3" s="84" t="s">
        <v>2044</v>
      </c>
    </row>
    <row r="4" spans="1:6">
      <c r="A4" s="85" t="s">
        <v>2461</v>
      </c>
      <c r="B4" s="86" t="s">
        <v>2474</v>
      </c>
      <c r="C4" s="84"/>
      <c r="D4" s="84"/>
      <c r="E4" s="84"/>
      <c r="F4" s="84"/>
    </row>
    <row r="5" spans="1:6">
      <c r="A5" s="87" t="s">
        <v>233</v>
      </c>
      <c r="B5" s="88" t="s">
        <v>2449</v>
      </c>
      <c r="C5" s="89">
        <v>8.8999999999999996E-2</v>
      </c>
      <c r="D5" s="89">
        <v>7.3999999999999996E-2</v>
      </c>
      <c r="E5" s="89">
        <v>7.4999999999999997E-2</v>
      </c>
      <c r="F5" s="90">
        <v>0.1</v>
      </c>
    </row>
    <row r="6" spans="1:6">
      <c r="A6" s="87" t="s">
        <v>233</v>
      </c>
      <c r="B6" s="91" t="s">
        <v>2462</v>
      </c>
      <c r="C6" s="92">
        <v>0.1</v>
      </c>
      <c r="D6" s="92">
        <v>9.0999999999999998E-2</v>
      </c>
      <c r="E6" s="92">
        <v>9.0999999999999998E-2</v>
      </c>
      <c r="F6" s="93">
        <v>0.1</v>
      </c>
    </row>
    <row r="7" spans="1:6">
      <c r="A7" s="87" t="s">
        <v>233</v>
      </c>
      <c r="B7" s="94" t="s">
        <v>2476</v>
      </c>
      <c r="C7" s="92">
        <v>8.5999999999999993E-2</v>
      </c>
      <c r="D7" s="92">
        <v>9.6000000000000002E-2</v>
      </c>
      <c r="E7" s="92">
        <v>7.5999999999999998E-2</v>
      </c>
      <c r="F7" s="93">
        <v>0.1</v>
      </c>
    </row>
    <row r="8" spans="1:6">
      <c r="A8" s="87" t="s">
        <v>233</v>
      </c>
      <c r="B8" s="91" t="s">
        <v>2488</v>
      </c>
      <c r="C8" s="92">
        <v>9.9000000000000005E-2</v>
      </c>
      <c r="D8" s="92">
        <v>9.8000000000000004E-2</v>
      </c>
      <c r="E8" s="92">
        <v>9.8000000000000004E-2</v>
      </c>
      <c r="F8" s="93">
        <v>0.1</v>
      </c>
    </row>
    <row r="9" spans="1:6">
      <c r="A9" s="95" t="s">
        <v>233</v>
      </c>
      <c r="B9" s="96" t="s">
        <v>2500</v>
      </c>
      <c r="C9" s="97">
        <v>0.05</v>
      </c>
      <c r="D9" s="98"/>
      <c r="E9" s="98"/>
      <c r="F9" s="99"/>
    </row>
    <row r="10" spans="1:6">
      <c r="A10" s="87" t="s">
        <v>244</v>
      </c>
      <c r="B10" s="88" t="s">
        <v>2450</v>
      </c>
      <c r="C10" s="89">
        <v>8.8999999999999996E-2</v>
      </c>
      <c r="D10" s="89">
        <v>7.2999999999999995E-2</v>
      </c>
      <c r="E10" s="89">
        <v>8.2000000000000003E-2</v>
      </c>
      <c r="F10" s="90">
        <v>0.1</v>
      </c>
    </row>
    <row r="11" spans="1:6">
      <c r="A11" s="87" t="s">
        <v>244</v>
      </c>
      <c r="B11" s="94" t="s">
        <v>2463</v>
      </c>
      <c r="C11" s="92">
        <v>8.8999999999999996E-2</v>
      </c>
      <c r="D11" s="92">
        <v>7.2999999999999995E-2</v>
      </c>
      <c r="E11" s="92">
        <v>8.2000000000000003E-2</v>
      </c>
      <c r="F11" s="93">
        <v>0.1</v>
      </c>
    </row>
    <row r="12" spans="1:6">
      <c r="A12" s="87" t="s">
        <v>244</v>
      </c>
      <c r="B12" s="94" t="s">
        <v>2477</v>
      </c>
      <c r="C12" s="92">
        <v>6.0999999999999999E-2</v>
      </c>
      <c r="D12" s="92">
        <v>7.0999999999999994E-2</v>
      </c>
      <c r="E12" s="92">
        <v>9.6000000000000002E-2</v>
      </c>
      <c r="F12" s="93">
        <v>0.1</v>
      </c>
    </row>
    <row r="13" spans="1:6">
      <c r="A13" s="87" t="s">
        <v>244</v>
      </c>
      <c r="B13" s="94" t="s">
        <v>2489</v>
      </c>
      <c r="C13" s="92">
        <v>6.9000000000000006E-2</v>
      </c>
      <c r="D13" s="92">
        <v>6.5000000000000002E-2</v>
      </c>
      <c r="E13" s="92">
        <v>6.6000000000000003E-2</v>
      </c>
      <c r="F13" s="93">
        <v>0.1</v>
      </c>
    </row>
    <row r="14" spans="1:6">
      <c r="A14" s="87" t="s">
        <v>244</v>
      </c>
      <c r="B14" s="94" t="s">
        <v>2501</v>
      </c>
      <c r="C14" s="92">
        <v>0.1</v>
      </c>
      <c r="D14" s="92">
        <v>6.5000000000000002E-2</v>
      </c>
      <c r="E14" s="92">
        <v>7.0000000000000007E-2</v>
      </c>
      <c r="F14" s="93">
        <v>0.1</v>
      </c>
    </row>
    <row r="15" spans="1:6">
      <c r="A15" s="87" t="s">
        <v>244</v>
      </c>
      <c r="B15" s="94" t="s">
        <v>2512</v>
      </c>
      <c r="C15" s="92">
        <v>9.8000000000000004E-2</v>
      </c>
      <c r="D15" s="92">
        <v>8.8999999999999996E-2</v>
      </c>
      <c r="E15" s="92">
        <v>8.8999999999999996E-2</v>
      </c>
      <c r="F15" s="93">
        <v>0.1</v>
      </c>
    </row>
    <row r="16" spans="1:6">
      <c r="A16" s="87" t="s">
        <v>244</v>
      </c>
      <c r="B16" s="94" t="s">
        <v>2523</v>
      </c>
      <c r="C16" s="92">
        <v>7.0000000000000007E-2</v>
      </c>
      <c r="D16" s="92">
        <v>9.2999999999999999E-2</v>
      </c>
      <c r="E16" s="92">
        <v>9.6000000000000002E-2</v>
      </c>
      <c r="F16" s="93">
        <v>0.1</v>
      </c>
    </row>
    <row r="17" spans="1:6">
      <c r="A17" s="87" t="s">
        <v>244</v>
      </c>
      <c r="B17" s="94" t="s">
        <v>2534</v>
      </c>
      <c r="C17" s="92">
        <v>9.5000000000000001E-2</v>
      </c>
      <c r="D17" s="92">
        <v>0.1</v>
      </c>
      <c r="E17" s="92">
        <v>0.1</v>
      </c>
      <c r="F17" s="100"/>
    </row>
    <row r="18" spans="1:6">
      <c r="A18" s="87" t="s">
        <v>244</v>
      </c>
      <c r="B18" s="94" t="s">
        <v>2544</v>
      </c>
      <c r="C18" s="92">
        <v>7.3999999999999996E-2</v>
      </c>
      <c r="D18" s="92">
        <v>9.9000000000000005E-2</v>
      </c>
      <c r="E18" s="92">
        <v>0.1</v>
      </c>
      <c r="F18" s="100"/>
    </row>
    <row r="19" spans="1:6">
      <c r="A19" s="87" t="s">
        <v>244</v>
      </c>
      <c r="B19" s="94" t="s">
        <v>2554</v>
      </c>
      <c r="C19" s="92">
        <v>9.9000000000000005E-2</v>
      </c>
      <c r="D19" s="92">
        <v>7.5999999999999998E-2</v>
      </c>
      <c r="E19" s="92">
        <v>8.6999999999999994E-2</v>
      </c>
      <c r="F19" s="100"/>
    </row>
    <row r="20" spans="1:6">
      <c r="A20" s="87" t="s">
        <v>244</v>
      </c>
      <c r="B20" s="94" t="s">
        <v>2564</v>
      </c>
      <c r="C20" s="92">
        <v>9.8000000000000004E-2</v>
      </c>
      <c r="D20" s="92">
        <v>8.5000000000000006E-2</v>
      </c>
      <c r="E20" s="92">
        <v>8.2000000000000003E-2</v>
      </c>
      <c r="F20" s="100"/>
    </row>
    <row r="21" spans="1:6">
      <c r="A21" s="87" t="s">
        <v>244</v>
      </c>
      <c r="B21" s="94" t="s">
        <v>2574</v>
      </c>
      <c r="C21" s="92">
        <v>6.6000000000000003E-2</v>
      </c>
      <c r="D21" s="92">
        <v>6.4000000000000001E-2</v>
      </c>
      <c r="E21" s="92">
        <v>6.5000000000000002E-2</v>
      </c>
      <c r="F21" s="100"/>
    </row>
    <row r="22" spans="1:6">
      <c r="A22" s="87" t="s">
        <v>244</v>
      </c>
      <c r="B22" s="94" t="s">
        <v>2584</v>
      </c>
      <c r="C22" s="92">
        <v>0.08</v>
      </c>
      <c r="D22" s="92">
        <v>9.8000000000000004E-2</v>
      </c>
      <c r="E22" s="92">
        <v>9.8000000000000004E-2</v>
      </c>
      <c r="F22" s="100"/>
    </row>
    <row r="23" spans="1:6">
      <c r="A23" s="87" t="s">
        <v>244</v>
      </c>
      <c r="B23" s="94" t="s">
        <v>2594</v>
      </c>
      <c r="C23" s="92">
        <v>9.9000000000000005E-2</v>
      </c>
      <c r="D23" s="92">
        <v>9.8000000000000004E-2</v>
      </c>
      <c r="E23" s="92">
        <v>9.0999999999999998E-2</v>
      </c>
      <c r="F23" s="100"/>
    </row>
    <row r="24" spans="1:6">
      <c r="A24" s="87" t="s">
        <v>244</v>
      </c>
      <c r="B24" s="94" t="s">
        <v>2604</v>
      </c>
      <c r="C24" s="92">
        <v>8.8999999999999996E-2</v>
      </c>
      <c r="D24" s="92">
        <v>9.7000000000000003E-2</v>
      </c>
      <c r="E24" s="92">
        <v>7.0000000000000007E-2</v>
      </c>
      <c r="F24" s="100"/>
    </row>
    <row r="25" spans="1:6">
      <c r="A25" s="87" t="s">
        <v>244</v>
      </c>
      <c r="B25" s="94" t="s">
        <v>2614</v>
      </c>
      <c r="C25" s="92">
        <v>8.8999999999999996E-2</v>
      </c>
      <c r="D25" s="92">
        <v>0.1</v>
      </c>
      <c r="E25" s="92">
        <v>8.1000000000000003E-2</v>
      </c>
      <c r="F25" s="100"/>
    </row>
    <row r="26" spans="1:6">
      <c r="A26" s="87" t="s">
        <v>244</v>
      </c>
      <c r="B26" s="94" t="s">
        <v>2624</v>
      </c>
      <c r="C26" s="101"/>
      <c r="D26" s="92">
        <v>9.6000000000000002E-2</v>
      </c>
      <c r="E26" s="92">
        <v>9.2999999999999999E-2</v>
      </c>
      <c r="F26" s="100"/>
    </row>
    <row r="27" spans="1:6">
      <c r="A27" s="87" t="s">
        <v>244</v>
      </c>
      <c r="B27" s="94" t="s">
        <v>2634</v>
      </c>
      <c r="C27" s="101"/>
      <c r="D27" s="92">
        <v>7.5999999999999998E-2</v>
      </c>
      <c r="E27" s="92">
        <v>9.1999999999999998E-2</v>
      </c>
      <c r="F27" s="100"/>
    </row>
    <row r="28" spans="1:6">
      <c r="A28" s="95" t="s">
        <v>244</v>
      </c>
      <c r="B28" s="96" t="s">
        <v>2644</v>
      </c>
      <c r="C28" s="98"/>
      <c r="D28" s="97">
        <v>7.5999999999999998E-2</v>
      </c>
      <c r="E28" s="97">
        <v>9.1999999999999998E-2</v>
      </c>
      <c r="F28" s="99"/>
    </row>
    <row r="29" spans="1:6">
      <c r="A29" s="87" t="s">
        <v>254</v>
      </c>
      <c r="B29" s="88" t="s">
        <v>2451</v>
      </c>
      <c r="C29" s="89">
        <v>6.4000000000000001E-2</v>
      </c>
      <c r="D29" s="89">
        <v>6.5000000000000002E-2</v>
      </c>
      <c r="E29" s="89">
        <v>6.9000000000000006E-2</v>
      </c>
      <c r="F29" s="90">
        <v>0.1</v>
      </c>
    </row>
    <row r="30" spans="1:6">
      <c r="A30" s="87" t="s">
        <v>254</v>
      </c>
      <c r="B30" s="94" t="s">
        <v>2464</v>
      </c>
      <c r="C30" s="92">
        <v>6.4000000000000001E-2</v>
      </c>
      <c r="D30" s="92">
        <v>9.9000000000000005E-2</v>
      </c>
      <c r="E30" s="92">
        <v>0.1</v>
      </c>
      <c r="F30" s="93">
        <v>0.1</v>
      </c>
    </row>
    <row r="31" spans="1:6">
      <c r="A31" s="87" t="s">
        <v>254</v>
      </c>
      <c r="B31" s="94" t="s">
        <v>2478</v>
      </c>
      <c r="C31" s="92">
        <v>0.1</v>
      </c>
      <c r="D31" s="92">
        <v>9.5000000000000001E-2</v>
      </c>
      <c r="E31" s="92">
        <v>8.8999999999999996E-2</v>
      </c>
      <c r="F31" s="93">
        <v>0.1</v>
      </c>
    </row>
    <row r="32" spans="1:6">
      <c r="A32" s="87" t="s">
        <v>254</v>
      </c>
      <c r="B32" s="94" t="s">
        <v>2490</v>
      </c>
      <c r="C32" s="92">
        <v>0.05</v>
      </c>
      <c r="D32" s="92">
        <v>0.05</v>
      </c>
      <c r="E32" s="92">
        <v>8.7999999999999995E-2</v>
      </c>
      <c r="F32" s="93">
        <v>0.1</v>
      </c>
    </row>
    <row r="33" spans="1:6">
      <c r="A33" s="87" t="s">
        <v>254</v>
      </c>
      <c r="B33" s="94" t="s">
        <v>2502</v>
      </c>
      <c r="C33" s="92">
        <v>7.4999999999999997E-2</v>
      </c>
      <c r="D33" s="92">
        <v>9.4E-2</v>
      </c>
      <c r="E33" s="92">
        <v>9.7000000000000003E-2</v>
      </c>
      <c r="F33" s="93">
        <v>0.1</v>
      </c>
    </row>
    <row r="34" spans="1:6">
      <c r="A34" s="87" t="s">
        <v>254</v>
      </c>
      <c r="B34" s="94" t="s">
        <v>2513</v>
      </c>
      <c r="C34" s="92">
        <v>9.8000000000000004E-2</v>
      </c>
      <c r="D34" s="92">
        <v>8.5999999999999993E-2</v>
      </c>
      <c r="E34" s="92">
        <v>9.7000000000000003E-2</v>
      </c>
      <c r="F34" s="93">
        <v>0.1</v>
      </c>
    </row>
    <row r="35" spans="1:6">
      <c r="A35" s="87" t="s">
        <v>254</v>
      </c>
      <c r="B35" s="94" t="s">
        <v>2524</v>
      </c>
      <c r="C35" s="92">
        <v>5.8999999999999997E-2</v>
      </c>
      <c r="D35" s="92">
        <v>6.5000000000000002E-2</v>
      </c>
      <c r="E35" s="92">
        <v>7.0000000000000007E-2</v>
      </c>
      <c r="F35" s="93">
        <v>0.1</v>
      </c>
    </row>
    <row r="36" spans="1:6">
      <c r="A36" s="87" t="s">
        <v>254</v>
      </c>
      <c r="B36" s="94" t="s">
        <v>2535</v>
      </c>
      <c r="C36" s="92">
        <v>6.3E-2</v>
      </c>
      <c r="D36" s="92">
        <v>0.1</v>
      </c>
      <c r="E36" s="92">
        <v>0.1</v>
      </c>
      <c r="F36" s="93">
        <v>0.1</v>
      </c>
    </row>
    <row r="37" spans="1:6">
      <c r="A37" s="87" t="s">
        <v>254</v>
      </c>
      <c r="B37" s="94" t="s">
        <v>2545</v>
      </c>
      <c r="C37" s="92">
        <v>7.3999999999999996E-2</v>
      </c>
      <c r="D37" s="92">
        <v>0.1</v>
      </c>
      <c r="E37" s="92">
        <v>0.1</v>
      </c>
      <c r="F37" s="93">
        <v>0.1</v>
      </c>
    </row>
    <row r="38" spans="1:6">
      <c r="A38" s="87" t="s">
        <v>254</v>
      </c>
      <c r="B38" s="94" t="s">
        <v>2555</v>
      </c>
      <c r="C38" s="92">
        <v>0.1</v>
      </c>
      <c r="D38" s="92">
        <v>9.6000000000000002E-2</v>
      </c>
      <c r="E38" s="92">
        <v>9.6000000000000002E-2</v>
      </c>
      <c r="F38" s="100"/>
    </row>
    <row r="39" spans="1:6">
      <c r="A39" s="87" t="s">
        <v>254</v>
      </c>
      <c r="B39" s="94" t="s">
        <v>2565</v>
      </c>
      <c r="C39" s="92">
        <v>0.1</v>
      </c>
      <c r="D39" s="92">
        <v>9.6000000000000002E-2</v>
      </c>
      <c r="E39" s="92">
        <v>9.6000000000000002E-2</v>
      </c>
      <c r="F39" s="100"/>
    </row>
    <row r="40" spans="1:6">
      <c r="A40" s="87" t="s">
        <v>254</v>
      </c>
      <c r="B40" s="94" t="s">
        <v>2575</v>
      </c>
      <c r="C40" s="92">
        <v>9.6000000000000002E-2</v>
      </c>
      <c r="D40" s="92">
        <v>0.1</v>
      </c>
      <c r="E40" s="92">
        <v>9.9000000000000005E-2</v>
      </c>
      <c r="F40" s="100"/>
    </row>
    <row r="41" spans="1:6">
      <c r="A41" s="87" t="s">
        <v>254</v>
      </c>
      <c r="B41" s="94" t="s">
        <v>2585</v>
      </c>
      <c r="C41" s="92">
        <v>9.6000000000000002E-2</v>
      </c>
      <c r="D41" s="92">
        <v>9.8000000000000004E-2</v>
      </c>
      <c r="E41" s="92">
        <v>9.8000000000000004E-2</v>
      </c>
      <c r="F41" s="100"/>
    </row>
    <row r="42" spans="1:6">
      <c r="A42" s="87" t="s">
        <v>254</v>
      </c>
      <c r="B42" s="94" t="s">
        <v>2595</v>
      </c>
      <c r="C42" s="92">
        <v>0.1</v>
      </c>
      <c r="D42" s="92">
        <v>8.7999999999999995E-2</v>
      </c>
      <c r="E42" s="92">
        <v>0.1</v>
      </c>
      <c r="F42" s="100"/>
    </row>
    <row r="43" spans="1:6">
      <c r="A43" s="87" t="s">
        <v>254</v>
      </c>
      <c r="B43" s="94" t="s">
        <v>2605</v>
      </c>
      <c r="C43" s="92">
        <v>9.8000000000000004E-2</v>
      </c>
      <c r="D43" s="92">
        <v>9.7000000000000003E-2</v>
      </c>
      <c r="E43" s="92">
        <v>9.6000000000000002E-2</v>
      </c>
      <c r="F43" s="100"/>
    </row>
    <row r="44" spans="1:6">
      <c r="A44" s="87" t="s">
        <v>254</v>
      </c>
      <c r="B44" s="94" t="s">
        <v>2615</v>
      </c>
      <c r="C44" s="92">
        <v>8.5999999999999993E-2</v>
      </c>
      <c r="D44" s="92">
        <v>7.9000000000000001E-2</v>
      </c>
      <c r="E44" s="92">
        <v>7.0999999999999994E-2</v>
      </c>
      <c r="F44" s="100"/>
    </row>
    <row r="45" spans="1:6">
      <c r="A45" s="87" t="s">
        <v>254</v>
      </c>
      <c r="B45" s="94" t="s">
        <v>2625</v>
      </c>
      <c r="C45" s="92">
        <v>9.8000000000000004E-2</v>
      </c>
      <c r="D45" s="92">
        <v>9.6000000000000002E-2</v>
      </c>
      <c r="E45" s="92">
        <v>9.6000000000000002E-2</v>
      </c>
      <c r="F45" s="100"/>
    </row>
    <row r="46" spans="1:6">
      <c r="A46" s="87" t="s">
        <v>254</v>
      </c>
      <c r="B46" s="94" t="s">
        <v>2635</v>
      </c>
      <c r="C46" s="92">
        <v>8.5999999999999993E-2</v>
      </c>
      <c r="D46" s="92">
        <v>9.8000000000000004E-2</v>
      </c>
      <c r="E46" s="92">
        <v>8.7999999999999995E-2</v>
      </c>
      <c r="F46" s="100"/>
    </row>
    <row r="47" spans="1:6">
      <c r="A47" s="87" t="s">
        <v>254</v>
      </c>
      <c r="B47" s="94" t="s">
        <v>2645</v>
      </c>
      <c r="C47" s="92">
        <v>9.6000000000000002E-2</v>
      </c>
      <c r="D47" s="101"/>
      <c r="E47" s="92">
        <v>6.9000000000000006E-2</v>
      </c>
      <c r="F47" s="100"/>
    </row>
    <row r="48" spans="1:6">
      <c r="A48" s="95" t="s">
        <v>254</v>
      </c>
      <c r="B48" s="96" t="s">
        <v>2654</v>
      </c>
      <c r="C48" s="97">
        <v>9.8000000000000004E-2</v>
      </c>
      <c r="D48" s="98"/>
      <c r="E48" s="97">
        <v>9.5000000000000001E-2</v>
      </c>
      <c r="F48" s="99"/>
    </row>
    <row r="49" spans="1:6">
      <c r="A49" s="87" t="s">
        <v>262</v>
      </c>
      <c r="B49" s="88" t="s">
        <v>2452</v>
      </c>
      <c r="C49" s="89">
        <v>9.7000000000000003E-2</v>
      </c>
      <c r="D49" s="89">
        <v>9.5000000000000001E-2</v>
      </c>
      <c r="E49" s="89">
        <v>9.7000000000000003E-2</v>
      </c>
      <c r="F49" s="90">
        <v>0.1</v>
      </c>
    </row>
    <row r="50" spans="1:6">
      <c r="A50" s="87" t="s">
        <v>262</v>
      </c>
      <c r="B50" s="91" t="s">
        <v>2465</v>
      </c>
      <c r="C50" s="92">
        <v>7.4999999999999997E-2</v>
      </c>
      <c r="D50" s="92">
        <v>9.5000000000000001E-2</v>
      </c>
      <c r="E50" s="92">
        <v>0.1</v>
      </c>
      <c r="F50" s="93">
        <v>0.1</v>
      </c>
    </row>
    <row r="51" spans="1:6">
      <c r="A51" s="87" t="s">
        <v>262</v>
      </c>
      <c r="B51" s="91" t="s">
        <v>2479</v>
      </c>
      <c r="C51" s="92">
        <v>9.8000000000000004E-2</v>
      </c>
      <c r="D51" s="92">
        <v>8.8999999999999996E-2</v>
      </c>
      <c r="E51" s="92">
        <v>0.1</v>
      </c>
      <c r="F51" s="93">
        <v>0.1</v>
      </c>
    </row>
    <row r="52" spans="1:6">
      <c r="A52" s="87" t="s">
        <v>262</v>
      </c>
      <c r="B52" s="91" t="s">
        <v>2491</v>
      </c>
      <c r="C52" s="92">
        <v>9.8000000000000004E-2</v>
      </c>
      <c r="D52" s="92">
        <v>9.7000000000000003E-2</v>
      </c>
      <c r="E52" s="92">
        <v>8.1000000000000003E-2</v>
      </c>
      <c r="F52" s="93">
        <v>0.1</v>
      </c>
    </row>
    <row r="53" spans="1:6">
      <c r="A53" s="87" t="s">
        <v>262</v>
      </c>
      <c r="B53" s="91" t="s">
        <v>2503</v>
      </c>
      <c r="C53" s="92">
        <v>9.7000000000000003E-2</v>
      </c>
      <c r="D53" s="92">
        <v>7.5999999999999998E-2</v>
      </c>
      <c r="E53" s="92">
        <v>7.0999999999999994E-2</v>
      </c>
      <c r="F53" s="93">
        <v>0.1</v>
      </c>
    </row>
    <row r="54" spans="1:6">
      <c r="A54" s="87" t="s">
        <v>262</v>
      </c>
      <c r="B54" s="91" t="s">
        <v>2514</v>
      </c>
      <c r="C54" s="92">
        <v>7.5999999999999998E-2</v>
      </c>
      <c r="D54" s="92">
        <v>0.1</v>
      </c>
      <c r="E54" s="92">
        <v>9.9000000000000005E-2</v>
      </c>
      <c r="F54" s="93">
        <v>0.1</v>
      </c>
    </row>
    <row r="55" spans="1:6">
      <c r="A55" s="87" t="s">
        <v>262</v>
      </c>
      <c r="B55" s="91" t="s">
        <v>2525</v>
      </c>
      <c r="C55" s="92">
        <v>0.1</v>
      </c>
      <c r="D55" s="92">
        <v>0.1</v>
      </c>
      <c r="E55" s="92">
        <v>9.6000000000000002E-2</v>
      </c>
      <c r="F55" s="93">
        <v>0.1</v>
      </c>
    </row>
    <row r="56" spans="1:6">
      <c r="A56" s="87" t="s">
        <v>262</v>
      </c>
      <c r="B56" s="91" t="s">
        <v>2536</v>
      </c>
      <c r="C56" s="92">
        <v>0.1</v>
      </c>
      <c r="D56" s="92">
        <v>9.6000000000000002E-2</v>
      </c>
      <c r="E56" s="92">
        <v>5.1999999999999998E-2</v>
      </c>
      <c r="F56" s="93">
        <v>0.1</v>
      </c>
    </row>
    <row r="57" spans="1:6">
      <c r="A57" s="87" t="s">
        <v>262</v>
      </c>
      <c r="B57" s="91" t="s">
        <v>2546</v>
      </c>
      <c r="C57" s="92">
        <v>9.7000000000000003E-2</v>
      </c>
      <c r="D57" s="92">
        <v>9.6000000000000002E-2</v>
      </c>
      <c r="E57" s="92">
        <v>9.6000000000000002E-2</v>
      </c>
      <c r="F57" s="93">
        <v>0.1</v>
      </c>
    </row>
    <row r="58" spans="1:6">
      <c r="A58" s="87" t="s">
        <v>262</v>
      </c>
      <c r="B58" s="91" t="s">
        <v>2556</v>
      </c>
      <c r="C58" s="92">
        <v>9.6000000000000002E-2</v>
      </c>
      <c r="D58" s="92">
        <v>9.9000000000000005E-2</v>
      </c>
      <c r="E58" s="92">
        <v>9.6000000000000002E-2</v>
      </c>
      <c r="F58" s="93">
        <v>0.1</v>
      </c>
    </row>
    <row r="59" spans="1:6">
      <c r="A59" s="87" t="s">
        <v>262</v>
      </c>
      <c r="B59" s="91" t="s">
        <v>2566</v>
      </c>
      <c r="C59" s="92">
        <v>7.1999999999999995E-2</v>
      </c>
      <c r="D59" s="92">
        <v>9.6000000000000002E-2</v>
      </c>
      <c r="E59" s="92">
        <v>7.0999999999999994E-2</v>
      </c>
      <c r="F59" s="93">
        <v>0.1</v>
      </c>
    </row>
    <row r="60" spans="1:6">
      <c r="A60" s="87" t="s">
        <v>262</v>
      </c>
      <c r="B60" s="91" t="s">
        <v>2576</v>
      </c>
      <c r="C60" s="92">
        <v>9.6000000000000002E-2</v>
      </c>
      <c r="D60" s="92">
        <v>8.8999999999999996E-2</v>
      </c>
      <c r="E60" s="92">
        <v>9.6000000000000002E-2</v>
      </c>
      <c r="F60" s="93">
        <v>0.1</v>
      </c>
    </row>
    <row r="61" spans="1:6">
      <c r="A61" s="87" t="s">
        <v>262</v>
      </c>
      <c r="B61" s="91" t="s">
        <v>2586</v>
      </c>
      <c r="C61" s="92">
        <v>8.8999999999999996E-2</v>
      </c>
      <c r="D61" s="92">
        <v>9.8000000000000004E-2</v>
      </c>
      <c r="E61" s="92">
        <v>8.7999999999999995E-2</v>
      </c>
      <c r="F61" s="100"/>
    </row>
    <row r="62" spans="1:6">
      <c r="A62" s="87" t="s">
        <v>262</v>
      </c>
      <c r="B62" s="91" t="s">
        <v>2596</v>
      </c>
      <c r="C62" s="92">
        <v>9.8000000000000004E-2</v>
      </c>
      <c r="D62" s="92">
        <v>9.2999999999999999E-2</v>
      </c>
      <c r="E62" s="92">
        <v>9.7000000000000003E-2</v>
      </c>
      <c r="F62" s="100"/>
    </row>
    <row r="63" spans="1:6">
      <c r="A63" s="87" t="s">
        <v>262</v>
      </c>
      <c r="B63" s="91" t="s">
        <v>2606</v>
      </c>
      <c r="C63" s="92">
        <v>9.6000000000000002E-2</v>
      </c>
      <c r="D63" s="92">
        <v>9.8000000000000004E-2</v>
      </c>
      <c r="E63" s="92">
        <v>0.09</v>
      </c>
      <c r="F63" s="100"/>
    </row>
    <row r="64" spans="1:6">
      <c r="A64" s="87" t="s">
        <v>262</v>
      </c>
      <c r="B64" s="91" t="s">
        <v>2616</v>
      </c>
      <c r="C64" s="92">
        <v>9.9000000000000005E-2</v>
      </c>
      <c r="D64" s="92">
        <v>9.7000000000000003E-2</v>
      </c>
      <c r="E64" s="92">
        <v>9.9000000000000005E-2</v>
      </c>
      <c r="F64" s="100"/>
    </row>
    <row r="65" spans="1:6">
      <c r="A65" s="87" t="s">
        <v>262</v>
      </c>
      <c r="B65" s="91" t="s">
        <v>2626</v>
      </c>
      <c r="C65" s="92">
        <v>9.8000000000000004E-2</v>
      </c>
      <c r="D65" s="92">
        <v>9.6000000000000002E-2</v>
      </c>
      <c r="E65" s="92">
        <v>9.6000000000000002E-2</v>
      </c>
      <c r="F65" s="100"/>
    </row>
    <row r="66" spans="1:6">
      <c r="A66" s="87" t="s">
        <v>262</v>
      </c>
      <c r="B66" s="91" t="s">
        <v>2636</v>
      </c>
      <c r="C66" s="92">
        <v>9.6000000000000002E-2</v>
      </c>
      <c r="D66" s="92">
        <v>9.1999999999999998E-2</v>
      </c>
      <c r="E66" s="92">
        <v>9.6000000000000002E-2</v>
      </c>
      <c r="F66" s="100"/>
    </row>
    <row r="67" spans="1:6">
      <c r="A67" s="87" t="s">
        <v>262</v>
      </c>
      <c r="B67" s="91" t="s">
        <v>2646</v>
      </c>
      <c r="C67" s="92">
        <v>9.4E-2</v>
      </c>
      <c r="D67" s="92">
        <v>0.1</v>
      </c>
      <c r="E67" s="92">
        <v>8.7999999999999995E-2</v>
      </c>
      <c r="F67" s="100"/>
    </row>
    <row r="68" spans="1:6">
      <c r="A68" s="87" t="s">
        <v>262</v>
      </c>
      <c r="B68" s="91" t="s">
        <v>2655</v>
      </c>
      <c r="C68" s="92">
        <v>0.1</v>
      </c>
      <c r="D68" s="92">
        <v>8.7999999999999995E-2</v>
      </c>
      <c r="E68" s="92">
        <v>9.7000000000000003E-2</v>
      </c>
      <c r="F68" s="100"/>
    </row>
    <row r="69" spans="1:6">
      <c r="A69" s="87" t="s">
        <v>262</v>
      </c>
      <c r="B69" s="91" t="s">
        <v>2663</v>
      </c>
      <c r="C69" s="92">
        <v>6.4000000000000001E-2</v>
      </c>
      <c r="D69" s="92">
        <v>0.1</v>
      </c>
      <c r="E69" s="92">
        <v>0.1</v>
      </c>
      <c r="F69" s="100"/>
    </row>
    <row r="70" spans="1:6">
      <c r="A70" s="87" t="s">
        <v>262</v>
      </c>
      <c r="B70" s="91" t="s">
        <v>2671</v>
      </c>
      <c r="C70" s="92">
        <v>9.0999999999999998E-2</v>
      </c>
      <c r="D70" s="101"/>
      <c r="E70" s="101"/>
      <c r="F70" s="100"/>
    </row>
    <row r="71" spans="1:6">
      <c r="A71" s="87" t="s">
        <v>262</v>
      </c>
      <c r="B71" s="91" t="s">
        <v>2678</v>
      </c>
      <c r="C71" s="92">
        <v>0.1</v>
      </c>
      <c r="D71" s="101"/>
      <c r="E71" s="101"/>
      <c r="F71" s="100"/>
    </row>
    <row r="72" spans="1:6">
      <c r="A72" s="87" t="s">
        <v>262</v>
      </c>
      <c r="B72" s="91" t="s">
        <v>2685</v>
      </c>
      <c r="C72" s="101"/>
      <c r="D72" s="101"/>
      <c r="E72" s="101"/>
      <c r="F72" s="93">
        <v>0.05</v>
      </c>
    </row>
    <row r="73" spans="1:6">
      <c r="A73" s="87" t="s">
        <v>262</v>
      </c>
      <c r="B73" s="91" t="s">
        <v>2692</v>
      </c>
      <c r="C73" s="101"/>
      <c r="D73" s="101"/>
      <c r="E73" s="101"/>
      <c r="F73" s="93">
        <v>0.05</v>
      </c>
    </row>
    <row r="74" spans="1:6">
      <c r="A74" s="87" t="s">
        <v>262</v>
      </c>
      <c r="B74" s="91" t="s">
        <v>2699</v>
      </c>
      <c r="C74" s="101"/>
      <c r="D74" s="101"/>
      <c r="E74" s="101"/>
      <c r="F74" s="93">
        <v>0.05</v>
      </c>
    </row>
    <row r="75" spans="1:6">
      <c r="A75" s="95" t="s">
        <v>262</v>
      </c>
      <c r="B75" s="102" t="s">
        <v>2706</v>
      </c>
      <c r="C75" s="98"/>
      <c r="D75" s="98"/>
      <c r="E75" s="98"/>
      <c r="F75" s="103">
        <v>0.05</v>
      </c>
    </row>
    <row r="76" spans="1:6">
      <c r="A76" s="87" t="s">
        <v>270</v>
      </c>
      <c r="B76" s="88" t="s">
        <v>2453</v>
      </c>
      <c r="C76" s="89">
        <v>0.1</v>
      </c>
      <c r="D76" s="89">
        <v>0.1</v>
      </c>
      <c r="E76" s="89">
        <v>0.1</v>
      </c>
      <c r="F76" s="90">
        <v>0.1</v>
      </c>
    </row>
    <row r="77" spans="1:6">
      <c r="A77" s="87" t="s">
        <v>270</v>
      </c>
      <c r="B77" s="91" t="s">
        <v>2466</v>
      </c>
      <c r="C77" s="92">
        <v>8.7999999999999995E-2</v>
      </c>
      <c r="D77" s="92">
        <v>8.6999999999999994E-2</v>
      </c>
      <c r="E77" s="92">
        <v>7.9000000000000001E-2</v>
      </c>
      <c r="F77" s="93">
        <v>0.1</v>
      </c>
    </row>
    <row r="78" spans="1:6">
      <c r="A78" s="87" t="s">
        <v>270</v>
      </c>
      <c r="B78" s="91" t="s">
        <v>2480</v>
      </c>
      <c r="C78" s="92">
        <v>8.6999999999999994E-2</v>
      </c>
      <c r="D78" s="92">
        <v>8.4000000000000005E-2</v>
      </c>
      <c r="E78" s="92">
        <v>9.6000000000000002E-2</v>
      </c>
      <c r="F78" s="93">
        <v>0.1</v>
      </c>
    </row>
    <row r="79" spans="1:6">
      <c r="A79" s="87" t="s">
        <v>270</v>
      </c>
      <c r="B79" s="91" t="s">
        <v>2492</v>
      </c>
      <c r="C79" s="92">
        <v>9.8000000000000004E-2</v>
      </c>
      <c r="D79" s="92">
        <v>9.8000000000000004E-2</v>
      </c>
      <c r="E79" s="92">
        <v>9.0999999999999998E-2</v>
      </c>
      <c r="F79" s="93">
        <v>0.1</v>
      </c>
    </row>
    <row r="80" spans="1:6">
      <c r="A80" s="87" t="s">
        <v>270</v>
      </c>
      <c r="B80" s="91" t="s">
        <v>2504</v>
      </c>
      <c r="C80" s="92">
        <v>9.6000000000000002E-2</v>
      </c>
      <c r="D80" s="92">
        <v>9.6000000000000002E-2</v>
      </c>
      <c r="E80" s="92">
        <v>0.1</v>
      </c>
      <c r="F80" s="93">
        <v>0.1</v>
      </c>
    </row>
    <row r="81" spans="1:6">
      <c r="A81" s="87" t="s">
        <v>270</v>
      </c>
      <c r="B81" s="91" t="s">
        <v>2515</v>
      </c>
      <c r="C81" s="92">
        <v>9.9000000000000005E-2</v>
      </c>
      <c r="D81" s="92">
        <v>9.9000000000000005E-2</v>
      </c>
      <c r="E81" s="92">
        <v>9.8000000000000004E-2</v>
      </c>
      <c r="F81" s="93">
        <v>0.1</v>
      </c>
    </row>
    <row r="82" spans="1:6">
      <c r="A82" s="87" t="s">
        <v>270</v>
      </c>
      <c r="B82" s="91" t="s">
        <v>2526</v>
      </c>
      <c r="C82" s="92">
        <v>9.9000000000000005E-2</v>
      </c>
      <c r="D82" s="92">
        <v>9.9000000000000005E-2</v>
      </c>
      <c r="E82" s="92">
        <v>9.7000000000000003E-2</v>
      </c>
      <c r="F82" s="93">
        <v>0.1</v>
      </c>
    </row>
    <row r="83" spans="1:6">
      <c r="A83" s="87" t="s">
        <v>270</v>
      </c>
      <c r="B83" s="91" t="s">
        <v>2537</v>
      </c>
      <c r="C83" s="92">
        <v>9.8000000000000004E-2</v>
      </c>
      <c r="D83" s="92">
        <v>9.8000000000000004E-2</v>
      </c>
      <c r="E83" s="92">
        <v>9.8000000000000004E-2</v>
      </c>
      <c r="F83" s="93">
        <v>0.1</v>
      </c>
    </row>
    <row r="84" spans="1:6">
      <c r="A84" s="87" t="s">
        <v>270</v>
      </c>
      <c r="B84" s="91" t="s">
        <v>2547</v>
      </c>
      <c r="C84" s="92">
        <v>9.9000000000000005E-2</v>
      </c>
      <c r="D84" s="92">
        <v>9.9000000000000005E-2</v>
      </c>
      <c r="E84" s="92">
        <v>9.9000000000000005E-2</v>
      </c>
      <c r="F84" s="93">
        <v>0.1</v>
      </c>
    </row>
    <row r="85" spans="1:6">
      <c r="A85" s="87" t="s">
        <v>270</v>
      </c>
      <c r="B85" s="91" t="s">
        <v>2557</v>
      </c>
      <c r="C85" s="92">
        <v>9.9000000000000005E-2</v>
      </c>
      <c r="D85" s="92">
        <v>9.9000000000000005E-2</v>
      </c>
      <c r="E85" s="92">
        <v>9.9000000000000005E-2</v>
      </c>
      <c r="F85" s="93">
        <v>0.1</v>
      </c>
    </row>
    <row r="86" spans="1:6">
      <c r="A86" s="87" t="s">
        <v>270</v>
      </c>
      <c r="B86" s="91" t="s">
        <v>2567</v>
      </c>
      <c r="C86" s="92">
        <v>0.1</v>
      </c>
      <c r="D86" s="92">
        <v>0.1</v>
      </c>
      <c r="E86" s="92">
        <v>7.6999999999999999E-2</v>
      </c>
      <c r="F86" s="93">
        <v>0.1</v>
      </c>
    </row>
    <row r="87" spans="1:6">
      <c r="A87" s="87" t="s">
        <v>270</v>
      </c>
      <c r="B87" s="91" t="s">
        <v>2577</v>
      </c>
      <c r="C87" s="92">
        <v>0.1</v>
      </c>
      <c r="D87" s="92">
        <v>0.1</v>
      </c>
      <c r="E87" s="92">
        <v>9.8000000000000004E-2</v>
      </c>
      <c r="F87" s="100"/>
    </row>
    <row r="88" spans="1:6">
      <c r="A88" s="87" t="s">
        <v>270</v>
      </c>
      <c r="B88" s="91" t="s">
        <v>2587</v>
      </c>
      <c r="C88" s="92">
        <v>9.1999999999999998E-2</v>
      </c>
      <c r="D88" s="92">
        <v>8.5000000000000006E-2</v>
      </c>
      <c r="E88" s="92">
        <v>9.6000000000000002E-2</v>
      </c>
      <c r="F88" s="100"/>
    </row>
    <row r="89" spans="1:6">
      <c r="A89" s="87" t="s">
        <v>270</v>
      </c>
      <c r="B89" s="91" t="s">
        <v>2597</v>
      </c>
      <c r="C89" s="92">
        <v>0.1</v>
      </c>
      <c r="D89" s="92">
        <v>0.1</v>
      </c>
      <c r="E89" s="92">
        <v>9.7000000000000003E-2</v>
      </c>
      <c r="F89" s="100"/>
    </row>
    <row r="90" spans="1:6">
      <c r="A90" s="87" t="s">
        <v>270</v>
      </c>
      <c r="B90" s="91" t="s">
        <v>2607</v>
      </c>
      <c r="C90" s="92">
        <v>9.8000000000000004E-2</v>
      </c>
      <c r="D90" s="92">
        <v>9.8000000000000004E-2</v>
      </c>
      <c r="E90" s="92">
        <v>8.7999999999999995E-2</v>
      </c>
      <c r="F90" s="100"/>
    </row>
    <row r="91" spans="1:6">
      <c r="A91" s="87" t="s">
        <v>270</v>
      </c>
      <c r="B91" s="91" t="s">
        <v>2617</v>
      </c>
      <c r="C91" s="92">
        <v>9.9000000000000005E-2</v>
      </c>
      <c r="D91" s="92">
        <v>9.9000000000000005E-2</v>
      </c>
      <c r="E91" s="92">
        <v>9.0999999999999998E-2</v>
      </c>
      <c r="F91" s="100"/>
    </row>
    <row r="92" spans="1:6">
      <c r="A92" s="87" t="s">
        <v>270</v>
      </c>
      <c r="B92" s="91" t="s">
        <v>2627</v>
      </c>
      <c r="C92" s="92">
        <v>9.6000000000000002E-2</v>
      </c>
      <c r="D92" s="92">
        <v>9.6000000000000002E-2</v>
      </c>
      <c r="E92" s="92">
        <v>7.2999999999999995E-2</v>
      </c>
      <c r="F92" s="100"/>
    </row>
    <row r="93" spans="1:6">
      <c r="A93" s="87" t="s">
        <v>270</v>
      </c>
      <c r="B93" s="91" t="s">
        <v>2637</v>
      </c>
      <c r="C93" s="92">
        <v>9.6000000000000002E-2</v>
      </c>
      <c r="D93" s="92">
        <v>9.6000000000000002E-2</v>
      </c>
      <c r="E93" s="92">
        <v>9.9000000000000005E-2</v>
      </c>
      <c r="F93" s="100"/>
    </row>
    <row r="94" spans="1:6">
      <c r="A94" s="87" t="s">
        <v>270</v>
      </c>
      <c r="B94" s="91" t="s">
        <v>2647</v>
      </c>
      <c r="C94" s="92">
        <v>7.5999999999999998E-2</v>
      </c>
      <c r="D94" s="92">
        <v>7.3999999999999996E-2</v>
      </c>
      <c r="E94" s="92">
        <v>9.7000000000000003E-2</v>
      </c>
      <c r="F94" s="100"/>
    </row>
    <row r="95" spans="1:6">
      <c r="A95" s="87" t="s">
        <v>270</v>
      </c>
      <c r="B95" s="91" t="s">
        <v>2656</v>
      </c>
      <c r="C95" s="92">
        <v>9.9000000000000005E-2</v>
      </c>
      <c r="D95" s="92">
        <v>9.4E-2</v>
      </c>
      <c r="E95" s="92">
        <v>9.6000000000000002E-2</v>
      </c>
      <c r="F95" s="100"/>
    </row>
    <row r="96" spans="1:6">
      <c r="A96" s="87" t="s">
        <v>270</v>
      </c>
      <c r="B96" s="91" t="s">
        <v>2664</v>
      </c>
      <c r="C96" s="92">
        <v>9.9000000000000005E-2</v>
      </c>
      <c r="D96" s="92">
        <v>9.9000000000000005E-2</v>
      </c>
      <c r="E96" s="92">
        <v>9.9000000000000005E-2</v>
      </c>
      <c r="F96" s="100"/>
    </row>
    <row r="97" spans="1:6">
      <c r="A97" s="87" t="s">
        <v>270</v>
      </c>
      <c r="B97" s="91" t="s">
        <v>2672</v>
      </c>
      <c r="C97" s="92">
        <v>9.8000000000000004E-2</v>
      </c>
      <c r="D97" s="92">
        <v>9.8000000000000004E-2</v>
      </c>
      <c r="E97" s="92">
        <v>9.7000000000000003E-2</v>
      </c>
      <c r="F97" s="100"/>
    </row>
    <row r="98" spans="1:6">
      <c r="A98" s="87" t="s">
        <v>270</v>
      </c>
      <c r="B98" s="91" t="s">
        <v>2679</v>
      </c>
      <c r="C98" s="92">
        <v>0.1</v>
      </c>
      <c r="D98" s="92">
        <v>0.1</v>
      </c>
      <c r="E98" s="92">
        <v>9.7000000000000003E-2</v>
      </c>
      <c r="F98" s="100"/>
    </row>
    <row r="99" spans="1:6">
      <c r="A99" s="87" t="s">
        <v>270</v>
      </c>
      <c r="B99" s="91" t="s">
        <v>2686</v>
      </c>
      <c r="C99" s="92">
        <v>0.1</v>
      </c>
      <c r="D99" s="92">
        <v>0.1</v>
      </c>
      <c r="E99" s="101"/>
      <c r="F99" s="100"/>
    </row>
    <row r="100" spans="1:6">
      <c r="A100" s="87" t="s">
        <v>270</v>
      </c>
      <c r="B100" s="91" t="s">
        <v>2693</v>
      </c>
      <c r="C100" s="92">
        <v>0.09</v>
      </c>
      <c r="D100" s="92">
        <v>8.8999999999999996E-2</v>
      </c>
      <c r="E100" s="101"/>
      <c r="F100" s="100"/>
    </row>
    <row r="101" spans="1:6">
      <c r="A101" s="87" t="s">
        <v>270</v>
      </c>
      <c r="B101" s="91" t="s">
        <v>2700</v>
      </c>
      <c r="C101" s="92">
        <v>9.8000000000000004E-2</v>
      </c>
      <c r="D101" s="92">
        <v>9.7000000000000003E-2</v>
      </c>
      <c r="E101" s="101"/>
      <c r="F101" s="100"/>
    </row>
    <row r="102" spans="1:6">
      <c r="A102" s="87" t="s">
        <v>270</v>
      </c>
      <c r="B102" s="91" t="s">
        <v>2707</v>
      </c>
      <c r="C102" s="101"/>
      <c r="D102" s="101"/>
      <c r="E102" s="101"/>
      <c r="F102" s="93">
        <v>0.05</v>
      </c>
    </row>
    <row r="103" spans="1:6" ht="24">
      <c r="A103" s="87" t="s">
        <v>270</v>
      </c>
      <c r="B103" s="91" t="s">
        <v>2712</v>
      </c>
      <c r="C103" s="101"/>
      <c r="D103" s="101"/>
      <c r="E103" s="101"/>
      <c r="F103" s="93">
        <v>0.05</v>
      </c>
    </row>
    <row r="104" spans="1:6">
      <c r="A104" s="87" t="s">
        <v>270</v>
      </c>
      <c r="B104" s="91" t="s">
        <v>2717</v>
      </c>
      <c r="C104" s="101"/>
      <c r="D104" s="101"/>
      <c r="E104" s="101"/>
      <c r="F104" s="93">
        <v>0.05</v>
      </c>
    </row>
    <row r="105" spans="1:6">
      <c r="A105" s="87" t="s">
        <v>270</v>
      </c>
      <c r="B105" s="91" t="s">
        <v>2722</v>
      </c>
      <c r="C105" s="101"/>
      <c r="D105" s="101"/>
      <c r="E105" s="101"/>
      <c r="F105" s="93">
        <v>0.05</v>
      </c>
    </row>
    <row r="106" spans="1:6">
      <c r="A106" s="87" t="s">
        <v>270</v>
      </c>
      <c r="B106" s="91" t="s">
        <v>2727</v>
      </c>
      <c r="C106" s="101"/>
      <c r="D106" s="101"/>
      <c r="E106" s="101"/>
      <c r="F106" s="93">
        <v>0.05</v>
      </c>
    </row>
    <row r="107" spans="1:6" ht="24">
      <c r="A107" s="87" t="s">
        <v>270</v>
      </c>
      <c r="B107" s="91" t="s">
        <v>2732</v>
      </c>
      <c r="C107" s="101"/>
      <c r="D107" s="101"/>
      <c r="E107" s="101"/>
      <c r="F107" s="93">
        <v>0.05</v>
      </c>
    </row>
    <row r="108" spans="1:6" ht="24">
      <c r="A108" s="87" t="s">
        <v>270</v>
      </c>
      <c r="B108" s="91" t="s">
        <v>2737</v>
      </c>
      <c r="C108" s="101"/>
      <c r="D108" s="101"/>
      <c r="E108" s="101"/>
      <c r="F108" s="93">
        <v>0.05</v>
      </c>
    </row>
    <row r="109" spans="1:6" ht="24">
      <c r="A109" s="95" t="s">
        <v>270</v>
      </c>
      <c r="B109" s="102" t="s">
        <v>2742</v>
      </c>
      <c r="C109" s="98"/>
      <c r="D109" s="98"/>
      <c r="E109" s="98"/>
      <c r="F109" s="103">
        <v>0.05</v>
      </c>
    </row>
    <row r="110" spans="1:6">
      <c r="A110" s="87" t="s">
        <v>276</v>
      </c>
      <c r="B110" s="88" t="s">
        <v>2454</v>
      </c>
      <c r="C110" s="89">
        <v>0.129</v>
      </c>
      <c r="D110" s="89">
        <v>0.129</v>
      </c>
      <c r="E110" s="89">
        <v>0.126</v>
      </c>
      <c r="F110" s="90">
        <v>0.13</v>
      </c>
    </row>
    <row r="111" spans="1:6">
      <c r="A111" s="87" t="s">
        <v>276</v>
      </c>
      <c r="B111" s="91" t="s">
        <v>2467</v>
      </c>
      <c r="C111" s="92">
        <v>0.11</v>
      </c>
      <c r="D111" s="92">
        <v>0.11</v>
      </c>
      <c r="E111" s="92">
        <v>9.9000000000000005E-2</v>
      </c>
      <c r="F111" s="93">
        <v>0.128</v>
      </c>
    </row>
    <row r="112" spans="1:6">
      <c r="A112" s="87" t="s">
        <v>276</v>
      </c>
      <c r="B112" s="91" t="s">
        <v>2481</v>
      </c>
      <c r="C112" s="92">
        <v>0.125</v>
      </c>
      <c r="D112" s="92">
        <v>0.125</v>
      </c>
      <c r="E112" s="92">
        <v>0.12</v>
      </c>
      <c r="F112" s="93">
        <v>0.125</v>
      </c>
    </row>
    <row r="113" spans="1:6">
      <c r="A113" s="87" t="s">
        <v>276</v>
      </c>
      <c r="B113" s="91" t="s">
        <v>2493</v>
      </c>
      <c r="C113" s="92">
        <v>0.13</v>
      </c>
      <c r="D113" s="92">
        <v>0.13</v>
      </c>
      <c r="E113" s="92">
        <v>0.13</v>
      </c>
      <c r="F113" s="93">
        <v>0.13</v>
      </c>
    </row>
    <row r="114" spans="1:6">
      <c r="A114" s="87" t="s">
        <v>276</v>
      </c>
      <c r="B114" s="91" t="s">
        <v>2505</v>
      </c>
      <c r="C114" s="92">
        <v>0.123</v>
      </c>
      <c r="D114" s="92">
        <v>0.123</v>
      </c>
      <c r="E114" s="92">
        <v>0.12</v>
      </c>
      <c r="F114" s="93">
        <v>0.13</v>
      </c>
    </row>
    <row r="115" spans="1:6">
      <c r="A115" s="87" t="s">
        <v>276</v>
      </c>
      <c r="B115" s="91" t="s">
        <v>2516</v>
      </c>
      <c r="C115" s="92">
        <v>0.125</v>
      </c>
      <c r="D115" s="92">
        <v>0.125</v>
      </c>
      <c r="E115" s="92">
        <v>0.11700000000000001</v>
      </c>
      <c r="F115" s="93">
        <v>0.13</v>
      </c>
    </row>
    <row r="116" spans="1:6">
      <c r="A116" s="87" t="s">
        <v>276</v>
      </c>
      <c r="B116" s="91" t="s">
        <v>2527</v>
      </c>
      <c r="C116" s="92">
        <v>0.11700000000000001</v>
      </c>
      <c r="D116" s="92">
        <v>0.11700000000000001</v>
      </c>
      <c r="E116" s="92">
        <v>8.7999999999999995E-2</v>
      </c>
      <c r="F116" s="93">
        <v>0.13</v>
      </c>
    </row>
    <row r="117" spans="1:6">
      <c r="A117" s="87" t="s">
        <v>276</v>
      </c>
      <c r="B117" s="91" t="s">
        <v>2538</v>
      </c>
      <c r="C117" s="92">
        <v>0.13</v>
      </c>
      <c r="D117" s="92">
        <v>0.13</v>
      </c>
      <c r="E117" s="92">
        <v>0.129</v>
      </c>
      <c r="F117" s="93">
        <v>0.13</v>
      </c>
    </row>
    <row r="118" spans="1:6">
      <c r="A118" s="87" t="s">
        <v>276</v>
      </c>
      <c r="B118" s="91" t="s">
        <v>2548</v>
      </c>
      <c r="C118" s="92">
        <v>0.123</v>
      </c>
      <c r="D118" s="92">
        <v>0.123</v>
      </c>
      <c r="E118" s="92">
        <v>0.11600000000000001</v>
      </c>
      <c r="F118" s="93">
        <v>0.13</v>
      </c>
    </row>
    <row r="119" spans="1:6">
      <c r="A119" s="87" t="s">
        <v>276</v>
      </c>
      <c r="B119" s="91" t="s">
        <v>2558</v>
      </c>
      <c r="C119" s="92">
        <v>0.127</v>
      </c>
      <c r="D119" s="92">
        <v>0.127</v>
      </c>
      <c r="E119" s="92">
        <v>0.124</v>
      </c>
      <c r="F119" s="93">
        <v>0.13</v>
      </c>
    </row>
    <row r="120" spans="1:6">
      <c r="A120" s="87" t="s">
        <v>276</v>
      </c>
      <c r="B120" s="91" t="s">
        <v>2568</v>
      </c>
      <c r="C120" s="92">
        <v>0.125</v>
      </c>
      <c r="D120" s="92">
        <v>0.125</v>
      </c>
      <c r="E120" s="92">
        <v>0.122</v>
      </c>
      <c r="F120" s="93">
        <v>0.13</v>
      </c>
    </row>
    <row r="121" spans="1:6">
      <c r="A121" s="87" t="s">
        <v>276</v>
      </c>
      <c r="B121" s="91" t="s">
        <v>2578</v>
      </c>
      <c r="C121" s="92">
        <v>0.13</v>
      </c>
      <c r="D121" s="92">
        <v>0.13</v>
      </c>
      <c r="E121" s="92">
        <v>0.13</v>
      </c>
      <c r="F121" s="93">
        <v>0.13</v>
      </c>
    </row>
    <row r="122" spans="1:6">
      <c r="A122" s="87" t="s">
        <v>276</v>
      </c>
      <c r="B122" s="91" t="s">
        <v>2588</v>
      </c>
      <c r="C122" s="92">
        <v>0.13</v>
      </c>
      <c r="D122" s="92">
        <v>0.13</v>
      </c>
      <c r="E122" s="92">
        <v>0.125</v>
      </c>
      <c r="F122" s="93">
        <v>0.13</v>
      </c>
    </row>
    <row r="123" spans="1:6">
      <c r="A123" s="87" t="s">
        <v>276</v>
      </c>
      <c r="B123" s="91" t="s">
        <v>2598</v>
      </c>
      <c r="C123" s="92">
        <v>0.129</v>
      </c>
      <c r="D123" s="92">
        <v>0.129</v>
      </c>
      <c r="E123" s="92">
        <v>0.123</v>
      </c>
      <c r="F123" s="93">
        <v>0.13</v>
      </c>
    </row>
    <row r="124" spans="1:6">
      <c r="A124" s="87" t="s">
        <v>276</v>
      </c>
      <c r="B124" s="91" t="s">
        <v>2608</v>
      </c>
      <c r="C124" s="92">
        <v>0.10199999999999999</v>
      </c>
      <c r="D124" s="92">
        <v>0.10100000000000001</v>
      </c>
      <c r="E124" s="92">
        <v>0.08</v>
      </c>
      <c r="F124" s="100"/>
    </row>
    <row r="125" spans="1:6">
      <c r="A125" s="87" t="s">
        <v>276</v>
      </c>
      <c r="B125" s="91" t="s">
        <v>2618</v>
      </c>
      <c r="C125" s="92">
        <v>0.13</v>
      </c>
      <c r="D125" s="92">
        <v>0.13</v>
      </c>
      <c r="E125" s="92">
        <v>0.129</v>
      </c>
      <c r="F125" s="100"/>
    </row>
    <row r="126" spans="1:6">
      <c r="A126" s="87" t="s">
        <v>276</v>
      </c>
      <c r="B126" s="91" t="s">
        <v>2628</v>
      </c>
      <c r="C126" s="92">
        <v>0.13</v>
      </c>
      <c r="D126" s="92">
        <v>0.13</v>
      </c>
      <c r="E126" s="92">
        <v>0.126</v>
      </c>
      <c r="F126" s="100"/>
    </row>
    <row r="127" spans="1:6">
      <c r="A127" s="87" t="s">
        <v>276</v>
      </c>
      <c r="B127" s="91" t="s">
        <v>2638</v>
      </c>
      <c r="C127" s="92">
        <v>0.125</v>
      </c>
      <c r="D127" s="92">
        <v>0.125</v>
      </c>
      <c r="E127" s="92">
        <v>0.121</v>
      </c>
      <c r="F127" s="100"/>
    </row>
    <row r="128" spans="1:6">
      <c r="A128" s="87" t="s">
        <v>276</v>
      </c>
      <c r="B128" s="91" t="s">
        <v>2648</v>
      </c>
      <c r="C128" s="92">
        <v>0.12</v>
      </c>
      <c r="D128" s="92">
        <v>0.12</v>
      </c>
      <c r="E128" s="92">
        <v>0.105</v>
      </c>
      <c r="F128" s="100"/>
    </row>
    <row r="129" spans="1:6">
      <c r="A129" s="87" t="s">
        <v>276</v>
      </c>
      <c r="B129" s="91" t="s">
        <v>2657</v>
      </c>
      <c r="C129" s="92">
        <v>0.13</v>
      </c>
      <c r="D129" s="92">
        <v>0.13</v>
      </c>
      <c r="E129" s="92">
        <v>0.126</v>
      </c>
      <c r="F129" s="100"/>
    </row>
    <row r="130" spans="1:6">
      <c r="A130" s="87" t="s">
        <v>276</v>
      </c>
      <c r="B130" s="91" t="s">
        <v>2665</v>
      </c>
      <c r="C130" s="92">
        <v>0.125</v>
      </c>
      <c r="D130" s="92">
        <v>0.125</v>
      </c>
      <c r="E130" s="92">
        <v>0.122</v>
      </c>
      <c r="F130" s="100"/>
    </row>
    <row r="131" spans="1:6">
      <c r="A131" s="87" t="s">
        <v>276</v>
      </c>
      <c r="B131" s="91" t="s">
        <v>2673</v>
      </c>
      <c r="C131" s="92">
        <v>0.127</v>
      </c>
      <c r="D131" s="92">
        <v>0.126</v>
      </c>
      <c r="E131" s="92">
        <v>0.123</v>
      </c>
      <c r="F131" s="100"/>
    </row>
    <row r="132" spans="1:6">
      <c r="A132" s="87" t="s">
        <v>276</v>
      </c>
      <c r="B132" s="91" t="s">
        <v>2680</v>
      </c>
      <c r="C132" s="92">
        <v>9.0999999999999998E-2</v>
      </c>
      <c r="D132" s="92">
        <v>0.121</v>
      </c>
      <c r="E132" s="92">
        <v>9.9000000000000005E-2</v>
      </c>
      <c r="F132" s="100"/>
    </row>
    <row r="133" spans="1:6">
      <c r="A133" s="87" t="s">
        <v>276</v>
      </c>
      <c r="B133" s="91" t="s">
        <v>2687</v>
      </c>
      <c r="C133" s="92">
        <v>0.13</v>
      </c>
      <c r="D133" s="92">
        <v>0.13</v>
      </c>
      <c r="E133" s="92">
        <v>0.129</v>
      </c>
      <c r="F133" s="100"/>
    </row>
    <row r="134" spans="1:6">
      <c r="A134" s="87" t="s">
        <v>276</v>
      </c>
      <c r="B134" s="91" t="s">
        <v>2694</v>
      </c>
      <c r="C134" s="92">
        <v>6.8000000000000005E-2</v>
      </c>
      <c r="D134" s="92">
        <v>6.5000000000000002E-2</v>
      </c>
      <c r="E134" s="92">
        <v>6.5000000000000002E-2</v>
      </c>
      <c r="F134" s="93">
        <v>0.13</v>
      </c>
    </row>
    <row r="135" spans="1:6">
      <c r="A135" s="87" t="s">
        <v>276</v>
      </c>
      <c r="B135" s="91" t="s">
        <v>2701</v>
      </c>
      <c r="C135" s="92">
        <v>0.123</v>
      </c>
      <c r="D135" s="92">
        <v>0.123</v>
      </c>
      <c r="E135" s="92">
        <v>0.11</v>
      </c>
      <c r="F135" s="100"/>
    </row>
    <row r="136" spans="1:6">
      <c r="A136" s="87" t="s">
        <v>276</v>
      </c>
      <c r="B136" s="91" t="s">
        <v>2708</v>
      </c>
      <c r="C136" s="92">
        <v>0.13</v>
      </c>
      <c r="D136" s="92">
        <v>0.13</v>
      </c>
      <c r="E136" s="92">
        <v>0.125</v>
      </c>
      <c r="F136" s="100"/>
    </row>
    <row r="137" spans="1:6">
      <c r="A137" s="87" t="s">
        <v>276</v>
      </c>
      <c r="B137" s="91" t="s">
        <v>2713</v>
      </c>
      <c r="C137" s="92">
        <v>0.121</v>
      </c>
      <c r="D137" s="92">
        <v>0.122</v>
      </c>
      <c r="E137" s="92">
        <v>0.115</v>
      </c>
      <c r="F137" s="100"/>
    </row>
    <row r="138" spans="1:6">
      <c r="A138" s="87" t="s">
        <v>276</v>
      </c>
      <c r="B138" s="91" t="s">
        <v>2718</v>
      </c>
      <c r="C138" s="92">
        <v>0.105</v>
      </c>
      <c r="D138" s="92">
        <v>0.125</v>
      </c>
      <c r="E138" s="92">
        <v>0.112</v>
      </c>
      <c r="F138" s="100"/>
    </row>
    <row r="139" spans="1:6">
      <c r="A139" s="87" t="s">
        <v>276</v>
      </c>
      <c r="B139" s="91" t="s">
        <v>2723</v>
      </c>
      <c r="C139" s="92">
        <v>0.127</v>
      </c>
      <c r="D139" s="92">
        <v>0.127</v>
      </c>
      <c r="E139" s="92">
        <v>0.122</v>
      </c>
      <c r="F139" s="93">
        <v>0.13</v>
      </c>
    </row>
    <row r="140" spans="1:6">
      <c r="A140" s="87" t="s">
        <v>276</v>
      </c>
      <c r="B140" s="91" t="s">
        <v>2728</v>
      </c>
      <c r="C140" s="92">
        <v>0.125</v>
      </c>
      <c r="D140" s="92">
        <v>0.125</v>
      </c>
      <c r="E140" s="92">
        <v>0.11899999999999999</v>
      </c>
      <c r="F140" s="93">
        <v>0.13</v>
      </c>
    </row>
    <row r="141" spans="1:6">
      <c r="A141" s="87" t="s">
        <v>276</v>
      </c>
      <c r="B141" s="91" t="s">
        <v>2733</v>
      </c>
      <c r="C141" s="92">
        <v>0.125</v>
      </c>
      <c r="D141" s="92">
        <v>0.125</v>
      </c>
      <c r="E141" s="92">
        <v>0.11700000000000001</v>
      </c>
      <c r="F141" s="100"/>
    </row>
    <row r="142" spans="1:6">
      <c r="A142" s="87" t="s">
        <v>276</v>
      </c>
      <c r="B142" s="91" t="s">
        <v>2738</v>
      </c>
      <c r="C142" s="92">
        <v>0.125</v>
      </c>
      <c r="D142" s="92">
        <v>0.125</v>
      </c>
      <c r="E142" s="92">
        <v>0.115</v>
      </c>
      <c r="F142" s="100"/>
    </row>
    <row r="143" spans="1:6">
      <c r="A143" s="87" t="s">
        <v>276</v>
      </c>
      <c r="B143" s="91" t="s">
        <v>2743</v>
      </c>
      <c r="C143" s="92">
        <v>0.121</v>
      </c>
      <c r="D143" s="92">
        <v>0.121</v>
      </c>
      <c r="E143" s="92">
        <v>0.108</v>
      </c>
      <c r="F143" s="100"/>
    </row>
    <row r="144" spans="1:6">
      <c r="A144" s="87" t="s">
        <v>276</v>
      </c>
      <c r="B144" s="104" t="s">
        <v>2747</v>
      </c>
      <c r="C144" s="105">
        <v>0.126</v>
      </c>
      <c r="D144" s="105">
        <v>0.126</v>
      </c>
      <c r="E144" s="105">
        <v>0.121</v>
      </c>
      <c r="F144" s="100"/>
    </row>
    <row r="145" spans="1:6">
      <c r="A145" s="95" t="s">
        <v>276</v>
      </c>
      <c r="B145" s="106" t="s">
        <v>2751</v>
      </c>
      <c r="C145" s="107"/>
      <c r="D145" s="107"/>
      <c r="E145" s="107"/>
      <c r="F145" s="108">
        <v>0.05</v>
      </c>
    </row>
    <row r="146" spans="1:6" ht="24">
      <c r="A146" s="109" t="s">
        <v>276</v>
      </c>
      <c r="B146" s="94" t="s">
        <v>2755</v>
      </c>
      <c r="C146" s="101"/>
      <c r="D146" s="101"/>
      <c r="E146" s="101"/>
      <c r="F146" s="110">
        <v>0.05</v>
      </c>
    </row>
    <row r="147" spans="1:6" ht="24">
      <c r="A147" s="87" t="s">
        <v>276</v>
      </c>
      <c r="B147" s="91" t="s">
        <v>2759</v>
      </c>
      <c r="C147" s="101"/>
      <c r="D147" s="101"/>
      <c r="E147" s="101"/>
      <c r="F147" s="93">
        <v>0.05</v>
      </c>
    </row>
    <row r="148" spans="1:6" ht="24">
      <c r="A148" s="87" t="s">
        <v>276</v>
      </c>
      <c r="B148" s="91" t="s">
        <v>2763</v>
      </c>
      <c r="C148" s="101"/>
      <c r="D148" s="101"/>
      <c r="E148" s="101"/>
      <c r="F148" s="93">
        <v>0.05</v>
      </c>
    </row>
    <row r="149" spans="1:6" ht="24">
      <c r="A149" s="87" t="s">
        <v>276</v>
      </c>
      <c r="B149" s="91" t="s">
        <v>2767</v>
      </c>
      <c r="C149" s="101"/>
      <c r="D149" s="101"/>
      <c r="E149" s="101"/>
      <c r="F149" s="93">
        <v>0.05</v>
      </c>
    </row>
    <row r="150" spans="1:6" ht="24">
      <c r="A150" s="87" t="s">
        <v>276</v>
      </c>
      <c r="B150" s="91" t="s">
        <v>2770</v>
      </c>
      <c r="C150" s="101"/>
      <c r="D150" s="101"/>
      <c r="E150" s="101"/>
      <c r="F150" s="93">
        <v>0.05</v>
      </c>
    </row>
    <row r="151" spans="1:6" ht="24">
      <c r="A151" s="87" t="s">
        <v>276</v>
      </c>
      <c r="B151" s="91" t="s">
        <v>2773</v>
      </c>
      <c r="C151" s="101"/>
      <c r="D151" s="101"/>
      <c r="E151" s="101"/>
      <c r="F151" s="93">
        <v>0.05</v>
      </c>
    </row>
    <row r="152" spans="1:6" ht="24">
      <c r="A152" s="87" t="s">
        <v>276</v>
      </c>
      <c r="B152" s="91" t="s">
        <v>2776</v>
      </c>
      <c r="C152" s="101"/>
      <c r="D152" s="101"/>
      <c r="E152" s="101"/>
      <c r="F152" s="93">
        <v>0.05</v>
      </c>
    </row>
    <row r="153" spans="1:6">
      <c r="A153" s="87" t="s">
        <v>276</v>
      </c>
      <c r="B153" s="91" t="s">
        <v>2779</v>
      </c>
      <c r="C153" s="101"/>
      <c r="D153" s="101"/>
      <c r="E153" s="101"/>
      <c r="F153" s="93">
        <v>0.05</v>
      </c>
    </row>
    <row r="154" spans="1:6">
      <c r="A154" s="87" t="s">
        <v>276</v>
      </c>
      <c r="B154" s="91" t="s">
        <v>2782</v>
      </c>
      <c r="C154" s="101"/>
      <c r="D154" s="101"/>
      <c r="E154" s="101"/>
      <c r="F154" s="93">
        <v>0.05</v>
      </c>
    </row>
    <row r="155" spans="1:6" ht="24">
      <c r="A155" s="87" t="s">
        <v>276</v>
      </c>
      <c r="B155" s="91" t="s">
        <v>2785</v>
      </c>
      <c r="C155" s="101"/>
      <c r="D155" s="101"/>
      <c r="E155" s="101"/>
      <c r="F155" s="93">
        <v>0.05</v>
      </c>
    </row>
    <row r="156" spans="1:6" ht="24">
      <c r="A156" s="87" t="s">
        <v>276</v>
      </c>
      <c r="B156" s="91" t="s">
        <v>2787</v>
      </c>
      <c r="C156" s="101"/>
      <c r="D156" s="101"/>
      <c r="E156" s="101"/>
      <c r="F156" s="93">
        <v>0.05</v>
      </c>
    </row>
    <row r="157" spans="1:6">
      <c r="A157" s="95" t="s">
        <v>276</v>
      </c>
      <c r="B157" s="102" t="s">
        <v>2789</v>
      </c>
      <c r="C157" s="98"/>
      <c r="D157" s="98"/>
      <c r="E157" s="98"/>
      <c r="F157" s="103">
        <v>0.05</v>
      </c>
    </row>
    <row r="158" spans="1:6">
      <c r="A158" s="87" t="s">
        <v>281</v>
      </c>
      <c r="B158" s="88" t="s">
        <v>2455</v>
      </c>
      <c r="C158" s="89">
        <v>0.13</v>
      </c>
      <c r="D158" s="89">
        <v>0.13</v>
      </c>
      <c r="E158" s="89">
        <v>0.13</v>
      </c>
      <c r="F158" s="90">
        <v>0.13</v>
      </c>
    </row>
    <row r="159" spans="1:6">
      <c r="A159" s="87" t="s">
        <v>281</v>
      </c>
      <c r="B159" s="91" t="s">
        <v>2468</v>
      </c>
      <c r="C159" s="92">
        <v>0.13</v>
      </c>
      <c r="D159" s="92">
        <v>0.13</v>
      </c>
      <c r="E159" s="92">
        <v>0.13</v>
      </c>
      <c r="F159" s="93">
        <v>0.13</v>
      </c>
    </row>
    <row r="160" spans="1:6">
      <c r="A160" s="87" t="s">
        <v>281</v>
      </c>
      <c r="B160" s="91" t="s">
        <v>2482</v>
      </c>
      <c r="C160" s="92">
        <v>0.13</v>
      </c>
      <c r="D160" s="92">
        <v>0.13</v>
      </c>
      <c r="E160" s="92">
        <v>0.129</v>
      </c>
      <c r="F160" s="93">
        <v>0.13</v>
      </c>
    </row>
    <row r="161" spans="1:6">
      <c r="A161" s="87" t="s">
        <v>281</v>
      </c>
      <c r="B161" s="91" t="s">
        <v>2494</v>
      </c>
      <c r="C161" s="92">
        <v>0.128</v>
      </c>
      <c r="D161" s="92">
        <v>0.128</v>
      </c>
      <c r="E161" s="92">
        <v>0.125</v>
      </c>
      <c r="F161" s="93">
        <v>0.13</v>
      </c>
    </row>
    <row r="162" spans="1:6">
      <c r="A162" s="87" t="s">
        <v>281</v>
      </c>
      <c r="B162" s="91" t="s">
        <v>2506</v>
      </c>
      <c r="C162" s="92">
        <v>0.122</v>
      </c>
      <c r="D162" s="92">
        <v>0.122</v>
      </c>
      <c r="E162" s="92">
        <v>0.126</v>
      </c>
      <c r="F162" s="93">
        <v>0.122</v>
      </c>
    </row>
    <row r="163" spans="1:6">
      <c r="A163" s="87" t="s">
        <v>281</v>
      </c>
      <c r="B163" s="91" t="s">
        <v>2517</v>
      </c>
      <c r="C163" s="92">
        <v>0.13</v>
      </c>
      <c r="D163" s="92">
        <v>0.13</v>
      </c>
      <c r="E163" s="92">
        <v>0.125</v>
      </c>
      <c r="F163" s="93">
        <v>0.13</v>
      </c>
    </row>
    <row r="164" spans="1:6">
      <c r="A164" s="87" t="s">
        <v>281</v>
      </c>
      <c r="B164" s="91" t="s">
        <v>2528</v>
      </c>
      <c r="C164" s="92">
        <v>0.13</v>
      </c>
      <c r="D164" s="92">
        <v>0.13</v>
      </c>
      <c r="E164" s="92">
        <v>0.13</v>
      </c>
      <c r="F164" s="93">
        <v>0.13</v>
      </c>
    </row>
    <row r="165" spans="1:6">
      <c r="A165" s="87" t="s">
        <v>281</v>
      </c>
      <c r="B165" s="91" t="s">
        <v>2539</v>
      </c>
      <c r="C165" s="92">
        <v>0.13</v>
      </c>
      <c r="D165" s="92">
        <v>0.13</v>
      </c>
      <c r="E165" s="92">
        <v>0.124</v>
      </c>
      <c r="F165" s="93">
        <v>0.13</v>
      </c>
    </row>
    <row r="166" spans="1:6">
      <c r="A166" s="87" t="s">
        <v>281</v>
      </c>
      <c r="B166" s="91" t="s">
        <v>2549</v>
      </c>
      <c r="C166" s="92">
        <v>0.13</v>
      </c>
      <c r="D166" s="92">
        <v>0.13</v>
      </c>
      <c r="E166" s="92">
        <v>0.13</v>
      </c>
      <c r="F166" s="93">
        <v>0.13</v>
      </c>
    </row>
    <row r="167" spans="1:6">
      <c r="A167" s="87" t="s">
        <v>281</v>
      </c>
      <c r="B167" s="91" t="s">
        <v>2559</v>
      </c>
      <c r="C167" s="92">
        <v>0.125</v>
      </c>
      <c r="D167" s="92">
        <v>0.125</v>
      </c>
      <c r="E167" s="92">
        <v>0.121</v>
      </c>
      <c r="F167" s="100"/>
    </row>
    <row r="168" spans="1:6">
      <c r="A168" s="87" t="s">
        <v>281</v>
      </c>
      <c r="B168" s="91" t="s">
        <v>2569</v>
      </c>
      <c r="C168" s="92">
        <v>0.13</v>
      </c>
      <c r="D168" s="92">
        <v>0.13</v>
      </c>
      <c r="E168" s="92">
        <v>0.126</v>
      </c>
      <c r="F168" s="100"/>
    </row>
    <row r="169" spans="1:6">
      <c r="A169" s="87" t="s">
        <v>281</v>
      </c>
      <c r="B169" s="91" t="s">
        <v>2579</v>
      </c>
      <c r="C169" s="92">
        <v>0.128</v>
      </c>
      <c r="D169" s="92">
        <v>0.129</v>
      </c>
      <c r="E169" s="92">
        <v>0.13</v>
      </c>
      <c r="F169" s="100"/>
    </row>
    <row r="170" spans="1:6">
      <c r="A170" s="87" t="s">
        <v>281</v>
      </c>
      <c r="B170" s="91" t="s">
        <v>2589</v>
      </c>
      <c r="C170" s="92">
        <v>0.14099999999999999</v>
      </c>
      <c r="D170" s="92">
        <v>0.13</v>
      </c>
      <c r="E170" s="92">
        <v>0.125</v>
      </c>
      <c r="F170" s="100"/>
    </row>
    <row r="171" spans="1:6">
      <c r="A171" s="87" t="s">
        <v>281</v>
      </c>
      <c r="B171" s="91" t="s">
        <v>2599</v>
      </c>
      <c r="C171" s="92">
        <v>0.127</v>
      </c>
      <c r="D171" s="92">
        <v>0.126</v>
      </c>
      <c r="E171" s="92">
        <v>0.126</v>
      </c>
      <c r="F171" s="93">
        <v>0.11799999999999999</v>
      </c>
    </row>
    <row r="172" spans="1:6">
      <c r="A172" s="87" t="s">
        <v>281</v>
      </c>
      <c r="B172" s="91" t="s">
        <v>2609</v>
      </c>
      <c r="C172" s="92">
        <v>0.13</v>
      </c>
      <c r="D172" s="92">
        <v>0.13</v>
      </c>
      <c r="E172" s="92">
        <v>0.13</v>
      </c>
      <c r="F172" s="100"/>
    </row>
    <row r="173" spans="1:6">
      <c r="A173" s="87" t="s">
        <v>281</v>
      </c>
      <c r="B173" s="91" t="s">
        <v>2619</v>
      </c>
      <c r="C173" s="92">
        <v>0.13</v>
      </c>
      <c r="D173" s="92">
        <v>0.13</v>
      </c>
      <c r="E173" s="92">
        <v>0.13</v>
      </c>
      <c r="F173" s="100"/>
    </row>
    <row r="174" spans="1:6">
      <c r="A174" s="87" t="s">
        <v>281</v>
      </c>
      <c r="B174" s="91" t="s">
        <v>2629</v>
      </c>
      <c r="C174" s="92">
        <v>0.13</v>
      </c>
      <c r="D174" s="92">
        <v>0.13</v>
      </c>
      <c r="E174" s="92">
        <v>0.13</v>
      </c>
      <c r="F174" s="93">
        <v>0.13</v>
      </c>
    </row>
    <row r="175" spans="1:6">
      <c r="A175" s="87" t="s">
        <v>281</v>
      </c>
      <c r="B175" s="91" t="s">
        <v>2639</v>
      </c>
      <c r="C175" s="92">
        <v>0.13</v>
      </c>
      <c r="D175" s="92">
        <v>0.13</v>
      </c>
      <c r="E175" s="92">
        <v>0.13</v>
      </c>
      <c r="F175" s="93">
        <v>0.13</v>
      </c>
    </row>
    <row r="176" spans="1:6">
      <c r="A176" s="87" t="s">
        <v>281</v>
      </c>
      <c r="B176" s="91" t="s">
        <v>2649</v>
      </c>
      <c r="C176" s="92">
        <v>0.13</v>
      </c>
      <c r="D176" s="92">
        <v>0.13</v>
      </c>
      <c r="E176" s="92">
        <v>0.13</v>
      </c>
      <c r="F176" s="93">
        <v>0.13</v>
      </c>
    </row>
    <row r="177" spans="1:6">
      <c r="A177" s="87" t="s">
        <v>281</v>
      </c>
      <c r="B177" s="91" t="s">
        <v>2658</v>
      </c>
      <c r="C177" s="92">
        <v>0.13</v>
      </c>
      <c r="D177" s="92">
        <v>0.13</v>
      </c>
      <c r="E177" s="92">
        <v>0.13</v>
      </c>
      <c r="F177" s="93">
        <v>0.13</v>
      </c>
    </row>
    <row r="178" spans="1:6">
      <c r="A178" s="87" t="s">
        <v>281</v>
      </c>
      <c r="B178" s="91" t="s">
        <v>2666</v>
      </c>
      <c r="C178" s="92">
        <v>0.13</v>
      </c>
      <c r="D178" s="92">
        <v>0.13</v>
      </c>
      <c r="E178" s="92">
        <v>0.13</v>
      </c>
      <c r="F178" s="93">
        <v>0.127</v>
      </c>
    </row>
    <row r="179" spans="1:6">
      <c r="A179" s="87" t="s">
        <v>281</v>
      </c>
      <c r="B179" s="91" t="s">
        <v>2674</v>
      </c>
      <c r="C179" s="92">
        <v>0.13</v>
      </c>
      <c r="D179" s="92">
        <v>0.13</v>
      </c>
      <c r="E179" s="92">
        <v>0.13</v>
      </c>
      <c r="F179" s="100"/>
    </row>
    <row r="180" spans="1:6">
      <c r="A180" s="87" t="s">
        <v>281</v>
      </c>
      <c r="B180" s="91" t="s">
        <v>2681</v>
      </c>
      <c r="C180" s="92">
        <v>0.13</v>
      </c>
      <c r="D180" s="92">
        <v>0.13</v>
      </c>
      <c r="E180" s="92">
        <v>0.125</v>
      </c>
      <c r="F180" s="93">
        <v>0.13</v>
      </c>
    </row>
    <row r="181" spans="1:6">
      <c r="A181" s="87" t="s">
        <v>281</v>
      </c>
      <c r="B181" s="91" t="s">
        <v>2688</v>
      </c>
      <c r="C181" s="92">
        <v>0.122</v>
      </c>
      <c r="D181" s="92">
        <v>0.123</v>
      </c>
      <c r="E181" s="92">
        <v>0.126</v>
      </c>
      <c r="F181" s="93">
        <v>0.121</v>
      </c>
    </row>
    <row r="182" spans="1:6">
      <c r="A182" s="87" t="s">
        <v>281</v>
      </c>
      <c r="B182" s="91" t="s">
        <v>2695</v>
      </c>
      <c r="C182" s="92">
        <v>0.125</v>
      </c>
      <c r="D182" s="92">
        <v>0.125</v>
      </c>
      <c r="E182" s="92">
        <v>0.11700000000000001</v>
      </c>
      <c r="F182" s="93">
        <v>0.13</v>
      </c>
    </row>
    <row r="183" spans="1:6">
      <c r="A183" s="87" t="s">
        <v>281</v>
      </c>
      <c r="B183" s="91" t="s">
        <v>2702</v>
      </c>
      <c r="C183" s="92">
        <v>0.127</v>
      </c>
      <c r="D183" s="92">
        <v>0.127</v>
      </c>
      <c r="E183" s="92">
        <v>0.128</v>
      </c>
      <c r="F183" s="100"/>
    </row>
    <row r="184" spans="1:6">
      <c r="A184" s="87" t="s">
        <v>281</v>
      </c>
      <c r="B184" s="91" t="s">
        <v>2709</v>
      </c>
      <c r="C184" s="92">
        <v>0.125</v>
      </c>
      <c r="D184" s="92">
        <v>0.125</v>
      </c>
      <c r="E184" s="92">
        <v>0.127</v>
      </c>
      <c r="F184" s="100"/>
    </row>
    <row r="185" spans="1:6">
      <c r="A185" s="87" t="s">
        <v>281</v>
      </c>
      <c r="B185" s="91" t="s">
        <v>2714</v>
      </c>
      <c r="C185" s="92">
        <v>0.127</v>
      </c>
      <c r="D185" s="92">
        <v>0.127</v>
      </c>
      <c r="E185" s="92">
        <v>0.128</v>
      </c>
      <c r="F185" s="93">
        <v>0.13</v>
      </c>
    </row>
    <row r="186" spans="1:6" ht="24">
      <c r="A186" s="87" t="s">
        <v>281</v>
      </c>
      <c r="B186" s="91" t="s">
        <v>2719</v>
      </c>
      <c r="C186" s="101"/>
      <c r="D186" s="101"/>
      <c r="E186" s="101"/>
      <c r="F186" s="93">
        <v>0.05</v>
      </c>
    </row>
    <row r="187" spans="1:6">
      <c r="A187" s="87" t="s">
        <v>281</v>
      </c>
      <c r="B187" s="91" t="s">
        <v>2724</v>
      </c>
      <c r="C187" s="101"/>
      <c r="D187" s="101"/>
      <c r="E187" s="101"/>
      <c r="F187" s="93">
        <v>0.05</v>
      </c>
    </row>
    <row r="188" spans="1:6">
      <c r="A188" s="87" t="s">
        <v>281</v>
      </c>
      <c r="B188" s="91" t="s">
        <v>2729</v>
      </c>
      <c r="C188" s="101"/>
      <c r="D188" s="101"/>
      <c r="E188" s="101"/>
      <c r="F188" s="93">
        <v>0.05</v>
      </c>
    </row>
    <row r="189" spans="1:6" ht="24">
      <c r="A189" s="87" t="s">
        <v>281</v>
      </c>
      <c r="B189" s="91" t="s">
        <v>2734</v>
      </c>
      <c r="C189" s="101"/>
      <c r="D189" s="101"/>
      <c r="E189" s="101"/>
      <c r="F189" s="93">
        <v>0.05</v>
      </c>
    </row>
    <row r="190" spans="1:6" ht="24">
      <c r="A190" s="87" t="s">
        <v>281</v>
      </c>
      <c r="B190" s="91" t="s">
        <v>2739</v>
      </c>
      <c r="C190" s="101"/>
      <c r="D190" s="101"/>
      <c r="E190" s="101"/>
      <c r="F190" s="93">
        <v>0.05</v>
      </c>
    </row>
    <row r="191" spans="1:6" ht="24">
      <c r="A191" s="87" t="s">
        <v>281</v>
      </c>
      <c r="B191" s="91" t="s">
        <v>2744</v>
      </c>
      <c r="C191" s="101"/>
      <c r="D191" s="101"/>
      <c r="E191" s="101"/>
      <c r="F191" s="93">
        <v>0.05</v>
      </c>
    </row>
    <row r="192" spans="1:6" ht="24">
      <c r="A192" s="87" t="s">
        <v>281</v>
      </c>
      <c r="B192" s="91" t="s">
        <v>2748</v>
      </c>
      <c r="C192" s="101"/>
      <c r="D192" s="101"/>
      <c r="E192" s="101"/>
      <c r="F192" s="93">
        <v>0.05</v>
      </c>
    </row>
    <row r="193" spans="1:6" ht="24">
      <c r="A193" s="87" t="s">
        <v>281</v>
      </c>
      <c r="B193" s="91" t="s">
        <v>2752</v>
      </c>
      <c r="C193" s="101"/>
      <c r="D193" s="101"/>
      <c r="E193" s="101"/>
      <c r="F193" s="93">
        <v>0.05</v>
      </c>
    </row>
    <row r="194" spans="1:6" ht="24">
      <c r="A194" s="87" t="s">
        <v>281</v>
      </c>
      <c r="B194" s="91" t="s">
        <v>2756</v>
      </c>
      <c r="C194" s="101"/>
      <c r="D194" s="101"/>
      <c r="E194" s="101"/>
      <c r="F194" s="93">
        <v>0.05</v>
      </c>
    </row>
    <row r="195" spans="1:6">
      <c r="A195" s="87" t="s">
        <v>281</v>
      </c>
      <c r="B195" s="91" t="s">
        <v>2760</v>
      </c>
      <c r="C195" s="101"/>
      <c r="D195" s="101"/>
      <c r="E195" s="101"/>
      <c r="F195" s="93">
        <v>0.05</v>
      </c>
    </row>
    <row r="196" spans="1:6" ht="24">
      <c r="A196" s="87" t="s">
        <v>281</v>
      </c>
      <c r="B196" s="91" t="s">
        <v>2764</v>
      </c>
      <c r="C196" s="101"/>
      <c r="D196" s="101"/>
      <c r="E196" s="101"/>
      <c r="F196" s="93">
        <v>0.05</v>
      </c>
    </row>
    <row r="197" spans="1:6" ht="24">
      <c r="A197" s="87" t="s">
        <v>281</v>
      </c>
      <c r="B197" s="91" t="s">
        <v>2768</v>
      </c>
      <c r="C197" s="101"/>
      <c r="D197" s="101"/>
      <c r="E197" s="101"/>
      <c r="F197" s="93">
        <v>0.05</v>
      </c>
    </row>
    <row r="198" spans="1:6" ht="24">
      <c r="A198" s="87" t="s">
        <v>281</v>
      </c>
      <c r="B198" s="91" t="s">
        <v>2771</v>
      </c>
      <c r="C198" s="101"/>
      <c r="D198" s="101"/>
      <c r="E198" s="101"/>
      <c r="F198" s="93">
        <v>0.05</v>
      </c>
    </row>
    <row r="199" spans="1:6" ht="24">
      <c r="A199" s="87" t="s">
        <v>281</v>
      </c>
      <c r="B199" s="91" t="s">
        <v>2774</v>
      </c>
      <c r="C199" s="101"/>
      <c r="D199" s="101"/>
      <c r="E199" s="101"/>
      <c r="F199" s="93">
        <v>0.05</v>
      </c>
    </row>
    <row r="200" spans="1:6" ht="24">
      <c r="A200" s="87" t="s">
        <v>281</v>
      </c>
      <c r="B200" s="91" t="s">
        <v>2777</v>
      </c>
      <c r="C200" s="101"/>
      <c r="D200" s="101"/>
      <c r="E200" s="101"/>
      <c r="F200" s="93">
        <v>0.05</v>
      </c>
    </row>
    <row r="201" spans="1:6" ht="24">
      <c r="A201" s="87" t="s">
        <v>281</v>
      </c>
      <c r="B201" s="91" t="s">
        <v>2780</v>
      </c>
      <c r="C201" s="101"/>
      <c r="D201" s="101"/>
      <c r="E201" s="101"/>
      <c r="F201" s="93">
        <v>0.05</v>
      </c>
    </row>
    <row r="202" spans="1:6" ht="24">
      <c r="A202" s="87" t="s">
        <v>281</v>
      </c>
      <c r="B202" s="91" t="s">
        <v>2783</v>
      </c>
      <c r="C202" s="101"/>
      <c r="D202" s="101"/>
      <c r="E202" s="101"/>
      <c r="F202" s="93">
        <v>0.05</v>
      </c>
    </row>
    <row r="203" spans="1:6" ht="24">
      <c r="A203" s="87" t="s">
        <v>281</v>
      </c>
      <c r="B203" s="91" t="s">
        <v>2786</v>
      </c>
      <c r="C203" s="101"/>
      <c r="D203" s="101"/>
      <c r="E203" s="101"/>
      <c r="F203" s="93">
        <v>0.05</v>
      </c>
    </row>
    <row r="204" spans="1:6">
      <c r="A204" s="87" t="s">
        <v>281</v>
      </c>
      <c r="B204" s="91" t="s">
        <v>2788</v>
      </c>
      <c r="C204" s="101"/>
      <c r="D204" s="101"/>
      <c r="E204" s="101"/>
      <c r="F204" s="93">
        <v>0.05</v>
      </c>
    </row>
    <row r="205" spans="1:6">
      <c r="A205" s="95" t="s">
        <v>281</v>
      </c>
      <c r="B205" s="102" t="s">
        <v>2790</v>
      </c>
      <c r="C205" s="98"/>
      <c r="D205" s="98"/>
      <c r="E205" s="98"/>
      <c r="F205" s="103">
        <v>0.05</v>
      </c>
    </row>
    <row r="206" spans="1:6">
      <c r="A206" s="87" t="s">
        <v>286</v>
      </c>
      <c r="B206" s="88" t="s">
        <v>2456</v>
      </c>
      <c r="C206" s="89">
        <v>0.15</v>
      </c>
      <c r="D206" s="89">
        <v>0.15</v>
      </c>
      <c r="E206" s="89">
        <v>0.15</v>
      </c>
      <c r="F206" s="90">
        <v>0.15</v>
      </c>
    </row>
    <row r="207" spans="1:6">
      <c r="A207" s="87" t="s">
        <v>286</v>
      </c>
      <c r="B207" s="91" t="s">
        <v>2469</v>
      </c>
      <c r="C207" s="92">
        <v>0.15</v>
      </c>
      <c r="D207" s="92">
        <v>0.15</v>
      </c>
      <c r="E207" s="92">
        <v>0.15</v>
      </c>
      <c r="F207" s="93">
        <v>0.14399999999999999</v>
      </c>
    </row>
    <row r="208" spans="1:6">
      <c r="A208" s="87" t="s">
        <v>286</v>
      </c>
      <c r="B208" s="91" t="s">
        <v>2483</v>
      </c>
      <c r="C208" s="92">
        <v>0.15</v>
      </c>
      <c r="D208" s="92">
        <v>0.15</v>
      </c>
      <c r="E208" s="92">
        <v>0.15</v>
      </c>
      <c r="F208" s="93">
        <v>0.15</v>
      </c>
    </row>
    <row r="209" spans="1:6">
      <c r="A209" s="87" t="s">
        <v>286</v>
      </c>
      <c r="B209" s="91" t="s">
        <v>2495</v>
      </c>
      <c r="C209" s="92">
        <v>0.13700000000000001</v>
      </c>
      <c r="D209" s="92">
        <v>0.13700000000000001</v>
      </c>
      <c r="E209" s="92">
        <v>0.14000000000000001</v>
      </c>
      <c r="F209" s="93">
        <v>0.11700000000000001</v>
      </c>
    </row>
    <row r="210" spans="1:6">
      <c r="A210" s="87" t="s">
        <v>286</v>
      </c>
      <c r="B210" s="91" t="s">
        <v>2507</v>
      </c>
      <c r="C210" s="92">
        <v>0.15</v>
      </c>
      <c r="D210" s="92">
        <v>0.15</v>
      </c>
      <c r="E210" s="92">
        <v>0.15</v>
      </c>
      <c r="F210" s="93">
        <v>0.13800000000000001</v>
      </c>
    </row>
    <row r="211" spans="1:6">
      <c r="A211" s="87" t="s">
        <v>286</v>
      </c>
      <c r="B211" s="91" t="s">
        <v>2518</v>
      </c>
      <c r="C211" s="92">
        <v>0.13700000000000001</v>
      </c>
      <c r="D211" s="92">
        <v>0.13500000000000001</v>
      </c>
      <c r="E211" s="92">
        <v>0.13600000000000001</v>
      </c>
      <c r="F211" s="93">
        <v>0.1</v>
      </c>
    </row>
    <row r="212" spans="1:6">
      <c r="A212" s="87" t="s">
        <v>286</v>
      </c>
      <c r="B212" s="91" t="s">
        <v>2529</v>
      </c>
      <c r="C212" s="92">
        <v>0.15</v>
      </c>
      <c r="D212" s="92">
        <v>0.15</v>
      </c>
      <c r="E212" s="92">
        <v>0.14799999999999999</v>
      </c>
      <c r="F212" s="93">
        <v>0.13600000000000001</v>
      </c>
    </row>
    <row r="213" spans="1:6">
      <c r="A213" s="87" t="s">
        <v>286</v>
      </c>
      <c r="B213" s="91" t="s">
        <v>2540</v>
      </c>
      <c r="C213" s="92">
        <v>0.15</v>
      </c>
      <c r="D213" s="92">
        <v>0.15</v>
      </c>
      <c r="E213" s="92">
        <v>0.15</v>
      </c>
      <c r="F213" s="93">
        <v>0.13800000000000001</v>
      </c>
    </row>
    <row r="214" spans="1:6">
      <c r="A214" s="87" t="s">
        <v>286</v>
      </c>
      <c r="B214" s="91" t="s">
        <v>2550</v>
      </c>
      <c r="C214" s="92">
        <v>9.0999999999999998E-2</v>
      </c>
      <c r="D214" s="92">
        <v>0.09</v>
      </c>
      <c r="E214" s="92">
        <v>9.1999999999999998E-2</v>
      </c>
      <c r="F214" s="100"/>
    </row>
    <row r="215" spans="1:6">
      <c r="A215" s="87" t="s">
        <v>286</v>
      </c>
      <c r="B215" s="91" t="s">
        <v>2560</v>
      </c>
      <c r="C215" s="92">
        <v>0.15</v>
      </c>
      <c r="D215" s="92">
        <v>0.15</v>
      </c>
      <c r="E215" s="92">
        <v>0.15</v>
      </c>
      <c r="F215" s="93">
        <v>0.15</v>
      </c>
    </row>
    <row r="216" spans="1:6">
      <c r="A216" s="87" t="s">
        <v>286</v>
      </c>
      <c r="B216" s="91" t="s">
        <v>2570</v>
      </c>
      <c r="C216" s="92">
        <v>0.14699999999999999</v>
      </c>
      <c r="D216" s="92">
        <v>0.14699999999999999</v>
      </c>
      <c r="E216" s="92">
        <v>0.15</v>
      </c>
      <c r="F216" s="93">
        <v>0.14000000000000001</v>
      </c>
    </row>
    <row r="217" spans="1:6">
      <c r="A217" s="87" t="s">
        <v>286</v>
      </c>
      <c r="B217" s="91" t="s">
        <v>2580</v>
      </c>
      <c r="C217" s="92">
        <v>0.15</v>
      </c>
      <c r="D217" s="92">
        <v>0.15</v>
      </c>
      <c r="E217" s="92">
        <v>0.15</v>
      </c>
      <c r="F217" s="93">
        <v>0.15</v>
      </c>
    </row>
    <row r="218" spans="1:6">
      <c r="A218" s="87" t="s">
        <v>286</v>
      </c>
      <c r="B218" s="91" t="s">
        <v>2590</v>
      </c>
      <c r="C218" s="92">
        <v>0.15</v>
      </c>
      <c r="D218" s="92">
        <v>0.15</v>
      </c>
      <c r="E218" s="92">
        <v>0.15</v>
      </c>
      <c r="F218" s="93">
        <v>0.15</v>
      </c>
    </row>
    <row r="219" spans="1:6">
      <c r="A219" s="87" t="s">
        <v>286</v>
      </c>
      <c r="B219" s="91" t="s">
        <v>2600</v>
      </c>
      <c r="C219" s="92">
        <v>0.15</v>
      </c>
      <c r="D219" s="92">
        <v>0.15</v>
      </c>
      <c r="E219" s="92">
        <v>0.15</v>
      </c>
      <c r="F219" s="93">
        <v>0.14799999999999999</v>
      </c>
    </row>
    <row r="220" spans="1:6">
      <c r="A220" s="87" t="s">
        <v>286</v>
      </c>
      <c r="B220" s="91" t="s">
        <v>2610</v>
      </c>
      <c r="C220" s="92">
        <v>0.15</v>
      </c>
      <c r="D220" s="92">
        <v>0.15</v>
      </c>
      <c r="E220" s="92">
        <v>0.15</v>
      </c>
      <c r="F220" s="93">
        <v>0.15</v>
      </c>
    </row>
    <row r="221" spans="1:6">
      <c r="A221" s="87" t="s">
        <v>286</v>
      </c>
      <c r="B221" s="91" t="s">
        <v>2620</v>
      </c>
      <c r="C221" s="92"/>
      <c r="D221" s="101"/>
      <c r="E221" s="101"/>
      <c r="F221" s="93">
        <v>0.14799999999999999</v>
      </c>
    </row>
    <row r="222" spans="1:6">
      <c r="A222" s="87" t="s">
        <v>286</v>
      </c>
      <c r="B222" s="91" t="s">
        <v>2630</v>
      </c>
      <c r="C222" s="92"/>
      <c r="D222" s="101"/>
      <c r="E222" s="101"/>
      <c r="F222" s="93">
        <v>0.1</v>
      </c>
    </row>
    <row r="223" spans="1:6">
      <c r="A223" s="87" t="s">
        <v>286</v>
      </c>
      <c r="B223" s="91" t="s">
        <v>2640</v>
      </c>
      <c r="C223" s="92"/>
      <c r="D223" s="101"/>
      <c r="E223" s="101"/>
      <c r="F223" s="93">
        <v>0.15</v>
      </c>
    </row>
    <row r="224" spans="1:6">
      <c r="A224" s="87" t="s">
        <v>286</v>
      </c>
      <c r="B224" s="91" t="s">
        <v>2650</v>
      </c>
      <c r="C224" s="92"/>
      <c r="D224" s="101"/>
      <c r="E224" s="101"/>
      <c r="F224" s="93">
        <v>0.15</v>
      </c>
    </row>
    <row r="225" spans="1:6">
      <c r="A225" s="87" t="s">
        <v>286</v>
      </c>
      <c r="B225" s="91" t="s">
        <v>2659</v>
      </c>
      <c r="C225" s="92">
        <v>0.15</v>
      </c>
      <c r="D225" s="92">
        <v>0.15</v>
      </c>
      <c r="E225" s="92">
        <v>0.15</v>
      </c>
      <c r="F225" s="93">
        <v>0.15</v>
      </c>
    </row>
    <row r="226" spans="1:6">
      <c r="A226" s="87" t="s">
        <v>286</v>
      </c>
      <c r="B226" s="91" t="s">
        <v>2667</v>
      </c>
      <c r="C226" s="92">
        <v>0.15</v>
      </c>
      <c r="D226" s="92">
        <v>0.15</v>
      </c>
      <c r="E226" s="92">
        <v>0.15</v>
      </c>
      <c r="F226" s="93">
        <v>0.14799999999999999</v>
      </c>
    </row>
    <row r="227" spans="1:6">
      <c r="A227" s="87" t="s">
        <v>286</v>
      </c>
      <c r="B227" s="91" t="s">
        <v>2675</v>
      </c>
      <c r="C227" s="92">
        <v>0.15</v>
      </c>
      <c r="D227" s="92">
        <v>0.15</v>
      </c>
      <c r="E227" s="92">
        <v>0.15</v>
      </c>
      <c r="F227" s="93">
        <v>0.15</v>
      </c>
    </row>
    <row r="228" spans="1:6">
      <c r="A228" s="87" t="s">
        <v>286</v>
      </c>
      <c r="B228" s="91" t="s">
        <v>2682</v>
      </c>
      <c r="C228" s="92">
        <v>0.15</v>
      </c>
      <c r="D228" s="92">
        <v>0.15</v>
      </c>
      <c r="E228" s="92">
        <v>0.15</v>
      </c>
      <c r="F228" s="93">
        <v>0.15</v>
      </c>
    </row>
    <row r="229" spans="1:6">
      <c r="A229" s="87" t="s">
        <v>286</v>
      </c>
      <c r="B229" s="91" t="s">
        <v>2689</v>
      </c>
      <c r="C229" s="92">
        <v>0.15</v>
      </c>
      <c r="D229" s="92">
        <v>0.15</v>
      </c>
      <c r="E229" s="92">
        <v>0.15</v>
      </c>
      <c r="F229" s="100"/>
    </row>
    <row r="230" spans="1:6">
      <c r="A230" s="87" t="s">
        <v>286</v>
      </c>
      <c r="B230" s="91" t="s">
        <v>2696</v>
      </c>
      <c r="C230" s="92">
        <v>0.14499999999999999</v>
      </c>
      <c r="D230" s="92">
        <v>0.14499999999999999</v>
      </c>
      <c r="E230" s="92">
        <v>0.14399999999999999</v>
      </c>
      <c r="F230" s="100"/>
    </row>
    <row r="231" spans="1:6">
      <c r="A231" s="87" t="s">
        <v>286</v>
      </c>
      <c r="B231" s="91" t="s">
        <v>2703</v>
      </c>
      <c r="C231" s="92">
        <v>0.128</v>
      </c>
      <c r="D231" s="92">
        <v>0.125</v>
      </c>
      <c r="E231" s="92">
        <v>0.13200000000000001</v>
      </c>
      <c r="F231" s="100"/>
    </row>
    <row r="232" spans="1:6">
      <c r="A232" s="87" t="s">
        <v>286</v>
      </c>
      <c r="B232" s="91" t="s">
        <v>2710</v>
      </c>
      <c r="C232" s="92">
        <v>0.14499999999999999</v>
      </c>
      <c r="D232" s="92">
        <v>0.14399999999999999</v>
      </c>
      <c r="E232" s="92">
        <v>0.14599999999999999</v>
      </c>
      <c r="F232" s="93">
        <v>0.13800000000000001</v>
      </c>
    </row>
    <row r="233" spans="1:6">
      <c r="A233" s="87" t="s">
        <v>286</v>
      </c>
      <c r="B233" s="91" t="s">
        <v>2715</v>
      </c>
      <c r="C233" s="92">
        <v>0.14499999999999999</v>
      </c>
      <c r="D233" s="92">
        <v>0.14299999999999999</v>
      </c>
      <c r="E233" s="92">
        <v>0.14199999999999999</v>
      </c>
      <c r="F233" s="100"/>
    </row>
    <row r="234" spans="1:6">
      <c r="A234" s="87" t="s">
        <v>286</v>
      </c>
      <c r="B234" s="91" t="s">
        <v>2793</v>
      </c>
      <c r="C234" s="92">
        <v>0.14000000000000001</v>
      </c>
      <c r="D234" s="92">
        <v>0.14000000000000001</v>
      </c>
      <c r="E234" s="92">
        <v>0.14399999999999999</v>
      </c>
      <c r="F234" s="100"/>
    </row>
    <row r="235" spans="1:6">
      <c r="A235" s="87" t="s">
        <v>286</v>
      </c>
      <c r="B235" s="91" t="s">
        <v>2725</v>
      </c>
      <c r="C235" s="92">
        <v>0.14099999999999999</v>
      </c>
      <c r="D235" s="92">
        <v>0.14199999999999999</v>
      </c>
      <c r="E235" s="92">
        <v>0.14499999999999999</v>
      </c>
      <c r="F235" s="93">
        <v>0.15</v>
      </c>
    </row>
    <row r="236" spans="1:6">
      <c r="A236" s="87" t="s">
        <v>286</v>
      </c>
      <c r="B236" s="91" t="s">
        <v>2730</v>
      </c>
      <c r="C236" s="101"/>
      <c r="D236" s="101"/>
      <c r="E236" s="101"/>
      <c r="F236" s="93">
        <v>0.14299999999999999</v>
      </c>
    </row>
    <row r="237" spans="1:6" ht="24">
      <c r="A237" s="87" t="s">
        <v>286</v>
      </c>
      <c r="B237" s="91" t="s">
        <v>2735</v>
      </c>
      <c r="C237" s="101"/>
      <c r="D237" s="101"/>
      <c r="E237" s="101"/>
      <c r="F237" s="93">
        <v>0.05</v>
      </c>
    </row>
    <row r="238" spans="1:6" ht="24">
      <c r="A238" s="87" t="s">
        <v>286</v>
      </c>
      <c r="B238" s="91" t="s">
        <v>2740</v>
      </c>
      <c r="C238" s="101"/>
      <c r="D238" s="101"/>
      <c r="E238" s="101"/>
      <c r="F238" s="93">
        <v>0.05</v>
      </c>
    </row>
    <row r="239" spans="1:6" ht="24">
      <c r="A239" s="87" t="s">
        <v>286</v>
      </c>
      <c r="B239" s="91" t="s">
        <v>2745</v>
      </c>
      <c r="C239" s="101"/>
      <c r="D239" s="101"/>
      <c r="E239" s="101"/>
      <c r="F239" s="93">
        <v>0.05</v>
      </c>
    </row>
    <row r="240" spans="1:6" ht="24">
      <c r="A240" s="87" t="s">
        <v>286</v>
      </c>
      <c r="B240" s="91" t="s">
        <v>2749</v>
      </c>
      <c r="C240" s="101"/>
      <c r="D240" s="101"/>
      <c r="E240" s="101"/>
      <c r="F240" s="93">
        <v>0.05</v>
      </c>
    </row>
    <row r="241" spans="1:6" ht="24">
      <c r="A241" s="87" t="s">
        <v>286</v>
      </c>
      <c r="B241" s="91" t="s">
        <v>2753</v>
      </c>
      <c r="C241" s="101"/>
      <c r="D241" s="101"/>
      <c r="E241" s="101"/>
      <c r="F241" s="93">
        <v>0.05</v>
      </c>
    </row>
    <row r="242" spans="1:6" ht="24">
      <c r="A242" s="87" t="s">
        <v>286</v>
      </c>
      <c r="B242" s="91" t="s">
        <v>2757</v>
      </c>
      <c r="C242" s="101"/>
      <c r="D242" s="101"/>
      <c r="E242" s="101"/>
      <c r="F242" s="93">
        <v>0.05</v>
      </c>
    </row>
    <row r="243" spans="1:6" ht="24">
      <c r="A243" s="87" t="s">
        <v>286</v>
      </c>
      <c r="B243" s="91" t="s">
        <v>2761</v>
      </c>
      <c r="C243" s="101"/>
      <c r="D243" s="101"/>
      <c r="E243" s="101"/>
      <c r="F243" s="93">
        <v>0.05</v>
      </c>
    </row>
    <row r="244" spans="1:6" ht="24">
      <c r="A244" s="95" t="s">
        <v>286</v>
      </c>
      <c r="B244" s="102" t="s">
        <v>2765</v>
      </c>
      <c r="C244" s="98"/>
      <c r="D244" s="98"/>
      <c r="E244" s="98"/>
      <c r="F244" s="103">
        <v>0.05</v>
      </c>
    </row>
    <row r="245" spans="1:6">
      <c r="A245" s="87" t="s">
        <v>289</v>
      </c>
      <c r="B245" s="88" t="s">
        <v>2457</v>
      </c>
      <c r="C245" s="89">
        <v>0.15</v>
      </c>
      <c r="D245" s="89">
        <v>0.15</v>
      </c>
      <c r="E245" s="89">
        <v>0.15</v>
      </c>
      <c r="F245" s="90">
        <v>0.14299999999999999</v>
      </c>
    </row>
    <row r="246" spans="1:6">
      <c r="A246" s="87" t="s">
        <v>289</v>
      </c>
      <c r="B246" s="91" t="s">
        <v>2470</v>
      </c>
      <c r="C246" s="92">
        <v>0.15</v>
      </c>
      <c r="D246" s="92">
        <v>0.15</v>
      </c>
      <c r="E246" s="92">
        <v>0.15</v>
      </c>
      <c r="F246" s="93">
        <v>0.114</v>
      </c>
    </row>
    <row r="247" spans="1:6">
      <c r="A247" s="87" t="s">
        <v>289</v>
      </c>
      <c r="B247" s="91" t="s">
        <v>2484</v>
      </c>
      <c r="C247" s="92">
        <v>0.15</v>
      </c>
      <c r="D247" s="92">
        <v>0.15</v>
      </c>
      <c r="E247" s="92">
        <v>0.15</v>
      </c>
      <c r="F247" s="93">
        <v>0.15</v>
      </c>
    </row>
    <row r="248" spans="1:6">
      <c r="A248" s="87" t="s">
        <v>289</v>
      </c>
      <c r="B248" s="91" t="s">
        <v>2496</v>
      </c>
      <c r="C248" s="92">
        <v>0.15</v>
      </c>
      <c r="D248" s="92">
        <v>0.15</v>
      </c>
      <c r="E248" s="92">
        <v>0.15</v>
      </c>
      <c r="F248" s="93">
        <v>0.14000000000000001</v>
      </c>
    </row>
    <row r="249" spans="1:6">
      <c r="A249" s="87" t="s">
        <v>289</v>
      </c>
      <c r="B249" s="91" t="s">
        <v>2508</v>
      </c>
      <c r="C249" s="92">
        <v>0.15</v>
      </c>
      <c r="D249" s="92">
        <v>0.14899999999999999</v>
      </c>
      <c r="E249" s="92">
        <v>0.15</v>
      </c>
      <c r="F249" s="93">
        <v>0.1</v>
      </c>
    </row>
    <row r="250" spans="1:6">
      <c r="A250" s="87" t="s">
        <v>289</v>
      </c>
      <c r="B250" s="91" t="s">
        <v>2519</v>
      </c>
      <c r="C250" s="92">
        <v>0.15</v>
      </c>
      <c r="D250" s="92">
        <v>0.15</v>
      </c>
      <c r="E250" s="92">
        <v>0.15</v>
      </c>
      <c r="F250" s="93">
        <v>0.14399999999999999</v>
      </c>
    </row>
    <row r="251" spans="1:6">
      <c r="A251" s="87" t="s">
        <v>289</v>
      </c>
      <c r="B251" s="91" t="s">
        <v>2530</v>
      </c>
      <c r="C251" s="92">
        <v>0.15</v>
      </c>
      <c r="D251" s="92">
        <v>0.15</v>
      </c>
      <c r="E251" s="92">
        <v>0.15</v>
      </c>
      <c r="F251" s="93">
        <v>0.14299999999999999</v>
      </c>
    </row>
    <row r="252" spans="1:6">
      <c r="A252" s="87" t="s">
        <v>289</v>
      </c>
      <c r="B252" s="91" t="s">
        <v>2541</v>
      </c>
      <c r="C252" s="92">
        <v>0.15</v>
      </c>
      <c r="D252" s="92">
        <v>0.15</v>
      </c>
      <c r="E252" s="92">
        <v>0.15</v>
      </c>
      <c r="F252" s="93">
        <v>0.1</v>
      </c>
    </row>
    <row r="253" spans="1:6">
      <c r="A253" s="87" t="s">
        <v>289</v>
      </c>
      <c r="B253" s="91" t="s">
        <v>2551</v>
      </c>
      <c r="C253" s="92">
        <v>0.15</v>
      </c>
      <c r="D253" s="92">
        <v>0.15</v>
      </c>
      <c r="E253" s="92">
        <v>0.15</v>
      </c>
      <c r="F253" s="93">
        <v>0.1</v>
      </c>
    </row>
    <row r="254" spans="1:6">
      <c r="A254" s="87" t="s">
        <v>289</v>
      </c>
      <c r="B254" s="91" t="s">
        <v>2561</v>
      </c>
      <c r="C254" s="101"/>
      <c r="D254" s="101"/>
      <c r="E254" s="101"/>
      <c r="F254" s="93">
        <v>0.15</v>
      </c>
    </row>
    <row r="255" spans="1:6">
      <c r="A255" s="87" t="s">
        <v>289</v>
      </c>
      <c r="B255" s="91" t="s">
        <v>2571</v>
      </c>
      <c r="C255" s="101"/>
      <c r="D255" s="101"/>
      <c r="E255" s="101"/>
      <c r="F255" s="93">
        <v>0.14299999999999999</v>
      </c>
    </row>
    <row r="256" spans="1:6">
      <c r="A256" s="87" t="s">
        <v>289</v>
      </c>
      <c r="B256" s="91" t="s">
        <v>2581</v>
      </c>
      <c r="C256" s="92">
        <v>0.14599999999999999</v>
      </c>
      <c r="D256" s="92">
        <v>0.14699999999999999</v>
      </c>
      <c r="E256" s="92">
        <v>0.15</v>
      </c>
      <c r="F256" s="93">
        <v>0.13200000000000001</v>
      </c>
    </row>
    <row r="257" spans="1:6">
      <c r="A257" s="87" t="s">
        <v>289</v>
      </c>
      <c r="B257" s="91" t="s">
        <v>2591</v>
      </c>
      <c r="C257" s="92">
        <v>0.15</v>
      </c>
      <c r="D257" s="92">
        <v>0.15</v>
      </c>
      <c r="E257" s="92">
        <v>0.15</v>
      </c>
      <c r="F257" s="93">
        <v>0.13900000000000001</v>
      </c>
    </row>
    <row r="258" spans="1:6">
      <c r="A258" s="87" t="s">
        <v>289</v>
      </c>
      <c r="B258" s="91" t="s">
        <v>2601</v>
      </c>
      <c r="C258" s="92">
        <v>0.15</v>
      </c>
      <c r="D258" s="92">
        <v>0.15</v>
      </c>
      <c r="E258" s="92">
        <v>0.15</v>
      </c>
      <c r="F258" s="93">
        <v>0.13</v>
      </c>
    </row>
    <row r="259" spans="1:6">
      <c r="A259" s="87" t="s">
        <v>289</v>
      </c>
      <c r="B259" s="91" t="s">
        <v>2611</v>
      </c>
      <c r="C259" s="92">
        <v>0.14799999999999999</v>
      </c>
      <c r="D259" s="92">
        <v>0.14899999999999999</v>
      </c>
      <c r="E259" s="92">
        <v>0.15</v>
      </c>
      <c r="F259" s="93">
        <v>0.13700000000000001</v>
      </c>
    </row>
    <row r="260" spans="1:6">
      <c r="A260" s="87" t="s">
        <v>289</v>
      </c>
      <c r="B260" s="91" t="s">
        <v>2621</v>
      </c>
      <c r="C260" s="92">
        <v>0.15</v>
      </c>
      <c r="D260" s="92">
        <v>0.15</v>
      </c>
      <c r="E260" s="92">
        <v>0.15</v>
      </c>
      <c r="F260" s="93">
        <v>0.14199999999999999</v>
      </c>
    </row>
    <row r="261" spans="1:6">
      <c r="A261" s="87" t="s">
        <v>289</v>
      </c>
      <c r="B261" s="91" t="s">
        <v>2631</v>
      </c>
      <c r="C261" s="92">
        <v>0.15</v>
      </c>
      <c r="D261" s="92">
        <v>0.15</v>
      </c>
      <c r="E261" s="92">
        <v>0.14899999999999999</v>
      </c>
      <c r="F261" s="93">
        <v>0.14799999999999999</v>
      </c>
    </row>
    <row r="262" spans="1:6">
      <c r="A262" s="87" t="s">
        <v>289</v>
      </c>
      <c r="B262" s="91" t="s">
        <v>2641</v>
      </c>
      <c r="C262" s="92">
        <v>0.15</v>
      </c>
      <c r="D262" s="92">
        <v>0.15</v>
      </c>
      <c r="E262" s="92">
        <v>0.15</v>
      </c>
      <c r="F262" s="100"/>
    </row>
    <row r="263" spans="1:6">
      <c r="A263" s="87" t="s">
        <v>289</v>
      </c>
      <c r="B263" s="91" t="s">
        <v>2651</v>
      </c>
      <c r="C263" s="92">
        <v>0.14899999999999999</v>
      </c>
      <c r="D263" s="92">
        <v>0.14899999999999999</v>
      </c>
      <c r="E263" s="92">
        <v>0.15</v>
      </c>
      <c r="F263" s="93">
        <v>0.13</v>
      </c>
    </row>
    <row r="264" spans="1:6">
      <c r="A264" s="87" t="s">
        <v>289</v>
      </c>
      <c r="B264" s="91" t="s">
        <v>2660</v>
      </c>
      <c r="C264" s="92">
        <v>0.14799999999999999</v>
      </c>
      <c r="D264" s="92">
        <v>0.14699999999999999</v>
      </c>
      <c r="E264" s="92">
        <v>0.15</v>
      </c>
      <c r="F264" s="93">
        <v>7.8E-2</v>
      </c>
    </row>
    <row r="265" spans="1:6">
      <c r="A265" s="87" t="s">
        <v>289</v>
      </c>
      <c r="B265" s="91" t="s">
        <v>2668</v>
      </c>
      <c r="C265" s="92">
        <v>0.15</v>
      </c>
      <c r="D265" s="92">
        <v>0.15</v>
      </c>
      <c r="E265" s="92">
        <v>0.15</v>
      </c>
      <c r="F265" s="93">
        <v>7.3999999999999996E-2</v>
      </c>
    </row>
    <row r="266" spans="1:6">
      <c r="A266" s="87" t="s">
        <v>289</v>
      </c>
      <c r="B266" s="91" t="s">
        <v>2676</v>
      </c>
      <c r="C266" s="92">
        <v>0.14699999999999999</v>
      </c>
      <c r="D266" s="92">
        <v>0.14699999999999999</v>
      </c>
      <c r="E266" s="92">
        <v>0.15</v>
      </c>
      <c r="F266" s="93">
        <v>0.14299999999999999</v>
      </c>
    </row>
    <row r="267" spans="1:6">
      <c r="A267" s="87" t="s">
        <v>289</v>
      </c>
      <c r="B267" s="91" t="s">
        <v>2683</v>
      </c>
      <c r="C267" s="92">
        <v>0.14199999999999999</v>
      </c>
      <c r="D267" s="92">
        <v>0.14299999999999999</v>
      </c>
      <c r="E267" s="92">
        <v>0.15</v>
      </c>
      <c r="F267" s="100"/>
    </row>
    <row r="268" spans="1:6">
      <c r="A268" s="87" t="s">
        <v>289</v>
      </c>
      <c r="B268" s="91" t="s">
        <v>2690</v>
      </c>
      <c r="C268" s="92">
        <v>0.15</v>
      </c>
      <c r="D268" s="92">
        <v>0.15</v>
      </c>
      <c r="E268" s="92">
        <v>0.15</v>
      </c>
      <c r="F268" s="93">
        <v>0.13</v>
      </c>
    </row>
    <row r="269" spans="1:6">
      <c r="A269" s="87" t="s">
        <v>289</v>
      </c>
      <c r="B269" s="91" t="s">
        <v>2697</v>
      </c>
      <c r="C269" s="92">
        <v>0.15</v>
      </c>
      <c r="D269" s="92">
        <v>0.15</v>
      </c>
      <c r="E269" s="92">
        <v>0.15</v>
      </c>
      <c r="F269" s="93">
        <v>0.14299999999999999</v>
      </c>
    </row>
    <row r="270" spans="1:6">
      <c r="A270" s="87" t="s">
        <v>289</v>
      </c>
      <c r="B270" s="91" t="s">
        <v>2704</v>
      </c>
      <c r="C270" s="92">
        <v>0.14499999999999999</v>
      </c>
      <c r="D270" s="92">
        <v>0.14499999999999999</v>
      </c>
      <c r="E270" s="92">
        <v>0.15</v>
      </c>
      <c r="F270" s="93">
        <v>0.14699999999999999</v>
      </c>
    </row>
    <row r="271" spans="1:6">
      <c r="A271" s="87" t="s">
        <v>289</v>
      </c>
      <c r="B271" s="91" t="s">
        <v>2711</v>
      </c>
      <c r="C271" s="92">
        <v>0.15</v>
      </c>
      <c r="D271" s="92">
        <v>0.15</v>
      </c>
      <c r="E271" s="92">
        <v>0.15</v>
      </c>
      <c r="F271" s="93">
        <v>0.13800000000000001</v>
      </c>
    </row>
    <row r="272" spans="1:6">
      <c r="A272" s="87" t="s">
        <v>289</v>
      </c>
      <c r="B272" s="91" t="s">
        <v>2716</v>
      </c>
      <c r="C272" s="101"/>
      <c r="D272" s="101"/>
      <c r="E272" s="101"/>
      <c r="F272" s="93">
        <v>0.14000000000000001</v>
      </c>
    </row>
    <row r="273" spans="1:6">
      <c r="A273" s="87" t="s">
        <v>289</v>
      </c>
      <c r="B273" s="91" t="s">
        <v>2721</v>
      </c>
      <c r="C273" s="92">
        <v>0.14199999999999999</v>
      </c>
      <c r="D273" s="92">
        <v>0.14299999999999999</v>
      </c>
      <c r="E273" s="92">
        <v>0.15</v>
      </c>
      <c r="F273" s="93">
        <v>0.1</v>
      </c>
    </row>
    <row r="274" spans="1:6">
      <c r="A274" s="87" t="s">
        <v>289</v>
      </c>
      <c r="B274" s="91" t="s">
        <v>2726</v>
      </c>
      <c r="C274" s="92">
        <v>0.14799999999999999</v>
      </c>
      <c r="D274" s="92">
        <v>0.14799999999999999</v>
      </c>
      <c r="E274" s="92">
        <v>0.15</v>
      </c>
      <c r="F274" s="93">
        <v>6.7000000000000004E-2</v>
      </c>
    </row>
    <row r="275" spans="1:6">
      <c r="A275" s="87" t="s">
        <v>289</v>
      </c>
      <c r="B275" s="91" t="s">
        <v>2731</v>
      </c>
      <c r="C275" s="92">
        <v>0.15</v>
      </c>
      <c r="D275" s="92">
        <v>0.15</v>
      </c>
      <c r="E275" s="92">
        <v>0.15</v>
      </c>
      <c r="F275" s="93">
        <v>0.15</v>
      </c>
    </row>
    <row r="276" spans="1:6">
      <c r="A276" s="87" t="s">
        <v>289</v>
      </c>
      <c r="B276" s="91" t="s">
        <v>2736</v>
      </c>
      <c r="C276" s="92">
        <v>0.14499999999999999</v>
      </c>
      <c r="D276" s="92">
        <v>0.14299999999999999</v>
      </c>
      <c r="E276" s="92">
        <v>0.15</v>
      </c>
      <c r="F276" s="93">
        <v>5.8999999999999997E-2</v>
      </c>
    </row>
    <row r="277" spans="1:6">
      <c r="A277" s="87" t="s">
        <v>289</v>
      </c>
      <c r="B277" s="91" t="s">
        <v>2741</v>
      </c>
      <c r="C277" s="92">
        <v>0.15</v>
      </c>
      <c r="D277" s="92">
        <v>0.15</v>
      </c>
      <c r="E277" s="92">
        <v>0.15</v>
      </c>
      <c r="F277" s="93">
        <v>0.121</v>
      </c>
    </row>
    <row r="278" spans="1:6">
      <c r="A278" s="87" t="s">
        <v>289</v>
      </c>
      <c r="B278" s="91" t="s">
        <v>2746</v>
      </c>
      <c r="C278" s="92">
        <v>0.15</v>
      </c>
      <c r="D278" s="92">
        <v>0.15</v>
      </c>
      <c r="E278" s="92">
        <v>0.15</v>
      </c>
      <c r="F278" s="93">
        <v>0.13800000000000001</v>
      </c>
    </row>
    <row r="279" spans="1:6" ht="24">
      <c r="A279" s="87" t="s">
        <v>289</v>
      </c>
      <c r="B279" s="91" t="s">
        <v>2750</v>
      </c>
      <c r="C279" s="101"/>
      <c r="D279" s="101"/>
      <c r="E279" s="101"/>
      <c r="F279" s="93">
        <v>0.05</v>
      </c>
    </row>
    <row r="280" spans="1:6" ht="24">
      <c r="A280" s="87" t="s">
        <v>289</v>
      </c>
      <c r="B280" s="91" t="s">
        <v>2754</v>
      </c>
      <c r="C280" s="101"/>
      <c r="D280" s="101"/>
      <c r="E280" s="101"/>
      <c r="F280" s="93">
        <v>0.05</v>
      </c>
    </row>
    <row r="281" spans="1:6" ht="24">
      <c r="A281" s="87" t="s">
        <v>289</v>
      </c>
      <c r="B281" s="91" t="s">
        <v>2758</v>
      </c>
      <c r="C281" s="101"/>
      <c r="D281" s="101"/>
      <c r="E281" s="101"/>
      <c r="F281" s="93">
        <v>0.05</v>
      </c>
    </row>
    <row r="282" spans="1:6" ht="24">
      <c r="A282" s="87" t="s">
        <v>289</v>
      </c>
      <c r="B282" s="91" t="s">
        <v>2762</v>
      </c>
      <c r="C282" s="101"/>
      <c r="D282" s="101"/>
      <c r="E282" s="101"/>
      <c r="F282" s="93">
        <v>0.05</v>
      </c>
    </row>
    <row r="283" spans="1:6" ht="24">
      <c r="A283" s="87" t="s">
        <v>289</v>
      </c>
      <c r="B283" s="91" t="s">
        <v>2766</v>
      </c>
      <c r="C283" s="101"/>
      <c r="D283" s="101"/>
      <c r="E283" s="101"/>
      <c r="F283" s="93">
        <v>0.05</v>
      </c>
    </row>
    <row r="284" spans="1:6" ht="24">
      <c r="A284" s="87" t="s">
        <v>289</v>
      </c>
      <c r="B284" s="91" t="s">
        <v>2769</v>
      </c>
      <c r="C284" s="101"/>
      <c r="D284" s="101"/>
      <c r="E284" s="101"/>
      <c r="F284" s="93">
        <v>0.05</v>
      </c>
    </row>
    <row r="285" spans="1:6" ht="24">
      <c r="A285" s="87" t="s">
        <v>289</v>
      </c>
      <c r="B285" s="91" t="s">
        <v>2772</v>
      </c>
      <c r="C285" s="101"/>
      <c r="D285" s="101"/>
      <c r="E285" s="101"/>
      <c r="F285" s="93">
        <v>0.05</v>
      </c>
    </row>
    <row r="286" spans="1:6" ht="24">
      <c r="A286" s="87" t="s">
        <v>289</v>
      </c>
      <c r="B286" s="91" t="s">
        <v>2775</v>
      </c>
      <c r="C286" s="101"/>
      <c r="D286" s="101"/>
      <c r="E286" s="101"/>
      <c r="F286" s="93">
        <v>0.05</v>
      </c>
    </row>
    <row r="287" spans="1:6" ht="24">
      <c r="A287" s="87" t="s">
        <v>289</v>
      </c>
      <c r="B287" s="91" t="s">
        <v>2778</v>
      </c>
      <c r="C287" s="101"/>
      <c r="D287" s="101"/>
      <c r="E287" s="101"/>
      <c r="F287" s="93">
        <v>0.05</v>
      </c>
    </row>
    <row r="288" spans="1:6" ht="24">
      <c r="A288" s="87" t="s">
        <v>289</v>
      </c>
      <c r="B288" s="91" t="s">
        <v>2781</v>
      </c>
      <c r="C288" s="101"/>
      <c r="D288" s="101"/>
      <c r="E288" s="101"/>
      <c r="F288" s="93">
        <v>0.05</v>
      </c>
    </row>
    <row r="289" spans="1:6" ht="24">
      <c r="A289" s="95" t="s">
        <v>289</v>
      </c>
      <c r="B289" s="102" t="s">
        <v>2784</v>
      </c>
      <c r="C289" s="98"/>
      <c r="D289" s="98"/>
      <c r="E289" s="98"/>
      <c r="F289" s="103">
        <v>0.05</v>
      </c>
    </row>
    <row r="290" spans="1:6">
      <c r="A290" s="87" t="s">
        <v>292</v>
      </c>
      <c r="B290" s="88" t="s">
        <v>2458</v>
      </c>
      <c r="C290" s="89">
        <v>0.15</v>
      </c>
      <c r="D290" s="89">
        <v>0.15</v>
      </c>
      <c r="E290" s="89">
        <v>0.15</v>
      </c>
      <c r="F290" s="111"/>
    </row>
    <row r="291" spans="1:6">
      <c r="A291" s="87" t="s">
        <v>292</v>
      </c>
      <c r="B291" s="91" t="s">
        <v>2471</v>
      </c>
      <c r="C291" s="92">
        <v>0.15</v>
      </c>
      <c r="D291" s="92">
        <v>0.15</v>
      </c>
      <c r="E291" s="92">
        <v>0.15</v>
      </c>
      <c r="F291" s="100"/>
    </row>
    <row r="292" spans="1:6">
      <c r="A292" s="87" t="s">
        <v>292</v>
      </c>
      <c r="B292" s="91" t="s">
        <v>2485</v>
      </c>
      <c r="C292" s="92">
        <v>0.15</v>
      </c>
      <c r="D292" s="92">
        <v>0.15</v>
      </c>
      <c r="E292" s="92">
        <v>0.15</v>
      </c>
      <c r="F292" s="93">
        <v>0.14699999999999999</v>
      </c>
    </row>
    <row r="293" spans="1:6">
      <c r="A293" s="87" t="s">
        <v>292</v>
      </c>
      <c r="B293" s="91" t="s">
        <v>2791</v>
      </c>
      <c r="C293" s="101"/>
      <c r="D293" s="101"/>
      <c r="E293" s="101"/>
      <c r="F293" s="93">
        <v>0.1</v>
      </c>
    </row>
    <row r="294" spans="1:6">
      <c r="A294" s="87" t="s">
        <v>292</v>
      </c>
      <c r="B294" s="91" t="s">
        <v>2497</v>
      </c>
      <c r="C294" s="92">
        <v>0.15</v>
      </c>
      <c r="D294" s="92">
        <v>0.15</v>
      </c>
      <c r="E294" s="92">
        <v>0.15</v>
      </c>
      <c r="F294" s="93">
        <v>0.15</v>
      </c>
    </row>
    <row r="295" spans="1:6">
      <c r="A295" s="87" t="s">
        <v>292</v>
      </c>
      <c r="B295" s="91" t="s">
        <v>2509</v>
      </c>
      <c r="C295" s="92">
        <v>0.15</v>
      </c>
      <c r="D295" s="92">
        <v>0.15</v>
      </c>
      <c r="E295" s="92">
        <v>0.15</v>
      </c>
      <c r="F295" s="93">
        <v>0.15</v>
      </c>
    </row>
    <row r="296" spans="1:6">
      <c r="A296" s="87" t="s">
        <v>292</v>
      </c>
      <c r="B296" s="91" t="s">
        <v>2520</v>
      </c>
      <c r="C296" s="92">
        <v>0.15</v>
      </c>
      <c r="D296" s="92">
        <v>0.15</v>
      </c>
      <c r="E296" s="92">
        <v>0.15</v>
      </c>
      <c r="F296" s="93">
        <v>0.15</v>
      </c>
    </row>
    <row r="297" spans="1:6">
      <c r="A297" s="87" t="s">
        <v>292</v>
      </c>
      <c r="B297" s="91" t="s">
        <v>2531</v>
      </c>
      <c r="C297" s="92">
        <v>0.14799999999999999</v>
      </c>
      <c r="D297" s="92">
        <v>0.14899999999999999</v>
      </c>
      <c r="E297" s="92">
        <v>0.15</v>
      </c>
      <c r="F297" s="93">
        <v>0.13700000000000001</v>
      </c>
    </row>
    <row r="298" spans="1:6">
      <c r="A298" s="87" t="s">
        <v>292</v>
      </c>
      <c r="B298" s="91" t="s">
        <v>2542</v>
      </c>
      <c r="C298" s="92">
        <v>0.13400000000000001</v>
      </c>
      <c r="D298" s="92">
        <v>0.13400000000000001</v>
      </c>
      <c r="E298" s="92">
        <v>0.14499999999999999</v>
      </c>
      <c r="F298" s="93">
        <v>0.14799999999999999</v>
      </c>
    </row>
    <row r="299" spans="1:6">
      <c r="A299" s="87" t="s">
        <v>292</v>
      </c>
      <c r="B299" s="91" t="s">
        <v>2552</v>
      </c>
      <c r="C299" s="92">
        <v>0.15</v>
      </c>
      <c r="D299" s="92">
        <v>0.15</v>
      </c>
      <c r="E299" s="92">
        <v>0.15</v>
      </c>
      <c r="F299" s="100"/>
    </row>
    <row r="300" spans="1:6">
      <c r="A300" s="87" t="s">
        <v>292</v>
      </c>
      <c r="B300" s="91" t="s">
        <v>2562</v>
      </c>
      <c r="C300" s="92">
        <v>0.15</v>
      </c>
      <c r="D300" s="92">
        <v>0.15</v>
      </c>
      <c r="E300" s="92">
        <v>0.15</v>
      </c>
      <c r="F300" s="93">
        <v>0.15</v>
      </c>
    </row>
    <row r="301" spans="1:6">
      <c r="A301" s="87" t="s">
        <v>292</v>
      </c>
      <c r="B301" s="91" t="s">
        <v>2572</v>
      </c>
      <c r="C301" s="92">
        <v>0.15</v>
      </c>
      <c r="D301" s="92">
        <v>0.15</v>
      </c>
      <c r="E301" s="92">
        <v>0.15</v>
      </c>
      <c r="F301" s="100"/>
    </row>
    <row r="302" spans="1:6">
      <c r="A302" s="87" t="s">
        <v>292</v>
      </c>
      <c r="B302" s="91" t="s">
        <v>2582</v>
      </c>
      <c r="C302" s="92">
        <v>0.15</v>
      </c>
      <c r="D302" s="92">
        <v>0.15</v>
      </c>
      <c r="E302" s="92">
        <v>0.15</v>
      </c>
      <c r="F302" s="93">
        <v>0.15</v>
      </c>
    </row>
    <row r="303" spans="1:6">
      <c r="A303" s="87" t="s">
        <v>292</v>
      </c>
      <c r="B303" s="91" t="s">
        <v>2592</v>
      </c>
      <c r="C303" s="92">
        <v>0.15</v>
      </c>
      <c r="D303" s="92">
        <v>0.15</v>
      </c>
      <c r="E303" s="92">
        <v>0.15</v>
      </c>
      <c r="F303" s="93">
        <v>0.15</v>
      </c>
    </row>
    <row r="304" spans="1:6">
      <c r="A304" s="87" t="s">
        <v>292</v>
      </c>
      <c r="B304" s="91" t="s">
        <v>2602</v>
      </c>
      <c r="C304" s="92">
        <v>0.15</v>
      </c>
      <c r="D304" s="92">
        <v>0.15</v>
      </c>
      <c r="E304" s="92">
        <v>0.15</v>
      </c>
      <c r="F304" s="100"/>
    </row>
    <row r="305" spans="1:6">
      <c r="A305" s="87" t="s">
        <v>292</v>
      </c>
      <c r="B305" s="91" t="s">
        <v>2612</v>
      </c>
      <c r="C305" s="92">
        <v>0.15</v>
      </c>
      <c r="D305" s="92">
        <v>0.15</v>
      </c>
      <c r="E305" s="92">
        <v>0.15</v>
      </c>
      <c r="F305" s="93">
        <v>0.14000000000000001</v>
      </c>
    </row>
    <row r="306" spans="1:6">
      <c r="A306" s="87" t="s">
        <v>292</v>
      </c>
      <c r="B306" s="91" t="s">
        <v>2622</v>
      </c>
      <c r="C306" s="92">
        <v>0.15</v>
      </c>
      <c r="D306" s="92">
        <v>0.15</v>
      </c>
      <c r="E306" s="92">
        <v>0.15</v>
      </c>
      <c r="F306" s="100"/>
    </row>
    <row r="307" spans="1:6">
      <c r="A307" s="87" t="s">
        <v>292</v>
      </c>
      <c r="B307" s="91" t="s">
        <v>2632</v>
      </c>
      <c r="C307" s="92">
        <v>0.15</v>
      </c>
      <c r="D307" s="92">
        <v>0.15</v>
      </c>
      <c r="E307" s="92">
        <v>0.15</v>
      </c>
      <c r="F307" s="93">
        <v>0.14299999999999999</v>
      </c>
    </row>
    <row r="308" spans="1:6">
      <c r="A308" s="87" t="s">
        <v>292</v>
      </c>
      <c r="B308" s="91" t="s">
        <v>2642</v>
      </c>
      <c r="C308" s="92">
        <v>0.15</v>
      </c>
      <c r="D308" s="92">
        <v>0.15</v>
      </c>
      <c r="E308" s="92">
        <v>0.15</v>
      </c>
      <c r="F308" s="93">
        <v>0.15</v>
      </c>
    </row>
    <row r="309" spans="1:6">
      <c r="A309" s="87" t="s">
        <v>292</v>
      </c>
      <c r="B309" s="91" t="s">
        <v>2652</v>
      </c>
      <c r="C309" s="92">
        <v>0.15</v>
      </c>
      <c r="D309" s="92">
        <v>0.15</v>
      </c>
      <c r="E309" s="92">
        <v>0.15</v>
      </c>
      <c r="F309" s="100"/>
    </row>
    <row r="310" spans="1:6">
      <c r="A310" s="87" t="s">
        <v>292</v>
      </c>
      <c r="B310" s="91" t="s">
        <v>2661</v>
      </c>
      <c r="C310" s="92">
        <v>0.15</v>
      </c>
      <c r="D310" s="92">
        <v>0.15</v>
      </c>
      <c r="E310" s="92">
        <v>0.15</v>
      </c>
      <c r="F310" s="93">
        <v>0.13700000000000001</v>
      </c>
    </row>
    <row r="311" spans="1:6">
      <c r="A311" s="87" t="s">
        <v>292</v>
      </c>
      <c r="B311" s="91" t="s">
        <v>2669</v>
      </c>
      <c r="C311" s="92">
        <v>0.15</v>
      </c>
      <c r="D311" s="92">
        <v>0.15</v>
      </c>
      <c r="E311" s="92">
        <v>0.15</v>
      </c>
      <c r="F311" s="93">
        <v>0.15</v>
      </c>
    </row>
    <row r="312" spans="1:6">
      <c r="A312" s="87" t="s">
        <v>292</v>
      </c>
      <c r="B312" s="91" t="s">
        <v>2677</v>
      </c>
      <c r="C312" s="92">
        <v>0.15</v>
      </c>
      <c r="D312" s="92">
        <v>0.15</v>
      </c>
      <c r="E312" s="92">
        <v>0.15</v>
      </c>
      <c r="F312" s="93">
        <v>0.1</v>
      </c>
    </row>
    <row r="313" spans="1:6">
      <c r="A313" s="87" t="s">
        <v>292</v>
      </c>
      <c r="B313" s="91" t="s">
        <v>2684</v>
      </c>
      <c r="C313" s="92">
        <v>0.15</v>
      </c>
      <c r="D313" s="92">
        <v>0.15</v>
      </c>
      <c r="E313" s="92">
        <v>0.15</v>
      </c>
      <c r="F313" s="93">
        <v>0.15</v>
      </c>
    </row>
    <row r="314" spans="1:6" ht="24">
      <c r="A314" s="87" t="s">
        <v>292</v>
      </c>
      <c r="B314" s="91" t="s">
        <v>2691</v>
      </c>
      <c r="C314" s="101"/>
      <c r="D314" s="101"/>
      <c r="E314" s="101"/>
      <c r="F314" s="93">
        <v>0.05</v>
      </c>
    </row>
    <row r="315" spans="1:6" ht="24">
      <c r="A315" s="87" t="s">
        <v>292</v>
      </c>
      <c r="B315" s="91" t="s">
        <v>2698</v>
      </c>
      <c r="C315" s="101"/>
      <c r="D315" s="101"/>
      <c r="E315" s="101"/>
      <c r="F315" s="93">
        <v>0.05</v>
      </c>
    </row>
    <row r="316" spans="1:6" ht="24">
      <c r="A316" s="95" t="s">
        <v>292</v>
      </c>
      <c r="B316" s="102" t="s">
        <v>2705</v>
      </c>
      <c r="C316" s="98"/>
      <c r="D316" s="98"/>
      <c r="E316" s="98"/>
      <c r="F316" s="103">
        <v>0.05</v>
      </c>
    </row>
    <row r="317" spans="1:6">
      <c r="A317" s="87" t="s">
        <v>295</v>
      </c>
      <c r="B317" s="88" t="s">
        <v>2459</v>
      </c>
      <c r="C317" s="89">
        <v>0.15</v>
      </c>
      <c r="D317" s="89">
        <v>0.15</v>
      </c>
      <c r="E317" s="89">
        <v>0.15</v>
      </c>
      <c r="F317" s="90">
        <v>0.15</v>
      </c>
    </row>
    <row r="318" spans="1:6">
      <c r="A318" s="87" t="s">
        <v>295</v>
      </c>
      <c r="B318" s="91" t="s">
        <v>2472</v>
      </c>
      <c r="C318" s="92">
        <v>0.107</v>
      </c>
      <c r="D318" s="92">
        <v>0.11</v>
      </c>
      <c r="E318" s="92">
        <v>0.112</v>
      </c>
      <c r="F318" s="100"/>
    </row>
    <row r="319" spans="1:6">
      <c r="A319" s="87" t="s">
        <v>295</v>
      </c>
      <c r="B319" s="91" t="s">
        <v>2486</v>
      </c>
      <c r="C319" s="92">
        <v>0.15</v>
      </c>
      <c r="D319" s="92">
        <v>0.15</v>
      </c>
      <c r="E319" s="92">
        <v>0.15</v>
      </c>
      <c r="F319" s="93">
        <v>0.15</v>
      </c>
    </row>
    <row r="320" spans="1:6">
      <c r="A320" s="87" t="s">
        <v>295</v>
      </c>
      <c r="B320" s="91" t="s">
        <v>2498</v>
      </c>
      <c r="C320" s="92">
        <v>0.15</v>
      </c>
      <c r="D320" s="92">
        <v>0.15</v>
      </c>
      <c r="E320" s="92">
        <v>0.15</v>
      </c>
      <c r="F320" s="100"/>
    </row>
    <row r="321" spans="1:6">
      <c r="A321" s="87" t="s">
        <v>295</v>
      </c>
      <c r="B321" s="91" t="s">
        <v>2510</v>
      </c>
      <c r="C321" s="92">
        <v>0.15</v>
      </c>
      <c r="D321" s="92">
        <v>0.15</v>
      </c>
      <c r="E321" s="92">
        <v>0.15</v>
      </c>
      <c r="F321" s="100"/>
    </row>
    <row r="322" spans="1:6">
      <c r="A322" s="87" t="s">
        <v>295</v>
      </c>
      <c r="B322" s="91" t="s">
        <v>2521</v>
      </c>
      <c r="C322" s="92">
        <v>0.15</v>
      </c>
      <c r="D322" s="92">
        <v>0.15</v>
      </c>
      <c r="E322" s="92">
        <v>0.15</v>
      </c>
      <c r="F322" s="93">
        <v>0.15</v>
      </c>
    </row>
    <row r="323" spans="1:6">
      <c r="A323" s="87" t="s">
        <v>295</v>
      </c>
      <c r="B323" s="91" t="s">
        <v>2532</v>
      </c>
      <c r="C323" s="92">
        <v>0.15</v>
      </c>
      <c r="D323" s="92">
        <v>0.15</v>
      </c>
      <c r="E323" s="92">
        <v>0.15</v>
      </c>
      <c r="F323" s="100"/>
    </row>
    <row r="324" spans="1:6">
      <c r="A324" s="87" t="s">
        <v>295</v>
      </c>
      <c r="B324" s="91" t="s">
        <v>2543</v>
      </c>
      <c r="C324" s="92">
        <v>0.15</v>
      </c>
      <c r="D324" s="92">
        <v>0.15</v>
      </c>
      <c r="E324" s="92">
        <v>0.15</v>
      </c>
      <c r="F324" s="100"/>
    </row>
    <row r="325" spans="1:6">
      <c r="A325" s="87" t="s">
        <v>295</v>
      </c>
      <c r="B325" s="91" t="s">
        <v>2553</v>
      </c>
      <c r="C325" s="92">
        <v>0.15</v>
      </c>
      <c r="D325" s="92">
        <v>0.15</v>
      </c>
      <c r="E325" s="92">
        <v>0.15</v>
      </c>
      <c r="F325" s="93">
        <v>0.14699999999999999</v>
      </c>
    </row>
    <row r="326" spans="1:6">
      <c r="A326" s="87" t="s">
        <v>295</v>
      </c>
      <c r="B326" s="91" t="s">
        <v>2563</v>
      </c>
      <c r="C326" s="92">
        <v>0.15</v>
      </c>
      <c r="D326" s="92">
        <v>0.15</v>
      </c>
      <c r="E326" s="92">
        <v>0.15</v>
      </c>
      <c r="F326" s="100"/>
    </row>
    <row r="327" spans="1:6">
      <c r="A327" s="87" t="s">
        <v>295</v>
      </c>
      <c r="B327" s="91" t="s">
        <v>2573</v>
      </c>
      <c r="C327" s="92">
        <v>0.15</v>
      </c>
      <c r="D327" s="92">
        <v>0.15</v>
      </c>
      <c r="E327" s="92">
        <v>0.15</v>
      </c>
      <c r="F327" s="93">
        <v>0.15</v>
      </c>
    </row>
    <row r="328" spans="1:6">
      <c r="A328" s="87" t="s">
        <v>295</v>
      </c>
      <c r="B328" s="91" t="s">
        <v>2583</v>
      </c>
      <c r="C328" s="92">
        <v>0.15</v>
      </c>
      <c r="D328" s="92">
        <v>0.15</v>
      </c>
      <c r="E328" s="92">
        <v>0.15</v>
      </c>
      <c r="F328" s="93">
        <v>0.14099999999999999</v>
      </c>
    </row>
    <row r="329" spans="1:6">
      <c r="A329" s="87" t="s">
        <v>295</v>
      </c>
      <c r="B329" s="91" t="s">
        <v>2593</v>
      </c>
      <c r="C329" s="92">
        <v>0.15</v>
      </c>
      <c r="D329" s="92">
        <v>0.15</v>
      </c>
      <c r="E329" s="92">
        <v>0.15</v>
      </c>
      <c r="F329" s="93">
        <v>0.15</v>
      </c>
    </row>
    <row r="330" spans="1:6">
      <c r="A330" s="87" t="s">
        <v>295</v>
      </c>
      <c r="B330" s="91" t="s">
        <v>2603</v>
      </c>
      <c r="C330" s="92">
        <v>0.15</v>
      </c>
      <c r="D330" s="92">
        <v>0.15</v>
      </c>
      <c r="E330" s="92">
        <v>0.15</v>
      </c>
      <c r="F330" s="100"/>
    </row>
    <row r="331" spans="1:6">
      <c r="A331" s="87" t="s">
        <v>295</v>
      </c>
      <c r="B331" s="91" t="s">
        <v>2613</v>
      </c>
      <c r="C331" s="92">
        <v>0.15</v>
      </c>
      <c r="D331" s="92">
        <v>0.15</v>
      </c>
      <c r="E331" s="92">
        <v>0.15</v>
      </c>
      <c r="F331" s="93">
        <v>0.15</v>
      </c>
    </row>
    <row r="332" spans="1:6">
      <c r="A332" s="87" t="s">
        <v>295</v>
      </c>
      <c r="B332" s="91" t="s">
        <v>2623</v>
      </c>
      <c r="C332" s="92">
        <v>0.15</v>
      </c>
      <c r="D332" s="92">
        <v>0.15</v>
      </c>
      <c r="E332" s="92">
        <v>0.15</v>
      </c>
      <c r="F332" s="93">
        <v>0.15</v>
      </c>
    </row>
    <row r="333" spans="1:6">
      <c r="A333" s="87" t="s">
        <v>295</v>
      </c>
      <c r="B333" s="91" t="s">
        <v>2633</v>
      </c>
      <c r="C333" s="92">
        <v>0.15</v>
      </c>
      <c r="D333" s="92">
        <v>0.15</v>
      </c>
      <c r="E333" s="92">
        <v>0.15</v>
      </c>
      <c r="F333" s="93">
        <v>0.14099999999999999</v>
      </c>
    </row>
    <row r="334" spans="1:6">
      <c r="A334" s="87" t="s">
        <v>295</v>
      </c>
      <c r="B334" s="91" t="s">
        <v>2643</v>
      </c>
      <c r="C334" s="92">
        <v>0.15</v>
      </c>
      <c r="D334" s="92">
        <v>0.15</v>
      </c>
      <c r="E334" s="92">
        <v>0.15</v>
      </c>
      <c r="F334" s="93">
        <v>0.15</v>
      </c>
    </row>
    <row r="335" spans="1:6">
      <c r="A335" s="87" t="s">
        <v>295</v>
      </c>
      <c r="B335" s="91" t="s">
        <v>2653</v>
      </c>
      <c r="C335" s="92">
        <v>0.15</v>
      </c>
      <c r="D335" s="92">
        <v>0.15</v>
      </c>
      <c r="E335" s="92">
        <v>0.15</v>
      </c>
      <c r="F335" s="100"/>
    </row>
    <row r="336" spans="1:6">
      <c r="A336" s="87" t="s">
        <v>295</v>
      </c>
      <c r="B336" s="91" t="s">
        <v>2662</v>
      </c>
      <c r="C336" s="92">
        <v>0.15</v>
      </c>
      <c r="D336" s="92">
        <v>0.15</v>
      </c>
      <c r="E336" s="92">
        <v>0.15</v>
      </c>
      <c r="F336" s="93">
        <v>0.11799999999999999</v>
      </c>
    </row>
    <row r="337" spans="1:6">
      <c r="A337" s="95" t="s">
        <v>295</v>
      </c>
      <c r="B337" s="102" t="s">
        <v>2670</v>
      </c>
      <c r="C337" s="98"/>
      <c r="D337" s="98"/>
      <c r="E337" s="98"/>
      <c r="F337" s="103">
        <v>0.14299999999999999</v>
      </c>
    </row>
    <row r="338" spans="1:6">
      <c r="A338" s="87" t="s">
        <v>298</v>
      </c>
      <c r="B338" s="88" t="s">
        <v>2460</v>
      </c>
      <c r="C338" s="89">
        <v>0.15</v>
      </c>
      <c r="D338" s="89">
        <v>0.15</v>
      </c>
      <c r="E338" s="89">
        <v>0.15</v>
      </c>
      <c r="F338" s="111"/>
    </row>
    <row r="339" spans="1:6">
      <c r="A339" s="87" t="s">
        <v>298</v>
      </c>
      <c r="B339" s="91" t="s">
        <v>2473</v>
      </c>
      <c r="C339" s="92">
        <v>0.15</v>
      </c>
      <c r="D339" s="92">
        <v>0.15</v>
      </c>
      <c r="E339" s="92">
        <v>0.15</v>
      </c>
      <c r="F339" s="100"/>
    </row>
    <row r="340" spans="1:6">
      <c r="A340" s="87" t="s">
        <v>298</v>
      </c>
      <c r="B340" s="91" t="s">
        <v>2487</v>
      </c>
      <c r="C340" s="92">
        <v>0.15</v>
      </c>
      <c r="D340" s="92">
        <v>0.15</v>
      </c>
      <c r="E340" s="92">
        <v>0.15</v>
      </c>
      <c r="F340" s="100"/>
    </row>
    <row r="341" spans="1:6">
      <c r="A341" s="87" t="s">
        <v>298</v>
      </c>
      <c r="B341" s="91" t="s">
        <v>2499</v>
      </c>
      <c r="C341" s="92">
        <v>0.15</v>
      </c>
      <c r="D341" s="92">
        <v>0.15</v>
      </c>
      <c r="E341" s="92">
        <v>0.15</v>
      </c>
      <c r="F341" s="93">
        <v>0.15</v>
      </c>
    </row>
    <row r="342" spans="1:6">
      <c r="A342" s="87" t="s">
        <v>298</v>
      </c>
      <c r="B342" s="91" t="s">
        <v>2511</v>
      </c>
      <c r="C342" s="92">
        <v>0.15</v>
      </c>
      <c r="D342" s="92">
        <v>0.15</v>
      </c>
      <c r="E342" s="92">
        <v>0.15</v>
      </c>
      <c r="F342" s="93">
        <v>0.15</v>
      </c>
    </row>
    <row r="343" spans="1:6">
      <c r="A343" s="87" t="s">
        <v>298</v>
      </c>
      <c r="B343" s="91" t="s">
        <v>2522</v>
      </c>
      <c r="C343" s="92">
        <v>0.15</v>
      </c>
      <c r="D343" s="92">
        <v>0.15</v>
      </c>
      <c r="E343" s="92">
        <v>0.15</v>
      </c>
      <c r="F343" s="93">
        <v>0.15</v>
      </c>
    </row>
    <row r="344" spans="1:6">
      <c r="A344" s="95" t="s">
        <v>298</v>
      </c>
      <c r="B344" s="102" t="s">
        <v>2533</v>
      </c>
      <c r="C344" s="97">
        <v>0.15</v>
      </c>
      <c r="D344" s="97">
        <v>0.15</v>
      </c>
      <c r="E344" s="97">
        <v>0.15</v>
      </c>
      <c r="F344" s="103">
        <v>0.15</v>
      </c>
    </row>
  </sheetData>
  <sheetProtection password="C66D" sheet="1" objects="1" scenarios="1"/>
  <mergeCells count="1">
    <mergeCell ref="A1:B1"/>
  </mergeCells>
  <phoneticPr fontId="225" type="noConversion"/>
  <pageMargins left="0.69930555555555596" right="0.69930555555555596"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ColWidth="9" defaultRowHeight="13.5"/>
  <cols>
    <col min="1" max="1" width="4.875" style="15" customWidth="1"/>
    <col min="2" max="2" width="13.25" style="16" customWidth="1"/>
    <col min="3" max="3" width="15.625" style="16" customWidth="1"/>
    <col min="4" max="4" width="9.375" style="16" customWidth="1"/>
    <col min="5" max="5" width="13.5" style="16" customWidth="1"/>
    <col min="6" max="6" width="9" style="16"/>
    <col min="7" max="7" width="9.375" style="16" customWidth="1"/>
    <col min="8" max="8" width="12.25" style="16" customWidth="1"/>
    <col min="9" max="9" width="9" style="16"/>
    <col min="10" max="10" width="9.375" style="16" customWidth="1"/>
    <col min="11" max="11" width="4" style="15" customWidth="1"/>
    <col min="12" max="12" width="5.125" style="16" customWidth="1"/>
    <col min="13" max="13" width="13.75" style="16" customWidth="1"/>
    <col min="14" max="256" width="9" style="16"/>
    <col min="257" max="257" width="4.875" style="17" customWidth="1"/>
    <col min="258" max="258" width="13.25" style="17" customWidth="1"/>
    <col min="259" max="259" width="15.625" style="17" customWidth="1"/>
    <col min="260" max="260" width="9.375" style="17" customWidth="1"/>
    <col min="261" max="261" width="13.5" style="17" customWidth="1"/>
    <col min="262" max="262" width="9" style="17"/>
    <col min="263" max="263" width="9.375" style="17" customWidth="1"/>
    <col min="264" max="265" width="9" style="17"/>
    <col min="266" max="266" width="9.375" style="17" customWidth="1"/>
    <col min="267" max="267" width="4" style="17" customWidth="1"/>
    <col min="268" max="268" width="5.125" style="17" customWidth="1"/>
    <col min="269" max="269" width="13.75" style="17" customWidth="1"/>
    <col min="270" max="512" width="9" style="17"/>
    <col min="513" max="513" width="4.875" style="17" customWidth="1"/>
    <col min="514" max="514" width="13.25" style="17" customWidth="1"/>
    <col min="515" max="515" width="15.625" style="17" customWidth="1"/>
    <col min="516" max="516" width="9.375" style="17" customWidth="1"/>
    <col min="517" max="517" width="13.5" style="17" customWidth="1"/>
    <col min="518" max="518" width="9" style="17"/>
    <col min="519" max="519" width="9.375" style="17" customWidth="1"/>
    <col min="520" max="521" width="9" style="17"/>
    <col min="522" max="522" width="9.375" style="17" customWidth="1"/>
    <col min="523" max="523" width="4" style="17" customWidth="1"/>
    <col min="524" max="524" width="5.125" style="17" customWidth="1"/>
    <col min="525" max="525" width="13.75" style="17" customWidth="1"/>
    <col min="526" max="768" width="9" style="17"/>
    <col min="769" max="769" width="4.875" style="17" customWidth="1"/>
    <col min="770" max="770" width="13.25" style="17" customWidth="1"/>
    <col min="771" max="771" width="15.625" style="17" customWidth="1"/>
    <col min="772" max="772" width="9.375" style="17" customWidth="1"/>
    <col min="773" max="773" width="13.5" style="17" customWidth="1"/>
    <col min="774" max="774" width="9" style="17"/>
    <col min="775" max="775" width="9.375" style="17" customWidth="1"/>
    <col min="776" max="777" width="9" style="17"/>
    <col min="778" max="778" width="9.375" style="17" customWidth="1"/>
    <col min="779" max="779" width="4" style="17" customWidth="1"/>
    <col min="780" max="780" width="5.125" style="17" customWidth="1"/>
    <col min="781" max="781" width="13.75" style="17" customWidth="1"/>
    <col min="782" max="1024" width="9" style="17"/>
    <col min="1025" max="1025" width="4.875" style="17" customWidth="1"/>
    <col min="1026" max="1026" width="13.25" style="17" customWidth="1"/>
    <col min="1027" max="1027" width="15.625" style="17" customWidth="1"/>
    <col min="1028" max="1028" width="9.375" style="17" customWidth="1"/>
    <col min="1029" max="1029" width="13.5" style="17" customWidth="1"/>
    <col min="1030" max="1030" width="9" style="17"/>
    <col min="1031" max="1031" width="9.375" style="17" customWidth="1"/>
    <col min="1032" max="1033" width="9" style="17"/>
    <col min="1034" max="1034" width="9.375" style="17" customWidth="1"/>
    <col min="1035" max="1035" width="4" style="17" customWidth="1"/>
    <col min="1036" max="1036" width="5.125" style="17" customWidth="1"/>
    <col min="1037" max="1037" width="13.75" style="17" customWidth="1"/>
    <col min="1038" max="1280" width="9" style="17"/>
    <col min="1281" max="1281" width="4.875" style="17" customWidth="1"/>
    <col min="1282" max="1282" width="13.25" style="17" customWidth="1"/>
    <col min="1283" max="1283" width="15.625" style="17" customWidth="1"/>
    <col min="1284" max="1284" width="9.375" style="17" customWidth="1"/>
    <col min="1285" max="1285" width="13.5" style="17" customWidth="1"/>
    <col min="1286" max="1286" width="9" style="17"/>
    <col min="1287" max="1287" width="9.375" style="17" customWidth="1"/>
    <col min="1288" max="1289" width="9" style="17"/>
    <col min="1290" max="1290" width="9.375" style="17" customWidth="1"/>
    <col min="1291" max="1291" width="4" style="17" customWidth="1"/>
    <col min="1292" max="1292" width="5.125" style="17" customWidth="1"/>
    <col min="1293" max="1293" width="13.75" style="17" customWidth="1"/>
    <col min="1294" max="1536" width="9" style="17"/>
    <col min="1537" max="1537" width="4.875" style="17" customWidth="1"/>
    <col min="1538" max="1538" width="13.25" style="17" customWidth="1"/>
    <col min="1539" max="1539" width="15.625" style="17" customWidth="1"/>
    <col min="1540" max="1540" width="9.375" style="17" customWidth="1"/>
    <col min="1541" max="1541" width="13.5" style="17" customWidth="1"/>
    <col min="1542" max="1542" width="9" style="17"/>
    <col min="1543" max="1543" width="9.375" style="17" customWidth="1"/>
    <col min="1544" max="1545" width="9" style="17"/>
    <col min="1546" max="1546" width="9.375" style="17" customWidth="1"/>
    <col min="1547" max="1547" width="4" style="17" customWidth="1"/>
    <col min="1548" max="1548" width="5.125" style="17" customWidth="1"/>
    <col min="1549" max="1549" width="13.75" style="17" customWidth="1"/>
    <col min="1550" max="1792" width="9" style="17"/>
    <col min="1793" max="1793" width="4.875" style="17" customWidth="1"/>
    <col min="1794" max="1794" width="13.25" style="17" customWidth="1"/>
    <col min="1795" max="1795" width="15.625" style="17" customWidth="1"/>
    <col min="1796" max="1796" width="9.375" style="17" customWidth="1"/>
    <col min="1797" max="1797" width="13.5" style="17" customWidth="1"/>
    <col min="1798" max="1798" width="9" style="17"/>
    <col min="1799" max="1799" width="9.375" style="17" customWidth="1"/>
    <col min="1800" max="1801" width="9" style="17"/>
    <col min="1802" max="1802" width="9.375" style="17" customWidth="1"/>
    <col min="1803" max="1803" width="4" style="17" customWidth="1"/>
    <col min="1804" max="1804" width="5.125" style="17" customWidth="1"/>
    <col min="1805" max="1805" width="13.75" style="17" customWidth="1"/>
    <col min="1806" max="2048" width="9" style="17"/>
    <col min="2049" max="2049" width="4.875" style="17" customWidth="1"/>
    <col min="2050" max="2050" width="13.25" style="17" customWidth="1"/>
    <col min="2051" max="2051" width="15.625" style="17" customWidth="1"/>
    <col min="2052" max="2052" width="9.375" style="17" customWidth="1"/>
    <col min="2053" max="2053" width="13.5" style="17" customWidth="1"/>
    <col min="2054" max="2054" width="9" style="17"/>
    <col min="2055" max="2055" width="9.375" style="17" customWidth="1"/>
    <col min="2056" max="2057" width="9" style="17"/>
    <col min="2058" max="2058" width="9.375" style="17" customWidth="1"/>
    <col min="2059" max="2059" width="4" style="17" customWidth="1"/>
    <col min="2060" max="2060" width="5.125" style="17" customWidth="1"/>
    <col min="2061" max="2061" width="13.75" style="17" customWidth="1"/>
    <col min="2062" max="2304" width="9" style="17"/>
    <col min="2305" max="2305" width="4.875" style="17" customWidth="1"/>
    <col min="2306" max="2306" width="13.25" style="17" customWidth="1"/>
    <col min="2307" max="2307" width="15.625" style="17" customWidth="1"/>
    <col min="2308" max="2308" width="9.375" style="17" customWidth="1"/>
    <col min="2309" max="2309" width="13.5" style="17" customWidth="1"/>
    <col min="2310" max="2310" width="9" style="17"/>
    <col min="2311" max="2311" width="9.375" style="17" customWidth="1"/>
    <col min="2312" max="2313" width="9" style="17"/>
    <col min="2314" max="2314" width="9.375" style="17" customWidth="1"/>
    <col min="2315" max="2315" width="4" style="17" customWidth="1"/>
    <col min="2316" max="2316" width="5.125" style="17" customWidth="1"/>
    <col min="2317" max="2317" width="13.75" style="17" customWidth="1"/>
    <col min="2318" max="2560" width="9" style="17"/>
    <col min="2561" max="2561" width="4.875" style="17" customWidth="1"/>
    <col min="2562" max="2562" width="13.25" style="17" customWidth="1"/>
    <col min="2563" max="2563" width="15.625" style="17" customWidth="1"/>
    <col min="2564" max="2564" width="9.375" style="17" customWidth="1"/>
    <col min="2565" max="2565" width="13.5" style="17" customWidth="1"/>
    <col min="2566" max="2566" width="9" style="17"/>
    <col min="2567" max="2567" width="9.375" style="17" customWidth="1"/>
    <col min="2568" max="2569" width="9" style="17"/>
    <col min="2570" max="2570" width="9.375" style="17" customWidth="1"/>
    <col min="2571" max="2571" width="4" style="17" customWidth="1"/>
    <col min="2572" max="2572" width="5.125" style="17" customWidth="1"/>
    <col min="2573" max="2573" width="13.75" style="17" customWidth="1"/>
    <col min="2574" max="2816" width="9" style="17"/>
    <col min="2817" max="2817" width="4.875" style="17" customWidth="1"/>
    <col min="2818" max="2818" width="13.25" style="17" customWidth="1"/>
    <col min="2819" max="2819" width="15.625" style="17" customWidth="1"/>
    <col min="2820" max="2820" width="9.375" style="17" customWidth="1"/>
    <col min="2821" max="2821" width="13.5" style="17" customWidth="1"/>
    <col min="2822" max="2822" width="9" style="17"/>
    <col min="2823" max="2823" width="9.375" style="17" customWidth="1"/>
    <col min="2824" max="2825" width="9" style="17"/>
    <col min="2826" max="2826" width="9.375" style="17" customWidth="1"/>
    <col min="2827" max="2827" width="4" style="17" customWidth="1"/>
    <col min="2828" max="2828" width="5.125" style="17" customWidth="1"/>
    <col min="2829" max="2829" width="13.75" style="17" customWidth="1"/>
    <col min="2830" max="3072" width="9" style="17"/>
    <col min="3073" max="3073" width="4.875" style="17" customWidth="1"/>
    <col min="3074" max="3074" width="13.25" style="17" customWidth="1"/>
    <col min="3075" max="3075" width="15.625" style="17" customWidth="1"/>
    <col min="3076" max="3076" width="9.375" style="17" customWidth="1"/>
    <col min="3077" max="3077" width="13.5" style="17" customWidth="1"/>
    <col min="3078" max="3078" width="9" style="17"/>
    <col min="3079" max="3079" width="9.375" style="17" customWidth="1"/>
    <col min="3080" max="3081" width="9" style="17"/>
    <col min="3082" max="3082" width="9.375" style="17" customWidth="1"/>
    <col min="3083" max="3083" width="4" style="17" customWidth="1"/>
    <col min="3084" max="3084" width="5.125" style="17" customWidth="1"/>
    <col min="3085" max="3085" width="13.75" style="17" customWidth="1"/>
    <col min="3086" max="3328" width="9" style="17"/>
    <col min="3329" max="3329" width="4.875" style="17" customWidth="1"/>
    <col min="3330" max="3330" width="13.25" style="17" customWidth="1"/>
    <col min="3331" max="3331" width="15.625" style="17" customWidth="1"/>
    <col min="3332" max="3332" width="9.375" style="17" customWidth="1"/>
    <col min="3333" max="3333" width="13.5" style="17" customWidth="1"/>
    <col min="3334" max="3334" width="9" style="17"/>
    <col min="3335" max="3335" width="9.375" style="17" customWidth="1"/>
    <col min="3336" max="3337" width="9" style="17"/>
    <col min="3338" max="3338" width="9.375" style="17" customWidth="1"/>
    <col min="3339" max="3339" width="4" style="17" customWidth="1"/>
    <col min="3340" max="3340" width="5.125" style="17" customWidth="1"/>
    <col min="3341" max="3341" width="13.75" style="17" customWidth="1"/>
    <col min="3342" max="3584" width="9" style="17"/>
    <col min="3585" max="3585" width="4.875" style="17" customWidth="1"/>
    <col min="3586" max="3586" width="13.25" style="17" customWidth="1"/>
    <col min="3587" max="3587" width="15.625" style="17" customWidth="1"/>
    <col min="3588" max="3588" width="9.375" style="17" customWidth="1"/>
    <col min="3589" max="3589" width="13.5" style="17" customWidth="1"/>
    <col min="3590" max="3590" width="9" style="17"/>
    <col min="3591" max="3591" width="9.375" style="17" customWidth="1"/>
    <col min="3592" max="3593" width="9" style="17"/>
    <col min="3594" max="3594" width="9.375" style="17" customWidth="1"/>
    <col min="3595" max="3595" width="4" style="17" customWidth="1"/>
    <col min="3596" max="3596" width="5.125" style="17" customWidth="1"/>
    <col min="3597" max="3597" width="13.75" style="17" customWidth="1"/>
    <col min="3598" max="3840" width="9" style="17"/>
    <col min="3841" max="3841" width="4.875" style="17" customWidth="1"/>
    <col min="3842" max="3842" width="13.25" style="17" customWidth="1"/>
    <col min="3843" max="3843" width="15.625" style="17" customWidth="1"/>
    <col min="3844" max="3844" width="9.375" style="17" customWidth="1"/>
    <col min="3845" max="3845" width="13.5" style="17" customWidth="1"/>
    <col min="3846" max="3846" width="9" style="17"/>
    <col min="3847" max="3847" width="9.375" style="17" customWidth="1"/>
    <col min="3848" max="3849" width="9" style="17"/>
    <col min="3850" max="3850" width="9.375" style="17" customWidth="1"/>
    <col min="3851" max="3851" width="4" style="17" customWidth="1"/>
    <col min="3852" max="3852" width="5.125" style="17" customWidth="1"/>
    <col min="3853" max="3853" width="13.75" style="17" customWidth="1"/>
    <col min="3854" max="4096" width="9" style="17"/>
    <col min="4097" max="4097" width="4.875" style="17" customWidth="1"/>
    <col min="4098" max="4098" width="13.25" style="17" customWidth="1"/>
    <col min="4099" max="4099" width="15.625" style="17" customWidth="1"/>
    <col min="4100" max="4100" width="9.375" style="17" customWidth="1"/>
    <col min="4101" max="4101" width="13.5" style="17" customWidth="1"/>
    <col min="4102" max="4102" width="9" style="17"/>
    <col min="4103" max="4103" width="9.375" style="17" customWidth="1"/>
    <col min="4104" max="4105" width="9" style="17"/>
    <col min="4106" max="4106" width="9.375" style="17" customWidth="1"/>
    <col min="4107" max="4107" width="4" style="17" customWidth="1"/>
    <col min="4108" max="4108" width="5.125" style="17" customWidth="1"/>
    <col min="4109" max="4109" width="13.75" style="17" customWidth="1"/>
    <col min="4110" max="4352" width="9" style="17"/>
    <col min="4353" max="4353" width="4.875" style="17" customWidth="1"/>
    <col min="4354" max="4354" width="13.25" style="17" customWidth="1"/>
    <col min="4355" max="4355" width="15.625" style="17" customWidth="1"/>
    <col min="4356" max="4356" width="9.375" style="17" customWidth="1"/>
    <col min="4357" max="4357" width="13.5" style="17" customWidth="1"/>
    <col min="4358" max="4358" width="9" style="17"/>
    <col min="4359" max="4359" width="9.375" style="17" customWidth="1"/>
    <col min="4360" max="4361" width="9" style="17"/>
    <col min="4362" max="4362" width="9.375" style="17" customWidth="1"/>
    <col min="4363" max="4363" width="4" style="17" customWidth="1"/>
    <col min="4364" max="4364" width="5.125" style="17" customWidth="1"/>
    <col min="4365" max="4365" width="13.75" style="17" customWidth="1"/>
    <col min="4366" max="4608" width="9" style="17"/>
    <col min="4609" max="4609" width="4.875" style="17" customWidth="1"/>
    <col min="4610" max="4610" width="13.25" style="17" customWidth="1"/>
    <col min="4611" max="4611" width="15.625" style="17" customWidth="1"/>
    <col min="4612" max="4612" width="9.375" style="17" customWidth="1"/>
    <col min="4613" max="4613" width="13.5" style="17" customWidth="1"/>
    <col min="4614" max="4614" width="9" style="17"/>
    <col min="4615" max="4615" width="9.375" style="17" customWidth="1"/>
    <col min="4616" max="4617" width="9" style="17"/>
    <col min="4618" max="4618" width="9.375" style="17" customWidth="1"/>
    <col min="4619" max="4619" width="4" style="17" customWidth="1"/>
    <col min="4620" max="4620" width="5.125" style="17" customWidth="1"/>
    <col min="4621" max="4621" width="13.75" style="17" customWidth="1"/>
    <col min="4622" max="4864" width="9" style="17"/>
    <col min="4865" max="4865" width="4.875" style="17" customWidth="1"/>
    <col min="4866" max="4866" width="13.25" style="17" customWidth="1"/>
    <col min="4867" max="4867" width="15.625" style="17" customWidth="1"/>
    <col min="4868" max="4868" width="9.375" style="17" customWidth="1"/>
    <col min="4869" max="4869" width="13.5" style="17" customWidth="1"/>
    <col min="4870" max="4870" width="9" style="17"/>
    <col min="4871" max="4871" width="9.375" style="17" customWidth="1"/>
    <col min="4872" max="4873" width="9" style="17"/>
    <col min="4874" max="4874" width="9.375" style="17" customWidth="1"/>
    <col min="4875" max="4875" width="4" style="17" customWidth="1"/>
    <col min="4876" max="4876" width="5.125" style="17" customWidth="1"/>
    <col min="4877" max="4877" width="13.75" style="17" customWidth="1"/>
    <col min="4878" max="5120" width="9" style="17"/>
    <col min="5121" max="5121" width="4.875" style="17" customWidth="1"/>
    <col min="5122" max="5122" width="13.25" style="17" customWidth="1"/>
    <col min="5123" max="5123" width="15.625" style="17" customWidth="1"/>
    <col min="5124" max="5124" width="9.375" style="17" customWidth="1"/>
    <col min="5125" max="5125" width="13.5" style="17" customWidth="1"/>
    <col min="5126" max="5126" width="9" style="17"/>
    <col min="5127" max="5127" width="9.375" style="17" customWidth="1"/>
    <col min="5128" max="5129" width="9" style="17"/>
    <col min="5130" max="5130" width="9.375" style="17" customWidth="1"/>
    <col min="5131" max="5131" width="4" style="17" customWidth="1"/>
    <col min="5132" max="5132" width="5.125" style="17" customWidth="1"/>
    <col min="5133" max="5133" width="13.75" style="17" customWidth="1"/>
    <col min="5134" max="5376" width="9" style="17"/>
    <col min="5377" max="5377" width="4.875" style="17" customWidth="1"/>
    <col min="5378" max="5378" width="13.25" style="17" customWidth="1"/>
    <col min="5379" max="5379" width="15.625" style="17" customWidth="1"/>
    <col min="5380" max="5380" width="9.375" style="17" customWidth="1"/>
    <col min="5381" max="5381" width="13.5" style="17" customWidth="1"/>
    <col min="5382" max="5382" width="9" style="17"/>
    <col min="5383" max="5383" width="9.375" style="17" customWidth="1"/>
    <col min="5384" max="5385" width="9" style="17"/>
    <col min="5386" max="5386" width="9.375" style="17" customWidth="1"/>
    <col min="5387" max="5387" width="4" style="17" customWidth="1"/>
    <col min="5388" max="5388" width="5.125" style="17" customWidth="1"/>
    <col min="5389" max="5389" width="13.75" style="17" customWidth="1"/>
    <col min="5390" max="5632" width="9" style="17"/>
    <col min="5633" max="5633" width="4.875" style="17" customWidth="1"/>
    <col min="5634" max="5634" width="13.25" style="17" customWidth="1"/>
    <col min="5635" max="5635" width="15.625" style="17" customWidth="1"/>
    <col min="5636" max="5636" width="9.375" style="17" customWidth="1"/>
    <col min="5637" max="5637" width="13.5" style="17" customWidth="1"/>
    <col min="5638" max="5638" width="9" style="17"/>
    <col min="5639" max="5639" width="9.375" style="17" customWidth="1"/>
    <col min="5640" max="5641" width="9" style="17"/>
    <col min="5642" max="5642" width="9.375" style="17" customWidth="1"/>
    <col min="5643" max="5643" width="4" style="17" customWidth="1"/>
    <col min="5644" max="5644" width="5.125" style="17" customWidth="1"/>
    <col min="5645" max="5645" width="13.75" style="17" customWidth="1"/>
    <col min="5646" max="5888" width="9" style="17"/>
    <col min="5889" max="5889" width="4.875" style="17" customWidth="1"/>
    <col min="5890" max="5890" width="13.25" style="17" customWidth="1"/>
    <col min="5891" max="5891" width="15.625" style="17" customWidth="1"/>
    <col min="5892" max="5892" width="9.375" style="17" customWidth="1"/>
    <col min="5893" max="5893" width="13.5" style="17" customWidth="1"/>
    <col min="5894" max="5894" width="9" style="17"/>
    <col min="5895" max="5895" width="9.375" style="17" customWidth="1"/>
    <col min="5896" max="5897" width="9" style="17"/>
    <col min="5898" max="5898" width="9.375" style="17" customWidth="1"/>
    <col min="5899" max="5899" width="4" style="17" customWidth="1"/>
    <col min="5900" max="5900" width="5.125" style="17" customWidth="1"/>
    <col min="5901" max="5901" width="13.75" style="17" customWidth="1"/>
    <col min="5902" max="6144" width="9" style="17"/>
    <col min="6145" max="6145" width="4.875" style="17" customWidth="1"/>
    <col min="6146" max="6146" width="13.25" style="17" customWidth="1"/>
    <col min="6147" max="6147" width="15.625" style="17" customWidth="1"/>
    <col min="6148" max="6148" width="9.375" style="17" customWidth="1"/>
    <col min="6149" max="6149" width="13.5" style="17" customWidth="1"/>
    <col min="6150" max="6150" width="9" style="17"/>
    <col min="6151" max="6151" width="9.375" style="17" customWidth="1"/>
    <col min="6152" max="6153" width="9" style="17"/>
    <col min="6154" max="6154" width="9.375" style="17" customWidth="1"/>
    <col min="6155" max="6155" width="4" style="17" customWidth="1"/>
    <col min="6156" max="6156" width="5.125" style="17" customWidth="1"/>
    <col min="6157" max="6157" width="13.75" style="17" customWidth="1"/>
    <col min="6158" max="6400" width="9" style="17"/>
    <col min="6401" max="6401" width="4.875" style="17" customWidth="1"/>
    <col min="6402" max="6402" width="13.25" style="17" customWidth="1"/>
    <col min="6403" max="6403" width="15.625" style="17" customWidth="1"/>
    <col min="6404" max="6404" width="9.375" style="17" customWidth="1"/>
    <col min="6405" max="6405" width="13.5" style="17" customWidth="1"/>
    <col min="6406" max="6406" width="9" style="17"/>
    <col min="6407" max="6407" width="9.375" style="17" customWidth="1"/>
    <col min="6408" max="6409" width="9" style="17"/>
    <col min="6410" max="6410" width="9.375" style="17" customWidth="1"/>
    <col min="6411" max="6411" width="4" style="17" customWidth="1"/>
    <col min="6412" max="6412" width="5.125" style="17" customWidth="1"/>
    <col min="6413" max="6413" width="13.75" style="17" customWidth="1"/>
    <col min="6414" max="6656" width="9" style="17"/>
    <col min="6657" max="6657" width="4.875" style="17" customWidth="1"/>
    <col min="6658" max="6658" width="13.25" style="17" customWidth="1"/>
    <col min="6659" max="6659" width="15.625" style="17" customWidth="1"/>
    <col min="6660" max="6660" width="9.375" style="17" customWidth="1"/>
    <col min="6661" max="6661" width="13.5" style="17" customWidth="1"/>
    <col min="6662" max="6662" width="9" style="17"/>
    <col min="6663" max="6663" width="9.375" style="17" customWidth="1"/>
    <col min="6664" max="6665" width="9" style="17"/>
    <col min="6666" max="6666" width="9.375" style="17" customWidth="1"/>
    <col min="6667" max="6667" width="4" style="17" customWidth="1"/>
    <col min="6668" max="6668" width="5.125" style="17" customWidth="1"/>
    <col min="6669" max="6669" width="13.75" style="17" customWidth="1"/>
    <col min="6670" max="6912" width="9" style="17"/>
    <col min="6913" max="6913" width="4.875" style="17" customWidth="1"/>
    <col min="6914" max="6914" width="13.25" style="17" customWidth="1"/>
    <col min="6915" max="6915" width="15.625" style="17" customWidth="1"/>
    <col min="6916" max="6916" width="9.375" style="17" customWidth="1"/>
    <col min="6917" max="6917" width="13.5" style="17" customWidth="1"/>
    <col min="6918" max="6918" width="9" style="17"/>
    <col min="6919" max="6919" width="9.375" style="17" customWidth="1"/>
    <col min="6920" max="6921" width="9" style="17"/>
    <col min="6922" max="6922" width="9.375" style="17" customWidth="1"/>
    <col min="6923" max="6923" width="4" style="17" customWidth="1"/>
    <col min="6924" max="6924" width="5.125" style="17" customWidth="1"/>
    <col min="6925" max="6925" width="13.75" style="17" customWidth="1"/>
    <col min="6926" max="7168" width="9" style="17"/>
    <col min="7169" max="7169" width="4.875" style="17" customWidth="1"/>
    <col min="7170" max="7170" width="13.25" style="17" customWidth="1"/>
    <col min="7171" max="7171" width="15.625" style="17" customWidth="1"/>
    <col min="7172" max="7172" width="9.375" style="17" customWidth="1"/>
    <col min="7173" max="7173" width="13.5" style="17" customWidth="1"/>
    <col min="7174" max="7174" width="9" style="17"/>
    <col min="7175" max="7175" width="9.375" style="17" customWidth="1"/>
    <col min="7176" max="7177" width="9" style="17"/>
    <col min="7178" max="7178" width="9.375" style="17" customWidth="1"/>
    <col min="7179" max="7179" width="4" style="17" customWidth="1"/>
    <col min="7180" max="7180" width="5.125" style="17" customWidth="1"/>
    <col min="7181" max="7181" width="13.75" style="17" customWidth="1"/>
    <col min="7182" max="7424" width="9" style="17"/>
    <col min="7425" max="7425" width="4.875" style="17" customWidth="1"/>
    <col min="7426" max="7426" width="13.25" style="17" customWidth="1"/>
    <col min="7427" max="7427" width="15.625" style="17" customWidth="1"/>
    <col min="7428" max="7428" width="9.375" style="17" customWidth="1"/>
    <col min="7429" max="7429" width="13.5" style="17" customWidth="1"/>
    <col min="7430" max="7430" width="9" style="17"/>
    <col min="7431" max="7431" width="9.375" style="17" customWidth="1"/>
    <col min="7432" max="7433" width="9" style="17"/>
    <col min="7434" max="7434" width="9.375" style="17" customWidth="1"/>
    <col min="7435" max="7435" width="4" style="17" customWidth="1"/>
    <col min="7436" max="7436" width="5.125" style="17" customWidth="1"/>
    <col min="7437" max="7437" width="13.75" style="17" customWidth="1"/>
    <col min="7438" max="7680" width="9" style="17"/>
    <col min="7681" max="7681" width="4.875" style="17" customWidth="1"/>
    <col min="7682" max="7682" width="13.25" style="17" customWidth="1"/>
    <col min="7683" max="7683" width="15.625" style="17" customWidth="1"/>
    <col min="7684" max="7684" width="9.375" style="17" customWidth="1"/>
    <col min="7685" max="7685" width="13.5" style="17" customWidth="1"/>
    <col min="7686" max="7686" width="9" style="17"/>
    <col min="7687" max="7687" width="9.375" style="17" customWidth="1"/>
    <col min="7688" max="7689" width="9" style="17"/>
    <col min="7690" max="7690" width="9.375" style="17" customWidth="1"/>
    <col min="7691" max="7691" width="4" style="17" customWidth="1"/>
    <col min="7692" max="7692" width="5.125" style="17" customWidth="1"/>
    <col min="7693" max="7693" width="13.75" style="17" customWidth="1"/>
    <col min="7694" max="7936" width="9" style="17"/>
    <col min="7937" max="7937" width="4.875" style="17" customWidth="1"/>
    <col min="7938" max="7938" width="13.25" style="17" customWidth="1"/>
    <col min="7939" max="7939" width="15.625" style="17" customWidth="1"/>
    <col min="7940" max="7940" width="9.375" style="17" customWidth="1"/>
    <col min="7941" max="7941" width="13.5" style="17" customWidth="1"/>
    <col min="7942" max="7942" width="9" style="17"/>
    <col min="7943" max="7943" width="9.375" style="17" customWidth="1"/>
    <col min="7944" max="7945" width="9" style="17"/>
    <col min="7946" max="7946" width="9.375" style="17" customWidth="1"/>
    <col min="7947" max="7947" width="4" style="17" customWidth="1"/>
    <col min="7948" max="7948" width="5.125" style="17" customWidth="1"/>
    <col min="7949" max="7949" width="13.75" style="17" customWidth="1"/>
    <col min="7950" max="8192" width="9" style="17"/>
    <col min="8193" max="8193" width="4.875" style="17" customWidth="1"/>
    <col min="8194" max="8194" width="13.25" style="17" customWidth="1"/>
    <col min="8195" max="8195" width="15.625" style="17" customWidth="1"/>
    <col min="8196" max="8196" width="9.375" style="17" customWidth="1"/>
    <col min="8197" max="8197" width="13.5" style="17" customWidth="1"/>
    <col min="8198" max="8198" width="9" style="17"/>
    <col min="8199" max="8199" width="9.375" style="17" customWidth="1"/>
    <col min="8200" max="8201" width="9" style="17"/>
    <col min="8202" max="8202" width="9.375" style="17" customWidth="1"/>
    <col min="8203" max="8203" width="4" style="17" customWidth="1"/>
    <col min="8204" max="8204" width="5.125" style="17" customWidth="1"/>
    <col min="8205" max="8205" width="13.75" style="17" customWidth="1"/>
    <col min="8206" max="8448" width="9" style="17"/>
    <col min="8449" max="8449" width="4.875" style="17" customWidth="1"/>
    <col min="8450" max="8450" width="13.25" style="17" customWidth="1"/>
    <col min="8451" max="8451" width="15.625" style="17" customWidth="1"/>
    <col min="8452" max="8452" width="9.375" style="17" customWidth="1"/>
    <col min="8453" max="8453" width="13.5" style="17" customWidth="1"/>
    <col min="8454" max="8454" width="9" style="17"/>
    <col min="8455" max="8455" width="9.375" style="17" customWidth="1"/>
    <col min="8456" max="8457" width="9" style="17"/>
    <col min="8458" max="8458" width="9.375" style="17" customWidth="1"/>
    <col min="8459" max="8459" width="4" style="17" customWidth="1"/>
    <col min="8460" max="8460" width="5.125" style="17" customWidth="1"/>
    <col min="8461" max="8461" width="13.75" style="17" customWidth="1"/>
    <col min="8462" max="8704" width="9" style="17"/>
    <col min="8705" max="8705" width="4.875" style="17" customWidth="1"/>
    <col min="8706" max="8706" width="13.25" style="17" customWidth="1"/>
    <col min="8707" max="8707" width="15.625" style="17" customWidth="1"/>
    <col min="8708" max="8708" width="9.375" style="17" customWidth="1"/>
    <col min="8709" max="8709" width="13.5" style="17" customWidth="1"/>
    <col min="8710" max="8710" width="9" style="17"/>
    <col min="8711" max="8711" width="9.375" style="17" customWidth="1"/>
    <col min="8712" max="8713" width="9" style="17"/>
    <col min="8714" max="8714" width="9.375" style="17" customWidth="1"/>
    <col min="8715" max="8715" width="4" style="17" customWidth="1"/>
    <col min="8716" max="8716" width="5.125" style="17" customWidth="1"/>
    <col min="8717" max="8717" width="13.75" style="17" customWidth="1"/>
    <col min="8718" max="8960" width="9" style="17"/>
    <col min="8961" max="8961" width="4.875" style="17" customWidth="1"/>
    <col min="8962" max="8962" width="13.25" style="17" customWidth="1"/>
    <col min="8963" max="8963" width="15.625" style="17" customWidth="1"/>
    <col min="8964" max="8964" width="9.375" style="17" customWidth="1"/>
    <col min="8965" max="8965" width="13.5" style="17" customWidth="1"/>
    <col min="8966" max="8966" width="9" style="17"/>
    <col min="8967" max="8967" width="9.375" style="17" customWidth="1"/>
    <col min="8968" max="8969" width="9" style="17"/>
    <col min="8970" max="8970" width="9.375" style="17" customWidth="1"/>
    <col min="8971" max="8971" width="4" style="17" customWidth="1"/>
    <col min="8972" max="8972" width="5.125" style="17" customWidth="1"/>
    <col min="8973" max="8973" width="13.75" style="17" customWidth="1"/>
    <col min="8974" max="9216" width="9" style="17"/>
    <col min="9217" max="9217" width="4.875" style="17" customWidth="1"/>
    <col min="9218" max="9218" width="13.25" style="17" customWidth="1"/>
    <col min="9219" max="9219" width="15.625" style="17" customWidth="1"/>
    <col min="9220" max="9220" width="9.375" style="17" customWidth="1"/>
    <col min="9221" max="9221" width="13.5" style="17" customWidth="1"/>
    <col min="9222" max="9222" width="9" style="17"/>
    <col min="9223" max="9223" width="9.375" style="17" customWidth="1"/>
    <col min="9224" max="9225" width="9" style="17"/>
    <col min="9226" max="9226" width="9.375" style="17" customWidth="1"/>
    <col min="9227" max="9227" width="4" style="17" customWidth="1"/>
    <col min="9228" max="9228" width="5.125" style="17" customWidth="1"/>
    <col min="9229" max="9229" width="13.75" style="17" customWidth="1"/>
    <col min="9230" max="9472" width="9" style="17"/>
    <col min="9473" max="9473" width="4.875" style="17" customWidth="1"/>
    <col min="9474" max="9474" width="13.25" style="17" customWidth="1"/>
    <col min="9475" max="9475" width="15.625" style="17" customWidth="1"/>
    <col min="9476" max="9476" width="9.375" style="17" customWidth="1"/>
    <col min="9477" max="9477" width="13.5" style="17" customWidth="1"/>
    <col min="9478" max="9478" width="9" style="17"/>
    <col min="9479" max="9479" width="9.375" style="17" customWidth="1"/>
    <col min="9480" max="9481" width="9" style="17"/>
    <col min="9482" max="9482" width="9.375" style="17" customWidth="1"/>
    <col min="9483" max="9483" width="4" style="17" customWidth="1"/>
    <col min="9484" max="9484" width="5.125" style="17" customWidth="1"/>
    <col min="9485" max="9485" width="13.75" style="17" customWidth="1"/>
    <col min="9486" max="9728" width="9" style="17"/>
    <col min="9729" max="9729" width="4.875" style="17" customWidth="1"/>
    <col min="9730" max="9730" width="13.25" style="17" customWidth="1"/>
    <col min="9731" max="9731" width="15.625" style="17" customWidth="1"/>
    <col min="9732" max="9732" width="9.375" style="17" customWidth="1"/>
    <col min="9733" max="9733" width="13.5" style="17" customWidth="1"/>
    <col min="9734" max="9734" width="9" style="17"/>
    <col min="9735" max="9735" width="9.375" style="17" customWidth="1"/>
    <col min="9736" max="9737" width="9" style="17"/>
    <col min="9738" max="9738" width="9.375" style="17" customWidth="1"/>
    <col min="9739" max="9739" width="4" style="17" customWidth="1"/>
    <col min="9740" max="9740" width="5.125" style="17" customWidth="1"/>
    <col min="9741" max="9741" width="13.75" style="17" customWidth="1"/>
    <col min="9742" max="9984" width="9" style="17"/>
    <col min="9985" max="9985" width="4.875" style="17" customWidth="1"/>
    <col min="9986" max="9986" width="13.25" style="17" customWidth="1"/>
    <col min="9987" max="9987" width="15.625" style="17" customWidth="1"/>
    <col min="9988" max="9988" width="9.375" style="17" customWidth="1"/>
    <col min="9989" max="9989" width="13.5" style="17" customWidth="1"/>
    <col min="9990" max="9990" width="9" style="17"/>
    <col min="9991" max="9991" width="9.375" style="17" customWidth="1"/>
    <col min="9992" max="9993" width="9" style="17"/>
    <col min="9994" max="9994" width="9.375" style="17" customWidth="1"/>
    <col min="9995" max="9995" width="4" style="17" customWidth="1"/>
    <col min="9996" max="9996" width="5.125" style="17" customWidth="1"/>
    <col min="9997" max="9997" width="13.75" style="17" customWidth="1"/>
    <col min="9998" max="10240" width="9" style="17"/>
    <col min="10241" max="10241" width="4.875" style="17" customWidth="1"/>
    <col min="10242" max="10242" width="13.25" style="17" customWidth="1"/>
    <col min="10243" max="10243" width="15.625" style="17" customWidth="1"/>
    <col min="10244" max="10244" width="9.375" style="17" customWidth="1"/>
    <col min="10245" max="10245" width="13.5" style="17" customWidth="1"/>
    <col min="10246" max="10246" width="9" style="17"/>
    <col min="10247" max="10247" width="9.375" style="17" customWidth="1"/>
    <col min="10248" max="10249" width="9" style="17"/>
    <col min="10250" max="10250" width="9.375" style="17" customWidth="1"/>
    <col min="10251" max="10251" width="4" style="17" customWidth="1"/>
    <col min="10252" max="10252" width="5.125" style="17" customWidth="1"/>
    <col min="10253" max="10253" width="13.75" style="17" customWidth="1"/>
    <col min="10254" max="10496" width="9" style="17"/>
    <col min="10497" max="10497" width="4.875" style="17" customWidth="1"/>
    <col min="10498" max="10498" width="13.25" style="17" customWidth="1"/>
    <col min="10499" max="10499" width="15.625" style="17" customWidth="1"/>
    <col min="10500" max="10500" width="9.375" style="17" customWidth="1"/>
    <col min="10501" max="10501" width="13.5" style="17" customWidth="1"/>
    <col min="10502" max="10502" width="9" style="17"/>
    <col min="10503" max="10503" width="9.375" style="17" customWidth="1"/>
    <col min="10504" max="10505" width="9" style="17"/>
    <col min="10506" max="10506" width="9.375" style="17" customWidth="1"/>
    <col min="10507" max="10507" width="4" style="17" customWidth="1"/>
    <col min="10508" max="10508" width="5.125" style="17" customWidth="1"/>
    <col min="10509" max="10509" width="13.75" style="17" customWidth="1"/>
    <col min="10510" max="10752" width="9" style="17"/>
    <col min="10753" max="10753" width="4.875" style="17" customWidth="1"/>
    <col min="10754" max="10754" width="13.25" style="17" customWidth="1"/>
    <col min="10755" max="10755" width="15.625" style="17" customWidth="1"/>
    <col min="10756" max="10756" width="9.375" style="17" customWidth="1"/>
    <col min="10757" max="10757" width="13.5" style="17" customWidth="1"/>
    <col min="10758" max="10758" width="9" style="17"/>
    <col min="10759" max="10759" width="9.375" style="17" customWidth="1"/>
    <col min="10760" max="10761" width="9" style="17"/>
    <col min="10762" max="10762" width="9.375" style="17" customWidth="1"/>
    <col min="10763" max="10763" width="4" style="17" customWidth="1"/>
    <col min="10764" max="10764" width="5.125" style="17" customWidth="1"/>
    <col min="10765" max="10765" width="13.75" style="17" customWidth="1"/>
    <col min="10766" max="11008" width="9" style="17"/>
    <col min="11009" max="11009" width="4.875" style="17" customWidth="1"/>
    <col min="11010" max="11010" width="13.25" style="17" customWidth="1"/>
    <col min="11011" max="11011" width="15.625" style="17" customWidth="1"/>
    <col min="11012" max="11012" width="9.375" style="17" customWidth="1"/>
    <col min="11013" max="11013" width="13.5" style="17" customWidth="1"/>
    <col min="11014" max="11014" width="9" style="17"/>
    <col min="11015" max="11015" width="9.375" style="17" customWidth="1"/>
    <col min="11016" max="11017" width="9" style="17"/>
    <col min="11018" max="11018" width="9.375" style="17" customWidth="1"/>
    <col min="11019" max="11019" width="4" style="17" customWidth="1"/>
    <col min="11020" max="11020" width="5.125" style="17" customWidth="1"/>
    <col min="11021" max="11021" width="13.75" style="17" customWidth="1"/>
    <col min="11022" max="11264" width="9" style="17"/>
    <col min="11265" max="11265" width="4.875" style="17" customWidth="1"/>
    <col min="11266" max="11266" width="13.25" style="17" customWidth="1"/>
    <col min="11267" max="11267" width="15.625" style="17" customWidth="1"/>
    <col min="11268" max="11268" width="9.375" style="17" customWidth="1"/>
    <col min="11269" max="11269" width="13.5" style="17" customWidth="1"/>
    <col min="11270" max="11270" width="9" style="17"/>
    <col min="11271" max="11271" width="9.375" style="17" customWidth="1"/>
    <col min="11272" max="11273" width="9" style="17"/>
    <col min="11274" max="11274" width="9.375" style="17" customWidth="1"/>
    <col min="11275" max="11275" width="4" style="17" customWidth="1"/>
    <col min="11276" max="11276" width="5.125" style="17" customWidth="1"/>
    <col min="11277" max="11277" width="13.75" style="17" customWidth="1"/>
    <col min="11278" max="11520" width="9" style="17"/>
    <col min="11521" max="11521" width="4.875" style="17" customWidth="1"/>
    <col min="11522" max="11522" width="13.25" style="17" customWidth="1"/>
    <col min="11523" max="11523" width="15.625" style="17" customWidth="1"/>
    <col min="11524" max="11524" width="9.375" style="17" customWidth="1"/>
    <col min="11525" max="11525" width="13.5" style="17" customWidth="1"/>
    <col min="11526" max="11526" width="9" style="17"/>
    <col min="11527" max="11527" width="9.375" style="17" customWidth="1"/>
    <col min="11528" max="11529" width="9" style="17"/>
    <col min="11530" max="11530" width="9.375" style="17" customWidth="1"/>
    <col min="11531" max="11531" width="4" style="17" customWidth="1"/>
    <col min="11532" max="11532" width="5.125" style="17" customWidth="1"/>
    <col min="11533" max="11533" width="13.75" style="17" customWidth="1"/>
    <col min="11534" max="11776" width="9" style="17"/>
    <col min="11777" max="11777" width="4.875" style="17" customWidth="1"/>
    <col min="11778" max="11778" width="13.25" style="17" customWidth="1"/>
    <col min="11779" max="11779" width="15.625" style="17" customWidth="1"/>
    <col min="11780" max="11780" width="9.375" style="17" customWidth="1"/>
    <col min="11781" max="11781" width="13.5" style="17" customWidth="1"/>
    <col min="11782" max="11782" width="9" style="17"/>
    <col min="11783" max="11783" width="9.375" style="17" customWidth="1"/>
    <col min="11784" max="11785" width="9" style="17"/>
    <col min="11786" max="11786" width="9.375" style="17" customWidth="1"/>
    <col min="11787" max="11787" width="4" style="17" customWidth="1"/>
    <col min="11788" max="11788" width="5.125" style="17" customWidth="1"/>
    <col min="11789" max="11789" width="13.75" style="17" customWidth="1"/>
    <col min="11790" max="12032" width="9" style="17"/>
    <col min="12033" max="12033" width="4.875" style="17" customWidth="1"/>
    <col min="12034" max="12034" width="13.25" style="17" customWidth="1"/>
    <col min="12035" max="12035" width="15.625" style="17" customWidth="1"/>
    <col min="12036" max="12036" width="9.375" style="17" customWidth="1"/>
    <col min="12037" max="12037" width="13.5" style="17" customWidth="1"/>
    <col min="12038" max="12038" width="9" style="17"/>
    <col min="12039" max="12039" width="9.375" style="17" customWidth="1"/>
    <col min="12040" max="12041" width="9" style="17"/>
    <col min="12042" max="12042" width="9.375" style="17" customWidth="1"/>
    <col min="12043" max="12043" width="4" style="17" customWidth="1"/>
    <col min="12044" max="12044" width="5.125" style="17" customWidth="1"/>
    <col min="12045" max="12045" width="13.75" style="17" customWidth="1"/>
    <col min="12046" max="12288" width="9" style="17"/>
    <col min="12289" max="12289" width="4.875" style="17" customWidth="1"/>
    <col min="12290" max="12290" width="13.25" style="17" customWidth="1"/>
    <col min="12291" max="12291" width="15.625" style="17" customWidth="1"/>
    <col min="12292" max="12292" width="9.375" style="17" customWidth="1"/>
    <col min="12293" max="12293" width="13.5" style="17" customWidth="1"/>
    <col min="12294" max="12294" width="9" style="17"/>
    <col min="12295" max="12295" width="9.375" style="17" customWidth="1"/>
    <col min="12296" max="12297" width="9" style="17"/>
    <col min="12298" max="12298" width="9.375" style="17" customWidth="1"/>
    <col min="12299" max="12299" width="4" style="17" customWidth="1"/>
    <col min="12300" max="12300" width="5.125" style="17" customWidth="1"/>
    <col min="12301" max="12301" width="13.75" style="17" customWidth="1"/>
    <col min="12302" max="12544" width="9" style="17"/>
    <col min="12545" max="12545" width="4.875" style="17" customWidth="1"/>
    <col min="12546" max="12546" width="13.25" style="17" customWidth="1"/>
    <col min="12547" max="12547" width="15.625" style="17" customWidth="1"/>
    <col min="12548" max="12548" width="9.375" style="17" customWidth="1"/>
    <col min="12549" max="12549" width="13.5" style="17" customWidth="1"/>
    <col min="12550" max="12550" width="9" style="17"/>
    <col min="12551" max="12551" width="9.375" style="17" customWidth="1"/>
    <col min="12552" max="12553" width="9" style="17"/>
    <col min="12554" max="12554" width="9.375" style="17" customWidth="1"/>
    <col min="12555" max="12555" width="4" style="17" customWidth="1"/>
    <col min="12556" max="12556" width="5.125" style="17" customWidth="1"/>
    <col min="12557" max="12557" width="13.75" style="17" customWidth="1"/>
    <col min="12558" max="12800" width="9" style="17"/>
    <col min="12801" max="12801" width="4.875" style="17" customWidth="1"/>
    <col min="12802" max="12802" width="13.25" style="17" customWidth="1"/>
    <col min="12803" max="12803" width="15.625" style="17" customWidth="1"/>
    <col min="12804" max="12804" width="9.375" style="17" customWidth="1"/>
    <col min="12805" max="12805" width="13.5" style="17" customWidth="1"/>
    <col min="12806" max="12806" width="9" style="17"/>
    <col min="12807" max="12807" width="9.375" style="17" customWidth="1"/>
    <col min="12808" max="12809" width="9" style="17"/>
    <col min="12810" max="12810" width="9.375" style="17" customWidth="1"/>
    <col min="12811" max="12811" width="4" style="17" customWidth="1"/>
    <col min="12812" max="12812" width="5.125" style="17" customWidth="1"/>
    <col min="12813" max="12813" width="13.75" style="17" customWidth="1"/>
    <col min="12814" max="13056" width="9" style="17"/>
    <col min="13057" max="13057" width="4.875" style="17" customWidth="1"/>
    <col min="13058" max="13058" width="13.25" style="17" customWidth="1"/>
    <col min="13059" max="13059" width="15.625" style="17" customWidth="1"/>
    <col min="13060" max="13060" width="9.375" style="17" customWidth="1"/>
    <col min="13061" max="13061" width="13.5" style="17" customWidth="1"/>
    <col min="13062" max="13062" width="9" style="17"/>
    <col min="13063" max="13063" width="9.375" style="17" customWidth="1"/>
    <col min="13064" max="13065" width="9" style="17"/>
    <col min="13066" max="13066" width="9.375" style="17" customWidth="1"/>
    <col min="13067" max="13067" width="4" style="17" customWidth="1"/>
    <col min="13068" max="13068" width="5.125" style="17" customWidth="1"/>
    <col min="13069" max="13069" width="13.75" style="17" customWidth="1"/>
    <col min="13070" max="13312" width="9" style="17"/>
    <col min="13313" max="13313" width="4.875" style="17" customWidth="1"/>
    <col min="13314" max="13314" width="13.25" style="17" customWidth="1"/>
    <col min="13315" max="13315" width="15.625" style="17" customWidth="1"/>
    <col min="13316" max="13316" width="9.375" style="17" customWidth="1"/>
    <col min="13317" max="13317" width="13.5" style="17" customWidth="1"/>
    <col min="13318" max="13318" width="9" style="17"/>
    <col min="13319" max="13319" width="9.375" style="17" customWidth="1"/>
    <col min="13320" max="13321" width="9" style="17"/>
    <col min="13322" max="13322" width="9.375" style="17" customWidth="1"/>
    <col min="13323" max="13323" width="4" style="17" customWidth="1"/>
    <col min="13324" max="13324" width="5.125" style="17" customWidth="1"/>
    <col min="13325" max="13325" width="13.75" style="17" customWidth="1"/>
    <col min="13326" max="13568" width="9" style="17"/>
    <col min="13569" max="13569" width="4.875" style="17" customWidth="1"/>
    <col min="13570" max="13570" width="13.25" style="17" customWidth="1"/>
    <col min="13571" max="13571" width="15.625" style="17" customWidth="1"/>
    <col min="13572" max="13572" width="9.375" style="17" customWidth="1"/>
    <col min="13573" max="13573" width="13.5" style="17" customWidth="1"/>
    <col min="13574" max="13574" width="9" style="17"/>
    <col min="13575" max="13575" width="9.375" style="17" customWidth="1"/>
    <col min="13576" max="13577" width="9" style="17"/>
    <col min="13578" max="13578" width="9.375" style="17" customWidth="1"/>
    <col min="13579" max="13579" width="4" style="17" customWidth="1"/>
    <col min="13580" max="13580" width="5.125" style="17" customWidth="1"/>
    <col min="13581" max="13581" width="13.75" style="17" customWidth="1"/>
    <col min="13582" max="13824" width="9" style="17"/>
    <col min="13825" max="13825" width="4.875" style="17" customWidth="1"/>
    <col min="13826" max="13826" width="13.25" style="17" customWidth="1"/>
    <col min="13827" max="13827" width="15.625" style="17" customWidth="1"/>
    <col min="13828" max="13828" width="9.375" style="17" customWidth="1"/>
    <col min="13829" max="13829" width="13.5" style="17" customWidth="1"/>
    <col min="13830" max="13830" width="9" style="17"/>
    <col min="13831" max="13831" width="9.375" style="17" customWidth="1"/>
    <col min="13832" max="13833" width="9" style="17"/>
    <col min="13834" max="13834" width="9.375" style="17" customWidth="1"/>
    <col min="13835" max="13835" width="4" style="17" customWidth="1"/>
    <col min="13836" max="13836" width="5.125" style="17" customWidth="1"/>
    <col min="13837" max="13837" width="13.75" style="17" customWidth="1"/>
    <col min="13838" max="14080" width="9" style="17"/>
    <col min="14081" max="14081" width="4.875" style="17" customWidth="1"/>
    <col min="14082" max="14082" width="13.25" style="17" customWidth="1"/>
    <col min="14083" max="14083" width="15.625" style="17" customWidth="1"/>
    <col min="14084" max="14084" width="9.375" style="17" customWidth="1"/>
    <col min="14085" max="14085" width="13.5" style="17" customWidth="1"/>
    <col min="14086" max="14086" width="9" style="17"/>
    <col min="14087" max="14087" width="9.375" style="17" customWidth="1"/>
    <col min="14088" max="14089" width="9" style="17"/>
    <col min="14090" max="14090" width="9.375" style="17" customWidth="1"/>
    <col min="14091" max="14091" width="4" style="17" customWidth="1"/>
    <col min="14092" max="14092" width="5.125" style="17" customWidth="1"/>
    <col min="14093" max="14093" width="13.75" style="17" customWidth="1"/>
    <col min="14094" max="14336" width="9" style="17"/>
    <col min="14337" max="14337" width="4.875" style="17" customWidth="1"/>
    <col min="14338" max="14338" width="13.25" style="17" customWidth="1"/>
    <col min="14339" max="14339" width="15.625" style="17" customWidth="1"/>
    <col min="14340" max="14340" width="9.375" style="17" customWidth="1"/>
    <col min="14341" max="14341" width="13.5" style="17" customWidth="1"/>
    <col min="14342" max="14342" width="9" style="17"/>
    <col min="14343" max="14343" width="9.375" style="17" customWidth="1"/>
    <col min="14344" max="14345" width="9" style="17"/>
    <col min="14346" max="14346" width="9.375" style="17" customWidth="1"/>
    <col min="14347" max="14347" width="4" style="17" customWidth="1"/>
    <col min="14348" max="14348" width="5.125" style="17" customWidth="1"/>
    <col min="14349" max="14349" width="13.75" style="17" customWidth="1"/>
    <col min="14350" max="14592" width="9" style="17"/>
    <col min="14593" max="14593" width="4.875" style="17" customWidth="1"/>
    <col min="14594" max="14594" width="13.25" style="17" customWidth="1"/>
    <col min="14595" max="14595" width="15.625" style="17" customWidth="1"/>
    <col min="14596" max="14596" width="9.375" style="17" customWidth="1"/>
    <col min="14597" max="14597" width="13.5" style="17" customWidth="1"/>
    <col min="14598" max="14598" width="9" style="17"/>
    <col min="14599" max="14599" width="9.375" style="17" customWidth="1"/>
    <col min="14600" max="14601" width="9" style="17"/>
    <col min="14602" max="14602" width="9.375" style="17" customWidth="1"/>
    <col min="14603" max="14603" width="4" style="17" customWidth="1"/>
    <col min="14604" max="14604" width="5.125" style="17" customWidth="1"/>
    <col min="14605" max="14605" width="13.75" style="17" customWidth="1"/>
    <col min="14606" max="14848" width="9" style="17"/>
    <col min="14849" max="14849" width="4.875" style="17" customWidth="1"/>
    <col min="14850" max="14850" width="13.25" style="17" customWidth="1"/>
    <col min="14851" max="14851" width="15.625" style="17" customWidth="1"/>
    <col min="14852" max="14852" width="9.375" style="17" customWidth="1"/>
    <col min="14853" max="14853" width="13.5" style="17" customWidth="1"/>
    <col min="14854" max="14854" width="9" style="17"/>
    <col min="14855" max="14855" width="9.375" style="17" customWidth="1"/>
    <col min="14856" max="14857" width="9" style="17"/>
    <col min="14858" max="14858" width="9.375" style="17" customWidth="1"/>
    <col min="14859" max="14859" width="4" style="17" customWidth="1"/>
    <col min="14860" max="14860" width="5.125" style="17" customWidth="1"/>
    <col min="14861" max="14861" width="13.75" style="17" customWidth="1"/>
    <col min="14862" max="15104" width="9" style="17"/>
    <col min="15105" max="15105" width="4.875" style="17" customWidth="1"/>
    <col min="15106" max="15106" width="13.25" style="17" customWidth="1"/>
    <col min="15107" max="15107" width="15.625" style="17" customWidth="1"/>
    <col min="15108" max="15108" width="9.375" style="17" customWidth="1"/>
    <col min="15109" max="15109" width="13.5" style="17" customWidth="1"/>
    <col min="15110" max="15110" width="9" style="17"/>
    <col min="15111" max="15111" width="9.375" style="17" customWidth="1"/>
    <col min="15112" max="15113" width="9" style="17"/>
    <col min="15114" max="15114" width="9.375" style="17" customWidth="1"/>
    <col min="15115" max="15115" width="4" style="17" customWidth="1"/>
    <col min="15116" max="15116" width="5.125" style="17" customWidth="1"/>
    <col min="15117" max="15117" width="13.75" style="17" customWidth="1"/>
    <col min="15118" max="15360" width="9" style="17"/>
    <col min="15361" max="15361" width="4.875" style="17" customWidth="1"/>
    <col min="15362" max="15362" width="13.25" style="17" customWidth="1"/>
    <col min="15363" max="15363" width="15.625" style="17" customWidth="1"/>
    <col min="15364" max="15364" width="9.375" style="17" customWidth="1"/>
    <col min="15365" max="15365" width="13.5" style="17" customWidth="1"/>
    <col min="15366" max="15366" width="9" style="17"/>
    <col min="15367" max="15367" width="9.375" style="17" customWidth="1"/>
    <col min="15368" max="15369" width="9" style="17"/>
    <col min="15370" max="15370" width="9.375" style="17" customWidth="1"/>
    <col min="15371" max="15371" width="4" style="17" customWidth="1"/>
    <col min="15372" max="15372" width="5.125" style="17" customWidth="1"/>
    <col min="15373" max="15373" width="13.75" style="17" customWidth="1"/>
    <col min="15374" max="15616" width="9" style="17"/>
    <col min="15617" max="15617" width="4.875" style="17" customWidth="1"/>
    <col min="15618" max="15618" width="13.25" style="17" customWidth="1"/>
    <col min="15619" max="15619" width="15.625" style="17" customWidth="1"/>
    <col min="15620" max="15620" width="9.375" style="17" customWidth="1"/>
    <col min="15621" max="15621" width="13.5" style="17" customWidth="1"/>
    <col min="15622" max="15622" width="9" style="17"/>
    <col min="15623" max="15623" width="9.375" style="17" customWidth="1"/>
    <col min="15624" max="15625" width="9" style="17"/>
    <col min="15626" max="15626" width="9.375" style="17" customWidth="1"/>
    <col min="15627" max="15627" width="4" style="17" customWidth="1"/>
    <col min="15628" max="15628" width="5.125" style="17" customWidth="1"/>
    <col min="15629" max="15629" width="13.75" style="17" customWidth="1"/>
    <col min="15630" max="15872" width="9" style="17"/>
    <col min="15873" max="15873" width="4.875" style="17" customWidth="1"/>
    <col min="15874" max="15874" width="13.25" style="17" customWidth="1"/>
    <col min="15875" max="15875" width="15.625" style="17" customWidth="1"/>
    <col min="15876" max="15876" width="9.375" style="17" customWidth="1"/>
    <col min="15877" max="15877" width="13.5" style="17" customWidth="1"/>
    <col min="15878" max="15878" width="9" style="17"/>
    <col min="15879" max="15879" width="9.375" style="17" customWidth="1"/>
    <col min="15880" max="15881" width="9" style="17"/>
    <col min="15882" max="15882" width="9.375" style="17" customWidth="1"/>
    <col min="15883" max="15883" width="4" style="17" customWidth="1"/>
    <col min="15884" max="15884" width="5.125" style="17" customWidth="1"/>
    <col min="15885" max="15885" width="13.75" style="17" customWidth="1"/>
    <col min="15886" max="16128" width="9" style="17"/>
    <col min="16129" max="16129" width="4.875" style="17" customWidth="1"/>
    <col min="16130" max="16130" width="13.25" style="17" customWidth="1"/>
    <col min="16131" max="16131" width="15.625" style="17" customWidth="1"/>
    <col min="16132" max="16132" width="9.375" style="17" customWidth="1"/>
    <col min="16133" max="16133" width="13.5" style="17" customWidth="1"/>
    <col min="16134" max="16134" width="9" style="17"/>
    <col min="16135" max="16135" width="9.375" style="17" customWidth="1"/>
    <col min="16136" max="16137" width="9" style="17"/>
    <col min="16138" max="16138" width="9.375" style="17" customWidth="1"/>
    <col min="16139" max="16139" width="4" style="17" customWidth="1"/>
    <col min="16140" max="16140" width="5.125" style="17" customWidth="1"/>
    <col min="16141" max="16141" width="13.75" style="17" customWidth="1"/>
    <col min="16142" max="16384" width="9" style="17"/>
  </cols>
  <sheetData>
    <row r="1" spans="1:257" s="14" customFormat="1">
      <c r="A1" s="18"/>
      <c r="B1" s="19" t="s">
        <v>2794</v>
      </c>
      <c r="C1" s="20">
        <f>项目基本情况!D3</f>
        <v>43361</v>
      </c>
      <c r="D1" s="19" t="s">
        <v>2795</v>
      </c>
      <c r="E1" s="21">
        <f>'数据-取费表'!B22</f>
        <v>2</v>
      </c>
      <c r="F1" s="19" t="s">
        <v>2796</v>
      </c>
      <c r="G1" s="22">
        <f ca="1">INDIRECT("d"&amp;$K$1)/100</f>
        <v>4.7500000000000001E-2</v>
      </c>
      <c r="H1" s="19" t="s">
        <v>2797</v>
      </c>
      <c r="I1" s="22">
        <f ca="1">F4/100</f>
        <v>1.4999999999999999E-2</v>
      </c>
      <c r="J1" s="68">
        <f>IF(C1&gt;C13,0,MATCH(C1,C$13:C$100,-1))+IF(SUMIF(C13:C100,C1,D13:D100)=0,13,12)</f>
        <v>13</v>
      </c>
      <c r="K1" s="68">
        <f>MATCH(E1,C3:C7,1)+IF(SUMIF(C3:C7,E1,D3:D7)=0,2,1)</f>
        <v>5</v>
      </c>
      <c r="L1" s="68">
        <f>IF(C1&gt;M13,0,MATCH(C1,M$13:M$100,-1))+IF(SUMIF(M13:M100,C1,N13:N100)=0,13,12)</f>
        <v>13</v>
      </c>
      <c r="M1" s="18"/>
      <c r="N1" s="18"/>
      <c r="O1" s="18"/>
      <c r="P1" s="18"/>
      <c r="Q1" s="18"/>
      <c r="R1" s="18"/>
      <c r="S1" s="18"/>
      <c r="T1" s="18"/>
      <c r="U1" s="18"/>
      <c r="V1" s="18"/>
      <c r="W1" s="18"/>
      <c r="X1" s="18"/>
      <c r="Y1" s="18"/>
      <c r="Z1" s="18"/>
      <c r="AA1" s="72"/>
      <c r="AB1" s="72"/>
      <c r="AC1" s="72"/>
      <c r="AD1" s="72"/>
      <c r="AE1" s="72"/>
      <c r="AF1" s="72"/>
      <c r="AG1" s="72"/>
      <c r="AH1" s="72"/>
      <c r="AI1" s="72"/>
      <c r="AJ1" s="72"/>
      <c r="AK1" s="72"/>
      <c r="AL1" s="72"/>
      <c r="AM1" s="72"/>
      <c r="AN1" s="72"/>
      <c r="AO1" s="72"/>
      <c r="AP1" s="72"/>
      <c r="AQ1" s="72"/>
      <c r="AR1" s="72"/>
      <c r="AS1" s="72"/>
      <c r="AT1" s="72"/>
      <c r="AU1" s="72"/>
      <c r="AV1" s="72"/>
      <c r="AW1" s="72"/>
      <c r="AX1" s="72"/>
      <c r="AY1" s="72"/>
      <c r="AZ1" s="72"/>
      <c r="BA1" s="72"/>
      <c r="BB1" s="72"/>
      <c r="BC1" s="72"/>
      <c r="BD1" s="72"/>
      <c r="BE1" s="72"/>
      <c r="BF1" s="72"/>
      <c r="BG1" s="72"/>
      <c r="BH1" s="72"/>
      <c r="BI1" s="72"/>
      <c r="BJ1" s="72"/>
      <c r="BK1" s="72"/>
      <c r="BL1" s="72"/>
      <c r="BM1" s="72"/>
      <c r="BN1" s="72"/>
      <c r="BO1" s="72"/>
      <c r="BP1" s="72"/>
      <c r="BQ1" s="72"/>
      <c r="BR1" s="72"/>
      <c r="BS1" s="72"/>
      <c r="BT1" s="72"/>
      <c r="BU1" s="72"/>
      <c r="BV1" s="72"/>
      <c r="BW1" s="72"/>
      <c r="BX1" s="72"/>
      <c r="BY1" s="72"/>
      <c r="BZ1" s="72"/>
      <c r="CA1" s="72"/>
      <c r="CB1" s="72"/>
      <c r="CC1" s="72"/>
      <c r="CD1" s="72"/>
      <c r="CE1" s="72"/>
      <c r="CF1" s="72"/>
      <c r="CG1" s="72"/>
      <c r="CH1" s="72"/>
      <c r="CI1" s="72"/>
      <c r="CJ1" s="72"/>
      <c r="CK1" s="72"/>
      <c r="CL1" s="72"/>
      <c r="CM1" s="72"/>
      <c r="CN1" s="72"/>
      <c r="CO1" s="72"/>
      <c r="CP1" s="72"/>
      <c r="CQ1" s="72"/>
      <c r="CR1" s="72"/>
      <c r="CS1" s="72"/>
      <c r="CT1" s="72"/>
      <c r="CU1" s="72"/>
      <c r="CV1" s="72"/>
      <c r="CW1" s="72"/>
      <c r="CX1" s="72"/>
      <c r="CY1" s="72"/>
      <c r="CZ1" s="72"/>
      <c r="DA1" s="72"/>
      <c r="DB1" s="72"/>
      <c r="DC1" s="72"/>
      <c r="DD1" s="72"/>
      <c r="DE1" s="72"/>
      <c r="DF1" s="72"/>
      <c r="DG1" s="72"/>
      <c r="DH1" s="72"/>
      <c r="DI1" s="72"/>
      <c r="DJ1" s="72"/>
      <c r="DK1" s="72"/>
      <c r="DL1" s="72"/>
      <c r="DM1" s="72"/>
      <c r="DN1" s="72"/>
      <c r="DO1" s="72"/>
      <c r="DP1" s="72"/>
      <c r="DQ1" s="72"/>
      <c r="DR1" s="72"/>
      <c r="DS1" s="72"/>
      <c r="DT1" s="72"/>
      <c r="DU1" s="72"/>
      <c r="DV1" s="72"/>
      <c r="DW1" s="72"/>
      <c r="DX1" s="72"/>
      <c r="DY1" s="72"/>
      <c r="DZ1" s="72"/>
      <c r="EA1" s="72"/>
      <c r="EB1" s="72"/>
      <c r="EC1" s="72"/>
      <c r="ED1" s="72"/>
      <c r="EE1" s="72"/>
      <c r="EF1" s="72"/>
      <c r="EG1" s="72"/>
      <c r="EH1" s="72"/>
      <c r="EI1" s="72"/>
      <c r="EJ1" s="72"/>
      <c r="EK1" s="72"/>
      <c r="EL1" s="72"/>
      <c r="EM1" s="72"/>
      <c r="EN1" s="72"/>
      <c r="EO1" s="72"/>
      <c r="EP1" s="72"/>
      <c r="EQ1" s="72"/>
      <c r="ER1" s="72"/>
      <c r="ES1" s="72"/>
      <c r="ET1" s="72"/>
      <c r="EU1" s="72"/>
      <c r="EV1" s="72"/>
      <c r="EW1" s="72"/>
      <c r="EX1" s="72"/>
      <c r="EY1" s="72"/>
      <c r="EZ1" s="72"/>
      <c r="FA1" s="72"/>
      <c r="FB1" s="72"/>
      <c r="FC1" s="72"/>
      <c r="FD1" s="72"/>
      <c r="FE1" s="72"/>
      <c r="FF1" s="72"/>
      <c r="FG1" s="72"/>
      <c r="FH1" s="72"/>
      <c r="FI1" s="72"/>
      <c r="FJ1" s="72"/>
      <c r="FK1" s="72"/>
      <c r="FL1" s="72"/>
      <c r="FM1" s="72"/>
      <c r="FN1" s="72"/>
      <c r="FO1" s="72"/>
      <c r="FP1" s="72"/>
      <c r="FQ1" s="72"/>
      <c r="FR1" s="72"/>
      <c r="FS1" s="72"/>
      <c r="FT1" s="72"/>
      <c r="FU1" s="72"/>
      <c r="FV1" s="72"/>
      <c r="FW1" s="72"/>
      <c r="FX1" s="72"/>
      <c r="FY1" s="72"/>
      <c r="FZ1" s="72"/>
      <c r="GA1" s="72"/>
      <c r="GB1" s="72"/>
      <c r="GC1" s="72"/>
      <c r="GD1" s="72"/>
      <c r="GE1" s="72"/>
      <c r="GF1" s="72"/>
      <c r="GG1" s="72"/>
      <c r="GH1" s="72"/>
      <c r="GI1" s="72"/>
      <c r="GJ1" s="72"/>
      <c r="GK1" s="72"/>
      <c r="GL1" s="72"/>
      <c r="GM1" s="72"/>
      <c r="GN1" s="72"/>
      <c r="GO1" s="72"/>
      <c r="GP1" s="72"/>
      <c r="GQ1" s="72"/>
      <c r="GR1" s="72"/>
      <c r="GS1" s="72"/>
      <c r="GT1" s="72"/>
      <c r="GU1" s="72"/>
      <c r="GV1" s="72"/>
      <c r="GW1" s="72"/>
      <c r="GX1" s="72"/>
      <c r="GY1" s="72"/>
      <c r="GZ1" s="72"/>
      <c r="HA1" s="72"/>
      <c r="HB1" s="72"/>
      <c r="HC1" s="72"/>
      <c r="HD1" s="72"/>
      <c r="HE1" s="72"/>
      <c r="HF1" s="72"/>
      <c r="HG1" s="72"/>
      <c r="HH1" s="72"/>
      <c r="HI1" s="72"/>
      <c r="HJ1" s="72"/>
      <c r="HK1" s="72"/>
      <c r="HL1" s="72"/>
      <c r="HM1" s="72"/>
      <c r="HN1" s="72"/>
      <c r="HO1" s="72"/>
      <c r="HP1" s="72"/>
      <c r="HQ1" s="72"/>
      <c r="HR1" s="72"/>
      <c r="HS1" s="72"/>
      <c r="HT1" s="72"/>
      <c r="HU1" s="72"/>
      <c r="HV1" s="72"/>
      <c r="HW1" s="72"/>
      <c r="HX1" s="72"/>
      <c r="HY1" s="72"/>
      <c r="HZ1" s="72"/>
      <c r="IA1" s="72"/>
      <c r="IB1" s="72"/>
      <c r="IC1" s="72"/>
      <c r="ID1" s="72"/>
      <c r="IE1" s="72"/>
      <c r="IF1" s="72"/>
      <c r="IG1" s="72"/>
      <c r="IH1" s="72"/>
      <c r="II1" s="72"/>
      <c r="IJ1" s="72"/>
      <c r="IK1" s="72"/>
      <c r="IL1" s="72"/>
      <c r="IM1" s="72"/>
      <c r="IN1" s="72"/>
      <c r="IO1" s="72"/>
      <c r="IP1" s="72"/>
      <c r="IQ1" s="72"/>
      <c r="IR1" s="72"/>
      <c r="IS1" s="72"/>
      <c r="IT1" s="72"/>
      <c r="IU1" s="72"/>
      <c r="IV1" s="72"/>
      <c r="IW1" s="78"/>
    </row>
    <row r="2" spans="1:257">
      <c r="A2" s="23"/>
      <c r="B2" s="23"/>
      <c r="C2" s="23"/>
      <c r="D2" s="23" t="s">
        <v>2796</v>
      </c>
      <c r="E2" s="23"/>
      <c r="F2" s="23" t="s">
        <v>2798</v>
      </c>
      <c r="G2" s="24"/>
      <c r="H2" s="23"/>
      <c r="I2" s="23"/>
      <c r="J2" s="23"/>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3"/>
      <c r="BC2" s="23"/>
      <c r="BD2" s="23"/>
      <c r="BE2" s="23"/>
      <c r="BF2" s="23"/>
      <c r="BG2" s="23"/>
      <c r="BH2" s="23"/>
      <c r="BI2" s="23"/>
      <c r="BJ2" s="23"/>
      <c r="BK2" s="23"/>
      <c r="BL2" s="23"/>
      <c r="BM2" s="23"/>
      <c r="BN2" s="23"/>
      <c r="BO2" s="23"/>
      <c r="BP2" s="23"/>
      <c r="BQ2" s="23"/>
      <c r="BR2" s="23"/>
      <c r="BS2" s="23"/>
      <c r="BT2" s="23"/>
      <c r="BU2" s="23"/>
      <c r="BV2" s="23"/>
      <c r="BW2" s="23"/>
      <c r="BX2" s="23"/>
      <c r="BY2" s="23"/>
      <c r="BZ2" s="23"/>
      <c r="CA2" s="23"/>
      <c r="CB2" s="23"/>
      <c r="CC2" s="23"/>
      <c r="CD2" s="23"/>
      <c r="CE2" s="23"/>
      <c r="CF2" s="23"/>
      <c r="CG2" s="23"/>
      <c r="CH2" s="23"/>
      <c r="CI2" s="23"/>
      <c r="CJ2" s="23"/>
      <c r="CK2" s="23"/>
      <c r="CL2" s="23"/>
      <c r="CM2" s="23"/>
      <c r="CN2" s="23"/>
      <c r="CO2" s="23"/>
      <c r="CP2" s="23"/>
      <c r="CQ2" s="23"/>
      <c r="CR2" s="23"/>
      <c r="CS2" s="23"/>
      <c r="CT2" s="23"/>
      <c r="CU2" s="23"/>
      <c r="CV2" s="23"/>
      <c r="CW2" s="23"/>
      <c r="CX2" s="23"/>
      <c r="CY2" s="23"/>
      <c r="CZ2" s="23"/>
      <c r="DA2" s="23"/>
      <c r="DB2" s="23"/>
      <c r="DC2" s="23"/>
      <c r="DD2" s="23"/>
      <c r="DE2" s="23"/>
      <c r="DF2" s="23"/>
      <c r="DG2" s="23"/>
      <c r="DH2" s="23"/>
      <c r="DI2" s="23"/>
      <c r="DJ2" s="23"/>
      <c r="DK2" s="23"/>
      <c r="DL2" s="23"/>
      <c r="DM2" s="23"/>
      <c r="DN2" s="23"/>
      <c r="DO2" s="23"/>
      <c r="DP2" s="23"/>
      <c r="DQ2" s="23"/>
      <c r="DR2" s="23"/>
      <c r="DS2" s="23"/>
      <c r="DT2" s="23"/>
      <c r="DU2" s="23"/>
      <c r="DV2" s="23"/>
      <c r="DW2" s="23"/>
      <c r="DX2" s="23"/>
      <c r="DY2" s="23"/>
      <c r="DZ2" s="23"/>
      <c r="EA2" s="23"/>
      <c r="EB2" s="23"/>
      <c r="EC2" s="23"/>
      <c r="ED2" s="23"/>
      <c r="EE2" s="23"/>
      <c r="EF2" s="23"/>
      <c r="EG2" s="23"/>
      <c r="EH2" s="23"/>
      <c r="EI2" s="23"/>
      <c r="EJ2" s="23"/>
      <c r="EK2" s="23"/>
      <c r="EL2" s="23"/>
      <c r="EM2" s="23"/>
      <c r="EN2" s="23"/>
      <c r="EO2" s="23"/>
      <c r="EP2" s="23"/>
      <c r="EQ2" s="23"/>
      <c r="ER2" s="23"/>
      <c r="ES2" s="23"/>
      <c r="ET2" s="23"/>
      <c r="EU2" s="23"/>
      <c r="EV2" s="23"/>
      <c r="EW2" s="23"/>
      <c r="EX2" s="23"/>
      <c r="EY2" s="23"/>
      <c r="EZ2" s="23"/>
      <c r="FA2" s="23"/>
      <c r="FB2" s="23"/>
      <c r="FC2" s="23"/>
      <c r="FD2" s="23"/>
      <c r="FE2" s="23"/>
      <c r="FF2" s="23"/>
      <c r="FG2" s="23"/>
      <c r="FH2" s="23"/>
      <c r="FI2" s="23"/>
      <c r="FJ2" s="23"/>
      <c r="FK2" s="23"/>
      <c r="FL2" s="23"/>
      <c r="FM2" s="23"/>
      <c r="FN2" s="23"/>
      <c r="FO2" s="23"/>
      <c r="FP2" s="23"/>
      <c r="FQ2" s="23"/>
      <c r="FR2" s="23"/>
      <c r="FS2" s="23"/>
      <c r="FT2" s="23"/>
      <c r="FU2" s="23"/>
      <c r="FV2" s="23"/>
      <c r="FW2" s="23"/>
      <c r="FX2" s="23"/>
      <c r="FY2" s="23"/>
      <c r="FZ2" s="23"/>
      <c r="GA2" s="23"/>
      <c r="GB2" s="23"/>
      <c r="GC2" s="23"/>
      <c r="GD2" s="23"/>
      <c r="GE2" s="23"/>
      <c r="GF2" s="23"/>
      <c r="GG2" s="23"/>
      <c r="GH2" s="23"/>
      <c r="GI2" s="23"/>
      <c r="GJ2" s="23"/>
      <c r="GK2" s="23"/>
      <c r="GL2" s="23"/>
      <c r="GM2" s="23"/>
      <c r="GN2" s="23"/>
      <c r="GO2" s="23"/>
      <c r="GP2" s="23"/>
      <c r="GQ2" s="23"/>
      <c r="GR2" s="23"/>
      <c r="GS2" s="23"/>
      <c r="GT2" s="23"/>
      <c r="GU2" s="23"/>
      <c r="GV2" s="23"/>
      <c r="GW2" s="23"/>
      <c r="GX2" s="23"/>
      <c r="GY2" s="23"/>
      <c r="GZ2" s="23"/>
      <c r="HA2" s="23"/>
      <c r="HB2" s="23"/>
      <c r="HC2" s="23"/>
      <c r="HD2" s="23"/>
      <c r="HE2" s="23"/>
      <c r="HF2" s="23"/>
      <c r="HG2" s="23"/>
      <c r="HH2" s="23"/>
      <c r="HI2" s="23"/>
      <c r="HJ2" s="23"/>
      <c r="HK2" s="23"/>
      <c r="HL2" s="23"/>
      <c r="HM2" s="23"/>
      <c r="HN2" s="23"/>
      <c r="HO2" s="23"/>
      <c r="HP2" s="23"/>
      <c r="HQ2" s="23"/>
      <c r="HR2" s="23"/>
      <c r="HS2" s="23"/>
      <c r="HT2" s="23"/>
      <c r="HU2" s="23"/>
      <c r="HV2" s="23"/>
      <c r="HW2" s="23"/>
      <c r="HX2" s="23"/>
      <c r="HY2" s="23"/>
      <c r="HZ2" s="23"/>
      <c r="IA2" s="23"/>
      <c r="IB2" s="23"/>
      <c r="IC2" s="23"/>
      <c r="ID2" s="23"/>
      <c r="IE2" s="23"/>
      <c r="IF2" s="23"/>
      <c r="IG2" s="23"/>
      <c r="IH2" s="23"/>
      <c r="II2" s="23"/>
      <c r="IJ2" s="23"/>
      <c r="IK2" s="23"/>
      <c r="IL2" s="23"/>
      <c r="IM2" s="23"/>
      <c r="IN2" s="23"/>
      <c r="IO2" s="23"/>
      <c r="IP2" s="23"/>
      <c r="IQ2" s="23"/>
      <c r="IR2" s="23"/>
      <c r="IS2" s="23"/>
      <c r="IT2" s="23"/>
      <c r="IU2" s="23"/>
      <c r="IV2" s="23"/>
      <c r="IW2" s="23"/>
    </row>
    <row r="3" spans="1:257">
      <c r="B3" s="25" t="s">
        <v>2799</v>
      </c>
      <c r="C3" s="26">
        <v>0</v>
      </c>
      <c r="D3" s="27">
        <f ca="1">INDIRECT("d"&amp;$J$1)</f>
        <v>4.3499999999999996</v>
      </c>
      <c r="E3" s="28">
        <v>0.5</v>
      </c>
      <c r="F3" s="29">
        <f ca="1">INDIRECT("p"&amp;$L$1)</f>
        <v>1.3</v>
      </c>
      <c r="G3" s="15"/>
      <c r="H3" s="15"/>
      <c r="I3" s="15"/>
      <c r="J3" s="15"/>
      <c r="L3" s="15"/>
      <c r="M3" s="15"/>
      <c r="N3" s="15"/>
      <c r="O3" s="15"/>
      <c r="P3" s="15"/>
      <c r="Q3" s="15"/>
      <c r="R3" s="15"/>
      <c r="S3" s="15"/>
      <c r="T3" s="15"/>
      <c r="U3" s="15"/>
      <c r="V3" s="15"/>
      <c r="W3" s="15"/>
      <c r="X3" s="15"/>
      <c r="Y3" s="15"/>
      <c r="Z3" s="15"/>
    </row>
    <row r="4" spans="1:257">
      <c r="B4" s="30" t="s">
        <v>2800</v>
      </c>
      <c r="C4" s="31">
        <v>0.5</v>
      </c>
      <c r="D4" s="32">
        <f ca="1">INDIRECT("e"&amp;$J$1)</f>
        <v>4.3499999999999996</v>
      </c>
      <c r="E4" s="33">
        <v>1</v>
      </c>
      <c r="F4" s="34">
        <f ca="1">INDIRECT("q"&amp;$L$1)</f>
        <v>1.5</v>
      </c>
      <c r="G4" s="15"/>
      <c r="H4" s="15"/>
      <c r="I4" s="15"/>
      <c r="J4" s="15"/>
      <c r="L4" s="15"/>
      <c r="M4" s="15"/>
      <c r="N4" s="15"/>
      <c r="O4" s="15"/>
      <c r="P4" s="15"/>
      <c r="Q4" s="15"/>
      <c r="R4" s="15"/>
      <c r="S4" s="15"/>
      <c r="T4" s="15"/>
      <c r="U4" s="15"/>
      <c r="V4" s="15"/>
      <c r="W4" s="15"/>
      <c r="X4" s="15"/>
      <c r="Y4" s="15"/>
      <c r="Z4" s="15"/>
    </row>
    <row r="5" spans="1:257">
      <c r="B5" s="30" t="s">
        <v>2801</v>
      </c>
      <c r="C5" s="31">
        <v>1</v>
      </c>
      <c r="D5" s="32">
        <f ca="1">INDIRECT("f"&amp;$J$1)</f>
        <v>4.75</v>
      </c>
      <c r="E5" s="33">
        <v>2</v>
      </c>
      <c r="F5" s="34">
        <f ca="1">INDIRECT("r"&amp;$L$1)</f>
        <v>2.1</v>
      </c>
      <c r="G5" s="15"/>
      <c r="H5" s="15"/>
      <c r="I5" s="15"/>
      <c r="J5" s="15"/>
      <c r="L5" s="15"/>
      <c r="M5" s="15"/>
      <c r="N5" s="15"/>
      <c r="O5" s="15"/>
      <c r="P5" s="15"/>
      <c r="Q5" s="15"/>
      <c r="R5" s="15"/>
      <c r="S5" s="15"/>
      <c r="T5" s="15"/>
      <c r="U5" s="15"/>
      <c r="V5" s="15"/>
      <c r="W5" s="15"/>
      <c r="X5" s="15"/>
      <c r="Y5" s="15"/>
      <c r="Z5" s="15"/>
    </row>
    <row r="6" spans="1:257">
      <c r="B6" s="30" t="s">
        <v>2802</v>
      </c>
      <c r="C6" s="31">
        <v>3</v>
      </c>
      <c r="D6" s="32">
        <f ca="1">INDIRECT("g"&amp;$J$1)</f>
        <v>4.75</v>
      </c>
      <c r="E6" s="33">
        <v>3</v>
      </c>
      <c r="F6" s="34">
        <f ca="1">INDIRECT("s"&amp;$L$1)</f>
        <v>2.75</v>
      </c>
      <c r="G6" s="15"/>
      <c r="H6" s="15"/>
      <c r="I6" s="15"/>
      <c r="J6" s="15"/>
      <c r="L6" s="15"/>
      <c r="M6" s="15"/>
      <c r="N6" s="15"/>
      <c r="O6" s="15"/>
      <c r="P6" s="15"/>
      <c r="Q6" s="15"/>
      <c r="R6" s="15"/>
      <c r="S6" s="15"/>
      <c r="T6" s="15"/>
      <c r="U6" s="15"/>
      <c r="V6" s="15"/>
      <c r="W6" s="15"/>
      <c r="X6" s="15"/>
      <c r="Y6" s="15"/>
      <c r="Z6" s="15"/>
    </row>
    <row r="7" spans="1:257">
      <c r="B7" s="35" t="s">
        <v>2803</v>
      </c>
      <c r="C7" s="36">
        <v>5</v>
      </c>
      <c r="D7" s="37">
        <f ca="1">INDIRECT("h"&amp;$J$1)</f>
        <v>4.9000000000000004</v>
      </c>
      <c r="E7" s="38">
        <v>5</v>
      </c>
      <c r="F7" s="39">
        <f ca="1">INDIRECT("t"&amp;$L$1)</f>
        <v>0</v>
      </c>
      <c r="G7" s="15"/>
      <c r="H7" s="15"/>
      <c r="I7" s="15"/>
      <c r="J7" s="15"/>
      <c r="L7" s="15"/>
      <c r="M7" s="15"/>
      <c r="N7" s="15"/>
      <c r="O7" s="15"/>
      <c r="P7" s="15"/>
      <c r="Q7" s="15"/>
      <c r="R7" s="15"/>
      <c r="S7" s="15"/>
      <c r="T7" s="15"/>
      <c r="U7" s="15"/>
      <c r="V7" s="15"/>
      <c r="W7" s="15"/>
      <c r="X7" s="15"/>
      <c r="Y7" s="15"/>
      <c r="Z7" s="15"/>
    </row>
    <row r="8" spans="1:257">
      <c r="A8" s="40"/>
      <c r="B8" s="41"/>
      <c r="C8" s="42"/>
      <c r="D8" s="15"/>
      <c r="E8" s="15"/>
      <c r="F8" s="15"/>
      <c r="G8" s="15"/>
      <c r="H8" s="15"/>
      <c r="I8" s="15"/>
      <c r="J8" s="15"/>
      <c r="L8" s="15"/>
      <c r="M8" s="15"/>
      <c r="N8" s="15"/>
      <c r="O8" s="15"/>
      <c r="P8" s="15"/>
      <c r="Q8" s="15"/>
      <c r="R8" s="15"/>
      <c r="S8" s="15"/>
      <c r="T8" s="15"/>
      <c r="U8" s="15"/>
      <c r="V8" s="15"/>
      <c r="W8" s="15"/>
      <c r="X8" s="15"/>
      <c r="Y8" s="15"/>
      <c r="Z8" s="15"/>
    </row>
    <row r="9" spans="1:257" ht="20.25">
      <c r="A9" s="43"/>
      <c r="B9" s="44" t="s">
        <v>2804</v>
      </c>
      <c r="C9" s="45"/>
      <c r="D9" s="46"/>
      <c r="E9" s="46"/>
      <c r="F9" s="46"/>
      <c r="G9" s="46"/>
      <c r="H9" s="46"/>
      <c r="I9" s="46"/>
      <c r="J9" s="46"/>
      <c r="K9" s="46"/>
      <c r="L9" s="46"/>
      <c r="M9" s="46"/>
      <c r="N9" s="46"/>
      <c r="O9" s="46"/>
      <c r="P9" s="46"/>
      <c r="Q9" s="46"/>
      <c r="R9" s="46"/>
      <c r="S9" s="46"/>
      <c r="T9" s="46"/>
      <c r="U9" s="46"/>
      <c r="V9" s="46"/>
      <c r="W9" s="46"/>
      <c r="X9" s="46"/>
      <c r="Y9" s="46"/>
      <c r="Z9" s="46"/>
      <c r="AA9" s="73"/>
      <c r="AB9" s="73"/>
      <c r="AC9" s="73"/>
      <c r="AD9" s="73"/>
      <c r="AE9" s="73"/>
      <c r="AF9" s="73"/>
      <c r="AG9" s="73"/>
      <c r="AH9" s="73"/>
      <c r="AI9" s="73"/>
      <c r="AJ9" s="73"/>
      <c r="AK9" s="73"/>
      <c r="AL9" s="73"/>
      <c r="AM9" s="73"/>
      <c r="AN9" s="73"/>
      <c r="AO9" s="73"/>
      <c r="AP9" s="73"/>
      <c r="AQ9" s="73"/>
      <c r="AR9" s="73"/>
      <c r="AS9" s="73"/>
      <c r="AT9" s="73"/>
      <c r="AU9" s="73"/>
      <c r="AV9" s="73"/>
      <c r="AW9" s="73"/>
      <c r="AX9" s="73"/>
      <c r="AY9" s="73"/>
      <c r="AZ9" s="73"/>
      <c r="BA9" s="73"/>
      <c r="BB9" s="73"/>
      <c r="BC9" s="73"/>
      <c r="BD9" s="73"/>
      <c r="BE9" s="73"/>
      <c r="BF9" s="73"/>
      <c r="BG9" s="73"/>
      <c r="BH9" s="73"/>
      <c r="BI9" s="73"/>
      <c r="BJ9" s="73"/>
      <c r="BK9" s="73"/>
      <c r="BL9" s="73"/>
      <c r="BM9" s="73"/>
      <c r="BN9" s="73"/>
      <c r="BO9" s="73"/>
      <c r="BP9" s="73"/>
      <c r="BQ9" s="73"/>
      <c r="BR9" s="73"/>
      <c r="BS9" s="73"/>
      <c r="BT9" s="73"/>
      <c r="BU9" s="73"/>
      <c r="BV9" s="73"/>
      <c r="BW9" s="73"/>
      <c r="BX9" s="73"/>
      <c r="BY9" s="73"/>
      <c r="BZ9" s="73"/>
      <c r="CA9" s="73"/>
      <c r="CB9" s="73"/>
      <c r="CC9" s="73"/>
      <c r="CD9" s="73"/>
      <c r="CE9" s="73"/>
      <c r="CF9" s="73"/>
      <c r="CG9" s="73"/>
      <c r="CH9" s="73"/>
      <c r="CI9" s="73"/>
      <c r="CJ9" s="73"/>
      <c r="CK9" s="73"/>
      <c r="CL9" s="73"/>
      <c r="CM9" s="73"/>
      <c r="CN9" s="73"/>
      <c r="CO9" s="73"/>
      <c r="CP9" s="73"/>
      <c r="CQ9" s="73"/>
      <c r="CR9" s="73"/>
      <c r="CS9" s="73"/>
      <c r="CT9" s="73"/>
      <c r="CU9" s="73"/>
      <c r="CV9" s="73"/>
      <c r="CW9" s="73"/>
      <c r="CX9" s="73"/>
      <c r="CY9" s="73"/>
      <c r="CZ9" s="73"/>
      <c r="DA9" s="73"/>
      <c r="DB9" s="73"/>
      <c r="DC9" s="73"/>
      <c r="DD9" s="73"/>
      <c r="DE9" s="73"/>
      <c r="DF9" s="73"/>
      <c r="DG9" s="73"/>
      <c r="DH9" s="73"/>
      <c r="DI9" s="73"/>
      <c r="DJ9" s="73"/>
      <c r="DK9" s="73"/>
      <c r="DL9" s="73"/>
      <c r="DM9" s="73"/>
      <c r="DN9" s="73"/>
      <c r="DO9" s="73"/>
      <c r="DP9" s="73"/>
      <c r="DQ9" s="73"/>
      <c r="DR9" s="73"/>
      <c r="DS9" s="73"/>
      <c r="DT9" s="73"/>
      <c r="DU9" s="73"/>
      <c r="DV9" s="73"/>
      <c r="DW9" s="73"/>
      <c r="DX9" s="73"/>
      <c r="DY9" s="73"/>
      <c r="DZ9" s="73"/>
      <c r="EA9" s="73"/>
      <c r="EB9" s="73"/>
      <c r="EC9" s="73"/>
      <c r="ED9" s="73"/>
      <c r="EE9" s="73"/>
      <c r="EF9" s="73"/>
      <c r="EG9" s="73"/>
      <c r="EH9" s="73"/>
      <c r="EI9" s="73"/>
      <c r="EJ9" s="73"/>
      <c r="EK9" s="73"/>
      <c r="EL9" s="73"/>
      <c r="EM9" s="73"/>
      <c r="EN9" s="73"/>
      <c r="EO9" s="73"/>
      <c r="EP9" s="73"/>
      <c r="EQ9" s="73"/>
      <c r="ER9" s="73"/>
      <c r="ES9" s="73"/>
      <c r="ET9" s="73"/>
      <c r="EU9" s="73"/>
      <c r="EV9" s="73"/>
      <c r="EW9" s="73"/>
      <c r="EX9" s="73"/>
      <c r="EY9" s="73"/>
      <c r="EZ9" s="73"/>
      <c r="FA9" s="73"/>
      <c r="FB9" s="73"/>
      <c r="FC9" s="73"/>
      <c r="FD9" s="73"/>
      <c r="FE9" s="73"/>
      <c r="FF9" s="73"/>
      <c r="FG9" s="73"/>
      <c r="FH9" s="73"/>
      <c r="FI9" s="73"/>
      <c r="FJ9" s="73"/>
      <c r="FK9" s="73"/>
      <c r="FL9" s="73"/>
      <c r="FM9" s="73"/>
      <c r="FN9" s="73"/>
      <c r="FO9" s="73"/>
      <c r="FP9" s="73"/>
      <c r="FQ9" s="73"/>
      <c r="FR9" s="73"/>
      <c r="FS9" s="73"/>
      <c r="FT9" s="73"/>
      <c r="FU9" s="73"/>
      <c r="FV9" s="73"/>
      <c r="FW9" s="73"/>
      <c r="FX9" s="73"/>
      <c r="FY9" s="73"/>
      <c r="FZ9" s="73"/>
      <c r="GA9" s="73"/>
      <c r="GB9" s="73"/>
      <c r="GC9" s="73"/>
      <c r="GD9" s="73"/>
      <c r="GE9" s="73"/>
      <c r="GF9" s="73"/>
      <c r="GG9" s="73"/>
      <c r="GH9" s="73"/>
      <c r="GI9" s="73"/>
      <c r="GJ9" s="73"/>
      <c r="GK9" s="73"/>
      <c r="GL9" s="73"/>
      <c r="GM9" s="73"/>
      <c r="GN9" s="73"/>
      <c r="GO9" s="73"/>
      <c r="GP9" s="73"/>
      <c r="GQ9" s="73"/>
      <c r="GR9" s="73"/>
      <c r="GS9" s="73"/>
      <c r="GT9" s="73"/>
      <c r="GU9" s="73"/>
      <c r="GV9" s="73"/>
      <c r="GW9" s="73"/>
      <c r="GX9" s="73"/>
      <c r="GY9" s="73"/>
      <c r="GZ9" s="73"/>
      <c r="HA9" s="73"/>
      <c r="HB9" s="73"/>
      <c r="HC9" s="73"/>
      <c r="HD9" s="73"/>
      <c r="HE9" s="73"/>
      <c r="HF9" s="73"/>
      <c r="HG9" s="73"/>
      <c r="HH9" s="73"/>
      <c r="HI9" s="73"/>
      <c r="HJ9" s="73"/>
      <c r="HK9" s="73"/>
      <c r="HL9" s="73"/>
      <c r="HM9" s="73"/>
      <c r="HN9" s="73"/>
      <c r="HO9" s="73"/>
      <c r="HP9" s="73"/>
      <c r="HQ9" s="73"/>
      <c r="HR9" s="73"/>
      <c r="HS9" s="73"/>
      <c r="HT9" s="73"/>
      <c r="HU9" s="73"/>
      <c r="HV9" s="73"/>
      <c r="HW9" s="73"/>
      <c r="HX9" s="73"/>
      <c r="HY9" s="73"/>
      <c r="HZ9" s="73"/>
      <c r="IA9" s="73"/>
      <c r="IB9" s="73"/>
      <c r="IC9" s="73"/>
      <c r="ID9" s="73"/>
      <c r="IE9" s="73"/>
      <c r="IF9" s="73"/>
      <c r="IG9" s="73"/>
      <c r="IH9" s="73"/>
      <c r="II9" s="73"/>
      <c r="IJ9" s="73"/>
      <c r="IK9" s="73"/>
      <c r="IL9" s="73"/>
      <c r="IM9" s="73"/>
      <c r="IN9" s="73"/>
      <c r="IO9" s="73"/>
      <c r="IP9" s="73"/>
      <c r="IQ9" s="73"/>
      <c r="IR9" s="73"/>
      <c r="IS9" s="73"/>
      <c r="IT9" s="73"/>
      <c r="IU9" s="73"/>
      <c r="IV9" s="73"/>
      <c r="IW9" s="79"/>
    </row>
    <row r="10" spans="1:257" ht="22.5">
      <c r="A10" s="47"/>
      <c r="B10" s="48" t="s">
        <v>2805</v>
      </c>
      <c r="C10" s="47"/>
      <c r="D10" s="47"/>
      <c r="E10" s="47"/>
      <c r="F10" s="47"/>
      <c r="G10" s="47"/>
      <c r="H10" s="47"/>
      <c r="I10" s="15"/>
      <c r="J10" s="15"/>
      <c r="K10" s="47"/>
      <c r="L10" s="48" t="s">
        <v>2806</v>
      </c>
      <c r="M10" s="47"/>
      <c r="N10" s="47"/>
      <c r="O10" s="47"/>
      <c r="P10" s="47"/>
      <c r="Q10" s="47"/>
      <c r="R10" s="47"/>
      <c r="S10" s="47"/>
      <c r="T10" s="47"/>
      <c r="U10" s="47"/>
      <c r="V10" s="47"/>
      <c r="W10" s="47"/>
      <c r="X10" s="47"/>
      <c r="Y10" s="47"/>
      <c r="Z10" s="47"/>
      <c r="AA10" s="74"/>
      <c r="AB10" s="74"/>
      <c r="AC10" s="74"/>
      <c r="AD10" s="74"/>
      <c r="AE10" s="74"/>
      <c r="AF10" s="74"/>
      <c r="AG10" s="74"/>
      <c r="AH10" s="74"/>
      <c r="AI10" s="74"/>
      <c r="AJ10" s="74"/>
      <c r="AK10" s="74"/>
      <c r="AL10" s="74"/>
      <c r="AM10" s="74"/>
      <c r="AN10" s="74"/>
      <c r="AO10" s="74"/>
      <c r="AP10" s="74"/>
      <c r="AQ10" s="74"/>
      <c r="AR10" s="74"/>
      <c r="AS10" s="74"/>
      <c r="AT10" s="74"/>
      <c r="AU10" s="74"/>
      <c r="AV10" s="74"/>
      <c r="AW10" s="74"/>
      <c r="AX10" s="74"/>
      <c r="AY10" s="74"/>
      <c r="AZ10" s="74"/>
      <c r="BA10" s="74"/>
      <c r="BB10" s="74"/>
      <c r="BC10" s="74"/>
      <c r="BD10" s="74"/>
      <c r="BE10" s="74"/>
      <c r="BF10" s="74"/>
      <c r="BG10" s="74"/>
      <c r="BH10" s="74"/>
      <c r="BI10" s="74"/>
      <c r="BJ10" s="74"/>
      <c r="BK10" s="74"/>
      <c r="BL10" s="74"/>
      <c r="BM10" s="74"/>
      <c r="BN10" s="74"/>
      <c r="BO10" s="74"/>
      <c r="BP10" s="74"/>
      <c r="BQ10" s="74"/>
      <c r="BR10" s="74"/>
      <c r="BS10" s="74"/>
      <c r="BT10" s="74"/>
      <c r="BU10" s="74"/>
      <c r="BV10" s="74"/>
      <c r="BW10" s="74"/>
      <c r="BX10" s="74"/>
      <c r="BY10" s="74"/>
      <c r="BZ10" s="74"/>
      <c r="CA10" s="74"/>
      <c r="CB10" s="74"/>
      <c r="CC10" s="74"/>
      <c r="CD10" s="74"/>
      <c r="CE10" s="74"/>
      <c r="CF10" s="74"/>
      <c r="CG10" s="74"/>
      <c r="CH10" s="74"/>
      <c r="CI10" s="74"/>
      <c r="CJ10" s="74"/>
      <c r="CK10" s="74"/>
      <c r="CL10" s="74"/>
      <c r="CM10" s="74"/>
      <c r="CN10" s="74"/>
      <c r="CO10" s="74"/>
      <c r="CP10" s="74"/>
      <c r="CQ10" s="74"/>
      <c r="CR10" s="74"/>
      <c r="CS10" s="74"/>
      <c r="CT10" s="74"/>
      <c r="CU10" s="74"/>
      <c r="CV10" s="74"/>
      <c r="CW10" s="74"/>
      <c r="CX10" s="74"/>
      <c r="CY10" s="74"/>
      <c r="CZ10" s="74"/>
      <c r="DA10" s="74"/>
      <c r="DB10" s="74"/>
      <c r="DC10" s="74"/>
      <c r="DD10" s="74"/>
      <c r="DE10" s="74"/>
      <c r="DF10" s="74"/>
      <c r="DG10" s="74"/>
      <c r="DH10" s="74"/>
      <c r="DI10" s="74"/>
      <c r="DJ10" s="74"/>
      <c r="DK10" s="74"/>
      <c r="DL10" s="74"/>
      <c r="DM10" s="74"/>
      <c r="DN10" s="74"/>
      <c r="DO10" s="74"/>
      <c r="DP10" s="74"/>
      <c r="DQ10" s="74"/>
      <c r="DR10" s="74"/>
      <c r="DS10" s="74"/>
      <c r="DT10" s="74"/>
      <c r="DU10" s="74"/>
      <c r="DV10" s="74"/>
      <c r="DW10" s="74"/>
      <c r="DX10" s="74"/>
      <c r="DY10" s="74"/>
      <c r="DZ10" s="74"/>
      <c r="EA10" s="74"/>
      <c r="EB10" s="74"/>
      <c r="EC10" s="74"/>
      <c r="ED10" s="74"/>
      <c r="EE10" s="74"/>
      <c r="EF10" s="74"/>
      <c r="EG10" s="74"/>
      <c r="EH10" s="74"/>
      <c r="EI10" s="74"/>
      <c r="EJ10" s="74"/>
      <c r="EK10" s="74"/>
      <c r="EL10" s="74"/>
      <c r="EM10" s="74"/>
      <c r="EN10" s="74"/>
      <c r="EO10" s="74"/>
      <c r="EP10" s="74"/>
      <c r="EQ10" s="74"/>
      <c r="ER10" s="74"/>
      <c r="ES10" s="74"/>
      <c r="ET10" s="74"/>
      <c r="EU10" s="74"/>
      <c r="EV10" s="74"/>
      <c r="EW10" s="74"/>
      <c r="EX10" s="74"/>
      <c r="EY10" s="74"/>
      <c r="EZ10" s="74"/>
      <c r="FA10" s="74"/>
      <c r="FB10" s="74"/>
      <c r="FC10" s="74"/>
      <c r="FD10" s="74"/>
      <c r="FE10" s="74"/>
      <c r="FF10" s="74"/>
      <c r="FG10" s="74"/>
      <c r="FH10" s="74"/>
      <c r="FI10" s="74"/>
      <c r="FJ10" s="74"/>
      <c r="FK10" s="74"/>
      <c r="FL10" s="74"/>
      <c r="FM10" s="74"/>
      <c r="FN10" s="74"/>
      <c r="FO10" s="74"/>
      <c r="FP10" s="74"/>
      <c r="FQ10" s="74"/>
      <c r="FR10" s="74"/>
      <c r="FS10" s="74"/>
      <c r="FT10" s="74"/>
      <c r="FU10" s="74"/>
      <c r="FV10" s="74"/>
      <c r="FW10" s="74"/>
      <c r="FX10" s="74"/>
      <c r="FY10" s="74"/>
      <c r="FZ10" s="74"/>
      <c r="GA10" s="74"/>
      <c r="GB10" s="74"/>
      <c r="GC10" s="74"/>
      <c r="GD10" s="74"/>
      <c r="GE10" s="74"/>
      <c r="GF10" s="74"/>
      <c r="GG10" s="74"/>
      <c r="GH10" s="74"/>
      <c r="GI10" s="74"/>
      <c r="GJ10" s="74"/>
      <c r="GK10" s="74"/>
      <c r="GL10" s="74"/>
      <c r="GM10" s="74"/>
      <c r="GN10" s="74"/>
      <c r="GO10" s="74"/>
      <c r="GP10" s="74"/>
      <c r="GQ10" s="74"/>
      <c r="GR10" s="74"/>
      <c r="GS10" s="74"/>
      <c r="GT10" s="74"/>
      <c r="GU10" s="74"/>
      <c r="GV10" s="74"/>
      <c r="GW10" s="74"/>
      <c r="GX10" s="74"/>
      <c r="GY10" s="74"/>
      <c r="GZ10" s="74"/>
      <c r="HA10" s="74"/>
      <c r="HB10" s="74"/>
      <c r="HC10" s="74"/>
      <c r="HD10" s="74"/>
      <c r="HE10" s="74"/>
      <c r="HF10" s="74"/>
      <c r="HG10" s="74"/>
      <c r="HH10" s="74"/>
      <c r="HI10" s="74"/>
      <c r="HJ10" s="74"/>
      <c r="HK10" s="74"/>
      <c r="HL10" s="74"/>
      <c r="HM10" s="74"/>
      <c r="HN10" s="74"/>
      <c r="HO10" s="74"/>
      <c r="HP10" s="74"/>
      <c r="HQ10" s="74"/>
      <c r="HR10" s="74"/>
      <c r="HS10" s="74"/>
      <c r="HT10" s="74"/>
      <c r="HU10" s="74"/>
      <c r="HV10" s="74"/>
      <c r="HW10" s="74"/>
      <c r="HX10" s="74"/>
      <c r="HY10" s="74"/>
      <c r="HZ10" s="74"/>
      <c r="IA10" s="74"/>
      <c r="IB10" s="74"/>
      <c r="IC10" s="74"/>
      <c r="ID10" s="74"/>
      <c r="IE10" s="74"/>
      <c r="IF10" s="74"/>
      <c r="IG10" s="74"/>
      <c r="IH10" s="74"/>
      <c r="II10" s="74"/>
      <c r="IJ10" s="74"/>
      <c r="IK10" s="74"/>
      <c r="IL10" s="74"/>
      <c r="IM10" s="74"/>
      <c r="IN10" s="74"/>
      <c r="IO10" s="74"/>
      <c r="IP10" s="74"/>
      <c r="IQ10" s="74"/>
      <c r="IR10" s="74"/>
      <c r="IS10" s="74"/>
      <c r="IT10" s="74"/>
      <c r="IU10" s="74"/>
      <c r="IV10" s="74"/>
    </row>
    <row r="11" spans="1:257">
      <c r="A11" s="49"/>
      <c r="B11" s="50" t="s">
        <v>2807</v>
      </c>
      <c r="C11" s="51" t="s">
        <v>2808</v>
      </c>
      <c r="D11" s="52" t="s">
        <v>2809</v>
      </c>
      <c r="E11" s="53"/>
      <c r="F11" s="52" t="s">
        <v>2810</v>
      </c>
      <c r="G11" s="54"/>
      <c r="H11" s="53"/>
      <c r="I11" s="52" t="s">
        <v>2811</v>
      </c>
      <c r="J11" s="53"/>
      <c r="K11" s="49"/>
      <c r="L11" s="50" t="s">
        <v>2807</v>
      </c>
      <c r="M11" s="51" t="s">
        <v>2808</v>
      </c>
      <c r="N11" s="50" t="s">
        <v>2812</v>
      </c>
      <c r="O11" s="52" t="s">
        <v>2813</v>
      </c>
      <c r="P11" s="54"/>
      <c r="Q11" s="54"/>
      <c r="R11" s="54"/>
      <c r="S11" s="54"/>
      <c r="T11" s="53"/>
      <c r="U11" s="52" t="s">
        <v>2814</v>
      </c>
      <c r="V11" s="54"/>
      <c r="W11" s="53"/>
      <c r="X11" s="50" t="s">
        <v>2815</v>
      </c>
      <c r="Y11" s="50" t="s">
        <v>2816</v>
      </c>
      <c r="Z11" s="50" t="s">
        <v>2817</v>
      </c>
      <c r="AA11" s="75"/>
      <c r="AB11" s="75"/>
      <c r="AC11" s="75"/>
      <c r="AD11" s="75"/>
      <c r="AE11" s="75"/>
      <c r="AF11" s="75"/>
      <c r="AG11" s="75"/>
      <c r="AH11" s="75"/>
      <c r="AI11" s="75"/>
      <c r="AJ11" s="75"/>
      <c r="AK11" s="75"/>
      <c r="AL11" s="75"/>
      <c r="AM11" s="75"/>
      <c r="AN11" s="75"/>
      <c r="AO11" s="75"/>
      <c r="AP11" s="75"/>
      <c r="AQ11" s="75"/>
      <c r="AR11" s="75"/>
      <c r="AS11" s="75"/>
      <c r="AT11" s="75"/>
      <c r="AU11" s="75"/>
      <c r="AV11" s="75"/>
      <c r="AW11" s="75"/>
      <c r="AX11" s="75"/>
      <c r="AY11" s="75"/>
      <c r="AZ11" s="75"/>
      <c r="BA11" s="75"/>
      <c r="BB11" s="75"/>
      <c r="BC11" s="75"/>
      <c r="BD11" s="75"/>
      <c r="BE11" s="75"/>
      <c r="BF11" s="75"/>
      <c r="BG11" s="75"/>
      <c r="BH11" s="75"/>
      <c r="BI11" s="75"/>
      <c r="BJ11" s="75"/>
      <c r="BK11" s="75"/>
      <c r="BL11" s="75"/>
      <c r="BM11" s="75"/>
      <c r="BN11" s="75"/>
      <c r="BO11" s="75"/>
      <c r="BP11" s="75"/>
      <c r="BQ11" s="75"/>
      <c r="BR11" s="75"/>
      <c r="BS11" s="75"/>
      <c r="BT11" s="75"/>
      <c r="BU11" s="75"/>
      <c r="BV11" s="75"/>
      <c r="BW11" s="75"/>
      <c r="BX11" s="75"/>
      <c r="BY11" s="75"/>
      <c r="BZ11" s="75"/>
      <c r="CA11" s="75"/>
      <c r="CB11" s="75"/>
      <c r="CC11" s="75"/>
      <c r="CD11" s="75"/>
      <c r="CE11" s="75"/>
      <c r="CF11" s="75"/>
      <c r="CG11" s="75"/>
      <c r="CH11" s="75"/>
      <c r="CI11" s="75"/>
      <c r="CJ11" s="75"/>
      <c r="CK11" s="75"/>
      <c r="CL11" s="75"/>
      <c r="CM11" s="75"/>
      <c r="CN11" s="75"/>
      <c r="CO11" s="75"/>
      <c r="CP11" s="75"/>
      <c r="CQ11" s="75"/>
      <c r="CR11" s="75"/>
      <c r="CS11" s="75"/>
      <c r="CT11" s="75"/>
      <c r="CU11" s="75"/>
      <c r="CV11" s="75"/>
      <c r="CW11" s="75"/>
      <c r="CX11" s="75"/>
      <c r="CY11" s="75"/>
      <c r="CZ11" s="75"/>
      <c r="DA11" s="75"/>
      <c r="DB11" s="75"/>
      <c r="DC11" s="75"/>
      <c r="DD11" s="75"/>
      <c r="DE11" s="75"/>
      <c r="DF11" s="75"/>
      <c r="DG11" s="75"/>
      <c r="DH11" s="75"/>
      <c r="DI11" s="75"/>
      <c r="DJ11" s="75"/>
      <c r="DK11" s="75"/>
      <c r="DL11" s="75"/>
      <c r="DM11" s="75"/>
      <c r="DN11" s="75"/>
      <c r="DO11" s="75"/>
      <c r="DP11" s="75"/>
      <c r="DQ11" s="75"/>
      <c r="DR11" s="75"/>
      <c r="DS11" s="75"/>
      <c r="DT11" s="75"/>
      <c r="DU11" s="75"/>
      <c r="DV11" s="75"/>
      <c r="DW11" s="75"/>
      <c r="DX11" s="75"/>
      <c r="DY11" s="75"/>
      <c r="DZ11" s="75"/>
      <c r="EA11" s="75"/>
      <c r="EB11" s="75"/>
      <c r="EC11" s="75"/>
      <c r="ED11" s="75"/>
      <c r="EE11" s="75"/>
      <c r="EF11" s="75"/>
      <c r="EG11" s="75"/>
      <c r="EH11" s="75"/>
      <c r="EI11" s="75"/>
      <c r="EJ11" s="75"/>
      <c r="EK11" s="75"/>
      <c r="EL11" s="75"/>
      <c r="EM11" s="75"/>
      <c r="EN11" s="75"/>
      <c r="EO11" s="75"/>
      <c r="EP11" s="75"/>
      <c r="EQ11" s="75"/>
      <c r="ER11" s="75"/>
      <c r="ES11" s="75"/>
      <c r="ET11" s="75"/>
      <c r="EU11" s="75"/>
      <c r="EV11" s="75"/>
      <c r="EW11" s="75"/>
      <c r="EX11" s="75"/>
      <c r="EY11" s="75"/>
      <c r="EZ11" s="75"/>
      <c r="FA11" s="75"/>
      <c r="FB11" s="75"/>
      <c r="FC11" s="75"/>
      <c r="FD11" s="75"/>
      <c r="FE11" s="75"/>
      <c r="FF11" s="75"/>
      <c r="FG11" s="75"/>
      <c r="FH11" s="75"/>
      <c r="FI11" s="75"/>
      <c r="FJ11" s="75"/>
      <c r="FK11" s="75"/>
      <c r="FL11" s="75"/>
      <c r="FM11" s="75"/>
      <c r="FN11" s="75"/>
      <c r="FO11" s="75"/>
      <c r="FP11" s="75"/>
      <c r="FQ11" s="75"/>
      <c r="FR11" s="75"/>
      <c r="FS11" s="75"/>
      <c r="FT11" s="75"/>
      <c r="FU11" s="75"/>
      <c r="FV11" s="75"/>
      <c r="FW11" s="75"/>
      <c r="FX11" s="75"/>
      <c r="FY11" s="75"/>
      <c r="FZ11" s="75"/>
      <c r="GA11" s="75"/>
      <c r="GB11" s="75"/>
      <c r="GC11" s="75"/>
      <c r="GD11" s="75"/>
      <c r="GE11" s="75"/>
      <c r="GF11" s="75"/>
      <c r="GG11" s="75"/>
      <c r="GH11" s="75"/>
      <c r="GI11" s="75"/>
      <c r="GJ11" s="75"/>
      <c r="GK11" s="75"/>
      <c r="GL11" s="75"/>
      <c r="GM11" s="75"/>
      <c r="GN11" s="75"/>
      <c r="GO11" s="75"/>
      <c r="GP11" s="75"/>
      <c r="GQ11" s="75"/>
      <c r="GR11" s="75"/>
      <c r="GS11" s="75"/>
      <c r="GT11" s="75"/>
      <c r="GU11" s="75"/>
      <c r="GV11" s="75"/>
      <c r="GW11" s="75"/>
      <c r="GX11" s="75"/>
      <c r="GY11" s="75"/>
      <c r="GZ11" s="75"/>
      <c r="HA11" s="75"/>
      <c r="HB11" s="75"/>
      <c r="HC11" s="75"/>
      <c r="HD11" s="75"/>
      <c r="HE11" s="75"/>
      <c r="HF11" s="75"/>
      <c r="HG11" s="75"/>
      <c r="HH11" s="75"/>
      <c r="HI11" s="75"/>
      <c r="HJ11" s="75"/>
      <c r="HK11" s="75"/>
      <c r="HL11" s="75"/>
      <c r="HM11" s="75"/>
      <c r="HN11" s="75"/>
      <c r="HO11" s="75"/>
      <c r="HP11" s="75"/>
      <c r="HQ11" s="75"/>
      <c r="HR11" s="75"/>
      <c r="HS11" s="75"/>
      <c r="HT11" s="75"/>
      <c r="HU11" s="75"/>
      <c r="HV11" s="75"/>
      <c r="HW11" s="75"/>
      <c r="HX11" s="75"/>
      <c r="HY11" s="75"/>
      <c r="HZ11" s="75"/>
      <c r="IA11" s="75"/>
      <c r="IB11" s="75"/>
      <c r="IC11" s="75"/>
      <c r="ID11" s="75"/>
      <c r="IE11" s="75"/>
      <c r="IF11" s="75"/>
      <c r="IG11" s="75"/>
      <c r="IH11" s="75"/>
      <c r="II11" s="75"/>
      <c r="IJ11" s="75"/>
      <c r="IK11" s="75"/>
      <c r="IL11" s="75"/>
      <c r="IM11" s="75"/>
      <c r="IN11" s="75"/>
      <c r="IO11" s="75"/>
      <c r="IP11" s="75"/>
      <c r="IQ11" s="75"/>
      <c r="IR11" s="75"/>
      <c r="IS11" s="75"/>
      <c r="IT11" s="75"/>
      <c r="IU11" s="75"/>
      <c r="IV11" s="75"/>
    </row>
    <row r="12" spans="1:257">
      <c r="A12" s="55"/>
      <c r="B12" s="56"/>
      <c r="C12" s="57"/>
      <c r="D12" s="58" t="s">
        <v>2818</v>
      </c>
      <c r="E12" s="58" t="s">
        <v>2800</v>
      </c>
      <c r="F12" s="58" t="s">
        <v>2801</v>
      </c>
      <c r="G12" s="58" t="s">
        <v>2802</v>
      </c>
      <c r="H12" s="58" t="s">
        <v>2803</v>
      </c>
      <c r="I12" s="69" t="s">
        <v>2819</v>
      </c>
      <c r="J12" s="69" t="s">
        <v>2819</v>
      </c>
      <c r="K12" s="55"/>
      <c r="L12" s="56"/>
      <c r="M12" s="57"/>
      <c r="N12" s="56"/>
      <c r="O12" s="69" t="s">
        <v>2820</v>
      </c>
      <c r="P12" s="69">
        <v>0.5</v>
      </c>
      <c r="Q12" s="69">
        <v>1</v>
      </c>
      <c r="R12" s="69">
        <v>2</v>
      </c>
      <c r="S12" s="69">
        <v>3</v>
      </c>
      <c r="T12" s="69">
        <v>5</v>
      </c>
      <c r="U12" s="69">
        <v>1</v>
      </c>
      <c r="V12" s="69">
        <v>3</v>
      </c>
      <c r="W12" s="69">
        <v>5</v>
      </c>
      <c r="X12" s="56"/>
      <c r="Y12" s="56"/>
      <c r="Z12" s="56"/>
      <c r="AA12" s="76"/>
      <c r="AB12" s="76"/>
      <c r="AC12" s="76"/>
      <c r="AD12" s="76"/>
      <c r="AE12" s="76"/>
      <c r="AF12" s="76"/>
      <c r="AG12" s="76"/>
      <c r="AH12" s="76"/>
      <c r="AI12" s="76"/>
      <c r="AJ12" s="76"/>
      <c r="AK12" s="76"/>
      <c r="AL12" s="76"/>
      <c r="AM12" s="76"/>
      <c r="AN12" s="76"/>
      <c r="AO12" s="76"/>
      <c r="AP12" s="76"/>
      <c r="AQ12" s="76"/>
      <c r="AR12" s="76"/>
      <c r="AS12" s="76"/>
      <c r="AT12" s="76"/>
      <c r="AU12" s="76"/>
      <c r="AV12" s="76"/>
      <c r="AW12" s="76"/>
      <c r="AX12" s="76"/>
      <c r="AY12" s="76"/>
      <c r="AZ12" s="76"/>
      <c r="BA12" s="76"/>
      <c r="BB12" s="76"/>
      <c r="BC12" s="76"/>
      <c r="BD12" s="76"/>
      <c r="BE12" s="76"/>
      <c r="BF12" s="76"/>
      <c r="BG12" s="76"/>
      <c r="BH12" s="76"/>
      <c r="BI12" s="76"/>
      <c r="BJ12" s="76"/>
      <c r="BK12" s="76"/>
      <c r="BL12" s="76"/>
      <c r="BM12" s="76"/>
      <c r="BN12" s="76"/>
      <c r="BO12" s="76"/>
      <c r="BP12" s="76"/>
      <c r="BQ12" s="76"/>
      <c r="BR12" s="76"/>
      <c r="BS12" s="76"/>
      <c r="BT12" s="76"/>
      <c r="BU12" s="76"/>
      <c r="BV12" s="76"/>
      <c r="BW12" s="76"/>
      <c r="BX12" s="76"/>
      <c r="BY12" s="76"/>
      <c r="BZ12" s="76"/>
      <c r="CA12" s="76"/>
      <c r="CB12" s="76"/>
      <c r="CC12" s="76"/>
      <c r="CD12" s="76"/>
      <c r="CE12" s="76"/>
      <c r="CF12" s="76"/>
      <c r="CG12" s="76"/>
      <c r="CH12" s="76"/>
      <c r="CI12" s="76"/>
      <c r="CJ12" s="76"/>
      <c r="CK12" s="76"/>
      <c r="CL12" s="76"/>
      <c r="CM12" s="76"/>
      <c r="CN12" s="76"/>
      <c r="CO12" s="76"/>
      <c r="CP12" s="76"/>
      <c r="CQ12" s="76"/>
      <c r="CR12" s="76"/>
      <c r="CS12" s="76"/>
      <c r="CT12" s="76"/>
      <c r="CU12" s="76"/>
      <c r="CV12" s="76"/>
      <c r="CW12" s="76"/>
      <c r="CX12" s="76"/>
      <c r="CY12" s="76"/>
      <c r="CZ12" s="76"/>
      <c r="DA12" s="76"/>
      <c r="DB12" s="76"/>
      <c r="DC12" s="76"/>
      <c r="DD12" s="76"/>
      <c r="DE12" s="76"/>
      <c r="DF12" s="76"/>
      <c r="DG12" s="76"/>
      <c r="DH12" s="76"/>
      <c r="DI12" s="76"/>
      <c r="DJ12" s="76"/>
      <c r="DK12" s="76"/>
      <c r="DL12" s="76"/>
      <c r="DM12" s="76"/>
      <c r="DN12" s="76"/>
      <c r="DO12" s="76"/>
      <c r="DP12" s="76"/>
      <c r="DQ12" s="76"/>
      <c r="DR12" s="76"/>
      <c r="DS12" s="76"/>
      <c r="DT12" s="76"/>
      <c r="DU12" s="76"/>
      <c r="DV12" s="76"/>
      <c r="DW12" s="76"/>
      <c r="DX12" s="76"/>
      <c r="DY12" s="76"/>
      <c r="DZ12" s="76"/>
      <c r="EA12" s="76"/>
      <c r="EB12" s="76"/>
      <c r="EC12" s="76"/>
      <c r="ED12" s="76"/>
      <c r="EE12" s="76"/>
      <c r="EF12" s="76"/>
      <c r="EG12" s="76"/>
      <c r="EH12" s="76"/>
      <c r="EI12" s="76"/>
      <c r="EJ12" s="76"/>
      <c r="EK12" s="76"/>
      <c r="EL12" s="76"/>
      <c r="EM12" s="76"/>
      <c r="EN12" s="76"/>
      <c r="EO12" s="76"/>
      <c r="EP12" s="76"/>
      <c r="EQ12" s="76"/>
      <c r="ER12" s="76"/>
      <c r="ES12" s="76"/>
      <c r="ET12" s="76"/>
      <c r="EU12" s="76"/>
      <c r="EV12" s="76"/>
      <c r="EW12" s="76"/>
      <c r="EX12" s="76"/>
      <c r="EY12" s="76"/>
      <c r="EZ12" s="76"/>
      <c r="FA12" s="76"/>
      <c r="FB12" s="76"/>
      <c r="FC12" s="76"/>
      <c r="FD12" s="76"/>
      <c r="FE12" s="76"/>
      <c r="FF12" s="76"/>
      <c r="FG12" s="76"/>
      <c r="FH12" s="76"/>
      <c r="FI12" s="76"/>
      <c r="FJ12" s="76"/>
      <c r="FK12" s="76"/>
      <c r="FL12" s="76"/>
      <c r="FM12" s="76"/>
      <c r="FN12" s="76"/>
      <c r="FO12" s="76"/>
      <c r="FP12" s="76"/>
      <c r="FQ12" s="76"/>
      <c r="FR12" s="76"/>
      <c r="FS12" s="76"/>
      <c r="FT12" s="76"/>
      <c r="FU12" s="76"/>
      <c r="FV12" s="76"/>
      <c r="FW12" s="76"/>
      <c r="FX12" s="76"/>
      <c r="FY12" s="76"/>
      <c r="FZ12" s="76"/>
      <c r="GA12" s="76"/>
      <c r="GB12" s="76"/>
      <c r="GC12" s="76"/>
      <c r="GD12" s="76"/>
      <c r="GE12" s="76"/>
      <c r="GF12" s="76"/>
      <c r="GG12" s="76"/>
      <c r="GH12" s="76"/>
      <c r="GI12" s="76"/>
      <c r="GJ12" s="76"/>
      <c r="GK12" s="76"/>
      <c r="GL12" s="76"/>
      <c r="GM12" s="76"/>
      <c r="GN12" s="76"/>
      <c r="GO12" s="76"/>
      <c r="GP12" s="76"/>
      <c r="GQ12" s="76"/>
      <c r="GR12" s="76"/>
      <c r="GS12" s="76"/>
      <c r="GT12" s="76"/>
      <c r="GU12" s="76"/>
      <c r="GV12" s="76"/>
      <c r="GW12" s="76"/>
      <c r="GX12" s="76"/>
      <c r="GY12" s="76"/>
      <c r="GZ12" s="76"/>
      <c r="HA12" s="76"/>
      <c r="HB12" s="76"/>
      <c r="HC12" s="76"/>
      <c r="HD12" s="76"/>
      <c r="HE12" s="76"/>
      <c r="HF12" s="76"/>
      <c r="HG12" s="76"/>
      <c r="HH12" s="76"/>
      <c r="HI12" s="76"/>
      <c r="HJ12" s="76"/>
      <c r="HK12" s="76"/>
      <c r="HL12" s="76"/>
      <c r="HM12" s="76"/>
      <c r="HN12" s="76"/>
      <c r="HO12" s="76"/>
      <c r="HP12" s="76"/>
      <c r="HQ12" s="76"/>
      <c r="HR12" s="76"/>
      <c r="HS12" s="76"/>
      <c r="HT12" s="76"/>
      <c r="HU12" s="76"/>
      <c r="HV12" s="76"/>
      <c r="HW12" s="76"/>
      <c r="HX12" s="76"/>
      <c r="HY12" s="76"/>
      <c r="HZ12" s="76"/>
      <c r="IA12" s="76"/>
      <c r="IB12" s="76"/>
      <c r="IC12" s="76"/>
      <c r="ID12" s="76"/>
      <c r="IE12" s="76"/>
      <c r="IF12" s="76"/>
      <c r="IG12" s="76"/>
      <c r="IH12" s="76"/>
      <c r="II12" s="76"/>
      <c r="IJ12" s="76"/>
      <c r="IK12" s="76"/>
      <c r="IL12" s="76"/>
      <c r="IM12" s="76"/>
      <c r="IN12" s="76"/>
      <c r="IO12" s="76"/>
      <c r="IP12" s="76"/>
      <c r="IQ12" s="76"/>
      <c r="IR12" s="76"/>
      <c r="IS12" s="76"/>
      <c r="IT12" s="76"/>
      <c r="IU12" s="76"/>
      <c r="IV12" s="76"/>
    </row>
    <row r="13" spans="1:257" ht="14.25">
      <c r="A13" s="59"/>
      <c r="B13" s="60" t="s">
        <v>2821</v>
      </c>
      <c r="C13" s="61">
        <v>42301</v>
      </c>
      <c r="D13" s="62">
        <v>4.3499999999999996</v>
      </c>
      <c r="E13" s="62">
        <v>4.3499999999999996</v>
      </c>
      <c r="F13" s="62">
        <v>4.75</v>
      </c>
      <c r="G13" s="62">
        <v>4.75</v>
      </c>
      <c r="H13" s="62">
        <v>4.9000000000000004</v>
      </c>
      <c r="I13" s="62">
        <v>2.75</v>
      </c>
      <c r="J13" s="62">
        <v>3.25</v>
      </c>
      <c r="K13" s="59"/>
      <c r="L13" s="60" t="s">
        <v>2821</v>
      </c>
      <c r="M13" s="70">
        <v>42301</v>
      </c>
      <c r="N13" s="62">
        <v>0.35</v>
      </c>
      <c r="O13" s="62">
        <v>1.1000000000000001</v>
      </c>
      <c r="P13" s="62">
        <v>1.3</v>
      </c>
      <c r="Q13" s="62">
        <v>1.5</v>
      </c>
      <c r="R13" s="62">
        <v>2.1</v>
      </c>
      <c r="S13" s="62">
        <v>2.75</v>
      </c>
      <c r="T13" s="62"/>
      <c r="U13" s="62"/>
      <c r="V13" s="62"/>
      <c r="W13" s="62"/>
      <c r="X13" s="62"/>
      <c r="Y13" s="62"/>
      <c r="Z13" s="62"/>
      <c r="AA13" s="77"/>
      <c r="AB13" s="77"/>
      <c r="AC13" s="77"/>
      <c r="AD13" s="77"/>
      <c r="AE13" s="77"/>
      <c r="AF13" s="77"/>
      <c r="AG13" s="77"/>
      <c r="AH13" s="77"/>
      <c r="AI13" s="77"/>
      <c r="AJ13" s="77"/>
      <c r="AK13" s="77"/>
      <c r="AL13" s="77"/>
      <c r="AM13" s="77"/>
      <c r="AN13" s="77"/>
      <c r="AO13" s="77"/>
      <c r="AP13" s="77"/>
      <c r="AQ13" s="77"/>
      <c r="AR13" s="77"/>
      <c r="AS13" s="77"/>
      <c r="AT13" s="77"/>
      <c r="AU13" s="77"/>
      <c r="AV13" s="77"/>
      <c r="AW13" s="77"/>
      <c r="AX13" s="77"/>
      <c r="AY13" s="77"/>
      <c r="AZ13" s="77"/>
      <c r="BA13" s="77"/>
      <c r="BB13" s="77"/>
      <c r="BC13" s="77"/>
      <c r="BD13" s="77"/>
      <c r="BE13" s="77"/>
      <c r="BF13" s="77"/>
      <c r="BG13" s="77"/>
      <c r="BH13" s="77"/>
      <c r="BI13" s="77"/>
      <c r="BJ13" s="77"/>
      <c r="BK13" s="77"/>
      <c r="BL13" s="77"/>
      <c r="BM13" s="77"/>
      <c r="BN13" s="77"/>
      <c r="BO13" s="77"/>
      <c r="BP13" s="77"/>
      <c r="BQ13" s="77"/>
      <c r="BR13" s="77"/>
      <c r="BS13" s="77"/>
      <c r="BT13" s="77"/>
      <c r="BU13" s="77"/>
      <c r="BV13" s="77"/>
      <c r="BW13" s="77"/>
      <c r="BX13" s="77"/>
      <c r="BY13" s="77"/>
      <c r="BZ13" s="77"/>
      <c r="CA13" s="77"/>
      <c r="CB13" s="77"/>
      <c r="CC13" s="77"/>
      <c r="CD13" s="77"/>
      <c r="CE13" s="77"/>
      <c r="CF13" s="77"/>
      <c r="CG13" s="77"/>
      <c r="CH13" s="77"/>
      <c r="CI13" s="77"/>
      <c r="CJ13" s="77"/>
      <c r="CK13" s="77"/>
      <c r="CL13" s="77"/>
      <c r="CM13" s="77"/>
      <c r="CN13" s="77"/>
      <c r="CO13" s="77"/>
      <c r="CP13" s="77"/>
      <c r="CQ13" s="77"/>
      <c r="CR13" s="77"/>
      <c r="CS13" s="77"/>
      <c r="CT13" s="77"/>
      <c r="CU13" s="77"/>
      <c r="CV13" s="77"/>
      <c r="CW13" s="77"/>
      <c r="CX13" s="77"/>
      <c r="CY13" s="77"/>
      <c r="CZ13" s="77"/>
      <c r="DA13" s="77"/>
      <c r="DB13" s="77"/>
      <c r="DC13" s="77"/>
      <c r="DD13" s="77"/>
      <c r="DE13" s="77"/>
      <c r="DF13" s="77"/>
      <c r="DG13" s="77"/>
      <c r="DH13" s="77"/>
      <c r="DI13" s="77"/>
      <c r="DJ13" s="77"/>
      <c r="DK13" s="77"/>
      <c r="DL13" s="77"/>
      <c r="DM13" s="77"/>
      <c r="DN13" s="77"/>
      <c r="DO13" s="77"/>
      <c r="DP13" s="77"/>
      <c r="DQ13" s="77"/>
      <c r="DR13" s="77"/>
      <c r="DS13" s="77"/>
      <c r="DT13" s="77"/>
      <c r="DU13" s="77"/>
      <c r="DV13" s="77"/>
      <c r="DW13" s="77"/>
      <c r="DX13" s="77"/>
      <c r="DY13" s="77"/>
      <c r="DZ13" s="77"/>
      <c r="EA13" s="77"/>
      <c r="EB13" s="77"/>
      <c r="EC13" s="77"/>
      <c r="ED13" s="77"/>
      <c r="EE13" s="77"/>
      <c r="EF13" s="77"/>
      <c r="EG13" s="77"/>
      <c r="EH13" s="77"/>
      <c r="EI13" s="77"/>
      <c r="EJ13" s="77"/>
      <c r="EK13" s="77"/>
      <c r="EL13" s="77"/>
      <c r="EM13" s="77"/>
      <c r="EN13" s="77"/>
      <c r="EO13" s="77"/>
      <c r="EP13" s="77"/>
      <c r="EQ13" s="77"/>
      <c r="ER13" s="77"/>
      <c r="ES13" s="77"/>
      <c r="ET13" s="77"/>
      <c r="EU13" s="77"/>
      <c r="EV13" s="77"/>
      <c r="EW13" s="77"/>
      <c r="EX13" s="77"/>
      <c r="EY13" s="77"/>
      <c r="EZ13" s="77"/>
      <c r="FA13" s="77"/>
      <c r="FB13" s="77"/>
      <c r="FC13" s="77"/>
      <c r="FD13" s="77"/>
      <c r="FE13" s="77"/>
      <c r="FF13" s="77"/>
      <c r="FG13" s="77"/>
      <c r="FH13" s="77"/>
      <c r="FI13" s="77"/>
      <c r="FJ13" s="77"/>
      <c r="FK13" s="77"/>
      <c r="FL13" s="77"/>
      <c r="FM13" s="77"/>
      <c r="FN13" s="77"/>
      <c r="FO13" s="77"/>
      <c r="FP13" s="77"/>
      <c r="FQ13" s="77"/>
      <c r="FR13" s="77"/>
      <c r="FS13" s="77"/>
      <c r="FT13" s="77"/>
      <c r="FU13" s="77"/>
      <c r="FV13" s="77"/>
      <c r="FW13" s="77"/>
      <c r="FX13" s="77"/>
      <c r="FY13" s="77"/>
      <c r="FZ13" s="77"/>
      <c r="GA13" s="77"/>
      <c r="GB13" s="77"/>
      <c r="GC13" s="77"/>
      <c r="GD13" s="77"/>
      <c r="GE13" s="77"/>
      <c r="GF13" s="77"/>
      <c r="GG13" s="77"/>
      <c r="GH13" s="77"/>
      <c r="GI13" s="77"/>
      <c r="GJ13" s="77"/>
      <c r="GK13" s="77"/>
      <c r="GL13" s="77"/>
      <c r="GM13" s="77"/>
      <c r="GN13" s="77"/>
      <c r="GO13" s="77"/>
      <c r="GP13" s="77"/>
      <c r="GQ13" s="77"/>
      <c r="GR13" s="77"/>
      <c r="GS13" s="77"/>
      <c r="GT13" s="77"/>
      <c r="GU13" s="77"/>
      <c r="GV13" s="77"/>
      <c r="GW13" s="77"/>
      <c r="GX13" s="77"/>
      <c r="GY13" s="77"/>
      <c r="GZ13" s="77"/>
      <c r="HA13" s="77"/>
      <c r="HB13" s="77"/>
      <c r="HC13" s="77"/>
      <c r="HD13" s="77"/>
      <c r="HE13" s="77"/>
      <c r="HF13" s="77"/>
      <c r="HG13" s="77"/>
      <c r="HH13" s="77"/>
      <c r="HI13" s="77"/>
      <c r="HJ13" s="77"/>
      <c r="HK13" s="77"/>
      <c r="HL13" s="77"/>
      <c r="HM13" s="77"/>
      <c r="HN13" s="77"/>
      <c r="HO13" s="77"/>
      <c r="HP13" s="77"/>
      <c r="HQ13" s="77"/>
      <c r="HR13" s="77"/>
      <c r="HS13" s="77"/>
      <c r="HT13" s="77"/>
      <c r="HU13" s="77"/>
      <c r="HV13" s="77"/>
      <c r="HW13" s="77"/>
      <c r="HX13" s="77"/>
      <c r="HY13" s="77"/>
      <c r="HZ13" s="77"/>
      <c r="IA13" s="77"/>
      <c r="IB13" s="77"/>
      <c r="IC13" s="77"/>
      <c r="ID13" s="77"/>
      <c r="IE13" s="77"/>
      <c r="IF13" s="77"/>
      <c r="IG13" s="77"/>
      <c r="IH13" s="77"/>
      <c r="II13" s="77"/>
      <c r="IJ13" s="77"/>
      <c r="IK13" s="77"/>
      <c r="IL13" s="77"/>
      <c r="IM13" s="77"/>
      <c r="IN13" s="77"/>
      <c r="IO13" s="77"/>
      <c r="IP13" s="77"/>
      <c r="IQ13" s="77"/>
      <c r="IR13" s="77"/>
      <c r="IS13" s="77"/>
      <c r="IT13" s="77"/>
      <c r="IU13" s="77"/>
      <c r="IV13" s="77"/>
      <c r="IW13" s="80"/>
    </row>
    <row r="14" spans="1:257">
      <c r="B14" s="63"/>
      <c r="C14" s="64">
        <v>42242</v>
      </c>
      <c r="D14" s="63">
        <v>4.5999999999999996</v>
      </c>
      <c r="E14" s="63">
        <v>4.5999999999999996</v>
      </c>
      <c r="F14" s="63">
        <v>5</v>
      </c>
      <c r="G14" s="63">
        <v>5</v>
      </c>
      <c r="H14" s="63">
        <v>5.15</v>
      </c>
      <c r="I14" s="63">
        <v>2.75</v>
      </c>
      <c r="J14" s="63">
        <v>3.25</v>
      </c>
      <c r="L14" s="63"/>
      <c r="M14" s="64">
        <v>42242</v>
      </c>
      <c r="N14" s="63">
        <v>0.35</v>
      </c>
      <c r="O14" s="63">
        <v>1.35</v>
      </c>
      <c r="P14" s="63">
        <v>1.55</v>
      </c>
      <c r="Q14" s="63">
        <v>1.75</v>
      </c>
      <c r="R14" s="63">
        <v>2.35</v>
      </c>
      <c r="S14" s="63">
        <v>3</v>
      </c>
      <c r="T14" s="63"/>
      <c r="U14" s="63"/>
      <c r="V14" s="63"/>
      <c r="W14" s="63"/>
      <c r="X14" s="63"/>
      <c r="Y14" s="63"/>
      <c r="Z14" s="63"/>
    </row>
    <row r="15" spans="1:257">
      <c r="B15" s="63"/>
      <c r="C15" s="64">
        <v>42183</v>
      </c>
      <c r="D15" s="63">
        <v>4.8499999999999996</v>
      </c>
      <c r="E15" s="63">
        <v>4.8499999999999996</v>
      </c>
      <c r="F15" s="63">
        <v>5.25</v>
      </c>
      <c r="G15" s="63">
        <v>5.25</v>
      </c>
      <c r="H15" s="63">
        <v>5.4</v>
      </c>
      <c r="I15" s="63">
        <v>3</v>
      </c>
      <c r="J15" s="63">
        <v>3.5</v>
      </c>
      <c r="L15" s="63"/>
      <c r="M15" s="64">
        <v>42183</v>
      </c>
      <c r="N15" s="63">
        <v>0.35</v>
      </c>
      <c r="O15" s="63">
        <v>1.6</v>
      </c>
      <c r="P15" s="63">
        <v>1.8</v>
      </c>
      <c r="Q15" s="63">
        <v>2</v>
      </c>
      <c r="R15" s="63">
        <v>2.6</v>
      </c>
      <c r="S15" s="63">
        <v>3.25</v>
      </c>
      <c r="T15" s="63"/>
      <c r="U15" s="63"/>
      <c r="V15" s="63"/>
      <c r="W15" s="63"/>
      <c r="X15" s="63"/>
      <c r="Y15" s="63"/>
      <c r="Z15" s="63"/>
    </row>
    <row r="16" spans="1:257">
      <c r="B16" s="63"/>
      <c r="C16" s="64">
        <v>42135</v>
      </c>
      <c r="D16" s="63">
        <v>5.0999999999999996</v>
      </c>
      <c r="E16" s="63">
        <v>5.0999999999999996</v>
      </c>
      <c r="F16" s="63">
        <v>5.5</v>
      </c>
      <c r="G16" s="63">
        <v>5.5</v>
      </c>
      <c r="H16" s="63">
        <v>5.65</v>
      </c>
      <c r="I16" s="63">
        <v>3.25</v>
      </c>
      <c r="J16" s="63">
        <v>3.75</v>
      </c>
      <c r="L16" s="63"/>
      <c r="M16" s="64">
        <v>42135</v>
      </c>
      <c r="N16" s="63">
        <v>0.35</v>
      </c>
      <c r="O16" s="63">
        <v>1.85</v>
      </c>
      <c r="P16" s="63">
        <v>2.0499999999999998</v>
      </c>
      <c r="Q16" s="63">
        <v>2.25</v>
      </c>
      <c r="R16" s="63">
        <v>2.85</v>
      </c>
      <c r="S16" s="63">
        <v>3.5</v>
      </c>
      <c r="T16" s="63"/>
      <c r="U16" s="63"/>
      <c r="V16" s="63"/>
      <c r="W16" s="63"/>
      <c r="X16" s="63"/>
      <c r="Y16" s="63"/>
      <c r="Z16" s="63"/>
    </row>
    <row r="17" spans="2:26">
      <c r="B17" s="63"/>
      <c r="C17" s="64">
        <v>42064</v>
      </c>
      <c r="D17" s="63">
        <v>5.35</v>
      </c>
      <c r="E17" s="63">
        <v>5.35</v>
      </c>
      <c r="F17" s="63">
        <v>5.75</v>
      </c>
      <c r="G17" s="63">
        <v>5.75</v>
      </c>
      <c r="H17" s="63">
        <v>5.9</v>
      </c>
      <c r="I17" s="63"/>
      <c r="J17" s="63"/>
      <c r="L17" s="63"/>
      <c r="M17" s="64">
        <v>42064</v>
      </c>
      <c r="N17" s="63">
        <v>0.35</v>
      </c>
      <c r="O17" s="63">
        <v>2.1</v>
      </c>
      <c r="P17" s="63">
        <v>2.2999999999999998</v>
      </c>
      <c r="Q17" s="63">
        <v>2.5</v>
      </c>
      <c r="R17" s="63">
        <v>3.1</v>
      </c>
      <c r="S17" s="63">
        <v>3.75</v>
      </c>
      <c r="T17" s="63">
        <v>4.5</v>
      </c>
      <c r="U17" s="63">
        <v>2.35</v>
      </c>
      <c r="V17" s="63">
        <v>2.5499999999999998</v>
      </c>
      <c r="W17" s="63">
        <v>2.75</v>
      </c>
      <c r="X17" s="63"/>
      <c r="Y17" s="63">
        <v>0.8</v>
      </c>
      <c r="Z17" s="63">
        <v>1.35</v>
      </c>
    </row>
    <row r="18" spans="2:26" ht="15">
      <c r="B18" s="63"/>
      <c r="C18" s="64">
        <v>41965</v>
      </c>
      <c r="D18" s="63">
        <v>5.6</v>
      </c>
      <c r="E18" s="63">
        <v>5.6</v>
      </c>
      <c r="F18" s="63">
        <v>6</v>
      </c>
      <c r="G18" s="63">
        <v>6</v>
      </c>
      <c r="H18" s="63">
        <v>6.15</v>
      </c>
      <c r="I18" s="63"/>
      <c r="J18" s="63"/>
      <c r="L18" s="63"/>
      <c r="M18" s="64">
        <v>41965</v>
      </c>
      <c r="N18" s="63">
        <v>0.35</v>
      </c>
      <c r="O18" s="63">
        <v>2.35</v>
      </c>
      <c r="P18" s="63">
        <v>2.5499999999999998</v>
      </c>
      <c r="Q18" s="63">
        <v>2.75</v>
      </c>
      <c r="R18" s="63">
        <v>3.35</v>
      </c>
      <c r="S18" s="63">
        <v>4</v>
      </c>
      <c r="T18" s="63">
        <v>4.75</v>
      </c>
      <c r="U18" s="71">
        <v>2.35</v>
      </c>
      <c r="V18" s="71">
        <v>2.5499999999999998</v>
      </c>
      <c r="W18" s="71">
        <v>2.75</v>
      </c>
      <c r="X18" s="63"/>
      <c r="Y18" s="71">
        <v>0.8</v>
      </c>
      <c r="Z18" s="71">
        <v>1.35</v>
      </c>
    </row>
    <row r="19" spans="2:26">
      <c r="B19" s="63"/>
      <c r="C19" s="64">
        <v>41096</v>
      </c>
      <c r="D19" s="63">
        <v>5.6</v>
      </c>
      <c r="E19" s="63">
        <v>6</v>
      </c>
      <c r="F19" s="63">
        <v>6.15</v>
      </c>
      <c r="G19" s="63">
        <v>6.4</v>
      </c>
      <c r="H19" s="63">
        <v>6.55</v>
      </c>
      <c r="I19" s="63">
        <v>4</v>
      </c>
      <c r="J19" s="63">
        <v>4.5</v>
      </c>
      <c r="L19" s="63"/>
      <c r="M19" s="64">
        <v>41096</v>
      </c>
      <c r="N19" s="63">
        <v>0.35</v>
      </c>
      <c r="O19" s="63">
        <v>2.6</v>
      </c>
      <c r="P19" s="63">
        <v>2.8</v>
      </c>
      <c r="Q19" s="63">
        <v>3</v>
      </c>
      <c r="R19" s="63">
        <v>3.75</v>
      </c>
      <c r="S19" s="63">
        <v>4.25</v>
      </c>
      <c r="T19" s="63">
        <v>4.75</v>
      </c>
      <c r="U19" s="63">
        <v>2.85</v>
      </c>
      <c r="V19" s="63">
        <v>2.9</v>
      </c>
      <c r="W19" s="63">
        <v>3</v>
      </c>
      <c r="X19" s="63">
        <v>1.1499999999999999</v>
      </c>
      <c r="Y19" s="63">
        <v>0.8</v>
      </c>
      <c r="Z19" s="63">
        <v>1.35</v>
      </c>
    </row>
    <row r="20" spans="2:26">
      <c r="B20" s="63"/>
      <c r="C20" s="64">
        <v>41068</v>
      </c>
      <c r="D20" s="63">
        <v>5.85</v>
      </c>
      <c r="E20" s="63">
        <v>6.31</v>
      </c>
      <c r="F20" s="63">
        <v>6.4</v>
      </c>
      <c r="G20" s="63">
        <v>6.65</v>
      </c>
      <c r="H20" s="63">
        <v>6.8</v>
      </c>
      <c r="I20" s="63">
        <v>4.2</v>
      </c>
      <c r="J20" s="63">
        <v>4.7</v>
      </c>
      <c r="L20" s="63"/>
      <c r="M20" s="64">
        <v>41068</v>
      </c>
      <c r="N20" s="63">
        <v>0.4</v>
      </c>
      <c r="O20" s="63">
        <v>2.85</v>
      </c>
      <c r="P20" s="63">
        <v>3.05</v>
      </c>
      <c r="Q20" s="63">
        <v>3.25</v>
      </c>
      <c r="R20" s="63">
        <v>4.0999999999999996</v>
      </c>
      <c r="S20" s="63">
        <v>4.6500000000000004</v>
      </c>
      <c r="T20" s="63">
        <v>5.0999999999999996</v>
      </c>
      <c r="U20" s="63">
        <v>3.1</v>
      </c>
      <c r="V20" s="63">
        <v>3.15</v>
      </c>
      <c r="W20" s="63">
        <v>3.25</v>
      </c>
      <c r="X20" s="63">
        <v>1.31</v>
      </c>
      <c r="Y20" s="63">
        <v>0.94</v>
      </c>
      <c r="Z20" s="63">
        <v>1.49</v>
      </c>
    </row>
    <row r="21" spans="2:26">
      <c r="B21" s="63"/>
      <c r="C21" s="64">
        <v>40731</v>
      </c>
      <c r="D21" s="63">
        <v>6.1</v>
      </c>
      <c r="E21" s="63">
        <v>6.56</v>
      </c>
      <c r="F21" s="63">
        <v>6.65</v>
      </c>
      <c r="G21" s="63">
        <v>6.9</v>
      </c>
      <c r="H21" s="63">
        <v>7.05</v>
      </c>
      <c r="I21" s="63">
        <v>4.45</v>
      </c>
      <c r="J21" s="63">
        <v>4.9000000000000004</v>
      </c>
      <c r="L21" s="63"/>
      <c r="M21" s="64">
        <v>40731</v>
      </c>
      <c r="N21" s="63">
        <v>0.5</v>
      </c>
      <c r="O21" s="63">
        <v>3.1</v>
      </c>
      <c r="P21" s="63">
        <v>3.3</v>
      </c>
      <c r="Q21" s="63">
        <v>3.5</v>
      </c>
      <c r="R21" s="63">
        <v>4.4000000000000004</v>
      </c>
      <c r="S21" s="63">
        <v>5</v>
      </c>
      <c r="T21" s="63">
        <v>5.5</v>
      </c>
      <c r="U21" s="63">
        <v>3.1</v>
      </c>
      <c r="V21" s="63">
        <v>3.3</v>
      </c>
      <c r="W21" s="63">
        <v>3.5</v>
      </c>
      <c r="X21" s="63">
        <v>1.31</v>
      </c>
      <c r="Y21" s="63">
        <v>0.95</v>
      </c>
      <c r="Z21" s="63">
        <v>1.49</v>
      </c>
    </row>
    <row r="22" spans="2:26">
      <c r="B22" s="63"/>
      <c r="C22" s="64">
        <v>40639</v>
      </c>
      <c r="D22" s="63">
        <v>5.85</v>
      </c>
      <c r="E22" s="63">
        <v>6.31</v>
      </c>
      <c r="F22" s="63">
        <v>6.4</v>
      </c>
      <c r="G22" s="63">
        <v>6.65</v>
      </c>
      <c r="H22" s="63">
        <v>6.8</v>
      </c>
      <c r="I22" s="63">
        <v>4.2</v>
      </c>
      <c r="J22" s="63">
        <v>4.7</v>
      </c>
      <c r="L22" s="63"/>
      <c r="M22" s="64">
        <v>40639</v>
      </c>
      <c r="N22" s="63">
        <v>0.5</v>
      </c>
      <c r="O22" s="63">
        <v>2.85</v>
      </c>
      <c r="P22" s="63">
        <v>3.05</v>
      </c>
      <c r="Q22" s="63">
        <v>3.25</v>
      </c>
      <c r="R22" s="63">
        <v>4.1500000000000004</v>
      </c>
      <c r="S22" s="63">
        <v>4.75</v>
      </c>
      <c r="T22" s="63">
        <v>5.25</v>
      </c>
      <c r="U22" s="63">
        <v>2.85</v>
      </c>
      <c r="V22" s="63">
        <v>3.05</v>
      </c>
      <c r="W22" s="63">
        <v>3.25</v>
      </c>
      <c r="X22" s="63">
        <v>1.31</v>
      </c>
      <c r="Y22" s="63">
        <v>0.95</v>
      </c>
      <c r="Z22" s="63">
        <v>1.49</v>
      </c>
    </row>
    <row r="23" spans="2:26">
      <c r="B23" s="63"/>
      <c r="C23" s="64">
        <v>40583</v>
      </c>
      <c r="D23" s="63">
        <v>5.6</v>
      </c>
      <c r="E23" s="63">
        <v>6.06</v>
      </c>
      <c r="F23" s="63">
        <v>6.1</v>
      </c>
      <c r="G23" s="63">
        <v>6.45</v>
      </c>
      <c r="H23" s="63">
        <v>6.6</v>
      </c>
      <c r="I23" s="63">
        <v>4</v>
      </c>
      <c r="J23" s="63">
        <v>4.5</v>
      </c>
      <c r="L23" s="63"/>
      <c r="M23" s="64">
        <v>40583</v>
      </c>
      <c r="N23" s="63">
        <v>0.4</v>
      </c>
      <c r="O23" s="63">
        <v>2.6</v>
      </c>
      <c r="P23" s="63">
        <v>2.8</v>
      </c>
      <c r="Q23" s="63">
        <v>3</v>
      </c>
      <c r="R23" s="63">
        <v>3.9</v>
      </c>
      <c r="S23" s="63">
        <v>4.5</v>
      </c>
      <c r="T23" s="63">
        <v>5</v>
      </c>
      <c r="U23" s="63">
        <v>2.6</v>
      </c>
      <c r="V23" s="63">
        <v>2.8</v>
      </c>
      <c r="W23" s="63">
        <v>3</v>
      </c>
      <c r="X23" s="63">
        <v>1.21</v>
      </c>
      <c r="Y23" s="63">
        <v>0.85</v>
      </c>
      <c r="Z23" s="63">
        <v>1.39</v>
      </c>
    </row>
    <row r="24" spans="2:26">
      <c r="B24" s="63"/>
      <c r="C24" s="64">
        <v>40538</v>
      </c>
      <c r="D24" s="63">
        <v>5.35</v>
      </c>
      <c r="E24" s="63">
        <v>5.81</v>
      </c>
      <c r="F24" s="63">
        <v>5.85</v>
      </c>
      <c r="G24" s="63">
        <v>6.22</v>
      </c>
      <c r="H24" s="63">
        <v>6.4</v>
      </c>
      <c r="I24" s="63">
        <v>3.75</v>
      </c>
      <c r="J24" s="63">
        <v>4.3</v>
      </c>
      <c r="L24" s="63"/>
      <c r="M24" s="64">
        <v>40538</v>
      </c>
      <c r="N24" s="63">
        <v>0.36</v>
      </c>
      <c r="O24" s="63">
        <v>2.25</v>
      </c>
      <c r="P24" s="63">
        <v>2.5</v>
      </c>
      <c r="Q24" s="63">
        <v>2.75</v>
      </c>
      <c r="R24" s="63">
        <v>3.55</v>
      </c>
      <c r="S24" s="63">
        <v>4.1500000000000004</v>
      </c>
      <c r="T24" s="63">
        <v>4.55</v>
      </c>
      <c r="U24" s="63">
        <v>2.16</v>
      </c>
      <c r="V24" s="63">
        <v>2.5</v>
      </c>
      <c r="W24" s="63">
        <v>2.85</v>
      </c>
      <c r="X24" s="63">
        <v>1.17</v>
      </c>
      <c r="Y24" s="63">
        <v>0.81</v>
      </c>
      <c r="Z24" s="63">
        <v>1.35</v>
      </c>
    </row>
    <row r="25" spans="2:26">
      <c r="B25" s="63"/>
      <c r="C25" s="64">
        <v>40471</v>
      </c>
      <c r="D25" s="63">
        <v>5.0999999999999996</v>
      </c>
      <c r="E25" s="63">
        <v>5.56</v>
      </c>
      <c r="F25" s="63">
        <v>5.6</v>
      </c>
      <c r="G25" s="63">
        <v>5.96</v>
      </c>
      <c r="H25" s="63">
        <v>6.14</v>
      </c>
      <c r="I25" s="63">
        <v>3.5</v>
      </c>
      <c r="J25" s="63">
        <v>4.05</v>
      </c>
      <c r="L25" s="63"/>
      <c r="M25" s="64">
        <v>40471</v>
      </c>
      <c r="N25" s="63">
        <v>0.36</v>
      </c>
      <c r="O25" s="63">
        <v>1.91</v>
      </c>
      <c r="P25" s="63">
        <v>2.2000000000000002</v>
      </c>
      <c r="Q25" s="63">
        <v>2.5</v>
      </c>
      <c r="R25" s="63">
        <v>3.25</v>
      </c>
      <c r="S25" s="63">
        <v>3.85</v>
      </c>
      <c r="T25" s="63">
        <v>4.2</v>
      </c>
      <c r="U25" s="63">
        <v>1.91</v>
      </c>
      <c r="V25" s="63">
        <v>2.2000000000000002</v>
      </c>
      <c r="W25" s="63">
        <v>2.5</v>
      </c>
      <c r="X25" s="63">
        <v>1.17</v>
      </c>
      <c r="Y25" s="63">
        <v>0.81</v>
      </c>
      <c r="Z25" s="63">
        <v>1.35</v>
      </c>
    </row>
    <row r="26" spans="2:26">
      <c r="B26" s="63"/>
      <c r="C26" s="64">
        <v>39805</v>
      </c>
      <c r="D26" s="63">
        <v>4.8600000000000003</v>
      </c>
      <c r="E26" s="63">
        <v>5.31</v>
      </c>
      <c r="F26" s="63">
        <v>5.4</v>
      </c>
      <c r="G26" s="63">
        <v>5.76</v>
      </c>
      <c r="H26" s="63">
        <v>5.94</v>
      </c>
      <c r="I26" s="63">
        <v>3.33</v>
      </c>
      <c r="J26" s="63">
        <v>3.87</v>
      </c>
      <c r="L26" s="63"/>
      <c r="M26" s="64">
        <v>39805</v>
      </c>
      <c r="N26" s="63">
        <v>0.36</v>
      </c>
      <c r="O26" s="63">
        <v>1.71</v>
      </c>
      <c r="P26" s="63">
        <v>1.98</v>
      </c>
      <c r="Q26" s="63">
        <v>2.25</v>
      </c>
      <c r="R26" s="63">
        <v>2.79</v>
      </c>
      <c r="S26" s="63">
        <v>3.33</v>
      </c>
      <c r="T26" s="63">
        <v>3.6</v>
      </c>
      <c r="U26" s="63">
        <v>1.71</v>
      </c>
      <c r="V26" s="63">
        <v>1.98</v>
      </c>
      <c r="W26" s="63">
        <v>2.25</v>
      </c>
      <c r="X26" s="63">
        <v>1.17</v>
      </c>
      <c r="Y26" s="63">
        <v>0.81</v>
      </c>
      <c r="Z26" s="63">
        <v>1.35</v>
      </c>
    </row>
    <row r="27" spans="2:26">
      <c r="B27" s="63"/>
      <c r="C27" s="64">
        <v>39779</v>
      </c>
      <c r="D27" s="63">
        <v>5.04</v>
      </c>
      <c r="E27" s="63">
        <v>5.58</v>
      </c>
      <c r="F27" s="63">
        <v>5.67</v>
      </c>
      <c r="G27" s="63">
        <v>5.94</v>
      </c>
      <c r="H27" s="63">
        <v>6.12</v>
      </c>
      <c r="I27" s="63">
        <v>3.51</v>
      </c>
      <c r="J27" s="63">
        <v>4.05</v>
      </c>
      <c r="L27" s="63"/>
      <c r="M27" s="64">
        <v>39779</v>
      </c>
      <c r="N27" s="63">
        <v>0.36</v>
      </c>
      <c r="O27" s="63">
        <v>1.98</v>
      </c>
      <c r="P27" s="63">
        <v>2.25</v>
      </c>
      <c r="Q27" s="63">
        <v>2.52</v>
      </c>
      <c r="R27" s="63">
        <v>3.06</v>
      </c>
      <c r="S27" s="63">
        <v>3.6</v>
      </c>
      <c r="T27" s="63">
        <v>3.87</v>
      </c>
      <c r="U27" s="63">
        <v>1.98</v>
      </c>
      <c r="V27" s="63">
        <v>2.25</v>
      </c>
      <c r="W27" s="63">
        <v>2.52</v>
      </c>
      <c r="X27" s="63">
        <v>1.17</v>
      </c>
      <c r="Y27" s="63">
        <v>0.81</v>
      </c>
      <c r="Z27" s="63">
        <v>1.35</v>
      </c>
    </row>
    <row r="28" spans="2:26">
      <c r="B28" s="63"/>
      <c r="C28" s="64">
        <v>39751</v>
      </c>
      <c r="D28" s="63">
        <v>6.03</v>
      </c>
      <c r="E28" s="63">
        <v>6.66</v>
      </c>
      <c r="F28" s="63">
        <v>6.75</v>
      </c>
      <c r="G28" s="63">
        <v>7.02</v>
      </c>
      <c r="H28" s="63">
        <v>7.2</v>
      </c>
      <c r="I28" s="63">
        <v>4.05</v>
      </c>
      <c r="J28" s="63">
        <v>4.59</v>
      </c>
      <c r="L28" s="63"/>
      <c r="M28" s="64">
        <v>39751</v>
      </c>
      <c r="N28" s="63">
        <v>0.72</v>
      </c>
      <c r="O28" s="63">
        <v>2.88</v>
      </c>
      <c r="P28" s="63">
        <v>3.24</v>
      </c>
      <c r="Q28" s="63">
        <v>3.6</v>
      </c>
      <c r="R28" s="63">
        <v>4.1399999999999997</v>
      </c>
      <c r="S28" s="63">
        <v>4.7699999999999996</v>
      </c>
      <c r="T28" s="63">
        <v>5.13</v>
      </c>
      <c r="U28" s="63">
        <v>2.88</v>
      </c>
      <c r="V28" s="63">
        <v>3.24</v>
      </c>
      <c r="W28" s="63">
        <v>3.6</v>
      </c>
      <c r="X28" s="63">
        <v>1.53</v>
      </c>
      <c r="Y28" s="63">
        <v>1.17</v>
      </c>
      <c r="Z28" s="63">
        <v>1.71</v>
      </c>
    </row>
    <row r="29" spans="2:26">
      <c r="B29" s="63"/>
      <c r="C29" s="65">
        <v>39748</v>
      </c>
      <c r="D29" s="63">
        <v>6.12</v>
      </c>
      <c r="E29" s="63">
        <v>6.93</v>
      </c>
      <c r="F29" s="63">
        <v>7.02</v>
      </c>
      <c r="G29" s="63">
        <v>7.29</v>
      </c>
      <c r="H29" s="63">
        <v>7.47</v>
      </c>
      <c r="I29" s="63">
        <v>4.05</v>
      </c>
      <c r="J29" s="63">
        <v>4.59</v>
      </c>
      <c r="L29" s="63"/>
      <c r="M29" s="65">
        <v>39736</v>
      </c>
      <c r="N29" s="63">
        <v>0.72</v>
      </c>
      <c r="O29" s="63">
        <v>3.15</v>
      </c>
      <c r="P29" s="63">
        <v>3.51</v>
      </c>
      <c r="Q29" s="63">
        <v>3.87</v>
      </c>
      <c r="R29" s="63">
        <v>4.41</v>
      </c>
      <c r="S29" s="63">
        <v>5.13</v>
      </c>
      <c r="T29" s="63">
        <v>5.58</v>
      </c>
      <c r="U29" s="63">
        <v>3.15</v>
      </c>
      <c r="V29" s="63">
        <v>3.51</v>
      </c>
      <c r="W29" s="63">
        <v>3.87</v>
      </c>
      <c r="X29" s="63">
        <v>1.53</v>
      </c>
      <c r="Y29" s="63">
        <v>1.17</v>
      </c>
      <c r="Z29" s="63">
        <v>1.71</v>
      </c>
    </row>
    <row r="30" spans="2:26">
      <c r="B30" s="63"/>
      <c r="C30" s="64">
        <v>39730</v>
      </c>
      <c r="D30" s="63">
        <v>6.12</v>
      </c>
      <c r="E30" s="63">
        <v>6.93</v>
      </c>
      <c r="F30" s="63">
        <v>7.02</v>
      </c>
      <c r="G30" s="63">
        <v>7.29</v>
      </c>
      <c r="H30" s="63">
        <v>7.47</v>
      </c>
      <c r="I30" s="63">
        <v>4.32</v>
      </c>
      <c r="J30" s="63">
        <v>4.8600000000000003</v>
      </c>
      <c r="L30" s="63"/>
      <c r="M30" s="64">
        <v>39730</v>
      </c>
      <c r="N30" s="63">
        <v>0.72</v>
      </c>
      <c r="O30" s="63">
        <v>3.15</v>
      </c>
      <c r="P30" s="63">
        <v>3.51</v>
      </c>
      <c r="Q30" s="63">
        <v>3.87</v>
      </c>
      <c r="R30" s="63">
        <v>4.41</v>
      </c>
      <c r="S30" s="63">
        <v>5.13</v>
      </c>
      <c r="T30" s="63">
        <v>5.58</v>
      </c>
      <c r="U30" s="63">
        <v>3.15</v>
      </c>
      <c r="V30" s="63">
        <v>3.51</v>
      </c>
      <c r="W30" s="63">
        <v>3.87</v>
      </c>
      <c r="X30" s="63">
        <v>1.53</v>
      </c>
      <c r="Y30" s="63">
        <v>1.17</v>
      </c>
      <c r="Z30" s="63">
        <v>1.71</v>
      </c>
    </row>
    <row r="31" spans="2:26">
      <c r="B31" s="63"/>
      <c r="C31" s="64">
        <v>39707</v>
      </c>
      <c r="D31" s="63">
        <v>6.21</v>
      </c>
      <c r="E31" s="63">
        <v>7.2</v>
      </c>
      <c r="F31" s="63">
        <v>7.29</v>
      </c>
      <c r="G31" s="63">
        <v>7.56</v>
      </c>
      <c r="H31" s="63">
        <v>7.74</v>
      </c>
      <c r="I31" s="63">
        <v>4.59</v>
      </c>
      <c r="J31" s="63">
        <v>5.13</v>
      </c>
      <c r="L31" s="63"/>
      <c r="M31" s="64">
        <v>39437</v>
      </c>
      <c r="N31" s="63">
        <v>0.72</v>
      </c>
      <c r="O31" s="63">
        <v>3.33</v>
      </c>
      <c r="P31" s="63">
        <v>3.78</v>
      </c>
      <c r="Q31" s="63">
        <v>4.1399999999999997</v>
      </c>
      <c r="R31" s="63">
        <v>4.68</v>
      </c>
      <c r="S31" s="63">
        <v>5.4</v>
      </c>
      <c r="T31" s="63">
        <v>5.85</v>
      </c>
      <c r="U31" s="63">
        <v>3.33</v>
      </c>
      <c r="V31" s="63">
        <v>3.78</v>
      </c>
      <c r="W31" s="63">
        <v>4.1399999999999997</v>
      </c>
      <c r="X31" s="63">
        <v>1.53</v>
      </c>
      <c r="Y31" s="63">
        <v>1.17</v>
      </c>
      <c r="Z31" s="63">
        <v>1.71</v>
      </c>
    </row>
    <row r="32" spans="2:26">
      <c r="B32" s="63"/>
      <c r="C32" s="64">
        <v>39437</v>
      </c>
      <c r="D32" s="63">
        <v>6.57</v>
      </c>
      <c r="E32" s="63">
        <v>7.47</v>
      </c>
      <c r="F32" s="63">
        <v>7.56</v>
      </c>
      <c r="G32" s="63">
        <v>7.74</v>
      </c>
      <c r="H32" s="63">
        <v>7.83</v>
      </c>
      <c r="I32" s="63">
        <v>4.7699999999999996</v>
      </c>
      <c r="J32" s="63">
        <v>5.22</v>
      </c>
      <c r="L32" s="63"/>
      <c r="M32" s="64">
        <v>39340</v>
      </c>
      <c r="N32" s="63">
        <v>0.81</v>
      </c>
      <c r="O32" s="63">
        <v>2.88</v>
      </c>
      <c r="P32" s="63">
        <v>3.42</v>
      </c>
      <c r="Q32" s="63">
        <v>3.87</v>
      </c>
      <c r="R32" s="63">
        <v>4.5</v>
      </c>
      <c r="S32" s="63">
        <v>5.22</v>
      </c>
      <c r="T32" s="63">
        <v>5.76</v>
      </c>
      <c r="U32" s="63">
        <v>2.88</v>
      </c>
      <c r="V32" s="63">
        <v>3.42</v>
      </c>
      <c r="W32" s="63">
        <v>3.87</v>
      </c>
      <c r="X32" s="63">
        <v>1.53</v>
      </c>
      <c r="Y32" s="63">
        <v>1.17</v>
      </c>
      <c r="Z32" s="63">
        <v>1.71</v>
      </c>
    </row>
    <row r="33" spans="2:26">
      <c r="B33" s="63"/>
      <c r="C33" s="64">
        <v>39340</v>
      </c>
      <c r="D33" s="63">
        <v>6.48</v>
      </c>
      <c r="E33" s="63">
        <v>7.29</v>
      </c>
      <c r="F33" s="63">
        <v>7.47</v>
      </c>
      <c r="G33" s="63">
        <v>7.65</v>
      </c>
      <c r="H33" s="63">
        <v>7.83</v>
      </c>
      <c r="I33" s="63">
        <v>4.7699999999999996</v>
      </c>
      <c r="J33" s="63">
        <v>5.22</v>
      </c>
      <c r="L33" s="63"/>
      <c r="M33" s="64">
        <v>39316</v>
      </c>
      <c r="N33" s="63">
        <v>0.81</v>
      </c>
      <c r="O33" s="63">
        <v>2.61</v>
      </c>
      <c r="P33" s="63">
        <v>3.15</v>
      </c>
      <c r="Q33" s="63">
        <v>3.6</v>
      </c>
      <c r="R33" s="63">
        <v>4.2300000000000004</v>
      </c>
      <c r="S33" s="63">
        <v>4.95</v>
      </c>
      <c r="T33" s="63">
        <v>5.49</v>
      </c>
      <c r="U33" s="63">
        <v>2.61</v>
      </c>
      <c r="V33" s="63">
        <v>3.15</v>
      </c>
      <c r="W33" s="63">
        <v>3.6</v>
      </c>
      <c r="X33" s="63">
        <v>1.53</v>
      </c>
      <c r="Y33" s="63">
        <v>1.17</v>
      </c>
      <c r="Z33" s="63">
        <v>1.71</v>
      </c>
    </row>
    <row r="34" spans="2:26">
      <c r="B34" s="63"/>
      <c r="C34" s="64">
        <v>39316</v>
      </c>
      <c r="D34" s="63">
        <v>6.21</v>
      </c>
      <c r="E34" s="63">
        <v>7.02</v>
      </c>
      <c r="F34" s="63">
        <v>7.2</v>
      </c>
      <c r="G34" s="63">
        <v>7.38</v>
      </c>
      <c r="H34" s="63">
        <v>7.56</v>
      </c>
      <c r="I34" s="63">
        <v>4.59</v>
      </c>
      <c r="J34" s="63">
        <v>5.04</v>
      </c>
      <c r="L34" s="63"/>
      <c r="M34" s="64">
        <v>39284</v>
      </c>
      <c r="N34" s="63">
        <v>0.81</v>
      </c>
      <c r="O34" s="63">
        <v>2.34</v>
      </c>
      <c r="P34" s="63">
        <v>2.88</v>
      </c>
      <c r="Q34" s="63">
        <v>3.33</v>
      </c>
      <c r="R34" s="63">
        <v>3.96</v>
      </c>
      <c r="S34" s="63">
        <v>4.68</v>
      </c>
      <c r="T34" s="63">
        <v>5.22</v>
      </c>
      <c r="U34" s="63">
        <v>2.34</v>
      </c>
      <c r="V34" s="63">
        <v>2.88</v>
      </c>
      <c r="W34" s="63">
        <v>3.33</v>
      </c>
      <c r="X34" s="63">
        <v>1.53</v>
      </c>
      <c r="Y34" s="63">
        <v>1.17</v>
      </c>
      <c r="Z34" s="63">
        <v>1.71</v>
      </c>
    </row>
    <row r="35" spans="2:26">
      <c r="B35" s="63"/>
      <c r="C35" s="64">
        <v>39284</v>
      </c>
      <c r="D35" s="63">
        <v>6.03</v>
      </c>
      <c r="E35" s="63">
        <v>6.84</v>
      </c>
      <c r="F35" s="63">
        <v>7.02</v>
      </c>
      <c r="G35" s="63">
        <v>7.2</v>
      </c>
      <c r="H35" s="63">
        <v>7.38</v>
      </c>
      <c r="I35" s="63">
        <v>4.5</v>
      </c>
      <c r="J35" s="63">
        <v>4.95</v>
      </c>
      <c r="L35" s="63"/>
      <c r="M35" s="64">
        <v>39221</v>
      </c>
      <c r="N35" s="63">
        <v>0.72</v>
      </c>
      <c r="O35" s="63">
        <v>2.0699999999999998</v>
      </c>
      <c r="P35" s="63">
        <v>2.61</v>
      </c>
      <c r="Q35" s="63">
        <v>3.06</v>
      </c>
      <c r="R35" s="63">
        <v>3.69</v>
      </c>
      <c r="S35" s="63">
        <v>4.41</v>
      </c>
      <c r="T35" s="63">
        <v>4.95</v>
      </c>
      <c r="U35" s="63">
        <v>2.0699999999999998</v>
      </c>
      <c r="V35" s="63">
        <v>2.61</v>
      </c>
      <c r="W35" s="63">
        <v>3.06</v>
      </c>
      <c r="X35" s="63">
        <v>1.44</v>
      </c>
      <c r="Y35" s="63">
        <v>1.08</v>
      </c>
      <c r="Z35" s="63">
        <v>1.62</v>
      </c>
    </row>
    <row r="36" spans="2:26">
      <c r="B36" s="63"/>
      <c r="C36" s="64">
        <v>39221</v>
      </c>
      <c r="D36" s="63">
        <v>5.85</v>
      </c>
      <c r="E36" s="63">
        <v>6.57</v>
      </c>
      <c r="F36" s="63">
        <v>6.75</v>
      </c>
      <c r="G36" s="63">
        <v>6.93</v>
      </c>
      <c r="H36" s="63">
        <v>7.2</v>
      </c>
      <c r="I36" s="63">
        <v>4.41</v>
      </c>
      <c r="J36" s="63">
        <v>4.8600000000000003</v>
      </c>
      <c r="L36" s="63"/>
      <c r="M36" s="64">
        <v>39159</v>
      </c>
      <c r="N36" s="63">
        <v>0.72</v>
      </c>
      <c r="O36" s="63">
        <v>1.98</v>
      </c>
      <c r="P36" s="63">
        <v>2.4300000000000002</v>
      </c>
      <c r="Q36" s="63">
        <v>2.79</v>
      </c>
      <c r="R36" s="63">
        <v>3.33</v>
      </c>
      <c r="S36" s="63">
        <v>3.96</v>
      </c>
      <c r="T36" s="63">
        <v>4.41</v>
      </c>
      <c r="U36" s="63">
        <v>1.98</v>
      </c>
      <c r="V36" s="63">
        <v>2.4300000000000002</v>
      </c>
      <c r="W36" s="63">
        <v>2.79</v>
      </c>
      <c r="X36" s="63">
        <v>1.44</v>
      </c>
      <c r="Y36" s="63">
        <v>1.08</v>
      </c>
      <c r="Z36" s="63">
        <v>1.62</v>
      </c>
    </row>
    <row r="37" spans="2:26">
      <c r="B37" s="63"/>
      <c r="C37" s="64">
        <v>39159</v>
      </c>
      <c r="D37" s="63">
        <v>5.67</v>
      </c>
      <c r="E37" s="63">
        <v>6.39</v>
      </c>
      <c r="F37" s="63">
        <v>6.57</v>
      </c>
      <c r="G37" s="63">
        <v>6.75</v>
      </c>
      <c r="H37" s="63">
        <v>7.11</v>
      </c>
      <c r="I37" s="63">
        <v>4.32</v>
      </c>
      <c r="J37" s="63">
        <v>4.7699999999999996</v>
      </c>
      <c r="L37" s="63"/>
      <c r="M37" s="64">
        <v>38948</v>
      </c>
      <c r="N37" s="63">
        <v>0.72</v>
      </c>
      <c r="O37" s="63">
        <v>1.8</v>
      </c>
      <c r="P37" s="63">
        <v>2.25</v>
      </c>
      <c r="Q37" s="63">
        <v>2.52</v>
      </c>
      <c r="R37" s="63">
        <v>3.06</v>
      </c>
      <c r="S37" s="63">
        <v>3.69</v>
      </c>
      <c r="T37" s="63">
        <v>4.1399999999999997</v>
      </c>
      <c r="U37" s="63">
        <v>1.8</v>
      </c>
      <c r="V37" s="63">
        <v>2.25</v>
      </c>
      <c r="W37" s="63">
        <v>2.52</v>
      </c>
      <c r="X37" s="63">
        <v>1.44</v>
      </c>
      <c r="Y37" s="63">
        <v>1.08</v>
      </c>
      <c r="Z37" s="63">
        <v>1.62</v>
      </c>
    </row>
    <row r="38" spans="2:26">
      <c r="B38" s="63"/>
      <c r="C38" s="64">
        <v>38948</v>
      </c>
      <c r="D38" s="63">
        <v>5.58</v>
      </c>
      <c r="E38" s="63">
        <v>6.12</v>
      </c>
      <c r="F38" s="63">
        <v>6.3</v>
      </c>
      <c r="G38" s="63">
        <v>6.48</v>
      </c>
      <c r="H38" s="63">
        <v>6.84</v>
      </c>
      <c r="I38" s="63">
        <v>4.1399999999999997</v>
      </c>
      <c r="J38" s="63">
        <v>4.59</v>
      </c>
      <c r="L38" s="63"/>
      <c r="M38" s="64">
        <v>38289</v>
      </c>
      <c r="N38" s="63">
        <v>0.72</v>
      </c>
      <c r="O38" s="63">
        <v>1.71</v>
      </c>
      <c r="P38" s="63">
        <v>2.0699999999999998</v>
      </c>
      <c r="Q38" s="63">
        <v>2.25</v>
      </c>
      <c r="R38" s="63">
        <v>2.7</v>
      </c>
      <c r="S38" s="63">
        <v>3.24</v>
      </c>
      <c r="T38" s="63">
        <v>3.6</v>
      </c>
      <c r="U38" s="63">
        <v>1.71</v>
      </c>
      <c r="V38" s="63">
        <v>2.0699999999999998</v>
      </c>
      <c r="W38" s="63">
        <v>2.25</v>
      </c>
      <c r="X38" s="63">
        <v>1.44</v>
      </c>
      <c r="Y38" s="63">
        <v>1.08</v>
      </c>
      <c r="Z38" s="63">
        <v>1.62</v>
      </c>
    </row>
    <row r="39" spans="2:26">
      <c r="B39" s="63"/>
      <c r="C39" s="64">
        <v>38835</v>
      </c>
      <c r="D39" s="63">
        <v>5.4</v>
      </c>
      <c r="E39" s="63">
        <v>5.85</v>
      </c>
      <c r="F39" s="63">
        <v>6.03</v>
      </c>
      <c r="G39" s="63">
        <v>6.12</v>
      </c>
      <c r="H39" s="63">
        <v>6.39</v>
      </c>
      <c r="I39" s="63">
        <v>4.1399999999999997</v>
      </c>
      <c r="J39" s="63">
        <v>4.59</v>
      </c>
      <c r="L39" s="63"/>
      <c r="M39" s="64">
        <v>37308</v>
      </c>
      <c r="N39" s="63">
        <v>0.72</v>
      </c>
      <c r="O39" s="63">
        <v>1.71</v>
      </c>
      <c r="P39" s="63">
        <v>1.89</v>
      </c>
      <c r="Q39" s="63">
        <v>1.98</v>
      </c>
      <c r="R39" s="63">
        <v>2.25</v>
      </c>
      <c r="S39" s="63">
        <v>2.52</v>
      </c>
      <c r="T39" s="63">
        <v>2.79</v>
      </c>
      <c r="U39" s="63">
        <v>1.71</v>
      </c>
      <c r="V39" s="63">
        <v>1.89</v>
      </c>
      <c r="W39" s="63">
        <v>1.98</v>
      </c>
      <c r="X39" s="63">
        <v>1.44</v>
      </c>
      <c r="Y39" s="63">
        <v>1.08</v>
      </c>
      <c r="Z39" s="63">
        <v>1.62</v>
      </c>
    </row>
    <row r="40" spans="2:26">
      <c r="B40" s="63"/>
      <c r="C40" s="64">
        <v>38428</v>
      </c>
      <c r="D40" s="63">
        <v>5.22</v>
      </c>
      <c r="E40" s="63">
        <v>5.58</v>
      </c>
      <c r="F40" s="63">
        <v>5.76</v>
      </c>
      <c r="G40" s="63">
        <v>5.85</v>
      </c>
      <c r="H40" s="63">
        <v>6.12</v>
      </c>
      <c r="I40" s="63">
        <v>3.96</v>
      </c>
      <c r="J40" s="63">
        <v>4.41</v>
      </c>
      <c r="L40" s="63"/>
      <c r="M40" s="64">
        <v>36321</v>
      </c>
      <c r="N40" s="63">
        <v>0.99</v>
      </c>
      <c r="O40" s="63">
        <v>1.98</v>
      </c>
      <c r="P40" s="63">
        <v>2.16</v>
      </c>
      <c r="Q40" s="63">
        <v>2.25</v>
      </c>
      <c r="R40" s="63">
        <v>2.4300000000000002</v>
      </c>
      <c r="S40" s="63">
        <v>2.7</v>
      </c>
      <c r="T40" s="63">
        <v>2.88</v>
      </c>
      <c r="U40" s="63">
        <v>1.98</v>
      </c>
      <c r="V40" s="63">
        <v>2.16</v>
      </c>
      <c r="W40" s="63">
        <v>2.25</v>
      </c>
      <c r="X40" s="63">
        <v>1.71</v>
      </c>
      <c r="Y40" s="63">
        <v>1.35</v>
      </c>
      <c r="Z40" s="63">
        <v>1.89</v>
      </c>
    </row>
    <row r="41" spans="2:26">
      <c r="B41" s="63"/>
      <c r="C41" s="64">
        <v>38289</v>
      </c>
      <c r="D41" s="63">
        <v>5.22</v>
      </c>
      <c r="E41" s="63">
        <v>5.58</v>
      </c>
      <c r="F41" s="63">
        <v>5.76</v>
      </c>
      <c r="G41" s="63">
        <v>5.85</v>
      </c>
      <c r="H41" s="63">
        <v>6.12</v>
      </c>
      <c r="I41" s="63">
        <v>3.78</v>
      </c>
      <c r="J41" s="63">
        <v>4.2300000000000004</v>
      </c>
      <c r="L41" s="63"/>
      <c r="M41" s="64">
        <v>36136</v>
      </c>
      <c r="N41" s="63">
        <v>1.44</v>
      </c>
      <c r="O41" s="63">
        <v>2.79</v>
      </c>
      <c r="P41" s="63">
        <v>3.33</v>
      </c>
      <c r="Q41" s="63">
        <v>3.78</v>
      </c>
      <c r="R41" s="63">
        <v>3.96</v>
      </c>
      <c r="S41" s="63">
        <v>4.1399999999999997</v>
      </c>
      <c r="T41" s="63">
        <v>4.5</v>
      </c>
      <c r="U41" s="63">
        <v>3.33</v>
      </c>
      <c r="V41" s="63">
        <v>3.78</v>
      </c>
      <c r="W41" s="63">
        <v>4.1399999999999997</v>
      </c>
      <c r="X41" s="63">
        <v>2.16</v>
      </c>
      <c r="Y41" s="63">
        <v>1.8</v>
      </c>
      <c r="Z41" s="63">
        <v>2.34</v>
      </c>
    </row>
    <row r="42" spans="2:26">
      <c r="B42" s="63"/>
      <c r="C42" s="64">
        <v>37308</v>
      </c>
      <c r="D42" s="63">
        <v>5.04</v>
      </c>
      <c r="E42" s="63">
        <v>5.31</v>
      </c>
      <c r="F42" s="63">
        <v>5.49</v>
      </c>
      <c r="G42" s="63">
        <v>5.58</v>
      </c>
      <c r="H42" s="63">
        <v>5.76</v>
      </c>
      <c r="I42" s="63">
        <v>3.6</v>
      </c>
      <c r="J42" s="63">
        <v>4.05</v>
      </c>
      <c r="L42" s="63"/>
      <c r="M42" s="64">
        <v>35977</v>
      </c>
      <c r="N42" s="63">
        <v>1.44</v>
      </c>
      <c r="O42" s="63">
        <v>2.79</v>
      </c>
      <c r="P42" s="63">
        <v>3.96</v>
      </c>
      <c r="Q42" s="63">
        <v>4.7699999999999996</v>
      </c>
      <c r="R42" s="63">
        <v>4.8600000000000003</v>
      </c>
      <c r="S42" s="63">
        <v>4.95</v>
      </c>
      <c r="T42" s="63">
        <v>5.22</v>
      </c>
      <c r="U42" s="63">
        <v>3.96</v>
      </c>
      <c r="V42" s="63">
        <v>4.7699999999999996</v>
      </c>
      <c r="W42" s="63">
        <v>4.95</v>
      </c>
      <c r="X42" s="63" t="s">
        <v>2822</v>
      </c>
      <c r="Y42" s="63" t="s">
        <v>2822</v>
      </c>
      <c r="Z42" s="63" t="s">
        <v>2822</v>
      </c>
    </row>
    <row r="43" spans="2:26">
      <c r="B43" s="63"/>
      <c r="C43" s="64">
        <v>36321</v>
      </c>
      <c r="D43" s="63">
        <v>5.58</v>
      </c>
      <c r="E43" s="63">
        <v>5.85</v>
      </c>
      <c r="F43" s="63">
        <v>5.94</v>
      </c>
      <c r="G43" s="63">
        <v>6.03</v>
      </c>
      <c r="H43" s="63">
        <v>6.21</v>
      </c>
      <c r="I43" s="63">
        <v>4.1399999999999997</v>
      </c>
      <c r="J43" s="63">
        <v>4.59</v>
      </c>
      <c r="L43" s="63"/>
      <c r="M43" s="64">
        <v>35879</v>
      </c>
      <c r="N43" s="63">
        <v>1.71</v>
      </c>
      <c r="O43" s="63">
        <v>2.88</v>
      </c>
      <c r="P43" s="63">
        <v>4.1399999999999997</v>
      </c>
      <c r="Q43" s="63">
        <v>5.22</v>
      </c>
      <c r="R43" s="63">
        <v>5.58</v>
      </c>
      <c r="S43" s="63">
        <v>6.21</v>
      </c>
      <c r="T43" s="63">
        <v>6.66</v>
      </c>
      <c r="U43" s="63">
        <v>4.1399999999999997</v>
      </c>
      <c r="V43" s="63">
        <v>5.22</v>
      </c>
      <c r="W43" s="63">
        <v>6.21</v>
      </c>
      <c r="X43" s="63" t="s">
        <v>2822</v>
      </c>
      <c r="Y43" s="63" t="s">
        <v>2822</v>
      </c>
      <c r="Z43" s="63" t="s">
        <v>2822</v>
      </c>
    </row>
    <row r="44" spans="2:26">
      <c r="B44" s="63"/>
      <c r="C44" s="64">
        <v>36136</v>
      </c>
      <c r="D44" s="63">
        <v>6.12</v>
      </c>
      <c r="E44" s="63">
        <v>6.39</v>
      </c>
      <c r="F44" s="63">
        <v>6.66</v>
      </c>
      <c r="G44" s="63">
        <v>7.2</v>
      </c>
      <c r="H44" s="63">
        <v>7.56</v>
      </c>
      <c r="I44" s="63">
        <v>0</v>
      </c>
      <c r="J44" s="63">
        <v>0</v>
      </c>
      <c r="L44" s="63"/>
      <c r="M44" s="64">
        <v>35726</v>
      </c>
      <c r="N44" s="63">
        <v>1.71</v>
      </c>
      <c r="O44" s="63">
        <v>2.88</v>
      </c>
      <c r="P44" s="63">
        <v>4.1399999999999997</v>
      </c>
      <c r="Q44" s="63">
        <v>5.67</v>
      </c>
      <c r="R44" s="63">
        <v>5.94</v>
      </c>
      <c r="S44" s="63">
        <v>6.21</v>
      </c>
      <c r="T44" s="63">
        <v>6.66</v>
      </c>
      <c r="U44" s="63">
        <v>4.1399999999999997</v>
      </c>
      <c r="V44" s="63">
        <v>5.67</v>
      </c>
      <c r="W44" s="63">
        <v>6.21</v>
      </c>
      <c r="X44" s="63" t="s">
        <v>2822</v>
      </c>
      <c r="Y44" s="63" t="s">
        <v>2822</v>
      </c>
      <c r="Z44" s="63" t="s">
        <v>2822</v>
      </c>
    </row>
    <row r="45" spans="2:26">
      <c r="B45" s="63"/>
      <c r="C45" s="64">
        <v>35977</v>
      </c>
      <c r="D45" s="63">
        <v>6.57</v>
      </c>
      <c r="E45" s="63">
        <v>6.93</v>
      </c>
      <c r="F45" s="63">
        <v>7.11</v>
      </c>
      <c r="G45" s="63">
        <v>7.65</v>
      </c>
      <c r="H45" s="63">
        <v>8.01</v>
      </c>
      <c r="I45" s="63">
        <v>0</v>
      </c>
      <c r="J45" s="63">
        <v>0</v>
      </c>
      <c r="L45" s="63"/>
      <c r="M45" s="64">
        <v>35300</v>
      </c>
      <c r="N45" s="63">
        <v>1.98</v>
      </c>
      <c r="O45" s="63">
        <v>3.33</v>
      </c>
      <c r="P45" s="63">
        <v>5.4</v>
      </c>
      <c r="Q45" s="63">
        <v>7.47</v>
      </c>
      <c r="R45" s="63">
        <v>7.92</v>
      </c>
      <c r="S45" s="63">
        <v>8.2799999999999994</v>
      </c>
      <c r="T45" s="63">
        <v>9</v>
      </c>
      <c r="U45" s="63">
        <v>5.4</v>
      </c>
      <c r="V45" s="63">
        <v>7.47</v>
      </c>
      <c r="W45" s="63">
        <v>8.2799999999999994</v>
      </c>
      <c r="X45" s="63" t="s">
        <v>2822</v>
      </c>
      <c r="Y45" s="63" t="s">
        <v>2822</v>
      </c>
      <c r="Z45" s="63" t="s">
        <v>2822</v>
      </c>
    </row>
    <row r="46" spans="2:26">
      <c r="B46" s="63"/>
      <c r="C46" s="64">
        <v>35879</v>
      </c>
      <c r="D46" s="63">
        <v>7.02</v>
      </c>
      <c r="E46" s="63">
        <v>7.92</v>
      </c>
      <c r="F46" s="63">
        <v>9</v>
      </c>
      <c r="G46" s="63">
        <v>9.7200000000000006</v>
      </c>
      <c r="H46" s="63">
        <v>10.35</v>
      </c>
      <c r="I46" s="63">
        <v>0</v>
      </c>
      <c r="J46" s="63">
        <v>0</v>
      </c>
      <c r="L46" s="63"/>
      <c r="M46" s="64">
        <v>35186</v>
      </c>
      <c r="N46" s="63">
        <v>2.97</v>
      </c>
      <c r="O46" s="63">
        <v>4.8600000000000003</v>
      </c>
      <c r="P46" s="63">
        <v>7.2</v>
      </c>
      <c r="Q46" s="63">
        <v>9.18</v>
      </c>
      <c r="R46" s="63">
        <v>9.9</v>
      </c>
      <c r="S46" s="63">
        <v>10.8</v>
      </c>
      <c r="T46" s="63">
        <v>12.06</v>
      </c>
      <c r="U46" s="63">
        <v>7.2</v>
      </c>
      <c r="V46" s="63">
        <v>9.18</v>
      </c>
      <c r="W46" s="63">
        <v>10.8</v>
      </c>
      <c r="X46" s="63" t="s">
        <v>2822</v>
      </c>
      <c r="Y46" s="63" t="s">
        <v>2822</v>
      </c>
      <c r="Z46" s="63" t="s">
        <v>2822</v>
      </c>
    </row>
    <row r="47" spans="2:26">
      <c r="B47" s="63"/>
      <c r="C47" s="64">
        <v>35726</v>
      </c>
      <c r="D47" s="63">
        <v>7.65</v>
      </c>
      <c r="E47" s="63">
        <v>8.64</v>
      </c>
      <c r="F47" s="63">
        <v>9.36</v>
      </c>
      <c r="G47" s="63">
        <v>9.9</v>
      </c>
      <c r="H47" s="63">
        <v>10.53</v>
      </c>
      <c r="I47" s="63">
        <v>0</v>
      </c>
      <c r="J47" s="63">
        <v>0</v>
      </c>
      <c r="L47" s="63"/>
      <c r="M47" s="64">
        <v>34161</v>
      </c>
      <c r="N47" s="63">
        <v>3.15</v>
      </c>
      <c r="O47" s="63">
        <v>6.66</v>
      </c>
      <c r="P47" s="63">
        <v>9</v>
      </c>
      <c r="Q47" s="63">
        <v>10.98</v>
      </c>
      <c r="R47" s="63">
        <v>11.7</v>
      </c>
      <c r="S47" s="63">
        <v>12.24</v>
      </c>
      <c r="T47" s="63">
        <v>13.86</v>
      </c>
      <c r="U47" s="63">
        <v>9</v>
      </c>
      <c r="V47" s="63">
        <v>10.98</v>
      </c>
      <c r="W47" s="63">
        <v>12.24</v>
      </c>
      <c r="X47" s="63" t="s">
        <v>2822</v>
      </c>
      <c r="Y47" s="63" t="s">
        <v>2822</v>
      </c>
      <c r="Z47" s="63" t="s">
        <v>2822</v>
      </c>
    </row>
    <row r="48" spans="2:26">
      <c r="B48" s="63"/>
      <c r="C48" s="64">
        <v>35300</v>
      </c>
      <c r="D48" s="63">
        <v>9.18</v>
      </c>
      <c r="E48" s="63">
        <v>10.08</v>
      </c>
      <c r="F48" s="63">
        <v>10.98</v>
      </c>
      <c r="G48" s="63">
        <v>11.7</v>
      </c>
      <c r="H48" s="63">
        <v>12.42</v>
      </c>
      <c r="I48" s="63">
        <v>0</v>
      </c>
      <c r="J48" s="63">
        <v>0</v>
      </c>
      <c r="L48" s="63"/>
      <c r="M48" s="64">
        <v>34104</v>
      </c>
      <c r="N48" s="63">
        <v>2.16</v>
      </c>
      <c r="O48" s="63">
        <v>4.8600000000000003</v>
      </c>
      <c r="P48" s="63">
        <v>7.2</v>
      </c>
      <c r="Q48" s="63">
        <v>9.18</v>
      </c>
      <c r="R48" s="63">
        <v>9.9</v>
      </c>
      <c r="S48" s="63">
        <v>10.8</v>
      </c>
      <c r="T48" s="63">
        <v>12.06</v>
      </c>
      <c r="U48" s="63">
        <v>7.2</v>
      </c>
      <c r="V48" s="63">
        <v>9.18</v>
      </c>
      <c r="W48" s="63">
        <v>10.8</v>
      </c>
      <c r="X48" s="63" t="s">
        <v>2822</v>
      </c>
      <c r="Y48" s="63" t="s">
        <v>2822</v>
      </c>
      <c r="Z48" s="63" t="s">
        <v>2822</v>
      </c>
    </row>
    <row r="49" spans="2:26">
      <c r="B49" s="63"/>
      <c r="C49" s="64">
        <v>35186</v>
      </c>
      <c r="D49" s="63">
        <v>9.7200000000000006</v>
      </c>
      <c r="E49" s="63">
        <v>10.98</v>
      </c>
      <c r="F49" s="63">
        <v>13.14</v>
      </c>
      <c r="G49" s="63">
        <v>14.94</v>
      </c>
      <c r="H49" s="63">
        <v>15.12</v>
      </c>
      <c r="I49" s="63">
        <v>0</v>
      </c>
      <c r="J49" s="63">
        <v>0</v>
      </c>
      <c r="L49" s="63"/>
      <c r="M49" s="64">
        <v>33349</v>
      </c>
      <c r="N49" s="63">
        <v>1.8</v>
      </c>
      <c r="O49" s="63">
        <v>3.24</v>
      </c>
      <c r="P49" s="63">
        <v>5.4</v>
      </c>
      <c r="Q49" s="63">
        <v>7.56</v>
      </c>
      <c r="R49" s="63">
        <v>7.92</v>
      </c>
      <c r="S49" s="63">
        <v>8.2799999999999994</v>
      </c>
      <c r="T49" s="63">
        <v>9</v>
      </c>
      <c r="U49" s="63">
        <v>6.12</v>
      </c>
      <c r="V49" s="63">
        <v>6.84</v>
      </c>
      <c r="W49" s="63">
        <v>7.56</v>
      </c>
      <c r="X49" s="63" t="s">
        <v>2822</v>
      </c>
      <c r="Y49" s="63" t="s">
        <v>2822</v>
      </c>
      <c r="Z49" s="63" t="s">
        <v>2822</v>
      </c>
    </row>
    <row r="50" spans="2:26">
      <c r="B50" s="63"/>
      <c r="C50" s="64">
        <v>34881</v>
      </c>
      <c r="D50" s="63">
        <v>10.08</v>
      </c>
      <c r="E50" s="63">
        <v>12.06</v>
      </c>
      <c r="F50" s="63">
        <v>13.5</v>
      </c>
      <c r="G50" s="63">
        <v>15.12</v>
      </c>
      <c r="H50" s="63">
        <v>15.3</v>
      </c>
      <c r="I50" s="63">
        <v>0</v>
      </c>
      <c r="J50" s="63">
        <v>0</v>
      </c>
      <c r="L50" s="63"/>
      <c r="M50" s="64">
        <v>33106</v>
      </c>
      <c r="N50" s="63">
        <v>2.16</v>
      </c>
      <c r="O50" s="63">
        <v>4.32</v>
      </c>
      <c r="P50" s="63">
        <v>6.48</v>
      </c>
      <c r="Q50" s="63">
        <v>8.64</v>
      </c>
      <c r="R50" s="63">
        <v>9.36</v>
      </c>
      <c r="S50" s="63">
        <v>10.08</v>
      </c>
      <c r="T50" s="63">
        <v>11.52</v>
      </c>
      <c r="U50" s="63">
        <v>7.2</v>
      </c>
      <c r="V50" s="63">
        <v>8.64</v>
      </c>
      <c r="W50" s="63">
        <v>10.08</v>
      </c>
      <c r="X50" s="63" t="s">
        <v>2822</v>
      </c>
      <c r="Y50" s="63" t="s">
        <v>2822</v>
      </c>
      <c r="Z50" s="63" t="s">
        <v>2822</v>
      </c>
    </row>
    <row r="51" spans="2:26">
      <c r="B51" s="63"/>
      <c r="C51" s="64">
        <v>34700</v>
      </c>
      <c r="D51" s="63">
        <v>9</v>
      </c>
      <c r="E51" s="63">
        <v>10.98</v>
      </c>
      <c r="F51" s="63">
        <v>12.96</v>
      </c>
      <c r="G51" s="63">
        <v>14.58</v>
      </c>
      <c r="H51" s="63">
        <v>14.76</v>
      </c>
      <c r="I51" s="63">
        <v>0</v>
      </c>
      <c r="J51" s="63">
        <v>0</v>
      </c>
      <c r="L51" s="63"/>
      <c r="M51" s="64">
        <v>32978</v>
      </c>
      <c r="N51" s="63">
        <v>2.88</v>
      </c>
      <c r="O51" s="63">
        <v>6.3</v>
      </c>
      <c r="P51" s="63">
        <v>7.74</v>
      </c>
      <c r="Q51" s="63">
        <v>10.08</v>
      </c>
      <c r="R51" s="63">
        <v>10.98</v>
      </c>
      <c r="S51" s="63">
        <v>11.88</v>
      </c>
      <c r="T51" s="63">
        <v>13.68</v>
      </c>
      <c r="U51" s="63" t="s">
        <v>2822</v>
      </c>
      <c r="V51" s="63" t="s">
        <v>2822</v>
      </c>
      <c r="W51" s="63" t="s">
        <v>2822</v>
      </c>
      <c r="X51" s="63" t="s">
        <v>2822</v>
      </c>
      <c r="Y51" s="63" t="s">
        <v>2822</v>
      </c>
      <c r="Z51" s="63" t="s">
        <v>2822</v>
      </c>
    </row>
    <row r="52" spans="2:26">
      <c r="B52" s="63"/>
      <c r="C52" s="64">
        <v>34161</v>
      </c>
      <c r="D52" s="63">
        <v>9</v>
      </c>
      <c r="E52" s="63">
        <v>10.98</v>
      </c>
      <c r="F52" s="63">
        <v>12.24</v>
      </c>
      <c r="G52" s="63">
        <v>13.86</v>
      </c>
      <c r="H52" s="63">
        <v>14.04</v>
      </c>
      <c r="I52" s="63">
        <v>0</v>
      </c>
      <c r="J52" s="63">
        <v>0</v>
      </c>
      <c r="L52" s="63"/>
      <c r="M52" s="64"/>
      <c r="N52" s="63"/>
      <c r="O52" s="63"/>
      <c r="P52" s="63"/>
      <c r="Q52" s="63"/>
      <c r="R52" s="63"/>
      <c r="S52" s="63"/>
      <c r="T52" s="63"/>
      <c r="U52" s="63"/>
      <c r="V52" s="63"/>
      <c r="W52" s="63"/>
      <c r="X52" s="63"/>
      <c r="Y52" s="63"/>
      <c r="Z52" s="63"/>
    </row>
    <row r="53" spans="2:26">
      <c r="B53" s="63"/>
      <c r="C53" s="64">
        <v>34104</v>
      </c>
      <c r="D53" s="63">
        <v>8.82</v>
      </c>
      <c r="E53" s="63">
        <v>9.36</v>
      </c>
      <c r="F53" s="63">
        <v>10.8</v>
      </c>
      <c r="G53" s="63">
        <v>12.06</v>
      </c>
      <c r="H53" s="63">
        <v>12.24</v>
      </c>
      <c r="I53" s="63">
        <v>0</v>
      </c>
      <c r="J53" s="63">
        <v>0</v>
      </c>
      <c r="L53" s="63"/>
      <c r="M53" s="64"/>
      <c r="N53" s="63"/>
      <c r="O53" s="63"/>
      <c r="P53" s="63"/>
      <c r="Q53" s="63"/>
      <c r="R53" s="63"/>
      <c r="S53" s="63"/>
      <c r="T53" s="63"/>
      <c r="U53" s="63"/>
      <c r="V53" s="63"/>
      <c r="W53" s="63"/>
      <c r="X53" s="63"/>
      <c r="Y53" s="63"/>
      <c r="Z53" s="63"/>
    </row>
    <row r="54" spans="2:26">
      <c r="B54" s="63"/>
      <c r="C54" s="64">
        <v>33349</v>
      </c>
      <c r="D54" s="63">
        <v>8.1</v>
      </c>
      <c r="E54" s="63">
        <v>8.64</v>
      </c>
      <c r="F54" s="63">
        <v>9</v>
      </c>
      <c r="G54" s="63">
        <v>9.5399999999999991</v>
      </c>
      <c r="H54" s="63">
        <v>9.7200000000000006</v>
      </c>
      <c r="I54" s="63">
        <v>0</v>
      </c>
      <c r="J54" s="63">
        <v>0</v>
      </c>
      <c r="L54" s="63"/>
      <c r="M54" s="64"/>
      <c r="N54" s="63"/>
      <c r="O54" s="63"/>
      <c r="P54" s="63"/>
      <c r="Q54" s="63"/>
      <c r="R54" s="63"/>
      <c r="S54" s="63"/>
      <c r="T54" s="63"/>
      <c r="U54" s="63"/>
      <c r="V54" s="63"/>
      <c r="W54" s="63"/>
      <c r="X54" s="63"/>
      <c r="Y54" s="63"/>
      <c r="Z54" s="63"/>
    </row>
    <row r="55" spans="2:26">
      <c r="B55" s="63"/>
      <c r="C55" s="64">
        <v>33318</v>
      </c>
      <c r="D55" s="63">
        <v>9</v>
      </c>
      <c r="E55" s="63">
        <v>10.08</v>
      </c>
      <c r="F55" s="63">
        <v>10.8</v>
      </c>
      <c r="G55" s="63">
        <v>11.52</v>
      </c>
      <c r="H55" s="63">
        <v>11.88</v>
      </c>
      <c r="I55" s="63" t="s">
        <v>2822</v>
      </c>
      <c r="J55" s="63" t="s">
        <v>2822</v>
      </c>
      <c r="L55" s="63"/>
      <c r="M55" s="64"/>
      <c r="N55" s="63"/>
      <c r="O55" s="63"/>
      <c r="P55" s="63"/>
      <c r="Q55" s="63"/>
      <c r="R55" s="63"/>
      <c r="S55" s="63"/>
      <c r="T55" s="63"/>
      <c r="U55" s="63"/>
      <c r="V55" s="63"/>
      <c r="W55" s="63"/>
      <c r="X55" s="63"/>
      <c r="Y55" s="63"/>
      <c r="Z55" s="63"/>
    </row>
    <row r="56" spans="2:26">
      <c r="B56" s="63"/>
      <c r="C56" s="64">
        <v>33106</v>
      </c>
      <c r="D56" s="63">
        <v>8.64</v>
      </c>
      <c r="E56" s="63">
        <v>9.36</v>
      </c>
      <c r="F56" s="63">
        <v>10.08</v>
      </c>
      <c r="G56" s="63">
        <v>10.8</v>
      </c>
      <c r="H56" s="63">
        <v>11.16</v>
      </c>
      <c r="I56" s="63">
        <v>0</v>
      </c>
      <c r="J56" s="63">
        <v>0</v>
      </c>
      <c r="L56" s="63"/>
      <c r="M56" s="64"/>
      <c r="N56" s="63"/>
      <c r="O56" s="63"/>
      <c r="P56" s="63"/>
      <c r="Q56" s="63"/>
      <c r="R56" s="63"/>
      <c r="S56" s="63"/>
      <c r="T56" s="63"/>
      <c r="U56" s="63"/>
      <c r="V56" s="63"/>
      <c r="W56" s="63"/>
      <c r="X56" s="63"/>
      <c r="Y56" s="63"/>
      <c r="Z56" s="63"/>
    </row>
    <row r="57" spans="2:26">
      <c r="B57" s="63"/>
      <c r="C57" s="64">
        <v>32540</v>
      </c>
      <c r="D57" s="63">
        <v>11.34</v>
      </c>
      <c r="E57" s="63">
        <v>11.34</v>
      </c>
      <c r="F57" s="63">
        <v>12.78</v>
      </c>
      <c r="G57" s="63">
        <v>14.4</v>
      </c>
      <c r="H57" s="63">
        <v>19.260000000000002</v>
      </c>
      <c r="I57" s="63">
        <v>0</v>
      </c>
      <c r="J57" s="63">
        <v>0</v>
      </c>
      <c r="L57" s="63"/>
      <c r="M57" s="64"/>
      <c r="N57" s="63"/>
      <c r="O57" s="63"/>
      <c r="P57" s="63"/>
      <c r="Q57" s="63"/>
      <c r="R57" s="63"/>
      <c r="S57" s="63"/>
      <c r="T57" s="63"/>
      <c r="U57" s="63"/>
      <c r="V57" s="63"/>
      <c r="W57" s="63"/>
      <c r="X57" s="63"/>
      <c r="Y57" s="63"/>
      <c r="Z57" s="63"/>
    </row>
    <row r="58" spans="2:26">
      <c r="B58" s="63"/>
      <c r="C58" s="64"/>
      <c r="D58" s="63"/>
      <c r="E58" s="63"/>
      <c r="F58" s="63"/>
      <c r="G58" s="63"/>
      <c r="H58" s="63"/>
      <c r="I58" s="63"/>
      <c r="J58" s="63"/>
    </row>
    <row r="59" spans="2:26">
      <c r="B59" s="66"/>
      <c r="C59" s="67"/>
      <c r="D59" s="66"/>
      <c r="E59" s="66"/>
      <c r="F59" s="66"/>
      <c r="G59" s="66"/>
      <c r="H59" s="66"/>
      <c r="I59" s="66"/>
      <c r="J59" s="66"/>
    </row>
    <row r="60" spans="2:26">
      <c r="B60" s="66"/>
      <c r="C60" s="67"/>
      <c r="D60" s="66"/>
      <c r="E60" s="66"/>
      <c r="F60" s="66"/>
      <c r="G60" s="66"/>
      <c r="H60" s="66"/>
      <c r="I60" s="66"/>
      <c r="J60" s="66"/>
    </row>
    <row r="61" spans="2:26">
      <c r="B61" s="66"/>
      <c r="C61" s="67"/>
      <c r="D61" s="66"/>
      <c r="E61" s="66"/>
      <c r="F61" s="66"/>
      <c r="G61" s="66"/>
      <c r="H61" s="66"/>
      <c r="I61" s="66"/>
      <c r="J61" s="66"/>
    </row>
    <row r="62" spans="2:26">
      <c r="B62" s="15"/>
      <c r="C62" s="15"/>
      <c r="D62" s="15"/>
      <c r="E62" s="15"/>
      <c r="F62" s="15"/>
      <c r="G62" s="15"/>
      <c r="H62" s="15"/>
      <c r="I62" s="15"/>
      <c r="J62" s="15"/>
    </row>
    <row r="63" spans="2:26">
      <c r="B63" s="15"/>
      <c r="C63" s="15"/>
      <c r="D63" s="15"/>
      <c r="E63" s="15"/>
      <c r="F63" s="15"/>
      <c r="G63" s="15"/>
      <c r="H63" s="15"/>
      <c r="I63" s="15"/>
      <c r="J63" s="15"/>
    </row>
  </sheetData>
  <sheetProtection sheet="1" objects="1" scenarios="1"/>
  <phoneticPr fontId="225" type="noConversion"/>
  <pageMargins left="0.69930555555555596" right="0.69930555555555596" top="0.75" bottom="0.75" header="0.3" footer="0.3"/>
  <pageSetup paperSize="9" orientation="portrai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ColWidth="9" defaultRowHeight="13.5"/>
  <sheetData>
    <row r="1" spans="1:13" ht="28.5">
      <c r="A1" s="1" t="s">
        <v>2823</v>
      </c>
      <c r="E1" s="2" t="s">
        <v>2824</v>
      </c>
      <c r="F1" s="3" t="s">
        <v>2825</v>
      </c>
    </row>
    <row r="2" spans="1:13" ht="20.25">
      <c r="A2" s="4" t="s">
        <v>2826</v>
      </c>
    </row>
    <row r="3" spans="1:13" ht="16.5">
      <c r="A3" s="5" t="s">
        <v>2827</v>
      </c>
    </row>
    <row r="4" spans="1:13" ht="14.25">
      <c r="A4" s="6" t="s">
        <v>1625</v>
      </c>
      <c r="B4" s="7" t="s">
        <v>2041</v>
      </c>
      <c r="C4" s="8"/>
      <c r="D4" s="9"/>
      <c r="E4" s="7" t="s">
        <v>2042</v>
      </c>
      <c r="F4" s="8"/>
      <c r="G4" s="9"/>
      <c r="H4" s="7" t="s">
        <v>2084</v>
      </c>
      <c r="I4" s="8"/>
      <c r="J4" s="9"/>
      <c r="K4" s="7" t="s">
        <v>2044</v>
      </c>
      <c r="L4" s="8"/>
      <c r="M4" s="9"/>
    </row>
    <row r="5" spans="1:13" ht="14.25">
      <c r="A5" s="10" t="s">
        <v>211</v>
      </c>
      <c r="B5" s="6" t="s">
        <v>2828</v>
      </c>
      <c r="C5" s="6" t="s">
        <v>2829</v>
      </c>
      <c r="D5" s="6" t="s">
        <v>2830</v>
      </c>
      <c r="E5" s="6" t="s">
        <v>2828</v>
      </c>
      <c r="F5" s="6" t="s">
        <v>2829</v>
      </c>
      <c r="G5" s="6" t="s">
        <v>2830</v>
      </c>
      <c r="H5" s="6" t="s">
        <v>2828</v>
      </c>
      <c r="I5" s="6" t="s">
        <v>2829</v>
      </c>
      <c r="J5" s="6" t="s">
        <v>2830</v>
      </c>
      <c r="K5" s="6" t="s">
        <v>2828</v>
      </c>
      <c r="L5" s="6" t="s">
        <v>2829</v>
      </c>
      <c r="M5" s="6" t="s">
        <v>2830</v>
      </c>
    </row>
    <row r="6" spans="1:13" ht="14.25">
      <c r="A6" s="11" t="s">
        <v>233</v>
      </c>
      <c r="B6" s="12">
        <v>26980</v>
      </c>
      <c r="C6" s="12">
        <v>32980</v>
      </c>
      <c r="D6" s="12">
        <v>29980</v>
      </c>
      <c r="E6" s="12">
        <v>26170</v>
      </c>
      <c r="F6" s="12">
        <v>31990</v>
      </c>
      <c r="G6" s="12">
        <v>29080</v>
      </c>
      <c r="H6" s="12">
        <v>25850</v>
      </c>
      <c r="I6" s="12">
        <v>31590</v>
      </c>
      <c r="J6" s="12">
        <v>28720</v>
      </c>
      <c r="K6" s="12">
        <v>9860</v>
      </c>
      <c r="L6" s="13">
        <v>13340</v>
      </c>
      <c r="M6" s="12">
        <v>11600</v>
      </c>
    </row>
    <row r="7" spans="1:13" ht="14.25">
      <c r="A7" s="11" t="s">
        <v>244</v>
      </c>
      <c r="B7" s="12">
        <v>21970</v>
      </c>
      <c r="C7" s="12">
        <v>28730</v>
      </c>
      <c r="D7" s="12">
        <v>25350</v>
      </c>
      <c r="E7" s="12">
        <v>21480</v>
      </c>
      <c r="F7" s="12">
        <v>28080</v>
      </c>
      <c r="G7" s="12">
        <v>24780</v>
      </c>
      <c r="H7" s="12">
        <v>21250</v>
      </c>
      <c r="I7" s="12">
        <v>27790</v>
      </c>
      <c r="J7" s="12">
        <v>24520</v>
      </c>
      <c r="K7" s="12">
        <v>6660</v>
      </c>
      <c r="L7" s="13">
        <v>10000</v>
      </c>
      <c r="M7" s="12">
        <v>8330</v>
      </c>
    </row>
    <row r="8" spans="1:13" ht="14.25">
      <c r="A8" s="11" t="s">
        <v>254</v>
      </c>
      <c r="B8" s="12">
        <v>17430</v>
      </c>
      <c r="C8" s="12">
        <v>24410</v>
      </c>
      <c r="D8" s="12">
        <v>20920</v>
      </c>
      <c r="E8" s="12">
        <v>17140</v>
      </c>
      <c r="F8" s="12">
        <v>24000</v>
      </c>
      <c r="G8" s="12">
        <v>20570</v>
      </c>
      <c r="H8" s="12">
        <v>16990</v>
      </c>
      <c r="I8" s="12">
        <v>23790</v>
      </c>
      <c r="J8" s="12">
        <v>20390</v>
      </c>
      <c r="K8" s="12">
        <v>4530</v>
      </c>
      <c r="L8" s="13">
        <v>6790</v>
      </c>
      <c r="M8" s="12">
        <v>5660</v>
      </c>
    </row>
    <row r="9" spans="1:13" ht="14.25">
      <c r="A9" s="11" t="s">
        <v>262</v>
      </c>
      <c r="B9" s="12">
        <v>13330</v>
      </c>
      <c r="C9" s="12">
        <v>19990</v>
      </c>
      <c r="D9" s="12">
        <v>16660</v>
      </c>
      <c r="E9" s="12">
        <v>13160</v>
      </c>
      <c r="F9" s="12">
        <v>19740</v>
      </c>
      <c r="G9" s="12">
        <v>16450</v>
      </c>
      <c r="H9" s="12">
        <v>13060</v>
      </c>
      <c r="I9" s="12">
        <v>19600</v>
      </c>
      <c r="J9" s="12">
        <v>16330</v>
      </c>
      <c r="K9" s="12">
        <v>3090</v>
      </c>
      <c r="L9" s="13">
        <v>4650</v>
      </c>
      <c r="M9" s="12">
        <v>3870</v>
      </c>
    </row>
    <row r="10" spans="1:13" ht="14.25">
      <c r="A10" s="11" t="s">
        <v>270</v>
      </c>
      <c r="B10" s="12">
        <v>10420</v>
      </c>
      <c r="C10" s="12">
        <v>15620</v>
      </c>
      <c r="D10" s="12">
        <v>13020</v>
      </c>
      <c r="E10" s="12">
        <v>10310</v>
      </c>
      <c r="F10" s="12">
        <v>15470</v>
      </c>
      <c r="G10" s="12">
        <v>12890</v>
      </c>
      <c r="H10" s="12">
        <v>10250</v>
      </c>
      <c r="I10" s="12">
        <v>15370</v>
      </c>
      <c r="J10" s="12">
        <v>12810</v>
      </c>
      <c r="K10" s="12">
        <v>2140</v>
      </c>
      <c r="L10" s="13">
        <v>3200</v>
      </c>
      <c r="M10" s="12">
        <v>2670</v>
      </c>
    </row>
    <row r="11" spans="1:13" ht="14.25">
      <c r="A11" s="11" t="s">
        <v>276</v>
      </c>
      <c r="B11" s="12">
        <v>8130</v>
      </c>
      <c r="C11" s="12">
        <v>12190</v>
      </c>
      <c r="D11" s="12">
        <v>10160</v>
      </c>
      <c r="E11" s="12">
        <v>8060</v>
      </c>
      <c r="F11" s="12">
        <v>12080</v>
      </c>
      <c r="G11" s="12">
        <v>10070</v>
      </c>
      <c r="H11" s="12">
        <v>8010</v>
      </c>
      <c r="I11" s="12">
        <v>12010</v>
      </c>
      <c r="J11" s="12">
        <v>10010</v>
      </c>
      <c r="K11" s="12">
        <v>1490</v>
      </c>
      <c r="L11" s="13">
        <v>2250</v>
      </c>
      <c r="M11" s="12">
        <v>1870</v>
      </c>
    </row>
    <row r="12" spans="1:13" ht="14.25">
      <c r="A12" s="11" t="s">
        <v>281</v>
      </c>
      <c r="B12" s="12">
        <v>5940</v>
      </c>
      <c r="C12" s="12">
        <v>8900</v>
      </c>
      <c r="D12" s="12">
        <v>7420</v>
      </c>
      <c r="E12" s="12">
        <v>5880</v>
      </c>
      <c r="F12" s="12">
        <v>8820</v>
      </c>
      <c r="G12" s="12">
        <v>7350</v>
      </c>
      <c r="H12" s="12">
        <v>5840</v>
      </c>
      <c r="I12" s="12">
        <v>8760</v>
      </c>
      <c r="J12" s="12">
        <v>7300</v>
      </c>
      <c r="K12" s="12">
        <v>1060</v>
      </c>
      <c r="L12" s="13">
        <v>1600</v>
      </c>
      <c r="M12" s="12">
        <v>1330</v>
      </c>
    </row>
    <row r="13" spans="1:13" ht="14.25">
      <c r="A13" s="11" t="s">
        <v>286</v>
      </c>
      <c r="B13" s="12">
        <v>3970</v>
      </c>
      <c r="C13" s="12">
        <v>6330</v>
      </c>
      <c r="D13" s="12">
        <v>5150</v>
      </c>
      <c r="E13" s="12">
        <v>3920</v>
      </c>
      <c r="F13" s="12">
        <v>6260</v>
      </c>
      <c r="G13" s="12">
        <v>5090</v>
      </c>
      <c r="H13" s="12">
        <v>3890</v>
      </c>
      <c r="I13" s="12">
        <v>6210</v>
      </c>
      <c r="J13" s="12">
        <v>5050</v>
      </c>
      <c r="K13" s="12">
        <v>780</v>
      </c>
      <c r="L13" s="13">
        <v>1160</v>
      </c>
      <c r="M13" s="12">
        <v>970</v>
      </c>
    </row>
    <row r="14" spans="1:13" ht="14.25">
      <c r="A14" s="11" t="s">
        <v>289</v>
      </c>
      <c r="B14" s="12">
        <v>2680</v>
      </c>
      <c r="C14" s="12">
        <v>4280</v>
      </c>
      <c r="D14" s="12">
        <v>3480</v>
      </c>
      <c r="E14" s="12">
        <v>2640</v>
      </c>
      <c r="F14" s="12">
        <v>4220</v>
      </c>
      <c r="G14" s="12">
        <v>3430</v>
      </c>
      <c r="H14" s="12">
        <v>2620</v>
      </c>
      <c r="I14" s="12">
        <v>4180</v>
      </c>
      <c r="J14" s="12">
        <v>3400</v>
      </c>
      <c r="K14" s="12">
        <v>580</v>
      </c>
      <c r="L14" s="13">
        <v>880</v>
      </c>
      <c r="M14" s="12">
        <v>730</v>
      </c>
    </row>
    <row r="15" spans="1:13" ht="14.25">
      <c r="A15" s="11" t="s">
        <v>292</v>
      </c>
      <c r="B15" s="12">
        <v>1700</v>
      </c>
      <c r="C15" s="12">
        <v>2840</v>
      </c>
      <c r="D15" s="12">
        <v>2270</v>
      </c>
      <c r="E15" s="12">
        <v>1670</v>
      </c>
      <c r="F15" s="12">
        <v>2790</v>
      </c>
      <c r="G15" s="12">
        <v>2230</v>
      </c>
      <c r="H15" s="12">
        <v>1650</v>
      </c>
      <c r="I15" s="12">
        <v>2750</v>
      </c>
      <c r="J15" s="12">
        <v>2200</v>
      </c>
      <c r="K15" s="12">
        <v>450</v>
      </c>
      <c r="L15" s="13">
        <v>670</v>
      </c>
      <c r="M15" s="12">
        <v>560</v>
      </c>
    </row>
    <row r="16" spans="1:13" ht="14.25">
      <c r="A16" s="11" t="s">
        <v>295</v>
      </c>
      <c r="B16" s="12">
        <v>1070</v>
      </c>
      <c r="C16" s="12">
        <v>1790</v>
      </c>
      <c r="D16" s="12">
        <v>1430</v>
      </c>
      <c r="E16" s="12">
        <v>1050</v>
      </c>
      <c r="F16" s="12">
        <v>1750</v>
      </c>
      <c r="G16" s="12">
        <v>1400</v>
      </c>
      <c r="H16" s="12">
        <v>1030</v>
      </c>
      <c r="I16" s="12">
        <v>1730</v>
      </c>
      <c r="J16" s="12">
        <v>1380</v>
      </c>
      <c r="K16" s="12">
        <v>350</v>
      </c>
      <c r="L16" s="13">
        <v>530</v>
      </c>
      <c r="M16" s="12">
        <v>440</v>
      </c>
    </row>
    <row r="17" spans="1:13" ht="14.25">
      <c r="A17" s="11" t="s">
        <v>298</v>
      </c>
      <c r="B17" s="12">
        <v>680</v>
      </c>
      <c r="C17" s="12">
        <v>1120</v>
      </c>
      <c r="D17" s="12">
        <v>900</v>
      </c>
      <c r="E17" s="12">
        <v>650</v>
      </c>
      <c r="F17" s="12">
        <v>1090</v>
      </c>
      <c r="G17" s="12">
        <v>870</v>
      </c>
      <c r="H17" s="12">
        <v>630</v>
      </c>
      <c r="I17" s="12">
        <v>1070</v>
      </c>
      <c r="J17" s="12">
        <v>850</v>
      </c>
      <c r="K17" s="12">
        <v>280</v>
      </c>
      <c r="L17" s="13">
        <v>420</v>
      </c>
      <c r="M17" s="12">
        <v>350</v>
      </c>
    </row>
  </sheetData>
  <phoneticPr fontId="225" type="noConversion"/>
  <pageMargins left="0.69930555555555596" right="0.69930555555555596" top="0.75" bottom="0.75" header="0.3" footer="0.3"/>
  <pageSetup paperSize="9" orientation="portrait" r:id="rId1"/>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4:AS50"/>
  <sheetViews>
    <sheetView topLeftCell="W1" zoomScale="70" zoomScaleNormal="70" workbookViewId="0">
      <selection activeCell="AE24" sqref="AE24"/>
    </sheetView>
  </sheetViews>
  <sheetFormatPr defaultRowHeight="13.5"/>
  <cols>
    <col min="2" max="2" width="14.125" customWidth="1"/>
    <col min="3" max="3" width="27.625" bestFit="1" customWidth="1"/>
    <col min="4" max="4" width="16.625" customWidth="1"/>
    <col min="5" max="5" width="14.625" bestFit="1" customWidth="1"/>
    <col min="6" max="6" width="12.375" customWidth="1"/>
    <col min="7" max="13" width="15.875" customWidth="1"/>
    <col min="14" max="14" width="33.125" customWidth="1"/>
    <col min="15" max="15" width="13.5" customWidth="1"/>
    <col min="20" max="20" width="26.25" customWidth="1"/>
    <col min="23" max="23" width="11.125" customWidth="1"/>
    <col min="24" max="24" width="11.5" customWidth="1"/>
    <col min="29" max="29" width="28.75" customWidth="1"/>
    <col min="30" max="30" width="27.625" bestFit="1" customWidth="1"/>
    <col min="31" max="31" width="52.625" customWidth="1"/>
    <col min="44" max="44" width="14.625" bestFit="1" customWidth="1"/>
  </cols>
  <sheetData>
    <row r="4" spans="2:28" ht="39" customHeight="1"/>
    <row r="5" spans="2:28" ht="20.25" customHeight="1">
      <c r="B5" s="3599" t="s">
        <v>3150</v>
      </c>
      <c r="C5" s="3599"/>
      <c r="D5" s="3599"/>
      <c r="E5" s="3599"/>
      <c r="F5" s="3599"/>
      <c r="G5" s="3610" t="s">
        <v>3152</v>
      </c>
      <c r="H5" s="3610"/>
      <c r="I5" s="3610"/>
      <c r="J5" s="3610"/>
      <c r="K5" s="3610"/>
      <c r="L5" s="3610"/>
      <c r="M5" s="3610"/>
      <c r="N5" s="3599" t="s">
        <v>2901</v>
      </c>
      <c r="O5" s="3599"/>
      <c r="P5" s="3599"/>
      <c r="Q5" s="3599"/>
      <c r="R5" s="3599"/>
      <c r="S5" s="3599" t="s">
        <v>2910</v>
      </c>
      <c r="T5" s="3599"/>
      <c r="U5" s="3599"/>
      <c r="V5" s="3599"/>
      <c r="W5" s="3599"/>
      <c r="X5" s="3599"/>
      <c r="Y5" s="3599"/>
      <c r="Z5" s="3599"/>
      <c r="AA5" s="3599"/>
      <c r="AB5" s="3599"/>
    </row>
    <row r="6" spans="2:28" ht="20.25" customHeight="1">
      <c r="B6" s="3611" t="s">
        <v>2905</v>
      </c>
      <c r="C6" s="3611" t="s">
        <v>2933</v>
      </c>
      <c r="D6" s="3611" t="s">
        <v>2934</v>
      </c>
      <c r="E6" s="3611" t="s">
        <v>2935</v>
      </c>
      <c r="F6" s="3611" t="s">
        <v>2936</v>
      </c>
      <c r="G6" s="3603" t="s">
        <v>2846</v>
      </c>
      <c r="H6" s="3603" t="s">
        <v>2847</v>
      </c>
      <c r="I6" s="3603" t="s">
        <v>2848</v>
      </c>
      <c r="J6" s="3603" t="s">
        <v>2849</v>
      </c>
      <c r="K6" s="3603" t="s">
        <v>2850</v>
      </c>
      <c r="L6" s="3603" t="s">
        <v>2840</v>
      </c>
      <c r="M6" s="3603"/>
      <c r="N6" s="3611" t="s">
        <v>2845</v>
      </c>
      <c r="O6" s="3603" t="s">
        <v>2839</v>
      </c>
      <c r="P6" s="3603"/>
      <c r="Q6" s="3603" t="s">
        <v>2840</v>
      </c>
      <c r="R6" s="3603"/>
      <c r="S6" s="3611" t="s">
        <v>2911</v>
      </c>
      <c r="T6" s="3611"/>
      <c r="U6" s="3611" t="s">
        <v>2909</v>
      </c>
      <c r="V6" s="3611"/>
      <c r="W6" s="3611"/>
      <c r="X6" s="3611"/>
      <c r="Y6" s="3611" t="s">
        <v>2912</v>
      </c>
      <c r="Z6" s="3611"/>
      <c r="AA6" s="3611"/>
      <c r="AB6" s="3611"/>
    </row>
    <row r="7" spans="2:28" ht="20.25" customHeight="1">
      <c r="B7" s="3611"/>
      <c r="C7" s="3611"/>
      <c r="D7" s="3611"/>
      <c r="E7" s="3611"/>
      <c r="F7" s="3611"/>
      <c r="G7" s="3603"/>
      <c r="H7" s="3603"/>
      <c r="I7" s="3603"/>
      <c r="J7" s="3603"/>
      <c r="K7" s="3603"/>
      <c r="L7" s="3007" t="s">
        <v>2841</v>
      </c>
      <c r="M7" s="3007" t="s">
        <v>2832</v>
      </c>
      <c r="N7" s="3611"/>
      <c r="O7" s="3007" t="s">
        <v>2831</v>
      </c>
      <c r="P7" s="3007" t="s">
        <v>2832</v>
      </c>
      <c r="Q7" s="3007" t="s">
        <v>2841</v>
      </c>
      <c r="R7" s="3007" t="s">
        <v>2832</v>
      </c>
      <c r="S7" s="3611"/>
      <c r="T7" s="3611"/>
      <c r="U7" s="3010" t="s">
        <v>2906</v>
      </c>
      <c r="V7" s="3010" t="s">
        <v>2840</v>
      </c>
      <c r="W7" s="3010" t="s">
        <v>2907</v>
      </c>
      <c r="X7" s="3010" t="s">
        <v>2908</v>
      </c>
      <c r="Y7" s="3010" t="s">
        <v>2913</v>
      </c>
      <c r="Z7" s="3010" t="s">
        <v>2840</v>
      </c>
      <c r="AA7" s="3010" t="s">
        <v>2839</v>
      </c>
      <c r="AB7" s="3010" t="s">
        <v>2908</v>
      </c>
    </row>
    <row r="8" spans="2:28" ht="20.25" customHeight="1">
      <c r="B8" s="3000" t="s">
        <v>2937</v>
      </c>
      <c r="C8" s="3000" t="s">
        <v>2941</v>
      </c>
      <c r="D8" s="3000" t="s">
        <v>2940</v>
      </c>
      <c r="E8" s="3000">
        <v>749143</v>
      </c>
      <c r="F8" s="3000"/>
      <c r="G8" s="3002" t="s">
        <v>2857</v>
      </c>
      <c r="H8" s="3002" t="s">
        <v>2864</v>
      </c>
      <c r="I8" s="3002">
        <v>11911.76</v>
      </c>
      <c r="J8" s="3002">
        <v>11911.76</v>
      </c>
      <c r="K8" s="3002"/>
      <c r="L8" s="3002">
        <v>6</v>
      </c>
      <c r="M8" s="3002"/>
      <c r="N8" s="3002" t="s">
        <v>2843</v>
      </c>
      <c r="O8" s="3002">
        <v>47647.040000000001</v>
      </c>
      <c r="P8" s="3002"/>
      <c r="Q8" s="3002">
        <v>6</v>
      </c>
      <c r="R8" s="3002"/>
      <c r="S8" s="3608" t="s">
        <v>2925</v>
      </c>
      <c r="T8" s="3002" t="s">
        <v>2923</v>
      </c>
      <c r="U8" s="3002" t="s">
        <v>2914</v>
      </c>
      <c r="V8" s="3002">
        <v>6</v>
      </c>
      <c r="W8" s="3002">
        <v>47647.040000000001</v>
      </c>
      <c r="X8" s="3002">
        <v>47647.040000000001</v>
      </c>
      <c r="Y8" s="3002"/>
      <c r="Z8" s="3002"/>
      <c r="AA8" s="3002"/>
      <c r="AB8" s="3002"/>
    </row>
    <row r="9" spans="2:28" ht="20.25" customHeight="1">
      <c r="B9" s="3000" t="s">
        <v>2925</v>
      </c>
      <c r="C9" s="3000"/>
      <c r="D9" s="3000"/>
      <c r="E9" s="3000"/>
      <c r="F9" s="3016">
        <v>97012.6</v>
      </c>
      <c r="G9" s="3002" t="s">
        <v>2855</v>
      </c>
      <c r="H9" s="3002" t="s">
        <v>2863</v>
      </c>
      <c r="I9" s="3002">
        <v>11629.16</v>
      </c>
      <c r="J9" s="3002">
        <v>11629.16</v>
      </c>
      <c r="K9" s="3002"/>
      <c r="L9" s="3002">
        <v>6</v>
      </c>
      <c r="M9" s="3002"/>
      <c r="N9" s="3002" t="s">
        <v>2844</v>
      </c>
      <c r="O9" s="3002">
        <v>23258.32</v>
      </c>
      <c r="P9" s="3002"/>
      <c r="Q9" s="3002">
        <v>6</v>
      </c>
      <c r="R9" s="3002"/>
      <c r="S9" s="3608"/>
      <c r="T9" s="3002" t="s">
        <v>2915</v>
      </c>
      <c r="U9" s="3002" t="s">
        <v>2914</v>
      </c>
      <c r="V9" s="3002">
        <v>6</v>
      </c>
      <c r="W9" s="3002">
        <v>11629.16</v>
      </c>
      <c r="X9" s="3002">
        <v>11629.16</v>
      </c>
      <c r="Y9" s="3002"/>
      <c r="Z9" s="3002"/>
      <c r="AA9" s="3002"/>
      <c r="AB9" s="3002"/>
    </row>
    <row r="10" spans="2:28" ht="20.25" customHeight="1">
      <c r="B10" s="3000" t="s">
        <v>2938</v>
      </c>
      <c r="C10" s="3000"/>
      <c r="D10" s="3000"/>
      <c r="E10" s="3000"/>
      <c r="F10" s="3016">
        <v>95184.8</v>
      </c>
      <c r="G10" s="3002" t="s">
        <v>2853</v>
      </c>
      <c r="H10" s="3002" t="s">
        <v>2862</v>
      </c>
      <c r="I10" s="3002">
        <v>11629.16</v>
      </c>
      <c r="J10" s="3002">
        <v>11629.16</v>
      </c>
      <c r="K10" s="3002"/>
      <c r="L10" s="3002">
        <v>6</v>
      </c>
      <c r="M10" s="3002"/>
      <c r="N10" s="3002" t="s">
        <v>2833</v>
      </c>
      <c r="O10" s="3002">
        <v>8072.02</v>
      </c>
      <c r="P10" s="3002"/>
      <c r="Q10" s="3002">
        <v>4</v>
      </c>
      <c r="R10" s="3002"/>
      <c r="S10" s="3608"/>
      <c r="T10" s="3002" t="s">
        <v>2916</v>
      </c>
      <c r="U10" s="3002" t="s">
        <v>2914</v>
      </c>
      <c r="V10" s="3002">
        <v>6</v>
      </c>
      <c r="W10" s="3002">
        <v>11629.16</v>
      </c>
      <c r="X10" s="3002">
        <v>11629.16</v>
      </c>
      <c r="Y10" s="3002"/>
      <c r="Z10" s="3002"/>
      <c r="AA10" s="3002"/>
      <c r="AB10" s="3002"/>
    </row>
    <row r="11" spans="2:28" ht="20.25" customHeight="1">
      <c r="B11" s="3000" t="s">
        <v>2939</v>
      </c>
      <c r="C11" s="3000"/>
      <c r="D11" s="3000"/>
      <c r="E11" s="3000"/>
      <c r="F11" s="3016">
        <v>57811.3</v>
      </c>
      <c r="G11" s="3002" t="s">
        <v>2872</v>
      </c>
      <c r="H11" s="3003" t="s">
        <v>2887</v>
      </c>
      <c r="I11" s="3003">
        <v>11911.76</v>
      </c>
      <c r="J11" s="3003">
        <v>11911.76</v>
      </c>
      <c r="K11" s="3002"/>
      <c r="L11" s="3003">
        <v>6</v>
      </c>
      <c r="M11" s="3002"/>
      <c r="N11" s="3002" t="s">
        <v>2834</v>
      </c>
      <c r="O11" s="3002">
        <v>9029.4599999999991</v>
      </c>
      <c r="P11" s="3002"/>
      <c r="Q11" s="3002">
        <v>6</v>
      </c>
      <c r="R11" s="3002"/>
      <c r="S11" s="3608"/>
      <c r="T11" s="3002" t="s">
        <v>2917</v>
      </c>
      <c r="U11" s="3002" t="s">
        <v>2914</v>
      </c>
      <c r="V11" s="3002">
        <v>4</v>
      </c>
      <c r="W11" s="3002">
        <v>8072.02</v>
      </c>
      <c r="X11" s="3002">
        <v>8072.02</v>
      </c>
      <c r="Y11" s="3002"/>
      <c r="Z11" s="3002"/>
      <c r="AA11" s="3002"/>
      <c r="AB11" s="3002"/>
    </row>
    <row r="12" spans="2:28" ht="20.25" customHeight="1">
      <c r="B12" s="3017" t="s">
        <v>2842</v>
      </c>
      <c r="C12" s="3017"/>
      <c r="D12" s="3017"/>
      <c r="E12" s="3017"/>
      <c r="F12" s="3018">
        <f>SUM(F9:F11)</f>
        <v>250008.7</v>
      </c>
      <c r="G12" s="3002" t="s">
        <v>2861</v>
      </c>
      <c r="H12" s="3002" t="s">
        <v>2870</v>
      </c>
      <c r="I12" s="3003">
        <v>8072.02</v>
      </c>
      <c r="J12" s="3003">
        <v>8072.02</v>
      </c>
      <c r="K12" s="3002"/>
      <c r="L12" s="3003">
        <v>4</v>
      </c>
      <c r="M12" s="3002"/>
      <c r="N12" s="3002" t="s">
        <v>2835</v>
      </c>
      <c r="O12" s="3002">
        <v>9085.58</v>
      </c>
      <c r="P12" s="3002">
        <v>1417.4</v>
      </c>
      <c r="Q12" s="3002">
        <v>6</v>
      </c>
      <c r="R12" s="3002">
        <v>1</v>
      </c>
      <c r="S12" s="3608"/>
      <c r="T12" s="3002" t="s">
        <v>2918</v>
      </c>
      <c r="U12" s="3002" t="s">
        <v>2914</v>
      </c>
      <c r="V12" s="3002">
        <v>6</v>
      </c>
      <c r="W12" s="3002">
        <v>9029.4599999999991</v>
      </c>
      <c r="X12" s="3002">
        <v>9029.4599999999991</v>
      </c>
      <c r="Y12" s="3002"/>
      <c r="Z12" s="3002"/>
      <c r="AA12" s="3002"/>
      <c r="AB12" s="3002"/>
    </row>
    <row r="13" spans="2:28" ht="20.25" customHeight="1">
      <c r="B13" s="3600" t="s">
        <v>3151</v>
      </c>
      <c r="C13" s="3600"/>
      <c r="D13" s="3600"/>
      <c r="E13" s="3600"/>
      <c r="F13" s="3600"/>
      <c r="G13" s="3002" t="s">
        <v>2877</v>
      </c>
      <c r="H13" s="3003" t="s">
        <v>2892</v>
      </c>
      <c r="I13" s="3003">
        <v>9029.4599999999991</v>
      </c>
      <c r="J13" s="3003">
        <v>9029.4599999999991</v>
      </c>
      <c r="K13" s="3002"/>
      <c r="L13" s="3003">
        <v>6</v>
      </c>
      <c r="M13" s="3002"/>
      <c r="N13" s="3002" t="s">
        <v>2836</v>
      </c>
      <c r="O13" s="3002">
        <v>18765.39</v>
      </c>
      <c r="P13" s="3002"/>
      <c r="Q13" s="3002">
        <v>4</v>
      </c>
      <c r="R13" s="3002"/>
      <c r="S13" s="3608"/>
      <c r="T13" s="3002" t="s">
        <v>2919</v>
      </c>
      <c r="U13" s="3002" t="s">
        <v>2914</v>
      </c>
      <c r="V13" s="3002">
        <v>6</v>
      </c>
      <c r="W13" s="3002">
        <v>9085.58</v>
      </c>
      <c r="X13" s="3002">
        <v>9085.58</v>
      </c>
      <c r="Y13" s="3002" t="s">
        <v>2924</v>
      </c>
      <c r="Z13" s="3002">
        <v>1</v>
      </c>
      <c r="AA13" s="3002">
        <v>1417.4</v>
      </c>
      <c r="AB13" s="3002">
        <v>1417.4</v>
      </c>
    </row>
    <row r="14" spans="2:28" ht="20.25" customHeight="1">
      <c r="B14" s="3599" t="s">
        <v>2949</v>
      </c>
      <c r="C14" s="3599"/>
      <c r="D14" s="3599"/>
      <c r="E14" s="3599"/>
      <c r="F14" s="3599"/>
      <c r="G14" s="3002" t="s">
        <v>2881</v>
      </c>
      <c r="H14" s="3003" t="s">
        <v>2896</v>
      </c>
      <c r="I14" s="3003">
        <v>10502.98</v>
      </c>
      <c r="J14" s="3002">
        <v>9085.58</v>
      </c>
      <c r="K14" s="3002">
        <v>1417.4</v>
      </c>
      <c r="L14" s="3003">
        <v>6</v>
      </c>
      <c r="M14" s="3003">
        <v>1</v>
      </c>
      <c r="N14" s="3002" t="s">
        <v>2837</v>
      </c>
      <c r="O14" s="3002">
        <v>37530.78</v>
      </c>
      <c r="P14" s="3002"/>
      <c r="Q14" s="3002">
        <v>4</v>
      </c>
      <c r="R14" s="3002"/>
      <c r="S14" s="3608"/>
      <c r="T14" s="3002" t="s">
        <v>2920</v>
      </c>
      <c r="U14" s="3002" t="s">
        <v>2914</v>
      </c>
      <c r="V14" s="3002">
        <v>4</v>
      </c>
      <c r="W14" s="3002">
        <v>18765.39</v>
      </c>
      <c r="X14" s="3002">
        <v>18765.39</v>
      </c>
      <c r="Y14" s="3002"/>
      <c r="Z14" s="3002"/>
      <c r="AA14" s="3002"/>
      <c r="AB14" s="3002"/>
    </row>
    <row r="15" spans="2:28" ht="20.25" customHeight="1">
      <c r="B15" s="3011" t="s">
        <v>2942</v>
      </c>
      <c r="C15" s="3011" t="s">
        <v>2943</v>
      </c>
      <c r="D15" s="3011" t="s">
        <v>2944</v>
      </c>
      <c r="E15" s="3011" t="s">
        <v>2945</v>
      </c>
      <c r="F15" s="3011" t="s">
        <v>2946</v>
      </c>
      <c r="G15" s="3002" t="s">
        <v>2879</v>
      </c>
      <c r="H15" s="3003" t="s">
        <v>2894</v>
      </c>
      <c r="I15" s="3003">
        <v>18765.39</v>
      </c>
      <c r="J15" s="3003">
        <v>18765.39</v>
      </c>
      <c r="K15" s="3002"/>
      <c r="L15" s="3003">
        <v>4</v>
      </c>
      <c r="M15" s="3002"/>
      <c r="N15" s="3002" t="s">
        <v>2838</v>
      </c>
      <c r="O15" s="3002">
        <v>6086.29</v>
      </c>
      <c r="P15" s="3002"/>
      <c r="Q15" s="3002">
        <v>4</v>
      </c>
      <c r="R15" s="3002"/>
      <c r="S15" s="3608"/>
      <c r="T15" s="3002" t="s">
        <v>2921</v>
      </c>
      <c r="U15" s="3002" t="s">
        <v>2914</v>
      </c>
      <c r="V15" s="3002">
        <v>4</v>
      </c>
      <c r="W15" s="3002">
        <v>37530.78</v>
      </c>
      <c r="X15" s="3002">
        <v>37530.78</v>
      </c>
      <c r="Y15" s="3002"/>
      <c r="Z15" s="3002"/>
      <c r="AA15" s="3002"/>
      <c r="AB15" s="3002"/>
    </row>
    <row r="16" spans="2:28" ht="20.25" customHeight="1">
      <c r="B16" s="3001" t="s">
        <v>2948</v>
      </c>
      <c r="C16" s="3000" t="s">
        <v>2940</v>
      </c>
      <c r="D16" s="3000" t="s">
        <v>2947</v>
      </c>
      <c r="E16" s="3015">
        <v>59982</v>
      </c>
      <c r="F16" s="3016">
        <v>97012.6</v>
      </c>
      <c r="G16" s="3002" t="s">
        <v>2884</v>
      </c>
      <c r="H16" s="3003" t="s">
        <v>2899</v>
      </c>
      <c r="I16" s="3003">
        <v>18765.39</v>
      </c>
      <c r="J16" s="3003">
        <v>18765.39</v>
      </c>
      <c r="K16" s="3002"/>
      <c r="L16" s="3003">
        <v>4</v>
      </c>
      <c r="M16" s="3002"/>
      <c r="N16" s="3014" t="s">
        <v>2842</v>
      </c>
      <c r="O16" s="3009">
        <f>SUM(O8:O15)</f>
        <v>159474.88</v>
      </c>
      <c r="P16" s="3014">
        <f>SUM(P8:P15)</f>
        <v>1417.4</v>
      </c>
      <c r="Q16" s="3014"/>
      <c r="R16" s="3014"/>
      <c r="S16" s="3608"/>
      <c r="T16" s="3002" t="s">
        <v>2922</v>
      </c>
      <c r="U16" s="3002" t="s">
        <v>2914</v>
      </c>
      <c r="V16" s="3002">
        <v>4</v>
      </c>
      <c r="W16" s="3002">
        <v>6086.29</v>
      </c>
      <c r="X16" s="3002">
        <v>6086.29</v>
      </c>
      <c r="Y16" s="3002"/>
      <c r="Z16" s="3002"/>
      <c r="AA16" s="3002"/>
      <c r="AB16" s="3002"/>
    </row>
    <row r="17" spans="2:45" ht="20.25" customHeight="1">
      <c r="B17" s="3598" t="s">
        <v>2962</v>
      </c>
      <c r="C17" s="3598"/>
      <c r="D17" s="3598"/>
      <c r="E17" s="3598"/>
      <c r="F17" s="3598"/>
      <c r="G17" s="3002" t="s">
        <v>2878</v>
      </c>
      <c r="H17" s="3003" t="s">
        <v>2893</v>
      </c>
      <c r="I17" s="3003">
        <v>18765.39</v>
      </c>
      <c r="J17" s="3003">
        <v>18765.39</v>
      </c>
      <c r="K17" s="3002"/>
      <c r="L17" s="3003">
        <v>4</v>
      </c>
      <c r="M17" s="3002"/>
      <c r="N17" s="3613" t="s">
        <v>3156</v>
      </c>
      <c r="O17" s="3613"/>
      <c r="P17" s="3613"/>
      <c r="Q17" s="3613"/>
      <c r="R17" s="3613"/>
      <c r="S17" s="3609" t="s">
        <v>2931</v>
      </c>
      <c r="T17" s="3609"/>
      <c r="U17" s="3014"/>
      <c r="V17" s="3014"/>
      <c r="W17" s="3012">
        <f>SUM(W8:W16)</f>
        <v>159474.88</v>
      </c>
      <c r="X17" s="3012">
        <f t="shared" ref="X17:AB17" si="0">SUM(X8:X16)</f>
        <v>159474.88</v>
      </c>
      <c r="Y17" s="3013"/>
      <c r="Z17" s="3013"/>
      <c r="AA17" s="3013">
        <f t="shared" si="0"/>
        <v>1417.4</v>
      </c>
      <c r="AB17" s="3013">
        <f t="shared" si="0"/>
        <v>1417.4</v>
      </c>
    </row>
    <row r="18" spans="2:45" ht="20.25" customHeight="1">
      <c r="B18" s="3598"/>
      <c r="C18" s="3598"/>
      <c r="D18" s="3598"/>
      <c r="E18" s="3598"/>
      <c r="F18" s="3598"/>
      <c r="G18" s="3002" t="s">
        <v>2882</v>
      </c>
      <c r="H18" s="3003" t="s">
        <v>2897</v>
      </c>
      <c r="I18" s="3003">
        <v>6086.29</v>
      </c>
      <c r="J18" s="3003">
        <v>6086.29</v>
      </c>
      <c r="K18" s="3002"/>
      <c r="L18" s="3003">
        <v>4</v>
      </c>
      <c r="M18" s="3002"/>
      <c r="N18" s="3613"/>
      <c r="O18" s="3613"/>
      <c r="P18" s="3613"/>
      <c r="Q18" s="3613"/>
      <c r="R18" s="3613"/>
      <c r="S18" s="3613" t="s">
        <v>2950</v>
      </c>
      <c r="T18" s="3613"/>
      <c r="U18" s="3613"/>
      <c r="V18" s="3613"/>
      <c r="W18" s="3613"/>
      <c r="X18" s="3613"/>
      <c r="Y18" s="3613"/>
      <c r="Z18" s="3613"/>
      <c r="AA18" s="3613"/>
      <c r="AB18" s="3613"/>
    </row>
    <row r="19" spans="2:45" ht="20.25" customHeight="1">
      <c r="B19" s="3598"/>
      <c r="C19" s="3598"/>
      <c r="D19" s="3598"/>
      <c r="E19" s="3598"/>
      <c r="F19" s="3598"/>
      <c r="G19" s="3002" t="s">
        <v>2852</v>
      </c>
      <c r="H19" s="3002" t="s">
        <v>2851</v>
      </c>
      <c r="I19" s="3002">
        <v>11911.76</v>
      </c>
      <c r="J19" s="3002">
        <v>11911.76</v>
      </c>
      <c r="K19" s="3002"/>
      <c r="L19" s="3002">
        <v>6</v>
      </c>
      <c r="M19" s="3002"/>
      <c r="N19" s="3613"/>
      <c r="O19" s="3613"/>
      <c r="P19" s="3613"/>
      <c r="Q19" s="3613"/>
      <c r="R19" s="3613"/>
      <c r="S19" s="3613"/>
      <c r="T19" s="3613"/>
      <c r="U19" s="3613"/>
      <c r="V19" s="3613"/>
      <c r="W19" s="3613"/>
      <c r="X19" s="3613"/>
      <c r="Y19" s="3613"/>
      <c r="Z19" s="3613"/>
      <c r="AA19" s="3613"/>
      <c r="AB19" s="3613"/>
    </row>
    <row r="20" spans="2:45" ht="20.25" customHeight="1">
      <c r="B20" s="3598"/>
      <c r="C20" s="3598"/>
      <c r="D20" s="3598"/>
      <c r="E20" s="3598"/>
      <c r="F20" s="3598"/>
      <c r="G20" s="3002" t="s">
        <v>2875</v>
      </c>
      <c r="H20" s="3003" t="s">
        <v>2890</v>
      </c>
      <c r="I20" s="3003">
        <v>11911.76</v>
      </c>
      <c r="J20" s="3003">
        <v>11911.76</v>
      </c>
      <c r="K20" s="3002"/>
      <c r="L20" s="3003">
        <v>6</v>
      </c>
      <c r="M20" s="3002"/>
      <c r="N20" s="3613"/>
      <c r="O20" s="3613"/>
      <c r="P20" s="3613"/>
      <c r="Q20" s="3613"/>
      <c r="R20" s="3613"/>
      <c r="S20" s="3613"/>
      <c r="T20" s="3613"/>
      <c r="U20" s="3613"/>
      <c r="V20" s="3613"/>
      <c r="W20" s="3613"/>
      <c r="X20" s="3613"/>
      <c r="Y20" s="3613"/>
      <c r="Z20" s="3613"/>
      <c r="AA20" s="3613"/>
      <c r="AB20" s="3613"/>
    </row>
    <row r="21" spans="2:45" ht="20.25" customHeight="1">
      <c r="B21" s="3598"/>
      <c r="C21" s="3598"/>
      <c r="D21" s="3598"/>
      <c r="E21" s="3598"/>
      <c r="F21" s="3598"/>
      <c r="G21" s="3014" t="s">
        <v>2902</v>
      </c>
      <c r="H21" s="3014"/>
      <c r="I21" s="3014">
        <f>SUM(I8:I20)</f>
        <v>160892.28000000003</v>
      </c>
      <c r="J21" s="3009">
        <f t="shared" ref="J21:K21" si="1">SUM(J8:J20)</f>
        <v>159474.88</v>
      </c>
      <c r="K21" s="3014">
        <f t="shared" si="1"/>
        <v>1417.4</v>
      </c>
      <c r="L21" s="3014"/>
      <c r="M21" s="3014"/>
      <c r="N21" s="3613"/>
      <c r="O21" s="3613"/>
      <c r="P21" s="3613"/>
      <c r="Q21" s="3613"/>
      <c r="R21" s="3613"/>
      <c r="S21" s="3613"/>
      <c r="T21" s="3613"/>
      <c r="U21" s="3613"/>
      <c r="V21" s="3613"/>
      <c r="W21" s="3613"/>
      <c r="X21" s="3613"/>
      <c r="Y21" s="3613"/>
      <c r="Z21" s="3613"/>
      <c r="AA21" s="3613"/>
      <c r="AB21" s="3613"/>
    </row>
    <row r="22" spans="2:45" ht="20.25" customHeight="1">
      <c r="B22" s="3599" t="s">
        <v>2961</v>
      </c>
      <c r="C22" s="3599"/>
      <c r="D22" s="3599"/>
      <c r="E22" s="3599"/>
      <c r="F22" s="3599"/>
      <c r="G22" s="3002" t="s">
        <v>2871</v>
      </c>
      <c r="H22" s="3003" t="s">
        <v>2886</v>
      </c>
      <c r="I22" s="3003">
        <v>12536.32</v>
      </c>
      <c r="J22" s="3003">
        <v>12536.32</v>
      </c>
      <c r="K22" s="3002"/>
      <c r="L22" s="3003">
        <v>5</v>
      </c>
      <c r="M22" s="3002"/>
      <c r="N22" s="3599" t="s">
        <v>2904</v>
      </c>
      <c r="O22" s="3599"/>
      <c r="P22" s="3599"/>
      <c r="Q22" s="3599"/>
      <c r="R22" s="3599"/>
      <c r="S22" s="3614" t="s">
        <v>2930</v>
      </c>
      <c r="T22" s="3002" t="s">
        <v>2926</v>
      </c>
      <c r="U22" s="3002" t="s">
        <v>2914</v>
      </c>
      <c r="V22" s="3002">
        <v>5</v>
      </c>
      <c r="W22" s="3002">
        <v>12536.32</v>
      </c>
      <c r="X22" s="3002">
        <v>12536.32</v>
      </c>
      <c r="Y22" s="3002"/>
      <c r="Z22" s="3002"/>
      <c r="AA22" s="3002"/>
      <c r="AB22" s="3002"/>
      <c r="AC22" s="3604" t="s">
        <v>3080</v>
      </c>
      <c r="AD22" s="3604"/>
      <c r="AE22" s="3604"/>
      <c r="AF22" s="3604"/>
      <c r="AG22" s="3604"/>
      <c r="AH22" s="3604"/>
      <c r="AI22" s="3604"/>
      <c r="AJ22" s="3604"/>
      <c r="AK22" s="3604"/>
      <c r="AL22" s="3604"/>
      <c r="AM22" s="3604"/>
      <c r="AN22" s="3604"/>
      <c r="AO22" s="3604"/>
      <c r="AP22" s="3604"/>
      <c r="AQ22" s="3604"/>
      <c r="AR22" s="3604"/>
      <c r="AS22" s="3605"/>
    </row>
    <row r="23" spans="2:45" ht="20.25" customHeight="1">
      <c r="B23" s="3011" t="s">
        <v>2942</v>
      </c>
      <c r="C23" s="3011" t="s">
        <v>2943</v>
      </c>
      <c r="D23" s="3011" t="s">
        <v>2944</v>
      </c>
      <c r="E23" s="3011" t="s">
        <v>2945</v>
      </c>
      <c r="F23" s="3011" t="s">
        <v>2946</v>
      </c>
      <c r="G23" s="3002" t="s">
        <v>2874</v>
      </c>
      <c r="H23" s="3003" t="s">
        <v>2889</v>
      </c>
      <c r="I23" s="3003">
        <v>18706.72</v>
      </c>
      <c r="J23" s="3003">
        <v>18706.72</v>
      </c>
      <c r="K23" s="3002"/>
      <c r="L23" s="3003">
        <v>5</v>
      </c>
      <c r="M23" s="3002"/>
      <c r="N23" s="3612" t="s">
        <v>3157</v>
      </c>
      <c r="O23" s="3612"/>
      <c r="P23" s="3612"/>
      <c r="Q23" s="3612"/>
      <c r="R23" s="3612"/>
      <c r="S23" s="3614"/>
      <c r="T23" s="3002" t="s">
        <v>2927</v>
      </c>
      <c r="U23" s="3002" t="s">
        <v>2914</v>
      </c>
      <c r="V23" s="3002">
        <v>5</v>
      </c>
      <c r="W23" s="3002">
        <v>74826.880000000005</v>
      </c>
      <c r="X23" s="3002">
        <v>74826.880000000005</v>
      </c>
      <c r="Y23" s="3002"/>
      <c r="Z23" s="3002"/>
      <c r="AA23" s="3002"/>
      <c r="AB23" s="3002"/>
      <c r="AC23" s="3075" t="s">
        <v>3031</v>
      </c>
      <c r="AD23" s="3066" t="s">
        <v>3032</v>
      </c>
      <c r="AE23" s="3066" t="s">
        <v>3033</v>
      </c>
      <c r="AF23" s="3066" t="s">
        <v>3034</v>
      </c>
      <c r="AG23" s="3066" t="s">
        <v>3035</v>
      </c>
      <c r="AH23" s="3066" t="s">
        <v>3043</v>
      </c>
      <c r="AI23" s="3066" t="s">
        <v>3044</v>
      </c>
      <c r="AJ23" s="3066" t="s">
        <v>3042</v>
      </c>
      <c r="AK23" s="3066" t="s">
        <v>3036</v>
      </c>
      <c r="AL23" s="3066" t="s">
        <v>3037</v>
      </c>
      <c r="AM23" s="3066" t="s">
        <v>3038</v>
      </c>
      <c r="AN23" s="3066" t="s">
        <v>3081</v>
      </c>
      <c r="AO23" s="3066" t="s">
        <v>3082</v>
      </c>
      <c r="AP23" s="3066" t="s">
        <v>3039</v>
      </c>
      <c r="AQ23" s="3066" t="s">
        <v>3040</v>
      </c>
      <c r="AR23" s="3066" t="s">
        <v>3041</v>
      </c>
      <c r="AS23" s="3066" t="s">
        <v>3052</v>
      </c>
    </row>
    <row r="24" spans="2:45" ht="20.25" customHeight="1">
      <c r="B24" s="3001" t="s">
        <v>2963</v>
      </c>
      <c r="C24" s="3000" t="s">
        <v>2940</v>
      </c>
      <c r="D24" s="3000" t="s">
        <v>2947</v>
      </c>
      <c r="E24" s="3015">
        <v>59982</v>
      </c>
      <c r="F24" s="3016">
        <v>95184.8</v>
      </c>
      <c r="G24" s="3002" t="s">
        <v>2856</v>
      </c>
      <c r="H24" s="3002" t="s">
        <v>2866</v>
      </c>
      <c r="I24" s="3002">
        <v>18021.12</v>
      </c>
      <c r="J24" s="3002">
        <v>18021.12</v>
      </c>
      <c r="K24" s="3002"/>
      <c r="L24" s="3002">
        <v>5</v>
      </c>
      <c r="M24" s="3002"/>
      <c r="N24" s="3612"/>
      <c r="O24" s="3612"/>
      <c r="P24" s="3612"/>
      <c r="Q24" s="3612"/>
      <c r="R24" s="3612"/>
      <c r="S24" s="3614"/>
      <c r="T24" s="3002" t="s">
        <v>2916</v>
      </c>
      <c r="U24" s="3002" t="s">
        <v>2914</v>
      </c>
      <c r="V24" s="3002">
        <v>5</v>
      </c>
      <c r="W24" s="3002">
        <v>18021.12</v>
      </c>
      <c r="X24" s="3002">
        <v>18021.12</v>
      </c>
      <c r="Y24" s="3002"/>
      <c r="Z24" s="3002"/>
      <c r="AA24" s="3002"/>
      <c r="AB24" s="3002"/>
      <c r="AC24" s="3076" t="s">
        <v>3074</v>
      </c>
      <c r="AD24" s="3063" t="s">
        <v>3045</v>
      </c>
      <c r="AE24" s="3063" t="s">
        <v>3075</v>
      </c>
      <c r="AF24" s="3064" t="s">
        <v>3046</v>
      </c>
      <c r="AG24" s="3063">
        <v>1.93</v>
      </c>
      <c r="AH24" s="3063" t="s">
        <v>3047</v>
      </c>
      <c r="AI24" s="3063">
        <v>35637</v>
      </c>
      <c r="AJ24" s="3063" t="s">
        <v>3048</v>
      </c>
      <c r="AK24" s="3063" t="s">
        <v>3049</v>
      </c>
      <c r="AL24" s="3063" t="s">
        <v>3050</v>
      </c>
      <c r="AM24" s="3063">
        <v>133</v>
      </c>
      <c r="AN24" s="3063">
        <v>12362.27</v>
      </c>
      <c r="AO24" s="3063">
        <v>12362.27</v>
      </c>
      <c r="AP24" s="3063" t="s">
        <v>3076</v>
      </c>
      <c r="AQ24" s="3063" t="s">
        <v>3051</v>
      </c>
      <c r="AR24" s="3065">
        <v>59982</v>
      </c>
      <c r="AS24" s="3063"/>
    </row>
    <row r="25" spans="2:45" ht="20.25" customHeight="1">
      <c r="B25" s="3598" t="s">
        <v>2962</v>
      </c>
      <c r="C25" s="3598"/>
      <c r="D25" s="3598"/>
      <c r="E25" s="3598"/>
      <c r="F25" s="3598"/>
      <c r="G25" s="3002" t="s">
        <v>2876</v>
      </c>
      <c r="H25" s="3003" t="s">
        <v>2891</v>
      </c>
      <c r="I25" s="3003">
        <v>18706.72</v>
      </c>
      <c r="J25" s="3003">
        <v>18706.72</v>
      </c>
      <c r="K25" s="3002"/>
      <c r="L25" s="3003">
        <v>5</v>
      </c>
      <c r="M25" s="3002"/>
      <c r="N25" s="3612"/>
      <c r="O25" s="3612"/>
      <c r="P25" s="3612"/>
      <c r="Q25" s="3612"/>
      <c r="R25" s="3612"/>
      <c r="S25" s="3614"/>
      <c r="T25" s="3002" t="s">
        <v>2928</v>
      </c>
      <c r="U25" s="3002" t="s">
        <v>2914</v>
      </c>
      <c r="V25" s="3002">
        <v>5</v>
      </c>
      <c r="W25" s="3002">
        <v>56120.160000000003</v>
      </c>
      <c r="X25" s="3002">
        <v>56120.160000000003</v>
      </c>
      <c r="Y25" s="3002"/>
      <c r="Z25" s="3002"/>
      <c r="AA25" s="3002"/>
      <c r="AB25" s="3002"/>
      <c r="AC25" s="3076" t="s">
        <v>3054</v>
      </c>
      <c r="AD25" s="3063" t="s">
        <v>3045</v>
      </c>
      <c r="AE25" s="3063" t="s">
        <v>3055</v>
      </c>
      <c r="AF25" s="3064" t="s">
        <v>3046</v>
      </c>
      <c r="AG25" s="3063">
        <v>1.93</v>
      </c>
      <c r="AH25" s="3063" t="s">
        <v>3047</v>
      </c>
      <c r="AI25" s="3063">
        <v>35638</v>
      </c>
      <c r="AJ25" s="3063" t="s">
        <v>3048</v>
      </c>
      <c r="AK25" s="3063" t="s">
        <v>3049</v>
      </c>
      <c r="AL25" s="3063" t="s">
        <v>3050</v>
      </c>
      <c r="AM25" s="3063">
        <v>213</v>
      </c>
      <c r="AN25" s="3063">
        <v>18442.37</v>
      </c>
      <c r="AO25" s="3063">
        <v>18442.37</v>
      </c>
      <c r="AP25" s="3063" t="s">
        <v>3076</v>
      </c>
      <c r="AQ25" s="3063" t="s">
        <v>3051</v>
      </c>
      <c r="AR25" s="3065">
        <v>59982</v>
      </c>
      <c r="AS25" s="3063"/>
    </row>
    <row r="26" spans="2:45" ht="20.25" customHeight="1">
      <c r="B26" s="3598"/>
      <c r="C26" s="3598"/>
      <c r="D26" s="3598"/>
      <c r="E26" s="3598"/>
      <c r="F26" s="3598"/>
      <c r="G26" s="3002" t="s">
        <v>2880</v>
      </c>
      <c r="H26" s="3003" t="s">
        <v>2895</v>
      </c>
      <c r="I26" s="3003">
        <v>18706.72</v>
      </c>
      <c r="J26" s="3003">
        <v>18706.72</v>
      </c>
      <c r="K26" s="3002"/>
      <c r="L26" s="3003">
        <v>5</v>
      </c>
      <c r="M26" s="3002"/>
      <c r="N26" s="3612"/>
      <c r="O26" s="3612"/>
      <c r="P26" s="3612"/>
      <c r="Q26" s="3612"/>
      <c r="R26" s="3612"/>
      <c r="S26" s="3614"/>
      <c r="T26" s="3002" t="s">
        <v>2919</v>
      </c>
      <c r="U26" s="3002" t="s">
        <v>2914</v>
      </c>
      <c r="V26" s="3002">
        <v>5</v>
      </c>
      <c r="W26" s="3002">
        <v>7726.66</v>
      </c>
      <c r="X26" s="3002">
        <v>7726.66</v>
      </c>
      <c r="Y26" s="3002"/>
      <c r="Z26" s="3002"/>
      <c r="AA26" s="3002"/>
      <c r="AB26" s="3002"/>
      <c r="AC26" s="3076" t="s">
        <v>3056</v>
      </c>
      <c r="AD26" s="3063" t="s">
        <v>3045</v>
      </c>
      <c r="AE26" s="3063" t="s">
        <v>3057</v>
      </c>
      <c r="AF26" s="3064" t="s">
        <v>3046</v>
      </c>
      <c r="AG26" s="3063">
        <v>1.93</v>
      </c>
      <c r="AH26" s="3063" t="s">
        <v>3047</v>
      </c>
      <c r="AI26" s="3063">
        <v>35642</v>
      </c>
      <c r="AJ26" s="3063" t="s">
        <v>3048</v>
      </c>
      <c r="AK26" s="3063" t="s">
        <v>3049</v>
      </c>
      <c r="AL26" s="3063" t="s">
        <v>3050</v>
      </c>
      <c r="AM26" s="3063">
        <v>200</v>
      </c>
      <c r="AN26" s="3063">
        <v>17617.689999999999</v>
      </c>
      <c r="AO26" s="3063">
        <v>17765.88</v>
      </c>
      <c r="AP26" s="3063" t="s">
        <v>3076</v>
      </c>
      <c r="AQ26" s="3063" t="s">
        <v>3051</v>
      </c>
      <c r="AR26" s="3065">
        <v>59982</v>
      </c>
      <c r="AS26" s="3063" t="s">
        <v>3077</v>
      </c>
    </row>
    <row r="27" spans="2:45" ht="20.25" customHeight="1">
      <c r="B27" s="3598"/>
      <c r="C27" s="3598"/>
      <c r="D27" s="3598"/>
      <c r="E27" s="3598"/>
      <c r="F27" s="3598"/>
      <c r="G27" s="3002" t="s">
        <v>2873</v>
      </c>
      <c r="H27" s="3003" t="s">
        <v>2888</v>
      </c>
      <c r="I27" s="3003">
        <v>18706.72</v>
      </c>
      <c r="J27" s="3003">
        <v>18706.72</v>
      </c>
      <c r="K27" s="3002"/>
      <c r="L27" s="3003">
        <v>5</v>
      </c>
      <c r="M27" s="3002"/>
      <c r="N27" s="3612"/>
      <c r="O27" s="3612"/>
      <c r="P27" s="3612"/>
      <c r="Q27" s="3612"/>
      <c r="R27" s="3612"/>
      <c r="S27" s="3614"/>
      <c r="T27" s="3002" t="s">
        <v>2929</v>
      </c>
      <c r="U27" s="3002" t="s">
        <v>2914</v>
      </c>
      <c r="V27" s="3002">
        <v>5</v>
      </c>
      <c r="W27" s="3002">
        <v>18706.72</v>
      </c>
      <c r="X27" s="3002">
        <v>18706.72</v>
      </c>
      <c r="Y27" s="3002"/>
      <c r="Z27" s="3002"/>
      <c r="AA27" s="3002"/>
      <c r="AB27" s="3002"/>
      <c r="AC27" s="3076" t="s">
        <v>3058</v>
      </c>
      <c r="AD27" s="3063" t="s">
        <v>3045</v>
      </c>
      <c r="AE27" s="3063" t="s">
        <v>3059</v>
      </c>
      <c r="AF27" s="3064" t="s">
        <v>3046</v>
      </c>
      <c r="AG27" s="3063">
        <v>1.93</v>
      </c>
      <c r="AH27" s="3063" t="s">
        <v>3047</v>
      </c>
      <c r="AI27" s="3063">
        <v>35644</v>
      </c>
      <c r="AJ27" s="3063" t="s">
        <v>3048</v>
      </c>
      <c r="AK27" s="3063" t="s">
        <v>3049</v>
      </c>
      <c r="AL27" s="3063" t="s">
        <v>3050</v>
      </c>
      <c r="AM27" s="3063">
        <v>216</v>
      </c>
      <c r="AN27" s="3063">
        <v>18442.37</v>
      </c>
      <c r="AO27" s="3063">
        <v>18442.37</v>
      </c>
      <c r="AP27" s="3063" t="s">
        <v>3076</v>
      </c>
      <c r="AQ27" s="3063" t="s">
        <v>3051</v>
      </c>
      <c r="AR27" s="3065">
        <v>59982</v>
      </c>
      <c r="AS27" s="3063"/>
    </row>
    <row r="28" spans="2:45" ht="20.25" customHeight="1">
      <c r="B28" s="3598"/>
      <c r="C28" s="3598"/>
      <c r="D28" s="3598"/>
      <c r="E28" s="3598"/>
      <c r="F28" s="3598"/>
      <c r="G28" s="3002" t="s">
        <v>2859</v>
      </c>
      <c r="H28" s="3002" t="s">
        <v>2868</v>
      </c>
      <c r="I28" s="3002">
        <v>7726.66</v>
      </c>
      <c r="J28" s="3002">
        <v>7726.66</v>
      </c>
      <c r="K28" s="3002"/>
      <c r="L28" s="3002">
        <v>5</v>
      </c>
      <c r="M28" s="3002"/>
      <c r="N28" s="3612"/>
      <c r="O28" s="3612"/>
      <c r="P28" s="3612"/>
      <c r="Q28" s="3612"/>
      <c r="R28" s="3612"/>
      <c r="S28" s="3609" t="s">
        <v>2932</v>
      </c>
      <c r="T28" s="3609"/>
      <c r="U28" s="3014"/>
      <c r="V28" s="3014"/>
      <c r="W28" s="3012">
        <f>SUM(W22:W27)</f>
        <v>187937.86000000002</v>
      </c>
      <c r="X28" s="3009">
        <f>SUM(X22:X27)</f>
        <v>187937.86000000002</v>
      </c>
      <c r="Y28" s="3014"/>
      <c r="Z28" s="3014"/>
      <c r="AA28" s="3014"/>
      <c r="AB28" s="3014"/>
      <c r="AC28" s="3076" t="s">
        <v>3060</v>
      </c>
      <c r="AD28" s="3063" t="s">
        <v>3045</v>
      </c>
      <c r="AE28" s="3063" t="s">
        <v>3061</v>
      </c>
      <c r="AF28" s="3064" t="s">
        <v>3046</v>
      </c>
      <c r="AG28" s="3063">
        <v>1.93</v>
      </c>
      <c r="AH28" s="3063" t="s">
        <v>3047</v>
      </c>
      <c r="AI28" s="3063">
        <v>35645</v>
      </c>
      <c r="AJ28" s="3063" t="s">
        <v>3048</v>
      </c>
      <c r="AK28" s="3063" t="s">
        <v>3049</v>
      </c>
      <c r="AL28" s="3063" t="s">
        <v>3050</v>
      </c>
      <c r="AM28" s="3063">
        <v>216</v>
      </c>
      <c r="AN28" s="3063">
        <v>18442.150000000001</v>
      </c>
      <c r="AO28" s="3063">
        <v>18442.150000000001</v>
      </c>
      <c r="AP28" s="3063" t="s">
        <v>3076</v>
      </c>
      <c r="AQ28" s="3063" t="s">
        <v>3051</v>
      </c>
      <c r="AR28" s="3065">
        <v>59982</v>
      </c>
      <c r="AS28" s="3063"/>
    </row>
    <row r="29" spans="2:45" ht="20.25" customHeight="1">
      <c r="B29" s="3598"/>
      <c r="C29" s="3598"/>
      <c r="D29" s="3598"/>
      <c r="E29" s="3598"/>
      <c r="F29" s="3598"/>
      <c r="G29" s="3002" t="s">
        <v>2854</v>
      </c>
      <c r="H29" s="3002" t="s">
        <v>2865</v>
      </c>
      <c r="I29" s="3002">
        <v>18706.72</v>
      </c>
      <c r="J29" s="3002">
        <v>18706.72</v>
      </c>
      <c r="K29" s="3002"/>
      <c r="L29" s="3002">
        <v>5</v>
      </c>
      <c r="M29" s="3002"/>
      <c r="N29" s="3612"/>
      <c r="O29" s="3612"/>
      <c r="P29" s="3612"/>
      <c r="Q29" s="3612"/>
      <c r="R29" s="3612"/>
      <c r="S29" s="3612" t="s">
        <v>3159</v>
      </c>
      <c r="T29" s="3612"/>
      <c r="U29" s="3612"/>
      <c r="V29" s="3612"/>
      <c r="W29" s="3612"/>
      <c r="X29" s="3612"/>
      <c r="Y29" s="3612"/>
      <c r="Z29" s="3612"/>
      <c r="AA29" s="3612"/>
      <c r="AB29" s="3612"/>
      <c r="AC29" s="3076" t="s">
        <v>3062</v>
      </c>
      <c r="AD29" s="3063" t="s">
        <v>3045</v>
      </c>
      <c r="AE29" s="3063" t="s">
        <v>3063</v>
      </c>
      <c r="AF29" s="3064" t="s">
        <v>3046</v>
      </c>
      <c r="AG29" s="3063">
        <v>1.93</v>
      </c>
      <c r="AH29" s="3063" t="s">
        <v>3047</v>
      </c>
      <c r="AI29" s="3063">
        <v>35646</v>
      </c>
      <c r="AJ29" s="3063" t="s">
        <v>3048</v>
      </c>
      <c r="AK29" s="3063" t="s">
        <v>3049</v>
      </c>
      <c r="AL29" s="3063" t="s">
        <v>3050</v>
      </c>
      <c r="AM29" s="3063">
        <v>216</v>
      </c>
      <c r="AN29" s="3063">
        <v>18442.37</v>
      </c>
      <c r="AO29" s="3063">
        <v>18442.37</v>
      </c>
      <c r="AP29" s="3063" t="s">
        <v>3076</v>
      </c>
      <c r="AQ29" s="3063" t="s">
        <v>3051</v>
      </c>
      <c r="AR29" s="3065">
        <v>59982</v>
      </c>
      <c r="AS29" s="3063"/>
    </row>
    <row r="30" spans="2:45" ht="20.25" customHeight="1">
      <c r="B30" s="3598"/>
      <c r="C30" s="3598"/>
      <c r="D30" s="3598"/>
      <c r="E30" s="3598"/>
      <c r="F30" s="3598"/>
      <c r="G30" s="3002" t="s">
        <v>2885</v>
      </c>
      <c r="H30" s="3003" t="s">
        <v>2900</v>
      </c>
      <c r="I30" s="3003">
        <v>18706.72</v>
      </c>
      <c r="J30" s="3003">
        <v>18706.72</v>
      </c>
      <c r="K30" s="3002"/>
      <c r="L30" s="3003">
        <v>5</v>
      </c>
      <c r="M30" s="3002"/>
      <c r="N30" s="3612"/>
      <c r="O30" s="3612"/>
      <c r="P30" s="3612"/>
      <c r="Q30" s="3612"/>
      <c r="R30" s="3612"/>
      <c r="S30" s="3612"/>
      <c r="T30" s="3612"/>
      <c r="U30" s="3612"/>
      <c r="V30" s="3612"/>
      <c r="W30" s="3612"/>
      <c r="X30" s="3612"/>
      <c r="Y30" s="3612"/>
      <c r="Z30" s="3612"/>
      <c r="AA30" s="3612"/>
      <c r="AB30" s="3612"/>
      <c r="AC30" s="3076" t="s">
        <v>3064</v>
      </c>
      <c r="AD30" s="3063" t="s">
        <v>3045</v>
      </c>
      <c r="AE30" s="3063" t="s">
        <v>3065</v>
      </c>
      <c r="AF30" s="3064" t="s">
        <v>3046</v>
      </c>
      <c r="AG30" s="3063">
        <v>1.93</v>
      </c>
      <c r="AH30" s="3063" t="s">
        <v>3047</v>
      </c>
      <c r="AI30" s="3063">
        <v>35647</v>
      </c>
      <c r="AJ30" s="3063" t="s">
        <v>3048</v>
      </c>
      <c r="AK30" s="3063" t="s">
        <v>3049</v>
      </c>
      <c r="AL30" s="3063" t="s">
        <v>3050</v>
      </c>
      <c r="AM30" s="3063">
        <v>42</v>
      </c>
      <c r="AN30" s="3063">
        <v>7027.54</v>
      </c>
      <c r="AO30" s="3063">
        <v>7468.34</v>
      </c>
      <c r="AP30" s="3063" t="s">
        <v>3076</v>
      </c>
      <c r="AQ30" s="3063" t="s">
        <v>3051</v>
      </c>
      <c r="AR30" s="3065">
        <v>59982</v>
      </c>
      <c r="AS30" s="3063" t="s">
        <v>3078</v>
      </c>
    </row>
    <row r="31" spans="2:45" ht="20.25" customHeight="1">
      <c r="B31" s="3598"/>
      <c r="C31" s="3598"/>
      <c r="D31" s="3598"/>
      <c r="E31" s="3598"/>
      <c r="F31" s="3598"/>
      <c r="G31" s="3002" t="s">
        <v>2883</v>
      </c>
      <c r="H31" s="3003" t="s">
        <v>2898</v>
      </c>
      <c r="I31" s="3003">
        <v>18706.72</v>
      </c>
      <c r="J31" s="3003">
        <v>18706.72</v>
      </c>
      <c r="K31" s="3002"/>
      <c r="L31" s="3003">
        <v>5</v>
      </c>
      <c r="M31" s="3002"/>
      <c r="N31" s="3612"/>
      <c r="O31" s="3612"/>
      <c r="P31" s="3612"/>
      <c r="Q31" s="3612"/>
      <c r="R31" s="3612"/>
      <c r="S31" s="3612"/>
      <c r="T31" s="3612"/>
      <c r="U31" s="3612"/>
      <c r="V31" s="3612"/>
      <c r="W31" s="3612"/>
      <c r="X31" s="3612"/>
      <c r="Y31" s="3612"/>
      <c r="Z31" s="3612"/>
      <c r="AA31" s="3612"/>
      <c r="AB31" s="3612"/>
      <c r="AC31" s="3076" t="s">
        <v>3066</v>
      </c>
      <c r="AD31" s="3063" t="s">
        <v>3045</v>
      </c>
      <c r="AE31" s="3063" t="s">
        <v>3067</v>
      </c>
      <c r="AF31" s="3064" t="s">
        <v>3046</v>
      </c>
      <c r="AG31" s="3063">
        <v>1.93</v>
      </c>
      <c r="AH31" s="3063" t="s">
        <v>3047</v>
      </c>
      <c r="AI31" s="3063">
        <v>35649</v>
      </c>
      <c r="AJ31" s="3063" t="s">
        <v>3048</v>
      </c>
      <c r="AK31" s="3063" t="s">
        <v>3049</v>
      </c>
      <c r="AL31" s="3063" t="s">
        <v>3050</v>
      </c>
      <c r="AM31" s="3063">
        <v>213</v>
      </c>
      <c r="AN31" s="3063">
        <v>18442.39</v>
      </c>
      <c r="AO31" s="3063">
        <v>18442.39</v>
      </c>
      <c r="AP31" s="3063" t="s">
        <v>3076</v>
      </c>
      <c r="AQ31" s="3063" t="s">
        <v>3051</v>
      </c>
      <c r="AR31" s="3065">
        <v>59982</v>
      </c>
      <c r="AS31" s="3063"/>
    </row>
    <row r="32" spans="2:45" ht="20.25" customHeight="1">
      <c r="B32" s="3598"/>
      <c r="C32" s="3598"/>
      <c r="D32" s="3598"/>
      <c r="E32" s="3598"/>
      <c r="F32" s="3598"/>
      <c r="G32" s="3002" t="s">
        <v>2860</v>
      </c>
      <c r="H32" s="3002" t="s">
        <v>2869</v>
      </c>
      <c r="I32" s="3003">
        <v>18706.72</v>
      </c>
      <c r="J32" s="3003">
        <v>18706.72</v>
      </c>
      <c r="K32" s="3003"/>
      <c r="L32" s="3003">
        <v>5</v>
      </c>
      <c r="M32" s="3003"/>
      <c r="N32" s="3612"/>
      <c r="O32" s="3612"/>
      <c r="P32" s="3612"/>
      <c r="Q32" s="3612"/>
      <c r="R32" s="3612"/>
      <c r="S32" s="3612"/>
      <c r="T32" s="3612"/>
      <c r="U32" s="3612"/>
      <c r="V32" s="3612"/>
      <c r="W32" s="3612"/>
      <c r="X32" s="3612"/>
      <c r="Y32" s="3612"/>
      <c r="Z32" s="3612"/>
      <c r="AA32" s="3612"/>
      <c r="AB32" s="3612"/>
      <c r="AC32" s="3076" t="s">
        <v>3068</v>
      </c>
      <c r="AD32" s="3063" t="s">
        <v>3045</v>
      </c>
      <c r="AE32" s="3063" t="s">
        <v>3069</v>
      </c>
      <c r="AF32" s="3064" t="s">
        <v>3046</v>
      </c>
      <c r="AG32" s="3063">
        <v>1.93</v>
      </c>
      <c r="AH32" s="3063" t="s">
        <v>3047</v>
      </c>
      <c r="AI32" s="3063">
        <v>35651</v>
      </c>
      <c r="AJ32" s="3063" t="s">
        <v>3048</v>
      </c>
      <c r="AK32" s="3063" t="s">
        <v>3049</v>
      </c>
      <c r="AL32" s="3063" t="s">
        <v>3050</v>
      </c>
      <c r="AM32" s="3063">
        <v>211</v>
      </c>
      <c r="AN32" s="3063">
        <v>18135.939999999999</v>
      </c>
      <c r="AO32" s="3063">
        <v>18442.2</v>
      </c>
      <c r="AP32" s="3063" t="s">
        <v>3076</v>
      </c>
      <c r="AQ32" s="3063" t="s">
        <v>3051</v>
      </c>
      <c r="AR32" s="3065">
        <v>59982</v>
      </c>
      <c r="AS32" s="3063" t="s">
        <v>3079</v>
      </c>
    </row>
    <row r="33" spans="2:45" ht="20.25" customHeight="1">
      <c r="B33" s="3598"/>
      <c r="C33" s="3598"/>
      <c r="D33" s="3598"/>
      <c r="E33" s="3598"/>
      <c r="F33" s="3598"/>
      <c r="G33" s="3002" t="s">
        <v>2858</v>
      </c>
      <c r="H33" s="3002" t="s">
        <v>2867</v>
      </c>
      <c r="I33" s="3002">
        <v>4910.84</v>
      </c>
      <c r="J33" s="3002"/>
      <c r="K33" s="3002">
        <v>4910.84</v>
      </c>
      <c r="L33" s="3002"/>
      <c r="M33" s="3002">
        <v>1</v>
      </c>
      <c r="N33" s="3612"/>
      <c r="O33" s="3612"/>
      <c r="P33" s="3612"/>
      <c r="Q33" s="3612"/>
      <c r="R33" s="3612"/>
      <c r="S33" s="3612"/>
      <c r="T33" s="3612"/>
      <c r="U33" s="3612"/>
      <c r="V33" s="3612"/>
      <c r="W33" s="3612"/>
      <c r="X33" s="3612"/>
      <c r="Y33" s="3612"/>
      <c r="Z33" s="3612"/>
      <c r="AA33" s="3612"/>
      <c r="AB33" s="3612"/>
      <c r="AC33" s="3076" t="s">
        <v>3070</v>
      </c>
      <c r="AD33" s="3063" t="s">
        <v>3045</v>
      </c>
      <c r="AE33" s="3063" t="s">
        <v>3071</v>
      </c>
      <c r="AF33" s="3064" t="s">
        <v>3046</v>
      </c>
      <c r="AG33" s="3063">
        <v>1.93</v>
      </c>
      <c r="AH33" s="3063" t="s">
        <v>3047</v>
      </c>
      <c r="AI33" s="3063">
        <v>35652</v>
      </c>
      <c r="AJ33" s="3063" t="s">
        <v>3048</v>
      </c>
      <c r="AK33" s="3063" t="s">
        <v>3049</v>
      </c>
      <c r="AL33" s="3063" t="s">
        <v>3050</v>
      </c>
      <c r="AM33" s="3063">
        <v>213</v>
      </c>
      <c r="AN33" s="3063">
        <v>18446.72</v>
      </c>
      <c r="AO33" s="3063">
        <v>18446.72</v>
      </c>
      <c r="AP33" s="3063" t="s">
        <v>3076</v>
      </c>
      <c r="AQ33" s="3063" t="s">
        <v>3051</v>
      </c>
      <c r="AR33" s="3065">
        <v>59982</v>
      </c>
      <c r="AS33" s="3063"/>
    </row>
    <row r="34" spans="2:45" ht="20.25" customHeight="1">
      <c r="B34" s="3598"/>
      <c r="C34" s="3598"/>
      <c r="D34" s="3598"/>
      <c r="E34" s="3598"/>
      <c r="F34" s="3598"/>
      <c r="G34" s="3014" t="s">
        <v>2903</v>
      </c>
      <c r="H34" s="3014"/>
      <c r="I34" s="3014">
        <f>SUM(I22:I33)</f>
        <v>192848.7</v>
      </c>
      <c r="J34" s="3009">
        <f t="shared" ref="J34:K34" si="2">SUM(J22:J33)</f>
        <v>187937.86000000002</v>
      </c>
      <c r="K34" s="3014">
        <f t="shared" si="2"/>
        <v>4910.84</v>
      </c>
      <c r="L34" s="3014"/>
      <c r="M34" s="3014"/>
      <c r="N34" s="3612"/>
      <c r="O34" s="3612"/>
      <c r="P34" s="3612"/>
      <c r="Q34" s="3612"/>
      <c r="R34" s="3612"/>
      <c r="S34" s="3612"/>
      <c r="T34" s="3612"/>
      <c r="U34" s="3612"/>
      <c r="V34" s="3612"/>
      <c r="W34" s="3612"/>
      <c r="X34" s="3612"/>
      <c r="Y34" s="3612"/>
      <c r="Z34" s="3612"/>
      <c r="AA34" s="3612"/>
      <c r="AB34" s="3612"/>
      <c r="AC34" s="3076" t="s">
        <v>3072</v>
      </c>
      <c r="AD34" s="3063" t="s">
        <v>3045</v>
      </c>
      <c r="AE34" s="3063" t="s">
        <v>3073</v>
      </c>
      <c r="AF34" s="3064" t="s">
        <v>3046</v>
      </c>
      <c r="AG34" s="3063">
        <v>1.93</v>
      </c>
      <c r="AH34" s="3063" t="s">
        <v>3047</v>
      </c>
      <c r="AI34" s="3063">
        <v>35654</v>
      </c>
      <c r="AJ34" s="3063" t="s">
        <v>3048</v>
      </c>
      <c r="AK34" s="3063" t="s">
        <v>3049</v>
      </c>
      <c r="AL34" s="3063" t="s">
        <v>3050</v>
      </c>
      <c r="AM34" s="3063">
        <v>213</v>
      </c>
      <c r="AN34" s="3063">
        <v>18442.78</v>
      </c>
      <c r="AO34" s="3063">
        <v>18442.78</v>
      </c>
      <c r="AP34" s="3063" t="s">
        <v>3076</v>
      </c>
      <c r="AQ34" s="3063" t="s">
        <v>3051</v>
      </c>
      <c r="AR34" s="3065">
        <v>59982</v>
      </c>
      <c r="AS34" s="3063"/>
    </row>
    <row r="35" spans="2:45" ht="20.25" customHeight="1">
      <c r="B35" s="3598"/>
      <c r="C35" s="3598"/>
      <c r="D35" s="3598"/>
      <c r="E35" s="3598"/>
      <c r="F35" s="3598"/>
      <c r="G35" s="3005" t="s">
        <v>2842</v>
      </c>
      <c r="H35" s="3005"/>
      <c r="I35" s="3005">
        <f>I21+I34</f>
        <v>353740.98000000004</v>
      </c>
      <c r="J35" s="3005">
        <f t="shared" ref="J35:K35" si="3">J21+J34</f>
        <v>347412.74</v>
      </c>
      <c r="K35" s="3005">
        <f t="shared" si="3"/>
        <v>6328.24</v>
      </c>
      <c r="L35" s="3005"/>
      <c r="M35" s="3005"/>
      <c r="N35" s="3612"/>
      <c r="O35" s="3612"/>
      <c r="P35" s="3612"/>
      <c r="Q35" s="3612"/>
      <c r="R35" s="3612"/>
      <c r="S35" s="3612"/>
      <c r="T35" s="3612"/>
      <c r="U35" s="3612"/>
      <c r="V35" s="3612"/>
      <c r="W35" s="3612"/>
      <c r="X35" s="3612"/>
      <c r="Y35" s="3612"/>
      <c r="Z35" s="3612"/>
      <c r="AA35" s="3612"/>
      <c r="AB35" s="3612"/>
      <c r="AC35" s="3077" t="s">
        <v>3053</v>
      </c>
      <c r="AD35" s="3014"/>
      <c r="AE35" s="3014"/>
      <c r="AF35" s="3014"/>
      <c r="AG35" s="3014"/>
      <c r="AH35" s="3014"/>
      <c r="AI35" s="3014"/>
      <c r="AJ35" s="3014"/>
      <c r="AK35" s="3014"/>
      <c r="AL35" s="3014"/>
      <c r="AM35" s="3014"/>
      <c r="AN35" s="3014">
        <f>SUM(AN24:AN34)</f>
        <v>184244.59</v>
      </c>
      <c r="AO35" s="3014">
        <f>SUM(AO24:AO34)</f>
        <v>185139.84</v>
      </c>
      <c r="AP35" s="3014"/>
      <c r="AQ35" s="3014"/>
      <c r="AR35" s="3014"/>
      <c r="AS35" s="3014"/>
    </row>
    <row r="36" spans="2:45" ht="20.25" customHeight="1">
      <c r="B36" s="3598"/>
      <c r="C36" s="3598"/>
      <c r="D36" s="3598"/>
      <c r="E36" s="3598"/>
      <c r="F36" s="3598"/>
      <c r="G36" s="3607" t="s">
        <v>3154</v>
      </c>
      <c r="H36" s="3607"/>
      <c r="I36" s="3607"/>
      <c r="J36" s="3607"/>
      <c r="K36" s="3607"/>
      <c r="L36" s="3607"/>
      <c r="M36" s="3607"/>
      <c r="N36" s="3612"/>
      <c r="O36" s="3612"/>
      <c r="P36" s="3612"/>
      <c r="Q36" s="3612"/>
      <c r="R36" s="3612"/>
      <c r="S36" s="3612"/>
      <c r="T36" s="3612"/>
      <c r="U36" s="3612"/>
      <c r="V36" s="3612"/>
      <c r="W36" s="3612"/>
      <c r="X36" s="3612"/>
      <c r="Y36" s="3612"/>
      <c r="Z36" s="3612"/>
      <c r="AA36" s="3612"/>
      <c r="AB36" s="3612"/>
      <c r="AC36" s="3606" t="s">
        <v>3084</v>
      </c>
      <c r="AD36" s="3601"/>
      <c r="AE36" s="3601"/>
      <c r="AF36" s="3601"/>
      <c r="AG36" s="3601"/>
      <c r="AH36" s="3601"/>
      <c r="AI36" s="3601"/>
      <c r="AJ36" s="3601"/>
      <c r="AK36" s="3601"/>
      <c r="AL36" s="3601"/>
      <c r="AM36" s="3601"/>
      <c r="AN36" s="3601"/>
      <c r="AO36" s="3601"/>
      <c r="AP36" s="3601"/>
      <c r="AQ36" s="3601"/>
      <c r="AR36" s="3601"/>
      <c r="AS36" s="3601"/>
    </row>
    <row r="37" spans="2:45" ht="15.75" customHeight="1">
      <c r="B37" s="3599" t="s">
        <v>2951</v>
      </c>
      <c r="C37" s="3599"/>
      <c r="D37" s="3599"/>
      <c r="E37" s="3599"/>
      <c r="F37" s="3599"/>
      <c r="G37" s="3610" t="s">
        <v>3153</v>
      </c>
      <c r="H37" s="3610"/>
      <c r="I37" s="3610"/>
      <c r="J37" s="3610"/>
      <c r="K37" s="3610"/>
      <c r="L37" s="3610"/>
      <c r="M37" s="3610"/>
      <c r="N37" s="3599" t="s">
        <v>2983</v>
      </c>
      <c r="O37" s="3599"/>
      <c r="P37" s="3599"/>
      <c r="Q37" s="3599"/>
      <c r="R37" s="3599"/>
      <c r="S37" s="3599" t="s">
        <v>2986</v>
      </c>
      <c r="T37" s="3599"/>
      <c r="U37" s="3599"/>
      <c r="V37" s="3599"/>
      <c r="W37" s="3599"/>
      <c r="X37" s="3599"/>
      <c r="Y37" s="3599"/>
      <c r="Z37" s="3599"/>
      <c r="AA37" s="3599"/>
      <c r="AB37" s="3599"/>
    </row>
    <row r="38" spans="2:45" ht="15.75" customHeight="1">
      <c r="B38" s="3011" t="s">
        <v>2952</v>
      </c>
      <c r="C38" s="3011" t="s">
        <v>2954</v>
      </c>
      <c r="D38" s="3011" t="s">
        <v>2953</v>
      </c>
      <c r="E38" s="3011" t="s">
        <v>2955</v>
      </c>
      <c r="F38" s="3011" t="s">
        <v>2956</v>
      </c>
      <c r="G38" s="3603" t="s">
        <v>2846</v>
      </c>
      <c r="H38" s="3603" t="s">
        <v>2847</v>
      </c>
      <c r="I38" s="3603" t="s">
        <v>2848</v>
      </c>
      <c r="J38" s="3603" t="s">
        <v>2849</v>
      </c>
      <c r="K38" s="3603" t="s">
        <v>2850</v>
      </c>
      <c r="L38" s="3603" t="s">
        <v>2840</v>
      </c>
      <c r="M38" s="3603"/>
      <c r="N38" s="3612" t="s">
        <v>3158</v>
      </c>
      <c r="O38" s="3612"/>
      <c r="P38" s="3612"/>
      <c r="Q38" s="3612"/>
      <c r="R38" s="3612"/>
      <c r="S38" s="3603" t="s">
        <v>2911</v>
      </c>
      <c r="T38" s="3603"/>
      <c r="U38" s="3603" t="s">
        <v>2909</v>
      </c>
      <c r="V38" s="3603"/>
      <c r="W38" s="3603"/>
      <c r="X38" s="3603"/>
      <c r="Y38" s="3603" t="s">
        <v>2912</v>
      </c>
      <c r="Z38" s="3603"/>
      <c r="AA38" s="3603"/>
      <c r="AB38" s="3603"/>
    </row>
    <row r="39" spans="2:45" ht="15.75" customHeight="1">
      <c r="B39" s="3000" t="s">
        <v>2959</v>
      </c>
      <c r="C39" s="3000" t="s">
        <v>2958</v>
      </c>
      <c r="D39" s="3000" t="s">
        <v>2957</v>
      </c>
      <c r="E39" s="3015">
        <v>60287</v>
      </c>
      <c r="F39" s="3016">
        <v>57811.3</v>
      </c>
      <c r="G39" s="3603"/>
      <c r="H39" s="3603"/>
      <c r="I39" s="3603"/>
      <c r="J39" s="3603"/>
      <c r="K39" s="3603"/>
      <c r="L39" s="3007" t="s">
        <v>2841</v>
      </c>
      <c r="M39" s="3007" t="s">
        <v>2832</v>
      </c>
      <c r="N39" s="3612"/>
      <c r="O39" s="3612"/>
      <c r="P39" s="3612"/>
      <c r="Q39" s="3612"/>
      <c r="R39" s="3612"/>
      <c r="S39" s="3603"/>
      <c r="T39" s="3603"/>
      <c r="U39" s="3007" t="s">
        <v>2906</v>
      </c>
      <c r="V39" s="3007" t="s">
        <v>2840</v>
      </c>
      <c r="W39" s="3007" t="s">
        <v>2907</v>
      </c>
      <c r="X39" s="3007" t="s">
        <v>2908</v>
      </c>
      <c r="Y39" s="3007" t="s">
        <v>2913</v>
      </c>
      <c r="Z39" s="3007" t="s">
        <v>2840</v>
      </c>
      <c r="AA39" s="3007" t="s">
        <v>2839</v>
      </c>
      <c r="AB39" s="3007" t="s">
        <v>2908</v>
      </c>
    </row>
    <row r="40" spans="2:45" ht="15.75" customHeight="1">
      <c r="B40" s="3598" t="s">
        <v>2960</v>
      </c>
      <c r="C40" s="3598"/>
      <c r="D40" s="3598"/>
      <c r="E40" s="3598"/>
      <c r="F40" s="3598"/>
      <c r="G40" s="3002" t="s">
        <v>2974</v>
      </c>
      <c r="H40" s="3002" t="s">
        <v>2975</v>
      </c>
      <c r="I40" s="3002">
        <v>10323.69</v>
      </c>
      <c r="J40" s="3002">
        <v>10323.69</v>
      </c>
      <c r="K40" s="3002"/>
      <c r="L40" s="3002">
        <v>10</v>
      </c>
      <c r="M40" s="3002"/>
      <c r="N40" s="3612"/>
      <c r="O40" s="3612"/>
      <c r="P40" s="3612"/>
      <c r="Q40" s="3612"/>
      <c r="R40" s="3612"/>
      <c r="S40" s="3608" t="s">
        <v>2939</v>
      </c>
      <c r="T40" s="3002" t="s">
        <v>2979</v>
      </c>
      <c r="U40" s="3002" t="s">
        <v>2984</v>
      </c>
      <c r="V40" s="3002">
        <v>5</v>
      </c>
      <c r="W40" s="3002">
        <v>15821.81</v>
      </c>
      <c r="X40" s="3002"/>
      <c r="Y40" s="3002"/>
      <c r="Z40" s="3002"/>
      <c r="AA40" s="3002"/>
      <c r="AB40" s="3002"/>
    </row>
    <row r="41" spans="2:45" ht="15.75" customHeight="1">
      <c r="B41" s="3598"/>
      <c r="C41" s="3598"/>
      <c r="D41" s="3598"/>
      <c r="E41" s="3598"/>
      <c r="F41" s="3598"/>
      <c r="G41" s="3002" t="s">
        <v>2976</v>
      </c>
      <c r="H41" s="3002" t="s">
        <v>2965</v>
      </c>
      <c r="I41" s="3002">
        <v>10323.69</v>
      </c>
      <c r="J41" s="3002">
        <v>10323.69</v>
      </c>
      <c r="K41" s="3002"/>
      <c r="L41" s="3002">
        <v>10</v>
      </c>
      <c r="M41" s="3002"/>
      <c r="N41" s="3612"/>
      <c r="O41" s="3612"/>
      <c r="P41" s="3612"/>
      <c r="Q41" s="3612"/>
      <c r="R41" s="3612"/>
      <c r="S41" s="3608"/>
      <c r="T41" s="3002" t="s">
        <v>2980</v>
      </c>
      <c r="U41" s="3002" t="s">
        <v>2984</v>
      </c>
      <c r="V41" s="3002">
        <v>5</v>
      </c>
      <c r="W41" s="3002">
        <v>15821.81</v>
      </c>
      <c r="X41" s="3002"/>
      <c r="Y41" s="3002"/>
      <c r="Z41" s="3002"/>
      <c r="AA41" s="3002"/>
      <c r="AB41" s="3002"/>
    </row>
    <row r="42" spans="2:45" ht="15.75" customHeight="1">
      <c r="B42" s="3598"/>
      <c r="C42" s="3598"/>
      <c r="D42" s="3598"/>
      <c r="E42" s="3598"/>
      <c r="F42" s="3598"/>
      <c r="G42" s="3002" t="s">
        <v>2977</v>
      </c>
      <c r="H42" s="3002" t="s">
        <v>2966</v>
      </c>
      <c r="I42" s="3002">
        <v>15466.46</v>
      </c>
      <c r="J42" s="3002">
        <v>15466.46</v>
      </c>
      <c r="K42" s="3002"/>
      <c r="L42" s="3002">
        <v>9</v>
      </c>
      <c r="M42" s="3002"/>
      <c r="N42" s="3612"/>
      <c r="O42" s="3612"/>
      <c r="P42" s="3612"/>
      <c r="Q42" s="3612"/>
      <c r="R42" s="3612"/>
      <c r="S42" s="3608"/>
      <c r="T42" s="3002" t="s">
        <v>2981</v>
      </c>
      <c r="U42" s="3002" t="s">
        <v>2984</v>
      </c>
      <c r="V42" s="3002">
        <v>5</v>
      </c>
      <c r="W42" s="3002">
        <v>15821.81</v>
      </c>
      <c r="X42" s="3002"/>
      <c r="Y42" s="3002"/>
      <c r="Z42" s="3002"/>
      <c r="AA42" s="3002"/>
      <c r="AB42" s="3002"/>
    </row>
    <row r="43" spans="2:45" ht="15.75" customHeight="1">
      <c r="B43" s="3602" t="s">
        <v>2987</v>
      </c>
      <c r="C43" s="3602"/>
      <c r="D43" s="3602"/>
      <c r="E43" s="3602"/>
      <c r="F43" s="3602"/>
      <c r="G43" s="3002" t="s">
        <v>2978</v>
      </c>
      <c r="H43" s="3002" t="s">
        <v>2967</v>
      </c>
      <c r="I43" s="3002">
        <v>17012.64</v>
      </c>
      <c r="J43" s="3002">
        <v>17012.64</v>
      </c>
      <c r="K43" s="3002"/>
      <c r="L43" s="3002">
        <v>10</v>
      </c>
      <c r="M43" s="3002"/>
      <c r="N43" s="3612"/>
      <c r="O43" s="3612"/>
      <c r="P43" s="3612"/>
      <c r="Q43" s="3612"/>
      <c r="R43" s="3612"/>
      <c r="S43" s="3608"/>
      <c r="T43" s="3002" t="s">
        <v>2982</v>
      </c>
      <c r="U43" s="3002" t="s">
        <v>2984</v>
      </c>
      <c r="V43" s="3002">
        <v>5</v>
      </c>
      <c r="W43" s="3002">
        <v>15821.81</v>
      </c>
      <c r="X43" s="3002"/>
      <c r="Y43" s="3002"/>
      <c r="Z43" s="3002"/>
      <c r="AA43" s="3002"/>
      <c r="AB43" s="3002"/>
    </row>
    <row r="44" spans="2:45" ht="15.75" customHeight="1">
      <c r="B44" s="3602"/>
      <c r="C44" s="3602"/>
      <c r="D44" s="3602"/>
      <c r="E44" s="3602"/>
      <c r="F44" s="3602"/>
      <c r="G44" s="3002" t="s">
        <v>2979</v>
      </c>
      <c r="H44" s="3002" t="s">
        <v>2968</v>
      </c>
      <c r="I44" s="3002">
        <v>15821.81</v>
      </c>
      <c r="J44" s="3002">
        <v>15821.81</v>
      </c>
      <c r="K44" s="3002"/>
      <c r="L44" s="3002">
        <v>5</v>
      </c>
      <c r="M44" s="3002"/>
      <c r="N44" s="3612"/>
      <c r="O44" s="3612"/>
      <c r="P44" s="3612"/>
      <c r="Q44" s="3612"/>
      <c r="R44" s="3612"/>
      <c r="S44" s="3608" t="s">
        <v>2985</v>
      </c>
      <c r="T44" s="3608"/>
      <c r="U44" s="3002"/>
      <c r="V44" s="3002"/>
      <c r="W44" s="3002">
        <f>SUM(W40:W43)</f>
        <v>63287.24</v>
      </c>
      <c r="X44" s="3002"/>
      <c r="Y44" s="3002"/>
      <c r="Z44" s="3002"/>
      <c r="AA44" s="3002"/>
      <c r="AB44" s="3002"/>
    </row>
    <row r="45" spans="2:45" ht="15.75" customHeight="1">
      <c r="B45" s="3602"/>
      <c r="C45" s="3602"/>
      <c r="D45" s="3602"/>
      <c r="E45" s="3602"/>
      <c r="F45" s="3602"/>
      <c r="G45" s="3002" t="s">
        <v>2980</v>
      </c>
      <c r="H45" s="3002" t="s">
        <v>2969</v>
      </c>
      <c r="I45" s="3002">
        <v>15821.81</v>
      </c>
      <c r="J45" s="3002">
        <v>15821.81</v>
      </c>
      <c r="K45" s="3002"/>
      <c r="L45" s="3002">
        <v>5</v>
      </c>
      <c r="M45" s="3002"/>
      <c r="N45" s="3612"/>
      <c r="O45" s="3612"/>
      <c r="P45" s="3612"/>
      <c r="Q45" s="3612"/>
      <c r="R45" s="3612"/>
      <c r="S45" s="3612" t="s">
        <v>3160</v>
      </c>
      <c r="T45" s="3612"/>
      <c r="U45" s="3612"/>
      <c r="V45" s="3612"/>
      <c r="W45" s="3612"/>
      <c r="X45" s="3612"/>
      <c r="Y45" s="3612"/>
      <c r="Z45" s="3612"/>
      <c r="AA45" s="3612"/>
      <c r="AB45" s="3612"/>
    </row>
    <row r="46" spans="2:45" ht="15.75" customHeight="1">
      <c r="B46" s="3602"/>
      <c r="C46" s="3602"/>
      <c r="D46" s="3602"/>
      <c r="E46" s="3602"/>
      <c r="F46" s="3602"/>
      <c r="G46" s="3002" t="s">
        <v>2981</v>
      </c>
      <c r="H46" s="3002" t="s">
        <v>2970</v>
      </c>
      <c r="I46" s="3002">
        <v>15821.81</v>
      </c>
      <c r="J46" s="3002">
        <v>15821.81</v>
      </c>
      <c r="K46" s="3004"/>
      <c r="L46" s="3002">
        <v>5</v>
      </c>
      <c r="M46" s="3004"/>
      <c r="N46" s="3612"/>
      <c r="O46" s="3612"/>
      <c r="P46" s="3612"/>
      <c r="Q46" s="3612"/>
      <c r="R46" s="3612"/>
      <c r="S46" s="3612"/>
      <c r="T46" s="3612"/>
      <c r="U46" s="3612"/>
      <c r="V46" s="3612"/>
      <c r="W46" s="3612"/>
      <c r="X46" s="3612"/>
      <c r="Y46" s="3612"/>
      <c r="Z46" s="3612"/>
      <c r="AA46" s="3612"/>
      <c r="AB46" s="3612"/>
    </row>
    <row r="47" spans="2:45" ht="15.75" customHeight="1">
      <c r="B47" s="3602"/>
      <c r="C47" s="3602"/>
      <c r="D47" s="3602"/>
      <c r="E47" s="3602"/>
      <c r="F47" s="3602"/>
      <c r="G47" s="3002" t="s">
        <v>2982</v>
      </c>
      <c r="H47" s="3002" t="s">
        <v>2971</v>
      </c>
      <c r="I47" s="3002">
        <v>15821.81</v>
      </c>
      <c r="J47" s="3002">
        <v>15821.81</v>
      </c>
      <c r="K47" s="3004"/>
      <c r="L47" s="3002">
        <v>5</v>
      </c>
      <c r="M47" s="3004"/>
      <c r="N47" s="3612"/>
      <c r="O47" s="3612"/>
      <c r="P47" s="3612"/>
      <c r="Q47" s="3612"/>
      <c r="R47" s="3612"/>
      <c r="S47" s="3612"/>
      <c r="T47" s="3612"/>
      <c r="U47" s="3612"/>
      <c r="V47" s="3612"/>
      <c r="W47" s="3612"/>
      <c r="X47" s="3612"/>
      <c r="Y47" s="3612"/>
      <c r="Z47" s="3612"/>
      <c r="AA47" s="3612"/>
      <c r="AB47" s="3612"/>
    </row>
    <row r="48" spans="2:45" ht="15.75" customHeight="1">
      <c r="B48" s="3602"/>
      <c r="C48" s="3602"/>
      <c r="D48" s="3602"/>
      <c r="E48" s="3602"/>
      <c r="F48" s="3602"/>
      <c r="G48" s="3002" t="s">
        <v>2964</v>
      </c>
      <c r="H48" s="3002" t="s">
        <v>2972</v>
      </c>
      <c r="I48" s="3002">
        <v>5925.57</v>
      </c>
      <c r="J48" s="3004"/>
      <c r="K48" s="3002">
        <v>5925.57</v>
      </c>
      <c r="L48" s="3004"/>
      <c r="M48" s="3004">
        <v>1</v>
      </c>
      <c r="N48" s="3612"/>
      <c r="O48" s="3612"/>
      <c r="P48" s="3612"/>
      <c r="Q48" s="3612"/>
      <c r="R48" s="3612"/>
      <c r="S48" s="3612"/>
      <c r="T48" s="3612"/>
      <c r="U48" s="3612"/>
      <c r="V48" s="3612"/>
      <c r="W48" s="3612"/>
      <c r="X48" s="3612"/>
      <c r="Y48" s="3612"/>
      <c r="Z48" s="3612"/>
      <c r="AA48" s="3612"/>
      <c r="AB48" s="3612"/>
    </row>
    <row r="49" spans="2:28" ht="15.75" customHeight="1">
      <c r="B49" s="3602"/>
      <c r="C49" s="3602"/>
      <c r="D49" s="3602"/>
      <c r="E49" s="3602"/>
      <c r="F49" s="3602"/>
      <c r="G49" s="3014" t="s">
        <v>2973</v>
      </c>
      <c r="H49" s="3006"/>
      <c r="I49" s="3008">
        <f>SUM(I40:I48)</f>
        <v>122339.28999999998</v>
      </c>
      <c r="J49" s="3006">
        <f t="shared" ref="J49:K49" si="4">SUM(J40:J48)</f>
        <v>116413.71999999999</v>
      </c>
      <c r="K49" s="3006">
        <f t="shared" si="4"/>
        <v>5925.57</v>
      </c>
      <c r="L49" s="3006"/>
      <c r="M49" s="3006"/>
      <c r="N49" s="3612"/>
      <c r="O49" s="3612"/>
      <c r="P49" s="3612"/>
      <c r="Q49" s="3612"/>
      <c r="R49" s="3612"/>
      <c r="S49" s="3612"/>
      <c r="T49" s="3612"/>
      <c r="U49" s="3612"/>
      <c r="V49" s="3612"/>
      <c r="W49" s="3612"/>
      <c r="X49" s="3612"/>
      <c r="Y49" s="3612"/>
      <c r="Z49" s="3612"/>
      <c r="AA49" s="3612"/>
      <c r="AB49" s="3612"/>
    </row>
    <row r="50" spans="2:28">
      <c r="B50" s="3602"/>
      <c r="C50" s="3602"/>
      <c r="D50" s="3602"/>
      <c r="E50" s="3602"/>
      <c r="F50" s="3602"/>
      <c r="G50" s="3601" t="s">
        <v>3155</v>
      </c>
      <c r="H50" s="3601"/>
      <c r="I50" s="3601"/>
      <c r="J50" s="3601"/>
      <c r="K50" s="3601"/>
      <c r="L50" s="3601"/>
      <c r="M50" s="3601"/>
      <c r="N50" s="3612"/>
      <c r="O50" s="3612"/>
      <c r="P50" s="3612"/>
      <c r="Q50" s="3612"/>
      <c r="R50" s="3612"/>
      <c r="S50" s="3612"/>
      <c r="T50" s="3612"/>
      <c r="U50" s="3612"/>
      <c r="V50" s="3612"/>
      <c r="W50" s="3612"/>
      <c r="X50" s="3612"/>
      <c r="Y50" s="3612"/>
      <c r="Z50" s="3612"/>
      <c r="AA50" s="3612"/>
      <c r="AB50" s="3612"/>
    </row>
  </sheetData>
  <mergeCells count="58">
    <mergeCell ref="N38:R50"/>
    <mergeCell ref="S45:AB50"/>
    <mergeCell ref="N17:R21"/>
    <mergeCell ref="N23:R36"/>
    <mergeCell ref="S22:S27"/>
    <mergeCell ref="S29:AB36"/>
    <mergeCell ref="S18:AB21"/>
    <mergeCell ref="N37:R37"/>
    <mergeCell ref="S37:AB37"/>
    <mergeCell ref="S38:T39"/>
    <mergeCell ref="U38:X38"/>
    <mergeCell ref="Y38:AB38"/>
    <mergeCell ref="S40:S43"/>
    <mergeCell ref="S44:T44"/>
    <mergeCell ref="B5:F5"/>
    <mergeCell ref="B14:F14"/>
    <mergeCell ref="E6:E7"/>
    <mergeCell ref="D6:D7"/>
    <mergeCell ref="C6:C7"/>
    <mergeCell ref="B6:B7"/>
    <mergeCell ref="F6:F7"/>
    <mergeCell ref="S5:AB5"/>
    <mergeCell ref="S28:T28"/>
    <mergeCell ref="U6:X6"/>
    <mergeCell ref="Y6:AB6"/>
    <mergeCell ref="S6:T7"/>
    <mergeCell ref="N5:R5"/>
    <mergeCell ref="N6:N7"/>
    <mergeCell ref="G5:M5"/>
    <mergeCell ref="L6:M6"/>
    <mergeCell ref="G6:G7"/>
    <mergeCell ref="H6:H7"/>
    <mergeCell ref="I6:I7"/>
    <mergeCell ref="J6:J7"/>
    <mergeCell ref="K6:K7"/>
    <mergeCell ref="AC22:AS22"/>
    <mergeCell ref="AC36:AS36"/>
    <mergeCell ref="B37:F37"/>
    <mergeCell ref="G36:M36"/>
    <mergeCell ref="O6:P6"/>
    <mergeCell ref="Q6:R6"/>
    <mergeCell ref="N22:R22"/>
    <mergeCell ref="S8:S16"/>
    <mergeCell ref="S17:T17"/>
    <mergeCell ref="G37:M37"/>
    <mergeCell ref="B25:F36"/>
    <mergeCell ref="B40:F42"/>
    <mergeCell ref="B22:F22"/>
    <mergeCell ref="B17:F21"/>
    <mergeCell ref="B13:F13"/>
    <mergeCell ref="G50:M50"/>
    <mergeCell ref="B43:F50"/>
    <mergeCell ref="G38:G39"/>
    <mergeCell ref="H38:H39"/>
    <mergeCell ref="I38:I39"/>
    <mergeCell ref="J38:J39"/>
    <mergeCell ref="K38:K39"/>
    <mergeCell ref="L38:M38"/>
  </mergeCells>
  <phoneticPr fontId="225" type="noConversion"/>
  <pageMargins left="0.7" right="0.7" top="0.75" bottom="0.75" header="0.3" footer="0.3"/>
  <legacy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E10:AE23"/>
  <sheetViews>
    <sheetView topLeftCell="M1" zoomScale="85" zoomScaleNormal="85" workbookViewId="0">
      <selection activeCell="L55" sqref="L55"/>
    </sheetView>
  </sheetViews>
  <sheetFormatPr defaultRowHeight="15.75"/>
  <cols>
    <col min="1" max="3" width="9" style="3067"/>
    <col min="4" max="4" width="21.125" style="3067" customWidth="1"/>
    <col min="5" max="5" width="33.125" style="3067" customWidth="1"/>
    <col min="6" max="6" width="38.375" style="3067" customWidth="1"/>
    <col min="7" max="7" width="25.125" style="3067" customWidth="1"/>
    <col min="8" max="8" width="13.75" style="3067" customWidth="1"/>
    <col min="9" max="9" width="9" style="3067"/>
    <col min="10" max="10" width="14.625" style="3067" bestFit="1" customWidth="1"/>
    <col min="11" max="11" width="19.875" style="3067" customWidth="1"/>
    <col min="12" max="12" width="10.125" style="3067" customWidth="1"/>
    <col min="13" max="14" width="10.375" style="3067" customWidth="1"/>
    <col min="15" max="19" width="9" style="3067"/>
    <col min="20" max="21" width="12.125" style="3067" customWidth="1"/>
    <col min="22" max="26" width="9" style="3067"/>
    <col min="27" max="28" width="11.125" style="3067" customWidth="1"/>
    <col min="29" max="29" width="9" style="3067"/>
    <col min="30" max="30" width="11.875" style="3067" customWidth="1"/>
    <col min="31" max="16384" width="9" style="3067"/>
  </cols>
  <sheetData>
    <row r="10" spans="5:31" ht="26.25" customHeight="1">
      <c r="E10" s="3599" t="s">
        <v>3098</v>
      </c>
      <c r="F10" s="3599"/>
      <c r="G10" s="3599"/>
      <c r="H10" s="3599"/>
      <c r="I10" s="3599"/>
      <c r="J10" s="3599"/>
      <c r="K10" s="3599" t="s">
        <v>3110</v>
      </c>
      <c r="L10" s="3599"/>
      <c r="M10" s="3599"/>
      <c r="N10" s="3599"/>
      <c r="O10" s="3599"/>
      <c r="P10" s="3599"/>
      <c r="Q10" s="3599"/>
      <c r="R10" s="3599" t="s">
        <v>3138</v>
      </c>
      <c r="S10" s="3599"/>
      <c r="T10" s="3599"/>
      <c r="U10" s="3599"/>
      <c r="V10" s="3599"/>
      <c r="W10" s="3599"/>
      <c r="X10" s="3599"/>
      <c r="Y10" s="3599" t="s">
        <v>3146</v>
      </c>
      <c r="Z10" s="3599"/>
      <c r="AA10" s="3599"/>
      <c r="AB10" s="3599"/>
      <c r="AC10" s="3599"/>
      <c r="AD10" s="3599"/>
      <c r="AE10" s="3599"/>
    </row>
    <row r="11" spans="5:31" ht="26.25" customHeight="1">
      <c r="E11" s="3011" t="s">
        <v>3085</v>
      </c>
      <c r="F11" s="3011" t="s">
        <v>3086</v>
      </c>
      <c r="G11" s="3011" t="s">
        <v>3088</v>
      </c>
      <c r="H11" s="3011" t="s">
        <v>3090</v>
      </c>
      <c r="I11" s="3011" t="s">
        <v>3092</v>
      </c>
      <c r="J11" s="3011" t="s">
        <v>3094</v>
      </c>
      <c r="K11" s="3600" t="s">
        <v>3111</v>
      </c>
      <c r="L11" s="3600"/>
      <c r="M11" s="3600" t="s">
        <v>3112</v>
      </c>
      <c r="N11" s="3600"/>
      <c r="O11" s="3600" t="s">
        <v>3113</v>
      </c>
      <c r="P11" s="3600"/>
      <c r="Q11" s="3001" t="s">
        <v>3114</v>
      </c>
      <c r="R11" s="3600" t="s">
        <v>3111</v>
      </c>
      <c r="S11" s="3600"/>
      <c r="T11" s="3600" t="s">
        <v>3140</v>
      </c>
      <c r="U11" s="3600"/>
      <c r="V11" s="3600" t="s">
        <v>3141</v>
      </c>
      <c r="W11" s="3600"/>
      <c r="X11" s="3001" t="s">
        <v>3114</v>
      </c>
      <c r="Y11" s="3600" t="s">
        <v>3111</v>
      </c>
      <c r="Z11" s="3600"/>
      <c r="AA11" s="3600" t="s">
        <v>3140</v>
      </c>
      <c r="AB11" s="3600"/>
      <c r="AC11" s="3600" t="s">
        <v>3141</v>
      </c>
      <c r="AD11" s="3600"/>
      <c r="AE11" s="3001" t="s">
        <v>3114</v>
      </c>
    </row>
    <row r="12" spans="5:31" ht="26.25" customHeight="1">
      <c r="E12" s="3015">
        <v>42096</v>
      </c>
      <c r="F12" s="3000" t="s">
        <v>3087</v>
      </c>
      <c r="G12" s="3000" t="s">
        <v>3089</v>
      </c>
      <c r="H12" s="3000" t="s">
        <v>3091</v>
      </c>
      <c r="I12" s="3000" t="s">
        <v>3093</v>
      </c>
      <c r="J12" s="3000">
        <v>119474.9</v>
      </c>
      <c r="K12" s="3600" t="s">
        <v>3105</v>
      </c>
      <c r="L12" s="3600"/>
      <c r="M12" s="3600" t="s">
        <v>3115</v>
      </c>
      <c r="N12" s="3600"/>
      <c r="O12" s="3600" t="s">
        <v>3117</v>
      </c>
      <c r="P12" s="3600"/>
      <c r="Q12" s="3068">
        <v>99526.64</v>
      </c>
      <c r="R12" s="3600" t="s">
        <v>3105</v>
      </c>
      <c r="S12" s="3600"/>
      <c r="T12" s="3600" t="s">
        <v>3147</v>
      </c>
      <c r="U12" s="3600"/>
      <c r="V12" s="3600" t="s">
        <v>3142</v>
      </c>
      <c r="W12" s="3600"/>
      <c r="X12" s="3068">
        <v>99526.64</v>
      </c>
      <c r="Y12" s="3600" t="s">
        <v>3105</v>
      </c>
      <c r="Z12" s="3600"/>
      <c r="AA12" s="3600" t="s">
        <v>3147</v>
      </c>
      <c r="AB12" s="3600"/>
      <c r="AC12" s="3600" t="s">
        <v>3117</v>
      </c>
      <c r="AD12" s="3600"/>
      <c r="AE12" s="3068">
        <v>99526.64</v>
      </c>
    </row>
    <row r="13" spans="5:31" ht="26.25" customHeight="1">
      <c r="E13" s="3015">
        <v>42541</v>
      </c>
      <c r="F13" s="3000" t="s">
        <v>3095</v>
      </c>
      <c r="G13" s="3000" t="s">
        <v>3096</v>
      </c>
      <c r="H13" s="3000" t="s">
        <v>3091</v>
      </c>
      <c r="I13" s="3000" t="s">
        <v>3093</v>
      </c>
      <c r="J13" s="3000">
        <v>119474.9</v>
      </c>
      <c r="K13" s="3611" t="s">
        <v>3118</v>
      </c>
      <c r="L13" s="3611"/>
      <c r="M13" s="3611" t="s">
        <v>2839</v>
      </c>
      <c r="N13" s="3611"/>
      <c r="O13" s="3611"/>
      <c r="P13" s="3611" t="s">
        <v>3124</v>
      </c>
      <c r="Q13" s="3611"/>
      <c r="R13" s="3603" t="s">
        <v>3143</v>
      </c>
      <c r="S13" s="3603"/>
      <c r="T13" s="3603" t="s">
        <v>3144</v>
      </c>
      <c r="U13" s="3603"/>
      <c r="V13" s="3603"/>
      <c r="W13" s="3007" t="s">
        <v>3124</v>
      </c>
      <c r="X13" s="3007"/>
      <c r="Y13" s="3611" t="s">
        <v>3148</v>
      </c>
      <c r="Z13" s="3611"/>
      <c r="AA13" s="3603" t="s">
        <v>3144</v>
      </c>
      <c r="AB13" s="3603"/>
      <c r="AC13" s="3603"/>
      <c r="AD13" s="3007" t="s">
        <v>3124</v>
      </c>
      <c r="AE13" s="3007"/>
    </row>
    <row r="14" spans="5:31" ht="26.25" customHeight="1">
      <c r="E14" s="3620" t="s">
        <v>3097</v>
      </c>
      <c r="F14" s="3620"/>
      <c r="G14" s="3620"/>
      <c r="H14" s="3620"/>
      <c r="I14" s="3620"/>
      <c r="J14" s="3620"/>
      <c r="K14" s="3011" t="s">
        <v>3119</v>
      </c>
      <c r="L14" s="3011" t="s">
        <v>3120</v>
      </c>
      <c r="M14" s="3011" t="s">
        <v>3121</v>
      </c>
      <c r="N14" s="3011" t="s">
        <v>3122</v>
      </c>
      <c r="O14" s="3011" t="s">
        <v>3123</v>
      </c>
      <c r="P14" s="3011" t="s">
        <v>3125</v>
      </c>
      <c r="Q14" s="3011" t="s">
        <v>3126</v>
      </c>
      <c r="R14" s="3603"/>
      <c r="S14" s="3603"/>
      <c r="T14" s="3007" t="s">
        <v>3121</v>
      </c>
      <c r="U14" s="3007" t="s">
        <v>3125</v>
      </c>
      <c r="V14" s="3007" t="s">
        <v>3126</v>
      </c>
      <c r="W14" s="3007" t="s">
        <v>3125</v>
      </c>
      <c r="X14" s="3007" t="s">
        <v>3126</v>
      </c>
      <c r="Y14" s="3011" t="s">
        <v>3119</v>
      </c>
      <c r="Z14" s="3011" t="s">
        <v>3120</v>
      </c>
      <c r="AA14" s="3007" t="s">
        <v>3121</v>
      </c>
      <c r="AB14" s="3007" t="s">
        <v>3122</v>
      </c>
      <c r="AC14" s="3007" t="s">
        <v>3123</v>
      </c>
      <c r="AD14" s="3007" t="s">
        <v>3125</v>
      </c>
      <c r="AE14" s="3007" t="s">
        <v>3126</v>
      </c>
    </row>
    <row r="15" spans="5:31" ht="26.25" customHeight="1">
      <c r="E15" s="3619" t="s">
        <v>3099</v>
      </c>
      <c r="F15" s="3619"/>
      <c r="G15" s="3619"/>
      <c r="H15" s="3619"/>
      <c r="I15" s="3619"/>
      <c r="J15" s="3619"/>
      <c r="K15" s="3000" t="s">
        <v>3127</v>
      </c>
      <c r="L15" s="3000" t="s">
        <v>3130</v>
      </c>
      <c r="M15" s="3069">
        <v>9719.27</v>
      </c>
      <c r="N15" s="3069">
        <v>9719.27</v>
      </c>
      <c r="O15" s="3000">
        <v>0</v>
      </c>
      <c r="P15" s="3000">
        <v>5</v>
      </c>
      <c r="Q15" s="3000"/>
      <c r="R15" s="3608" t="s">
        <v>3127</v>
      </c>
      <c r="S15" s="3608"/>
      <c r="T15" s="3072">
        <v>9719.27</v>
      </c>
      <c r="U15" s="3072">
        <v>9719.27</v>
      </c>
      <c r="V15" s="3002"/>
      <c r="W15" s="3002">
        <v>5</v>
      </c>
      <c r="X15" s="3002"/>
      <c r="Y15" s="3608" t="s">
        <v>3127</v>
      </c>
      <c r="Z15" s="3608"/>
      <c r="AA15" s="3072">
        <v>9719.27</v>
      </c>
      <c r="AB15" s="3072">
        <v>9719.27</v>
      </c>
      <c r="AC15" s="3000"/>
      <c r="AD15" s="3002">
        <v>5</v>
      </c>
      <c r="AE15" s="3000"/>
    </row>
    <row r="16" spans="5:31" ht="26.25" customHeight="1">
      <c r="E16" s="3000" t="s">
        <v>3100</v>
      </c>
      <c r="F16" s="3000" t="s">
        <v>3101</v>
      </c>
      <c r="G16" s="3000" t="s">
        <v>3102</v>
      </c>
      <c r="H16" s="3000" t="s">
        <v>2954</v>
      </c>
      <c r="I16" s="3000" t="s">
        <v>3103</v>
      </c>
      <c r="J16" s="3000" t="s">
        <v>3104</v>
      </c>
      <c r="K16" s="3000" t="s">
        <v>3128</v>
      </c>
      <c r="L16" s="3000" t="s">
        <v>3131</v>
      </c>
      <c r="M16" s="3069">
        <v>8360.27</v>
      </c>
      <c r="N16" s="3069">
        <v>8360.27</v>
      </c>
      <c r="O16" s="3000">
        <v>0</v>
      </c>
      <c r="P16" s="3000">
        <v>5</v>
      </c>
      <c r="Q16" s="3000"/>
      <c r="R16" s="3608" t="s">
        <v>3128</v>
      </c>
      <c r="S16" s="3608"/>
      <c r="T16" s="3072">
        <v>8360.27</v>
      </c>
      <c r="U16" s="3072">
        <v>8360.27</v>
      </c>
      <c r="V16" s="3002"/>
      <c r="W16" s="3002">
        <v>5</v>
      </c>
      <c r="X16" s="3002"/>
      <c r="Y16" s="3608" t="s">
        <v>3128</v>
      </c>
      <c r="Z16" s="3608"/>
      <c r="AA16" s="3072">
        <v>8360.27</v>
      </c>
      <c r="AB16" s="3072">
        <v>8360.27</v>
      </c>
      <c r="AC16" s="3000"/>
      <c r="AD16" s="3002">
        <v>5</v>
      </c>
      <c r="AE16" s="3000"/>
    </row>
    <row r="17" spans="5:31" ht="26.25" customHeight="1">
      <c r="E17" s="3000" t="s">
        <v>3106</v>
      </c>
      <c r="F17" s="3000" t="s">
        <v>3116</v>
      </c>
      <c r="G17" s="3000" t="s">
        <v>3107</v>
      </c>
      <c r="H17" s="3000" t="s">
        <v>3108</v>
      </c>
      <c r="I17" s="3000">
        <v>56306.6</v>
      </c>
      <c r="J17" s="3015">
        <v>60433</v>
      </c>
      <c r="K17" s="3000" t="s">
        <v>1579</v>
      </c>
      <c r="L17" s="3000" t="s">
        <v>3132</v>
      </c>
      <c r="M17" s="3069">
        <v>17920.22</v>
      </c>
      <c r="N17" s="3069">
        <v>17920.22</v>
      </c>
      <c r="O17" s="3000">
        <v>0</v>
      </c>
      <c r="P17" s="3000">
        <v>5</v>
      </c>
      <c r="Q17" s="3000"/>
      <c r="R17" s="3608" t="s">
        <v>1579</v>
      </c>
      <c r="S17" s="3608"/>
      <c r="T17" s="3072">
        <v>17920.22</v>
      </c>
      <c r="U17" s="3072">
        <v>17920.22</v>
      </c>
      <c r="V17" s="3002"/>
      <c r="W17" s="3002">
        <v>5</v>
      </c>
      <c r="X17" s="3002"/>
      <c r="Y17" s="3608" t="s">
        <v>1579</v>
      </c>
      <c r="Z17" s="3608"/>
      <c r="AA17" s="3072">
        <v>17920.22</v>
      </c>
      <c r="AB17" s="3072">
        <v>17920.22</v>
      </c>
      <c r="AC17" s="3000"/>
      <c r="AD17" s="3002">
        <v>5</v>
      </c>
      <c r="AE17" s="3000"/>
    </row>
    <row r="18" spans="5:31" ht="26.25" customHeight="1">
      <c r="E18" s="3602" t="s">
        <v>3109</v>
      </c>
      <c r="F18" s="3602"/>
      <c r="G18" s="3602"/>
      <c r="H18" s="3602"/>
      <c r="I18" s="3602"/>
      <c r="J18" s="3602"/>
      <c r="K18" s="3000" t="s">
        <v>1589</v>
      </c>
      <c r="L18" s="3000" t="s">
        <v>3133</v>
      </c>
      <c r="M18" s="3069">
        <v>13843.22</v>
      </c>
      <c r="N18" s="3069">
        <v>13843.22</v>
      </c>
      <c r="O18" s="3000">
        <v>0</v>
      </c>
      <c r="P18" s="3000">
        <v>5</v>
      </c>
      <c r="Q18" s="3000"/>
      <c r="R18" s="3608" t="s">
        <v>1589</v>
      </c>
      <c r="S18" s="3608"/>
      <c r="T18" s="3072">
        <v>13843.22</v>
      </c>
      <c r="U18" s="3072">
        <v>13843.22</v>
      </c>
      <c r="V18" s="3002"/>
      <c r="W18" s="3002">
        <v>5</v>
      </c>
      <c r="X18" s="3002"/>
      <c r="Y18" s="3608" t="s">
        <v>1589</v>
      </c>
      <c r="Z18" s="3608"/>
      <c r="AA18" s="3072">
        <v>13843.22</v>
      </c>
      <c r="AB18" s="3072">
        <v>13843.22</v>
      </c>
      <c r="AC18" s="3000"/>
      <c r="AD18" s="3002">
        <v>5</v>
      </c>
      <c r="AE18" s="3000"/>
    </row>
    <row r="19" spans="5:31">
      <c r="E19" s="3602"/>
      <c r="F19" s="3602"/>
      <c r="G19" s="3602"/>
      <c r="H19" s="3602"/>
      <c r="I19" s="3602"/>
      <c r="J19" s="3602"/>
      <c r="K19" s="3000" t="s">
        <v>1600</v>
      </c>
      <c r="L19" s="3000" t="s">
        <v>3134</v>
      </c>
      <c r="M19" s="3069">
        <v>17920.22</v>
      </c>
      <c r="N19" s="3069">
        <v>17920.22</v>
      </c>
      <c r="O19" s="3000">
        <v>0</v>
      </c>
      <c r="P19" s="3000">
        <v>5</v>
      </c>
      <c r="Q19" s="3000"/>
      <c r="R19" s="3608" t="s">
        <v>1600</v>
      </c>
      <c r="S19" s="3608"/>
      <c r="T19" s="3072">
        <v>17920.22</v>
      </c>
      <c r="U19" s="3072">
        <v>17920.22</v>
      </c>
      <c r="V19" s="3002"/>
      <c r="W19" s="3002">
        <v>5</v>
      </c>
      <c r="X19" s="3002"/>
      <c r="Y19" s="3608" t="s">
        <v>1600</v>
      </c>
      <c r="Z19" s="3608"/>
      <c r="AA19" s="3072">
        <v>17920.22</v>
      </c>
      <c r="AB19" s="3072">
        <v>17920.22</v>
      </c>
      <c r="AC19" s="3000"/>
      <c r="AD19" s="3002">
        <v>5</v>
      </c>
      <c r="AE19" s="3000"/>
    </row>
    <row r="20" spans="5:31">
      <c r="E20" s="3602"/>
      <c r="F20" s="3602"/>
      <c r="G20" s="3602"/>
      <c r="H20" s="3602"/>
      <c r="I20" s="3602"/>
      <c r="J20" s="3602"/>
      <c r="K20" s="3000" t="s">
        <v>1609</v>
      </c>
      <c r="L20" s="3000" t="s">
        <v>3135</v>
      </c>
      <c r="M20" s="3069">
        <v>17920.22</v>
      </c>
      <c r="N20" s="3069">
        <v>17920.22</v>
      </c>
      <c r="O20" s="3000">
        <v>0</v>
      </c>
      <c r="P20" s="3000">
        <v>5</v>
      </c>
      <c r="Q20" s="3000"/>
      <c r="R20" s="3608" t="s">
        <v>1609</v>
      </c>
      <c r="S20" s="3608"/>
      <c r="T20" s="3072">
        <v>17920.22</v>
      </c>
      <c r="U20" s="3072">
        <v>17920.22</v>
      </c>
      <c r="V20" s="3002"/>
      <c r="W20" s="3002">
        <v>5</v>
      </c>
      <c r="X20" s="3002"/>
      <c r="Y20" s="3608" t="s">
        <v>1609</v>
      </c>
      <c r="Z20" s="3608"/>
      <c r="AA20" s="3072">
        <v>17920.22</v>
      </c>
      <c r="AB20" s="3072">
        <v>17920.22</v>
      </c>
      <c r="AC20" s="3000"/>
      <c r="AD20" s="3002">
        <v>5</v>
      </c>
      <c r="AE20" s="3000"/>
    </row>
    <row r="21" spans="5:31">
      <c r="E21" s="3602"/>
      <c r="F21" s="3602"/>
      <c r="G21" s="3602"/>
      <c r="H21" s="3602"/>
      <c r="I21" s="3602"/>
      <c r="J21" s="3602"/>
      <c r="K21" s="3000" t="s">
        <v>3129</v>
      </c>
      <c r="L21" s="3000" t="s">
        <v>3136</v>
      </c>
      <c r="M21" s="3069">
        <v>13843.22</v>
      </c>
      <c r="N21" s="3069">
        <v>13843.22</v>
      </c>
      <c r="O21" s="3000">
        <v>0</v>
      </c>
      <c r="P21" s="3000">
        <v>5</v>
      </c>
      <c r="Q21" s="3000"/>
      <c r="R21" s="3608" t="s">
        <v>3129</v>
      </c>
      <c r="S21" s="3608"/>
      <c r="T21" s="3072">
        <v>13843.22</v>
      </c>
      <c r="U21" s="3072">
        <v>13843.22</v>
      </c>
      <c r="V21" s="3002"/>
      <c r="W21" s="3002">
        <v>5</v>
      </c>
      <c r="X21" s="3002"/>
      <c r="Y21" s="3608" t="s">
        <v>3129</v>
      </c>
      <c r="Z21" s="3608"/>
      <c r="AA21" s="3072">
        <v>13843.22</v>
      </c>
      <c r="AB21" s="3072">
        <v>13843.22</v>
      </c>
      <c r="AC21" s="3000"/>
      <c r="AD21" s="3002">
        <v>5</v>
      </c>
      <c r="AE21" s="3000"/>
    </row>
    <row r="22" spans="5:31">
      <c r="E22" s="3602"/>
      <c r="F22" s="3602"/>
      <c r="G22" s="3602"/>
      <c r="H22" s="3602"/>
      <c r="I22" s="3602"/>
      <c r="J22" s="3602"/>
      <c r="K22" s="3070" t="s">
        <v>3137</v>
      </c>
      <c r="L22" s="3070"/>
      <c r="M22" s="3073">
        <f>SUM(M15:M21)</f>
        <v>99526.640000000014</v>
      </c>
      <c r="N22" s="3073">
        <f>SUM(N15:N21)</f>
        <v>99526.640000000014</v>
      </c>
      <c r="O22" s="3070"/>
      <c r="P22" s="3070"/>
      <c r="Q22" s="3070"/>
      <c r="R22" s="3618" t="s">
        <v>3137</v>
      </c>
      <c r="S22" s="3618"/>
      <c r="T22" s="3074">
        <f>SUM(T15:T21)</f>
        <v>99526.640000000014</v>
      </c>
      <c r="U22" s="3074">
        <f>SUM(U15:U21)</f>
        <v>99526.640000000014</v>
      </c>
      <c r="V22" s="3005"/>
      <c r="W22" s="3005"/>
      <c r="X22" s="3005"/>
      <c r="Y22" s="3618" t="s">
        <v>3137</v>
      </c>
      <c r="Z22" s="3618"/>
      <c r="AA22" s="3073">
        <f>SUM(AA15:AA21)</f>
        <v>99526.640000000014</v>
      </c>
      <c r="AB22" s="3073">
        <f>SUM(AB15:AB21)</f>
        <v>99526.640000000014</v>
      </c>
      <c r="AC22" s="3070"/>
      <c r="AD22" s="3070"/>
      <c r="AE22" s="3070"/>
    </row>
    <row r="23" spans="5:31" ht="33" customHeight="1">
      <c r="E23" s="3602"/>
      <c r="F23" s="3602"/>
      <c r="G23" s="3602"/>
      <c r="H23" s="3602"/>
      <c r="I23" s="3602"/>
      <c r="J23" s="3602"/>
      <c r="K23" s="3615" t="s">
        <v>3139</v>
      </c>
      <c r="L23" s="3616"/>
      <c r="M23" s="3616"/>
      <c r="N23" s="3616"/>
      <c r="O23" s="3616"/>
      <c r="P23" s="3616"/>
      <c r="Q23" s="3617"/>
      <c r="R23" s="3598" t="s">
        <v>3145</v>
      </c>
      <c r="S23" s="3598"/>
      <c r="T23" s="3598"/>
      <c r="U23" s="3598"/>
      <c r="V23" s="3598"/>
      <c r="W23" s="3598"/>
      <c r="X23" s="3598"/>
      <c r="Y23" s="3615" t="s">
        <v>3149</v>
      </c>
      <c r="Z23" s="3616"/>
      <c r="AA23" s="3616"/>
      <c r="AB23" s="3616"/>
      <c r="AC23" s="3616"/>
      <c r="AD23" s="3616"/>
      <c r="AE23" s="3617"/>
    </row>
  </sheetData>
  <mergeCells count="51">
    <mergeCell ref="E10:J10"/>
    <mergeCell ref="E14:J14"/>
    <mergeCell ref="K10:Q10"/>
    <mergeCell ref="K11:L11"/>
    <mergeCell ref="K12:L12"/>
    <mergeCell ref="M11:N11"/>
    <mergeCell ref="M12:N12"/>
    <mergeCell ref="O11:P11"/>
    <mergeCell ref="E18:J23"/>
    <mergeCell ref="R11:S11"/>
    <mergeCell ref="T11:U11"/>
    <mergeCell ref="V11:W11"/>
    <mergeCell ref="R12:S12"/>
    <mergeCell ref="T12:U12"/>
    <mergeCell ref="V12:W12"/>
    <mergeCell ref="O12:P12"/>
    <mergeCell ref="K13:L13"/>
    <mergeCell ref="M13:O13"/>
    <mergeCell ref="P13:Q13"/>
    <mergeCell ref="E15:J15"/>
    <mergeCell ref="R23:X23"/>
    <mergeCell ref="R15:S15"/>
    <mergeCell ref="R16:S16"/>
    <mergeCell ref="R18:S18"/>
    <mergeCell ref="R19:S19"/>
    <mergeCell ref="R20:S20"/>
    <mergeCell ref="R21:S21"/>
    <mergeCell ref="K23:Q23"/>
    <mergeCell ref="R13:S14"/>
    <mergeCell ref="R22:S22"/>
    <mergeCell ref="R17:S17"/>
    <mergeCell ref="R10:X10"/>
    <mergeCell ref="T13:V13"/>
    <mergeCell ref="Y10:AE10"/>
    <mergeCell ref="Y15:Z15"/>
    <mergeCell ref="Y16:Z16"/>
    <mergeCell ref="Y11:Z11"/>
    <mergeCell ref="AA11:AB11"/>
    <mergeCell ref="AC11:AD11"/>
    <mergeCell ref="Y12:Z12"/>
    <mergeCell ref="AA12:AB12"/>
    <mergeCell ref="AC12:AD12"/>
    <mergeCell ref="Y23:AE23"/>
    <mergeCell ref="Y20:Z20"/>
    <mergeCell ref="Y21:Z21"/>
    <mergeCell ref="Y22:Z22"/>
    <mergeCell ref="Y13:Z13"/>
    <mergeCell ref="AA13:AC13"/>
    <mergeCell ref="Y19:Z19"/>
    <mergeCell ref="Y17:Z17"/>
    <mergeCell ref="Y18:Z18"/>
  </mergeCells>
  <phoneticPr fontId="225" type="noConversion"/>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9:AD25"/>
  <sheetViews>
    <sheetView topLeftCell="E2" zoomScale="85" zoomScaleNormal="85" workbookViewId="0">
      <selection activeCell="L55" sqref="L55"/>
    </sheetView>
  </sheetViews>
  <sheetFormatPr defaultRowHeight="13.5"/>
  <cols>
    <col min="4" max="4" width="14" customWidth="1"/>
    <col min="9" max="9" width="11" customWidth="1"/>
    <col min="12" max="12" width="11.875" bestFit="1" customWidth="1"/>
    <col min="13" max="13" width="13.375" bestFit="1" customWidth="1"/>
    <col min="16" max="16" width="11.375" bestFit="1" customWidth="1"/>
    <col min="19" max="20" width="12.125" customWidth="1"/>
    <col min="23" max="23" width="11.375" bestFit="1" customWidth="1"/>
    <col min="26" max="27" width="12.625" customWidth="1"/>
    <col min="30" max="30" width="11.375" bestFit="1" customWidth="1"/>
  </cols>
  <sheetData>
    <row r="9" spans="4:30" ht="15.75">
      <c r="D9" s="3599" t="s">
        <v>3161</v>
      </c>
      <c r="E9" s="3599"/>
      <c r="F9" s="3599"/>
      <c r="G9" s="3599"/>
      <c r="H9" s="3599"/>
      <c r="I9" s="3599"/>
      <c r="J9" s="3599" t="s">
        <v>3167</v>
      </c>
      <c r="K9" s="3599"/>
      <c r="L9" s="3599"/>
      <c r="M9" s="3599"/>
      <c r="N9" s="3599"/>
      <c r="O9" s="3599"/>
      <c r="P9" s="3599"/>
      <c r="Q9" s="3599" t="s">
        <v>3176</v>
      </c>
      <c r="R9" s="3599"/>
      <c r="S9" s="3599"/>
      <c r="T9" s="3599"/>
      <c r="U9" s="3599"/>
      <c r="V9" s="3599"/>
      <c r="W9" s="3599"/>
      <c r="X9" s="3599" t="s">
        <v>3178</v>
      </c>
      <c r="Y9" s="3599"/>
      <c r="Z9" s="3599"/>
      <c r="AA9" s="3599"/>
      <c r="AB9" s="3599"/>
      <c r="AC9" s="3599"/>
      <c r="AD9" s="3599"/>
    </row>
    <row r="10" spans="4:30" ht="31.5">
      <c r="D10" s="3011" t="s">
        <v>3085</v>
      </c>
      <c r="E10" s="3011" t="s">
        <v>3086</v>
      </c>
      <c r="F10" s="3011" t="s">
        <v>3088</v>
      </c>
      <c r="G10" s="3011" t="s">
        <v>3090</v>
      </c>
      <c r="H10" s="3011" t="s">
        <v>3092</v>
      </c>
      <c r="I10" s="3011" t="s">
        <v>3094</v>
      </c>
      <c r="J10" s="3600" t="s">
        <v>3111</v>
      </c>
      <c r="K10" s="3600"/>
      <c r="L10" s="3600" t="s">
        <v>3112</v>
      </c>
      <c r="M10" s="3600"/>
      <c r="N10" s="3600" t="s">
        <v>3113</v>
      </c>
      <c r="O10" s="3600"/>
      <c r="P10" s="3001" t="s">
        <v>3114</v>
      </c>
      <c r="Q10" s="3600" t="s">
        <v>3111</v>
      </c>
      <c r="R10" s="3600"/>
      <c r="S10" s="3600" t="s">
        <v>3140</v>
      </c>
      <c r="T10" s="3600"/>
      <c r="U10" s="3600" t="s">
        <v>3141</v>
      </c>
      <c r="V10" s="3600"/>
      <c r="W10" s="3001" t="s">
        <v>3114</v>
      </c>
      <c r="X10" s="3600" t="s">
        <v>3111</v>
      </c>
      <c r="Y10" s="3600"/>
      <c r="Z10" s="3600" t="s">
        <v>3140</v>
      </c>
      <c r="AA10" s="3600"/>
      <c r="AB10" s="3600" t="s">
        <v>3141</v>
      </c>
      <c r="AC10" s="3600"/>
      <c r="AD10" s="3001" t="s">
        <v>3114</v>
      </c>
    </row>
    <row r="11" spans="4:30" ht="63" customHeight="1">
      <c r="D11" s="3621">
        <v>42095</v>
      </c>
      <c r="E11" s="3623" t="s">
        <v>3163</v>
      </c>
      <c r="F11" s="3623" t="s">
        <v>3162</v>
      </c>
      <c r="G11" s="3623" t="s">
        <v>3091</v>
      </c>
      <c r="H11" s="3623" t="s">
        <v>3093</v>
      </c>
      <c r="I11" s="3623">
        <v>355809.7</v>
      </c>
      <c r="J11" s="3600" t="s">
        <v>3163</v>
      </c>
      <c r="K11" s="3600"/>
      <c r="L11" s="3600" t="s">
        <v>3168</v>
      </c>
      <c r="M11" s="3600"/>
      <c r="N11" s="3600" t="s">
        <v>3142</v>
      </c>
      <c r="O11" s="3600"/>
      <c r="P11" s="3068">
        <v>126326.11</v>
      </c>
      <c r="Q11" s="3600" t="s">
        <v>3163</v>
      </c>
      <c r="R11" s="3600"/>
      <c r="S11" s="3600" t="s">
        <v>3168</v>
      </c>
      <c r="T11" s="3600"/>
      <c r="U11" s="3600" t="s">
        <v>3142</v>
      </c>
      <c r="V11" s="3600"/>
      <c r="W11" s="3068">
        <v>126326.11</v>
      </c>
      <c r="X11" s="3600" t="s">
        <v>3163</v>
      </c>
      <c r="Y11" s="3600"/>
      <c r="Z11" s="3600" t="s">
        <v>3179</v>
      </c>
      <c r="AA11" s="3600"/>
      <c r="AB11" s="3600" t="s">
        <v>3142</v>
      </c>
      <c r="AC11" s="3600"/>
      <c r="AD11" s="3068">
        <v>126326.11</v>
      </c>
    </row>
    <row r="12" spans="4:30" ht="78.75" customHeight="1">
      <c r="D12" s="3622"/>
      <c r="E12" s="3624"/>
      <c r="F12" s="3624"/>
      <c r="G12" s="3624"/>
      <c r="H12" s="3624"/>
      <c r="I12" s="3624"/>
      <c r="J12" s="3611" t="s">
        <v>3118</v>
      </c>
      <c r="K12" s="3611"/>
      <c r="L12" s="3611" t="s">
        <v>2839</v>
      </c>
      <c r="M12" s="3611"/>
      <c r="N12" s="3611"/>
      <c r="O12" s="3611" t="s">
        <v>3124</v>
      </c>
      <c r="P12" s="3611"/>
      <c r="Q12" s="3603" t="s">
        <v>3143</v>
      </c>
      <c r="R12" s="3603"/>
      <c r="S12" s="3603" t="s">
        <v>3144</v>
      </c>
      <c r="T12" s="3603"/>
      <c r="U12" s="3603"/>
      <c r="V12" s="3007" t="s">
        <v>3124</v>
      </c>
      <c r="W12" s="3007"/>
      <c r="X12" s="3611" t="s">
        <v>3148</v>
      </c>
      <c r="Y12" s="3611"/>
      <c r="Z12" s="3603" t="s">
        <v>3144</v>
      </c>
      <c r="AA12" s="3603"/>
      <c r="AB12" s="3603"/>
      <c r="AC12" s="3007" t="s">
        <v>3124</v>
      </c>
      <c r="AD12" s="3007"/>
    </row>
    <row r="13" spans="4:30" ht="54" customHeight="1">
      <c r="D13" s="3620" t="s">
        <v>3164</v>
      </c>
      <c r="E13" s="3620"/>
      <c r="F13" s="3620"/>
      <c r="G13" s="3620"/>
      <c r="H13" s="3620"/>
      <c r="I13" s="3620"/>
      <c r="J13" s="3011" t="s">
        <v>3119</v>
      </c>
      <c r="K13" s="3011" t="s">
        <v>3120</v>
      </c>
      <c r="L13" s="3011" t="s">
        <v>3121</v>
      </c>
      <c r="M13" s="3011" t="s">
        <v>3122</v>
      </c>
      <c r="N13" s="3011" t="s">
        <v>3123</v>
      </c>
      <c r="O13" s="3011" t="s">
        <v>3125</v>
      </c>
      <c r="P13" s="3011" t="s">
        <v>3126</v>
      </c>
      <c r="Q13" s="3603"/>
      <c r="R13" s="3603"/>
      <c r="S13" s="3007" t="s">
        <v>3121</v>
      </c>
      <c r="T13" s="3007" t="s">
        <v>3125</v>
      </c>
      <c r="U13" s="3007" t="s">
        <v>3126</v>
      </c>
      <c r="V13" s="3007" t="s">
        <v>3125</v>
      </c>
      <c r="W13" s="3007" t="s">
        <v>3126</v>
      </c>
      <c r="X13" s="3011" t="s">
        <v>3119</v>
      </c>
      <c r="Y13" s="3011" t="s">
        <v>3120</v>
      </c>
      <c r="Z13" s="3007" t="s">
        <v>3121</v>
      </c>
      <c r="AA13" s="3007" t="s">
        <v>3122</v>
      </c>
      <c r="AB13" s="3007" t="s">
        <v>3123</v>
      </c>
      <c r="AC13" s="3007" t="s">
        <v>3125</v>
      </c>
      <c r="AD13" s="3007" t="s">
        <v>3126</v>
      </c>
    </row>
    <row r="14" spans="4:30" ht="15.75">
      <c r="D14" s="3619" t="s">
        <v>3165</v>
      </c>
      <c r="E14" s="3619"/>
      <c r="F14" s="3619"/>
      <c r="G14" s="3619"/>
      <c r="H14" s="3619"/>
      <c r="I14" s="3619"/>
      <c r="J14" s="3000" t="s">
        <v>3127</v>
      </c>
      <c r="K14" s="3000" t="s">
        <v>3130</v>
      </c>
      <c r="L14" s="3069">
        <v>16561.22</v>
      </c>
      <c r="M14" s="3069">
        <v>16561.22</v>
      </c>
      <c r="N14" s="3000">
        <v>0</v>
      </c>
      <c r="O14" s="3000">
        <v>5</v>
      </c>
      <c r="P14" s="3000"/>
      <c r="Q14" s="3608" t="s">
        <v>3127</v>
      </c>
      <c r="R14" s="3608"/>
      <c r="S14" s="3069">
        <v>16561.22</v>
      </c>
      <c r="T14" s="3069">
        <v>16561.22</v>
      </c>
      <c r="U14" s="3002"/>
      <c r="V14" s="3002">
        <v>5</v>
      </c>
      <c r="W14" s="3002"/>
      <c r="X14" s="3608" t="s">
        <v>3127</v>
      </c>
      <c r="Y14" s="3608"/>
      <c r="Z14" s="3069">
        <v>16561.22</v>
      </c>
      <c r="AA14" s="3069">
        <v>16561.22</v>
      </c>
      <c r="AB14" s="3000"/>
      <c r="AC14" s="3002">
        <v>5</v>
      </c>
      <c r="AD14" s="3000"/>
    </row>
    <row r="15" spans="4:30" ht="31.5">
      <c r="D15" s="3000" t="s">
        <v>3100</v>
      </c>
      <c r="E15" s="3000" t="s">
        <v>3101</v>
      </c>
      <c r="F15" s="3000" t="s">
        <v>3102</v>
      </c>
      <c r="G15" s="3000" t="s">
        <v>2954</v>
      </c>
      <c r="H15" s="3000" t="s">
        <v>3103</v>
      </c>
      <c r="I15" s="3000" t="s">
        <v>3104</v>
      </c>
      <c r="J15" s="3000" t="s">
        <v>3128</v>
      </c>
      <c r="K15" s="3000" t="s">
        <v>3131</v>
      </c>
      <c r="L15" s="3069">
        <v>4549.03</v>
      </c>
      <c r="M15" s="3069">
        <v>4549.03</v>
      </c>
      <c r="N15" s="3000">
        <v>0</v>
      </c>
      <c r="O15" s="3000">
        <v>5</v>
      </c>
      <c r="P15" s="3000"/>
      <c r="Q15" s="3608" t="s">
        <v>3128</v>
      </c>
      <c r="R15" s="3608"/>
      <c r="S15" s="3069">
        <v>4549.03</v>
      </c>
      <c r="T15" s="3069">
        <v>4549.03</v>
      </c>
      <c r="U15" s="3002"/>
      <c r="V15" s="3002">
        <v>5</v>
      </c>
      <c r="W15" s="3002"/>
      <c r="X15" s="3608" t="s">
        <v>3128</v>
      </c>
      <c r="Y15" s="3608"/>
      <c r="Z15" s="3069">
        <v>4549.03</v>
      </c>
      <c r="AA15" s="3069">
        <v>4549.03</v>
      </c>
      <c r="AB15" s="3000"/>
      <c r="AC15" s="3002">
        <v>5</v>
      </c>
      <c r="AD15" s="3000"/>
    </row>
    <row r="16" spans="4:30" ht="15.75">
      <c r="D16" s="3000"/>
      <c r="E16" s="3000"/>
      <c r="F16" s="3000"/>
      <c r="G16" s="3000"/>
      <c r="H16" s="3000"/>
      <c r="I16" s="3015"/>
      <c r="J16" s="3000" t="s">
        <v>1579</v>
      </c>
      <c r="K16" s="3000" t="s">
        <v>3132</v>
      </c>
      <c r="L16" s="3069">
        <v>9719.27</v>
      </c>
      <c r="M16" s="3069">
        <v>9719.27</v>
      </c>
      <c r="N16" s="3000">
        <v>0</v>
      </c>
      <c r="O16" s="3000">
        <v>5</v>
      </c>
      <c r="P16" s="3000"/>
      <c r="Q16" s="3608" t="s">
        <v>1579</v>
      </c>
      <c r="R16" s="3608"/>
      <c r="S16" s="3069">
        <v>9719.27</v>
      </c>
      <c r="T16" s="3069">
        <v>9719.27</v>
      </c>
      <c r="U16" s="3002"/>
      <c r="V16" s="3002">
        <v>5</v>
      </c>
      <c r="W16" s="3002"/>
      <c r="X16" s="3608" t="s">
        <v>1579</v>
      </c>
      <c r="Y16" s="3608"/>
      <c r="Z16" s="3069">
        <v>9719.27</v>
      </c>
      <c r="AA16" s="3069">
        <v>9719.27</v>
      </c>
      <c r="AB16" s="3000"/>
      <c r="AC16" s="3002">
        <v>5</v>
      </c>
      <c r="AD16" s="3000"/>
    </row>
    <row r="17" spans="4:30" ht="15.75">
      <c r="D17" s="3602" t="s">
        <v>3166</v>
      </c>
      <c r="E17" s="3602"/>
      <c r="F17" s="3602"/>
      <c r="G17" s="3602"/>
      <c r="H17" s="3602"/>
      <c r="I17" s="3602"/>
      <c r="J17" s="3000" t="s">
        <v>1589</v>
      </c>
      <c r="K17" s="3000" t="s">
        <v>3133</v>
      </c>
      <c r="L17" s="3069">
        <v>9719.27</v>
      </c>
      <c r="M17" s="3069">
        <v>9719.27</v>
      </c>
      <c r="N17" s="3000">
        <v>0</v>
      </c>
      <c r="O17" s="3000">
        <v>5</v>
      </c>
      <c r="P17" s="3000"/>
      <c r="Q17" s="3608" t="s">
        <v>1589</v>
      </c>
      <c r="R17" s="3608"/>
      <c r="S17" s="3069">
        <v>9719.27</v>
      </c>
      <c r="T17" s="3069">
        <v>9719.27</v>
      </c>
      <c r="U17" s="3002"/>
      <c r="V17" s="3002">
        <v>5</v>
      </c>
      <c r="W17" s="3002"/>
      <c r="X17" s="3608" t="s">
        <v>1589</v>
      </c>
      <c r="Y17" s="3608"/>
      <c r="Z17" s="3069">
        <v>9719.27</v>
      </c>
      <c r="AA17" s="3069">
        <v>9719.27</v>
      </c>
      <c r="AB17" s="3000"/>
      <c r="AC17" s="3002">
        <v>5</v>
      </c>
      <c r="AD17" s="3000"/>
    </row>
    <row r="18" spans="4:30" ht="15.75">
      <c r="D18" s="3602"/>
      <c r="E18" s="3602"/>
      <c r="F18" s="3602"/>
      <c r="G18" s="3602"/>
      <c r="H18" s="3602"/>
      <c r="I18" s="3602"/>
      <c r="J18" s="3000" t="s">
        <v>1600</v>
      </c>
      <c r="K18" s="3000" t="s">
        <v>3134</v>
      </c>
      <c r="L18" s="3069">
        <v>13843.22</v>
      </c>
      <c r="M18" s="3069">
        <v>13843.22</v>
      </c>
      <c r="N18" s="3000">
        <v>0</v>
      </c>
      <c r="O18" s="3000">
        <v>5</v>
      </c>
      <c r="P18" s="3000"/>
      <c r="Q18" s="3608" t="s">
        <v>1600</v>
      </c>
      <c r="R18" s="3608"/>
      <c r="S18" s="3069">
        <v>13843.22</v>
      </c>
      <c r="T18" s="3069">
        <v>13843.22</v>
      </c>
      <c r="U18" s="3002"/>
      <c r="V18" s="3002">
        <v>5</v>
      </c>
      <c r="W18" s="3002"/>
      <c r="X18" s="3608" t="s">
        <v>1600</v>
      </c>
      <c r="Y18" s="3608"/>
      <c r="Z18" s="3069">
        <v>13843.22</v>
      </c>
      <c r="AA18" s="3069">
        <v>13843.22</v>
      </c>
      <c r="AB18" s="3000"/>
      <c r="AC18" s="3002">
        <v>5</v>
      </c>
      <c r="AD18" s="3000"/>
    </row>
    <row r="19" spans="4:30" ht="15.75">
      <c r="D19" s="3602"/>
      <c r="E19" s="3602"/>
      <c r="F19" s="3602"/>
      <c r="G19" s="3602"/>
      <c r="H19" s="3602"/>
      <c r="I19" s="3602"/>
      <c r="J19" s="3000" t="s">
        <v>1609</v>
      </c>
      <c r="K19" s="3000" t="s">
        <v>3135</v>
      </c>
      <c r="L19" s="3069">
        <v>13843.22</v>
      </c>
      <c r="M19" s="3069">
        <v>13843.22</v>
      </c>
      <c r="N19" s="3000">
        <v>0</v>
      </c>
      <c r="O19" s="3000">
        <v>5</v>
      </c>
      <c r="P19" s="3000"/>
      <c r="Q19" s="3608" t="s">
        <v>1609</v>
      </c>
      <c r="R19" s="3608"/>
      <c r="S19" s="3069">
        <v>13843.22</v>
      </c>
      <c r="T19" s="3069">
        <v>13843.22</v>
      </c>
      <c r="U19" s="3002"/>
      <c r="V19" s="3002">
        <v>5</v>
      </c>
      <c r="W19" s="3002"/>
      <c r="X19" s="3608" t="s">
        <v>1609</v>
      </c>
      <c r="Y19" s="3608"/>
      <c r="Z19" s="3069">
        <v>13843.22</v>
      </c>
      <c r="AA19" s="3069">
        <v>13843.22</v>
      </c>
      <c r="AB19" s="3000"/>
      <c r="AC19" s="3002">
        <v>5</v>
      </c>
      <c r="AD19" s="3000"/>
    </row>
    <row r="20" spans="4:30" ht="15.75">
      <c r="D20" s="3602"/>
      <c r="E20" s="3602"/>
      <c r="F20" s="3602"/>
      <c r="G20" s="3602"/>
      <c r="H20" s="3602"/>
      <c r="I20" s="3602"/>
      <c r="J20" s="3000" t="s">
        <v>3129</v>
      </c>
      <c r="K20" s="3000" t="s">
        <v>3136</v>
      </c>
      <c r="L20" s="3069">
        <v>13843.22</v>
      </c>
      <c r="M20" s="3069">
        <v>13843.22</v>
      </c>
      <c r="N20" s="3000">
        <v>0</v>
      </c>
      <c r="O20" s="3000">
        <v>5</v>
      </c>
      <c r="P20" s="3000"/>
      <c r="Q20" s="3608" t="s">
        <v>3129</v>
      </c>
      <c r="R20" s="3608"/>
      <c r="S20" s="3069">
        <v>13843.22</v>
      </c>
      <c r="T20" s="3069">
        <v>13843.22</v>
      </c>
      <c r="U20" s="3002"/>
      <c r="V20" s="3002">
        <v>5</v>
      </c>
      <c r="W20" s="3002"/>
      <c r="X20" s="3608" t="s">
        <v>3129</v>
      </c>
      <c r="Y20" s="3608"/>
      <c r="Z20" s="3069">
        <v>13843.22</v>
      </c>
      <c r="AA20" s="3069">
        <v>13843.22</v>
      </c>
      <c r="AB20" s="3000"/>
      <c r="AC20" s="3002">
        <v>5</v>
      </c>
      <c r="AD20" s="3000"/>
    </row>
    <row r="21" spans="4:30" ht="15.75">
      <c r="D21" s="3602"/>
      <c r="E21" s="3602"/>
      <c r="F21" s="3602"/>
      <c r="G21" s="3602"/>
      <c r="H21" s="3602"/>
      <c r="I21" s="3602"/>
      <c r="J21" s="3000" t="s">
        <v>3169</v>
      </c>
      <c r="K21" s="3000" t="s">
        <v>3172</v>
      </c>
      <c r="L21" s="3069">
        <v>13843.22</v>
      </c>
      <c r="M21" s="3069">
        <v>13843.22</v>
      </c>
      <c r="N21" s="3000">
        <v>0</v>
      </c>
      <c r="O21" s="3000">
        <v>5</v>
      </c>
      <c r="P21" s="3000"/>
      <c r="Q21" s="3608" t="s">
        <v>3169</v>
      </c>
      <c r="R21" s="3608"/>
      <c r="S21" s="3069">
        <v>13843.22</v>
      </c>
      <c r="T21" s="3069">
        <v>13843.22</v>
      </c>
      <c r="U21" s="3002"/>
      <c r="V21" s="3002">
        <v>5</v>
      </c>
      <c r="W21" s="3002"/>
      <c r="X21" s="3608" t="s">
        <v>3169</v>
      </c>
      <c r="Y21" s="3608"/>
      <c r="Z21" s="3069">
        <v>13843.22</v>
      </c>
      <c r="AA21" s="3069">
        <v>13843.22</v>
      </c>
      <c r="AB21" s="3000"/>
      <c r="AC21" s="3002">
        <v>5</v>
      </c>
      <c r="AD21" s="3000"/>
    </row>
    <row r="22" spans="4:30" ht="15.75">
      <c r="D22" s="3602"/>
      <c r="E22" s="3602"/>
      <c r="F22" s="3602"/>
      <c r="G22" s="3602"/>
      <c r="H22" s="3602"/>
      <c r="I22" s="3602"/>
      <c r="J22" s="3000" t="s">
        <v>3170</v>
      </c>
      <c r="K22" s="3000" t="s">
        <v>3173</v>
      </c>
      <c r="L22" s="3069">
        <v>13843.22</v>
      </c>
      <c r="M22" s="3069">
        <v>13843.22</v>
      </c>
      <c r="N22" s="3000">
        <v>0</v>
      </c>
      <c r="O22" s="3000">
        <v>5</v>
      </c>
      <c r="P22" s="3000"/>
      <c r="Q22" s="3608" t="s">
        <v>3170</v>
      </c>
      <c r="R22" s="3608"/>
      <c r="S22" s="3069">
        <v>13843.22</v>
      </c>
      <c r="T22" s="3069">
        <v>13843.22</v>
      </c>
      <c r="U22" s="3002"/>
      <c r="V22" s="3002">
        <v>5</v>
      </c>
      <c r="W22" s="3002"/>
      <c r="X22" s="3608" t="s">
        <v>3170</v>
      </c>
      <c r="Y22" s="3608"/>
      <c r="Z22" s="3069">
        <v>13843.22</v>
      </c>
      <c r="AA22" s="3069">
        <v>13843.22</v>
      </c>
      <c r="AB22" s="3000"/>
      <c r="AC22" s="3002">
        <v>5</v>
      </c>
      <c r="AD22" s="3000"/>
    </row>
    <row r="23" spans="4:30" ht="15.75">
      <c r="D23" s="3602"/>
      <c r="E23" s="3602"/>
      <c r="F23" s="3602"/>
      <c r="G23" s="3602"/>
      <c r="H23" s="3602"/>
      <c r="I23" s="3602"/>
      <c r="J23" s="3000" t="s">
        <v>3171</v>
      </c>
      <c r="K23" s="3000" t="s">
        <v>3174</v>
      </c>
      <c r="L23" s="3069">
        <v>16561.22</v>
      </c>
      <c r="M23" s="3069">
        <v>16561.22</v>
      </c>
      <c r="N23" s="3000">
        <v>0</v>
      </c>
      <c r="O23" s="3000">
        <v>5</v>
      </c>
      <c r="P23" s="3000"/>
      <c r="Q23" s="3608" t="s">
        <v>3171</v>
      </c>
      <c r="R23" s="3608"/>
      <c r="S23" s="3069">
        <v>16561.22</v>
      </c>
      <c r="T23" s="3069">
        <v>16561.22</v>
      </c>
      <c r="U23" s="3002"/>
      <c r="V23" s="3002">
        <v>5</v>
      </c>
      <c r="W23" s="3002"/>
      <c r="X23" s="3608" t="s">
        <v>3171</v>
      </c>
      <c r="Y23" s="3608"/>
      <c r="Z23" s="3069">
        <v>16561.22</v>
      </c>
      <c r="AA23" s="3069">
        <v>16561.22</v>
      </c>
      <c r="AB23" s="3000"/>
      <c r="AC23" s="3002">
        <v>5</v>
      </c>
      <c r="AD23" s="3000"/>
    </row>
    <row r="24" spans="4:30" ht="15.75">
      <c r="D24" s="3602"/>
      <c r="E24" s="3602"/>
      <c r="F24" s="3602"/>
      <c r="G24" s="3602"/>
      <c r="H24" s="3602"/>
      <c r="I24" s="3602"/>
      <c r="J24" s="3070" t="s">
        <v>3137</v>
      </c>
      <c r="K24" s="3070"/>
      <c r="L24" s="3073">
        <f>SUM(L14:L23)</f>
        <v>126326.11</v>
      </c>
      <c r="M24" s="3073">
        <f>SUM(M14:M23)</f>
        <v>126326.11</v>
      </c>
      <c r="N24" s="3070"/>
      <c r="O24" s="3070"/>
      <c r="P24" s="3070"/>
      <c r="Q24" s="3618" t="s">
        <v>3137</v>
      </c>
      <c r="R24" s="3618"/>
      <c r="S24" s="3074">
        <f>SUM(S14:S23)</f>
        <v>126326.11</v>
      </c>
      <c r="T24" s="3074">
        <f>SUM(T14:T23)</f>
        <v>126326.11</v>
      </c>
      <c r="U24" s="3005"/>
      <c r="V24" s="3005"/>
      <c r="W24" s="3005"/>
      <c r="X24" s="3618" t="s">
        <v>3137</v>
      </c>
      <c r="Y24" s="3618"/>
      <c r="Z24" s="3073">
        <f>SUM(Z14:Z23)</f>
        <v>126326.11</v>
      </c>
      <c r="AA24" s="3073">
        <f>SUM(AA14:AA23)</f>
        <v>126326.11</v>
      </c>
      <c r="AB24" s="3070"/>
      <c r="AC24" s="3070"/>
      <c r="AD24" s="3070"/>
    </row>
    <row r="25" spans="4:30" ht="15.75">
      <c r="D25" s="3602"/>
      <c r="E25" s="3602"/>
      <c r="F25" s="3602"/>
      <c r="G25" s="3602"/>
      <c r="H25" s="3602"/>
      <c r="I25" s="3602"/>
      <c r="J25" s="3615" t="s">
        <v>3175</v>
      </c>
      <c r="K25" s="3616"/>
      <c r="L25" s="3616"/>
      <c r="M25" s="3616"/>
      <c r="N25" s="3616"/>
      <c r="O25" s="3616"/>
      <c r="P25" s="3617"/>
      <c r="Q25" s="3598" t="s">
        <v>3177</v>
      </c>
      <c r="R25" s="3598"/>
      <c r="S25" s="3598"/>
      <c r="T25" s="3598"/>
      <c r="U25" s="3598"/>
      <c r="V25" s="3598"/>
      <c r="W25" s="3598"/>
      <c r="X25" s="3615" t="s">
        <v>3180</v>
      </c>
      <c r="Y25" s="3616"/>
      <c r="Z25" s="3616"/>
      <c r="AA25" s="3616"/>
      <c r="AB25" s="3616"/>
      <c r="AC25" s="3616"/>
      <c r="AD25" s="3617"/>
    </row>
  </sheetData>
  <mergeCells count="63">
    <mergeCell ref="D9:I9"/>
    <mergeCell ref="J9:P9"/>
    <mergeCell ref="Q9:W9"/>
    <mergeCell ref="X9:AD9"/>
    <mergeCell ref="J10:K10"/>
    <mergeCell ref="L10:M10"/>
    <mergeCell ref="N10:O10"/>
    <mergeCell ref="Q10:R10"/>
    <mergeCell ref="S10:T10"/>
    <mergeCell ref="U10:V10"/>
    <mergeCell ref="X10:Y10"/>
    <mergeCell ref="Z10:AA10"/>
    <mergeCell ref="AB10:AC10"/>
    <mergeCell ref="U11:V11"/>
    <mergeCell ref="X11:Y11"/>
    <mergeCell ref="Z11:AA11"/>
    <mergeCell ref="AB11:AC11"/>
    <mergeCell ref="J12:K12"/>
    <mergeCell ref="L12:N12"/>
    <mergeCell ref="O12:P12"/>
    <mergeCell ref="Q12:R13"/>
    <mergeCell ref="S12:U12"/>
    <mergeCell ref="X12:Y12"/>
    <mergeCell ref="Z12:AB12"/>
    <mergeCell ref="J11:K11"/>
    <mergeCell ref="L11:M11"/>
    <mergeCell ref="N11:O11"/>
    <mergeCell ref="Q11:R11"/>
    <mergeCell ref="S11:T11"/>
    <mergeCell ref="Q20:R20"/>
    <mergeCell ref="D13:I13"/>
    <mergeCell ref="D14:I14"/>
    <mergeCell ref="Q14:R14"/>
    <mergeCell ref="X14:Y14"/>
    <mergeCell ref="Q15:R15"/>
    <mergeCell ref="X15:Y15"/>
    <mergeCell ref="Q17:R17"/>
    <mergeCell ref="X17:Y17"/>
    <mergeCell ref="Q18:R18"/>
    <mergeCell ref="X18:Y18"/>
    <mergeCell ref="Q19:R19"/>
    <mergeCell ref="X19:Y19"/>
    <mergeCell ref="Q24:R24"/>
    <mergeCell ref="X24:Y24"/>
    <mergeCell ref="J25:P25"/>
    <mergeCell ref="Q25:W25"/>
    <mergeCell ref="X25:AD25"/>
    <mergeCell ref="X22:Y22"/>
    <mergeCell ref="X23:Y23"/>
    <mergeCell ref="D11:D12"/>
    <mergeCell ref="E11:E12"/>
    <mergeCell ref="F11:F12"/>
    <mergeCell ref="G11:G12"/>
    <mergeCell ref="H11:H12"/>
    <mergeCell ref="I11:I12"/>
    <mergeCell ref="X20:Y20"/>
    <mergeCell ref="Q21:R21"/>
    <mergeCell ref="Q22:R22"/>
    <mergeCell ref="Q23:R23"/>
    <mergeCell ref="X21:Y21"/>
    <mergeCell ref="Q16:R16"/>
    <mergeCell ref="X16:Y16"/>
    <mergeCell ref="D17:I25"/>
  </mergeCells>
  <phoneticPr fontId="225" type="noConversion"/>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12:AS31"/>
  <sheetViews>
    <sheetView topLeftCell="AE7" zoomScale="70" zoomScaleNormal="70" workbookViewId="0">
      <selection activeCell="L55" sqref="L55"/>
    </sheetView>
  </sheetViews>
  <sheetFormatPr defaultRowHeight="13.5"/>
  <cols>
    <col min="5" max="5" width="13.75" customWidth="1"/>
    <col min="6" max="6" width="15.625" customWidth="1"/>
    <col min="8" max="8" width="16" customWidth="1"/>
    <col min="11" max="11" width="12.5" customWidth="1"/>
    <col min="14" max="15" width="11.875" customWidth="1"/>
    <col min="18" max="18" width="12.25" customWidth="1"/>
    <col min="25" max="25" width="10" bestFit="1" customWidth="1"/>
    <col min="43" max="43" width="14.875" customWidth="1"/>
    <col min="45" max="45" width="13.25" customWidth="1"/>
    <col min="46" max="46" width="14.625" bestFit="1" customWidth="1"/>
  </cols>
  <sheetData>
    <row r="12" spans="4:45" ht="15.75">
      <c r="D12" s="3625" t="s">
        <v>3203</v>
      </c>
      <c r="E12" s="3599" t="s">
        <v>3205</v>
      </c>
      <c r="F12" s="3599"/>
      <c r="G12" s="3599"/>
      <c r="H12" s="3599"/>
      <c r="I12" s="3599"/>
      <c r="J12" s="3599"/>
      <c r="K12" s="3599"/>
      <c r="L12" s="3599" t="s">
        <v>3186</v>
      </c>
      <c r="M12" s="3599"/>
      <c r="N12" s="3599"/>
      <c r="O12" s="3599"/>
      <c r="P12" s="3599"/>
      <c r="Q12" s="3599"/>
      <c r="R12" s="3599"/>
      <c r="S12" s="3599" t="s">
        <v>3193</v>
      </c>
      <c r="T12" s="3599"/>
      <c r="U12" s="3599"/>
      <c r="V12" s="3599"/>
      <c r="W12" s="3599"/>
      <c r="X12" s="3599"/>
      <c r="Y12" s="3599"/>
      <c r="Z12" s="3599" t="s">
        <v>3195</v>
      </c>
      <c r="AA12" s="3599"/>
      <c r="AB12" s="3599"/>
      <c r="AC12" s="3599"/>
      <c r="AD12" s="3599"/>
      <c r="AE12" s="3599"/>
      <c r="AF12" s="3599"/>
      <c r="AG12" s="3599" t="s">
        <v>3198</v>
      </c>
      <c r="AH12" s="3599"/>
      <c r="AI12" s="3599"/>
      <c r="AJ12" s="3599"/>
      <c r="AK12" s="3599"/>
      <c r="AL12" s="3599"/>
      <c r="AM12" s="3599"/>
      <c r="AN12" s="3627" t="s">
        <v>3265</v>
      </c>
      <c r="AO12" s="3627"/>
      <c r="AP12" s="3627"/>
      <c r="AQ12" s="3627"/>
      <c r="AR12" s="3627"/>
      <c r="AS12" s="3627"/>
    </row>
    <row r="13" spans="4:45" ht="27" customHeight="1">
      <c r="D13" s="3625"/>
      <c r="E13" s="3011" t="s">
        <v>3085</v>
      </c>
      <c r="F13" s="3011" t="s">
        <v>3086</v>
      </c>
      <c r="G13" s="3011" t="s">
        <v>3088</v>
      </c>
      <c r="H13" s="3011" t="s">
        <v>3090</v>
      </c>
      <c r="I13" s="3011" t="s">
        <v>3092</v>
      </c>
      <c r="J13" s="3011" t="s">
        <v>3184</v>
      </c>
      <c r="K13" s="3011" t="s">
        <v>3185</v>
      </c>
      <c r="L13" s="3600" t="s">
        <v>3111</v>
      </c>
      <c r="M13" s="3600"/>
      <c r="N13" s="3600" t="s">
        <v>3112</v>
      </c>
      <c r="O13" s="3600"/>
      <c r="P13" s="3600" t="s">
        <v>3113</v>
      </c>
      <c r="Q13" s="3600"/>
      <c r="R13" s="3001" t="s">
        <v>3114</v>
      </c>
      <c r="S13" s="3600" t="s">
        <v>3111</v>
      </c>
      <c r="T13" s="3600"/>
      <c r="U13" s="3600" t="s">
        <v>3140</v>
      </c>
      <c r="V13" s="3600"/>
      <c r="W13" s="3600" t="s">
        <v>3141</v>
      </c>
      <c r="X13" s="3600"/>
      <c r="Y13" s="3001" t="s">
        <v>3114</v>
      </c>
      <c r="Z13" s="3600" t="s">
        <v>3111</v>
      </c>
      <c r="AA13" s="3600"/>
      <c r="AB13" s="3600" t="s">
        <v>3140</v>
      </c>
      <c r="AC13" s="3600"/>
      <c r="AD13" s="3600" t="s">
        <v>3141</v>
      </c>
      <c r="AE13" s="3600"/>
      <c r="AF13" s="3001" t="s">
        <v>3114</v>
      </c>
      <c r="AG13" s="3600" t="s">
        <v>3111</v>
      </c>
      <c r="AH13" s="3600"/>
      <c r="AI13" s="3600" t="s">
        <v>3140</v>
      </c>
      <c r="AJ13" s="3600"/>
      <c r="AK13" s="3600" t="s">
        <v>3141</v>
      </c>
      <c r="AL13" s="3600"/>
      <c r="AM13" s="3001" t="s">
        <v>3114</v>
      </c>
      <c r="AN13" s="3001" t="s">
        <v>3032</v>
      </c>
      <c r="AO13" s="3001" t="s">
        <v>3034</v>
      </c>
      <c r="AP13" s="3001" t="s">
        <v>3266</v>
      </c>
      <c r="AQ13" s="3001" t="s">
        <v>3267</v>
      </c>
      <c r="AR13" s="3112" t="s">
        <v>3268</v>
      </c>
      <c r="AS13" s="3112" t="s">
        <v>3269</v>
      </c>
    </row>
    <row r="14" spans="4:45" ht="39" customHeight="1">
      <c r="D14" s="3625"/>
      <c r="E14" s="3626">
        <v>41027</v>
      </c>
      <c r="F14" s="3614" t="s">
        <v>2941</v>
      </c>
      <c r="G14" s="3614" t="s">
        <v>3181</v>
      </c>
      <c r="H14" s="3614" t="s">
        <v>3182</v>
      </c>
      <c r="I14" s="3614" t="s">
        <v>3183</v>
      </c>
      <c r="J14" s="3614">
        <v>991031.9</v>
      </c>
      <c r="K14" s="3614">
        <v>773111.6</v>
      </c>
      <c r="L14" s="3600" t="s">
        <v>2941</v>
      </c>
      <c r="M14" s="3600"/>
      <c r="N14" s="3600" t="s">
        <v>3187</v>
      </c>
      <c r="O14" s="3600"/>
      <c r="P14" s="3600" t="s">
        <v>3188</v>
      </c>
      <c r="Q14" s="3600"/>
      <c r="R14" s="3068">
        <v>548495.73</v>
      </c>
      <c r="S14" s="3600" t="s">
        <v>2941</v>
      </c>
      <c r="T14" s="3600"/>
      <c r="U14" s="3600" t="s">
        <v>3194</v>
      </c>
      <c r="V14" s="3600"/>
      <c r="W14" s="3600" t="s">
        <v>3188</v>
      </c>
      <c r="X14" s="3600"/>
      <c r="Y14" s="3068">
        <v>331536.17</v>
      </c>
      <c r="Z14" s="3600" t="s">
        <v>2941</v>
      </c>
      <c r="AA14" s="3600"/>
      <c r="AB14" s="3600" t="s">
        <v>3196</v>
      </c>
      <c r="AC14" s="3600"/>
      <c r="AD14" s="3600" t="s">
        <v>3188</v>
      </c>
      <c r="AE14" s="3600"/>
      <c r="AF14" s="3068">
        <v>7909.66</v>
      </c>
      <c r="AG14" s="3600" t="s">
        <v>2941</v>
      </c>
      <c r="AH14" s="3600"/>
      <c r="AI14" s="3600" t="s">
        <v>3199</v>
      </c>
      <c r="AJ14" s="3600"/>
      <c r="AK14" s="3600" t="s">
        <v>3188</v>
      </c>
      <c r="AL14" s="3600"/>
      <c r="AM14" s="3068">
        <v>729.28</v>
      </c>
      <c r="AN14" s="3001" t="s">
        <v>2941</v>
      </c>
      <c r="AO14" s="3001" t="s">
        <v>3271</v>
      </c>
      <c r="AP14" s="3001" t="s">
        <v>3272</v>
      </c>
      <c r="AQ14" s="3111">
        <v>41341</v>
      </c>
      <c r="AR14" s="3113">
        <v>40639</v>
      </c>
      <c r="AS14" s="3112" t="s">
        <v>3270</v>
      </c>
    </row>
    <row r="15" spans="4:45" ht="34.5" customHeight="1">
      <c r="D15" s="3625"/>
      <c r="E15" s="3626"/>
      <c r="F15" s="3614"/>
      <c r="G15" s="3614"/>
      <c r="H15" s="3614"/>
      <c r="I15" s="3614"/>
      <c r="J15" s="3614"/>
      <c r="K15" s="3614"/>
      <c r="L15" s="3611" t="s">
        <v>3118</v>
      </c>
      <c r="M15" s="3611"/>
      <c r="N15" s="3611" t="s">
        <v>2839</v>
      </c>
      <c r="O15" s="3611"/>
      <c r="P15" s="3611"/>
      <c r="Q15" s="3611" t="s">
        <v>3124</v>
      </c>
      <c r="R15" s="3611"/>
      <c r="S15" s="3603" t="s">
        <v>3143</v>
      </c>
      <c r="T15" s="3603"/>
      <c r="U15" s="3603" t="s">
        <v>3144</v>
      </c>
      <c r="V15" s="3603"/>
      <c r="W15" s="3603"/>
      <c r="X15" s="3007" t="s">
        <v>3124</v>
      </c>
      <c r="Y15" s="3007"/>
      <c r="Z15" s="3611" t="s">
        <v>3148</v>
      </c>
      <c r="AA15" s="3611"/>
      <c r="AB15" s="3603" t="s">
        <v>3144</v>
      </c>
      <c r="AC15" s="3603"/>
      <c r="AD15" s="3603"/>
      <c r="AE15" s="3007" t="s">
        <v>3124</v>
      </c>
      <c r="AF15" s="3007"/>
      <c r="AG15" s="3611" t="s">
        <v>3148</v>
      </c>
      <c r="AH15" s="3611"/>
      <c r="AI15" s="3603" t="s">
        <v>3144</v>
      </c>
      <c r="AJ15" s="3603"/>
      <c r="AK15" s="3603"/>
      <c r="AL15" s="3007" t="s">
        <v>3124</v>
      </c>
      <c r="AM15" s="3007"/>
      <c r="AN15" s="3627" t="s">
        <v>3273</v>
      </c>
      <c r="AO15" s="3627"/>
      <c r="AP15" s="3627" t="s">
        <v>3274</v>
      </c>
      <c r="AQ15" s="3627" t="s">
        <v>3275</v>
      </c>
      <c r="AR15" s="3627" t="s">
        <v>3276</v>
      </c>
      <c r="AS15" s="3627" t="s">
        <v>3277</v>
      </c>
    </row>
    <row r="16" spans="4:45" ht="15.75">
      <c r="D16" s="3625"/>
      <c r="E16" s="3620" t="s">
        <v>2950</v>
      </c>
      <c r="F16" s="3620"/>
      <c r="G16" s="3620"/>
      <c r="H16" s="3620"/>
      <c r="I16" s="3620"/>
      <c r="J16" s="3620"/>
      <c r="K16" s="3620"/>
      <c r="L16" s="3011" t="s">
        <v>3119</v>
      </c>
      <c r="M16" s="3011" t="s">
        <v>3120</v>
      </c>
      <c r="N16" s="3011" t="s">
        <v>3121</v>
      </c>
      <c r="O16" s="3011" t="s">
        <v>3122</v>
      </c>
      <c r="P16" s="3011" t="s">
        <v>3123</v>
      </c>
      <c r="Q16" s="3011" t="s">
        <v>3125</v>
      </c>
      <c r="R16" s="3011" t="s">
        <v>3126</v>
      </c>
      <c r="S16" s="3603"/>
      <c r="T16" s="3603"/>
      <c r="U16" s="3007" t="s">
        <v>3121</v>
      </c>
      <c r="V16" s="3007" t="s">
        <v>3125</v>
      </c>
      <c r="W16" s="3007" t="s">
        <v>3126</v>
      </c>
      <c r="X16" s="3007" t="s">
        <v>3125</v>
      </c>
      <c r="Y16" s="3007" t="s">
        <v>3126</v>
      </c>
      <c r="Z16" s="3011" t="s">
        <v>3119</v>
      </c>
      <c r="AA16" s="3011" t="s">
        <v>3120</v>
      </c>
      <c r="AB16" s="3007" t="s">
        <v>3121</v>
      </c>
      <c r="AC16" s="3007" t="s">
        <v>3122</v>
      </c>
      <c r="AD16" s="3007" t="s">
        <v>3123</v>
      </c>
      <c r="AE16" s="3007" t="s">
        <v>3125</v>
      </c>
      <c r="AF16" s="3007" t="s">
        <v>3126</v>
      </c>
      <c r="AG16" s="3011" t="s">
        <v>3119</v>
      </c>
      <c r="AH16" s="3011" t="s">
        <v>3120</v>
      </c>
      <c r="AI16" s="3007" t="s">
        <v>3121</v>
      </c>
      <c r="AJ16" s="3007" t="s">
        <v>3122</v>
      </c>
      <c r="AK16" s="3007" t="s">
        <v>3123</v>
      </c>
      <c r="AL16" s="3007" t="s">
        <v>3125</v>
      </c>
      <c r="AM16" s="3007" t="s">
        <v>3126</v>
      </c>
      <c r="AN16" s="3627"/>
      <c r="AO16" s="3627"/>
      <c r="AP16" s="3627"/>
      <c r="AQ16" s="3627"/>
      <c r="AR16" s="3627"/>
      <c r="AS16" s="3627"/>
    </row>
    <row r="17" spans="4:45" ht="31.5">
      <c r="D17" s="3625"/>
      <c r="E17" s="3598" t="s">
        <v>3165</v>
      </c>
      <c r="F17" s="3598"/>
      <c r="G17" s="3598"/>
      <c r="H17" s="3598"/>
      <c r="I17" s="3598"/>
      <c r="J17" s="3598"/>
      <c r="K17" s="3598"/>
      <c r="L17" s="3000" t="s">
        <v>3189</v>
      </c>
      <c r="M17" s="3000"/>
      <c r="N17" s="3069">
        <v>293393.90999999997</v>
      </c>
      <c r="O17" s="3069">
        <v>293393.90999999997</v>
      </c>
      <c r="P17" s="3000">
        <v>0</v>
      </c>
      <c r="Q17" s="3000">
        <v>4</v>
      </c>
      <c r="R17" s="3000"/>
      <c r="S17" s="3608"/>
      <c r="T17" s="3608"/>
      <c r="U17" s="3069"/>
      <c r="V17" s="3069"/>
      <c r="W17" s="3002"/>
      <c r="X17" s="3002"/>
      <c r="Y17" s="3002"/>
      <c r="Z17" s="3608"/>
      <c r="AA17" s="3608"/>
      <c r="AB17" s="3069"/>
      <c r="AC17" s="3069"/>
      <c r="AD17" s="3000"/>
      <c r="AE17" s="3002"/>
      <c r="AF17" s="3000"/>
      <c r="AG17" s="3608" t="s">
        <v>3200</v>
      </c>
      <c r="AH17" s="3608"/>
      <c r="AI17" s="3000">
        <v>174.34</v>
      </c>
      <c r="AJ17" s="3069"/>
      <c r="AK17" s="3000">
        <v>174.34</v>
      </c>
      <c r="AL17" s="3002"/>
      <c r="AM17" s="3000">
        <v>1</v>
      </c>
      <c r="AN17" s="3628" t="s">
        <v>3279</v>
      </c>
      <c r="AO17" s="3629"/>
      <c r="AP17" s="3112" t="s">
        <v>3280</v>
      </c>
      <c r="AQ17" s="3113">
        <v>93</v>
      </c>
      <c r="AR17" s="3113">
        <v>7798.53</v>
      </c>
      <c r="AS17" s="3114" t="s">
        <v>3278</v>
      </c>
    </row>
    <row r="18" spans="4:45" ht="31.5">
      <c r="D18" s="3625"/>
      <c r="E18" s="3000" t="s">
        <v>3100</v>
      </c>
      <c r="F18" s="3000" t="s">
        <v>3101</v>
      </c>
      <c r="G18" s="3000" t="s">
        <v>3102</v>
      </c>
      <c r="H18" s="3000" t="s">
        <v>2954</v>
      </c>
      <c r="I18" s="3000" t="s">
        <v>3103</v>
      </c>
      <c r="J18" s="3000"/>
      <c r="K18" s="3000" t="s">
        <v>3104</v>
      </c>
      <c r="L18" s="3000" t="s">
        <v>3190</v>
      </c>
      <c r="M18" s="3000"/>
      <c r="N18" s="3069">
        <v>247192.16</v>
      </c>
      <c r="O18" s="3069">
        <v>247192.16</v>
      </c>
      <c r="P18" s="3000">
        <v>0</v>
      </c>
      <c r="Q18" s="3000">
        <v>4</v>
      </c>
      <c r="R18" s="3000"/>
      <c r="S18" s="3608"/>
      <c r="T18" s="3608"/>
      <c r="U18" s="3069"/>
      <c r="V18" s="3069"/>
      <c r="W18" s="3002"/>
      <c r="X18" s="3002"/>
      <c r="Y18" s="3002"/>
      <c r="Z18" s="3608"/>
      <c r="AA18" s="3608"/>
      <c r="AB18" s="3069"/>
      <c r="AC18" s="3069"/>
      <c r="AD18" s="3000"/>
      <c r="AE18" s="3002"/>
      <c r="AF18" s="3000"/>
      <c r="AG18" s="3608" t="s">
        <v>3201</v>
      </c>
      <c r="AH18" s="3608"/>
      <c r="AI18" s="3000">
        <v>555.44000000000005</v>
      </c>
      <c r="AJ18" s="3069"/>
      <c r="AK18" s="3000">
        <v>555.44000000000005</v>
      </c>
      <c r="AL18" s="3002">
        <v>1</v>
      </c>
      <c r="AM18" s="3000"/>
      <c r="AN18" s="3629"/>
      <c r="AO18" s="3629"/>
      <c r="AP18" s="3113"/>
      <c r="AQ18" s="3113"/>
      <c r="AR18" s="3113"/>
      <c r="AS18" s="3113"/>
    </row>
    <row r="19" spans="4:45" ht="31.5">
      <c r="D19" s="3625"/>
      <c r="E19" s="3000"/>
      <c r="F19" s="3000"/>
      <c r="G19" s="3000"/>
      <c r="H19" s="3000"/>
      <c r="I19" s="3000"/>
      <c r="J19" s="3000"/>
      <c r="K19" s="3015"/>
      <c r="L19" s="3000" t="s">
        <v>3191</v>
      </c>
      <c r="M19" s="3000"/>
      <c r="N19" s="3016">
        <v>7909.66</v>
      </c>
      <c r="O19" s="3016">
        <v>7909.66</v>
      </c>
      <c r="P19" s="3000">
        <v>0</v>
      </c>
      <c r="Q19" s="3000">
        <v>4</v>
      </c>
      <c r="R19" s="3000"/>
      <c r="S19" s="3608"/>
      <c r="T19" s="3608"/>
      <c r="U19" s="3069"/>
      <c r="V19" s="3069"/>
      <c r="W19" s="3002"/>
      <c r="X19" s="3002"/>
      <c r="Y19" s="3002"/>
      <c r="Z19" s="3608" t="s">
        <v>3191</v>
      </c>
      <c r="AA19" s="3608"/>
      <c r="AB19" s="3069">
        <v>7909.66</v>
      </c>
      <c r="AC19" s="3069">
        <v>7909.66</v>
      </c>
      <c r="AD19" s="3000"/>
      <c r="AE19" s="3002">
        <v>4</v>
      </c>
      <c r="AF19" s="3000"/>
      <c r="AG19" s="3608"/>
      <c r="AH19" s="3608"/>
      <c r="AI19" s="3069"/>
      <c r="AJ19" s="3069"/>
      <c r="AK19" s="3000"/>
      <c r="AL19" s="3002"/>
      <c r="AM19" s="3000"/>
      <c r="AN19" s="3629"/>
      <c r="AO19" s="3629"/>
      <c r="AP19" s="3113"/>
      <c r="AQ19" s="3113"/>
      <c r="AR19" s="3113"/>
      <c r="AS19" s="3113"/>
    </row>
    <row r="20" spans="4:45" ht="15.75">
      <c r="D20" s="3625"/>
      <c r="E20" s="3602"/>
      <c r="F20" s="3602"/>
      <c r="G20" s="3602"/>
      <c r="H20" s="3602"/>
      <c r="I20" s="3602"/>
      <c r="J20" s="3602"/>
      <c r="K20" s="3602"/>
      <c r="L20" s="3070" t="s">
        <v>3137</v>
      </c>
      <c r="M20" s="3070"/>
      <c r="N20" s="3071">
        <f>SUM(N17:N19)</f>
        <v>548495.73</v>
      </c>
      <c r="O20" s="3071">
        <f>SUM(O17:O19)</f>
        <v>548495.73</v>
      </c>
      <c r="P20" s="3070"/>
      <c r="Q20" s="3070"/>
      <c r="R20" s="3070"/>
      <c r="S20" s="3618" t="s">
        <v>3137</v>
      </c>
      <c r="T20" s="3618"/>
      <c r="U20" s="3074">
        <f>SUM(U17:U19)</f>
        <v>0</v>
      </c>
      <c r="V20" s="3074">
        <f>SUM(V17:V19)</f>
        <v>0</v>
      </c>
      <c r="W20" s="3005"/>
      <c r="X20" s="3005"/>
      <c r="Y20" s="3005"/>
      <c r="Z20" s="3618" t="s">
        <v>3137</v>
      </c>
      <c r="AA20" s="3618"/>
      <c r="AB20" s="3073">
        <f>SUM(AB17:AB19)</f>
        <v>7909.66</v>
      </c>
      <c r="AC20" s="3073">
        <f>SUM(AC17:AC19)</f>
        <v>7909.66</v>
      </c>
      <c r="AD20" s="3070"/>
      <c r="AE20" s="3070"/>
      <c r="AF20" s="3070"/>
      <c r="AG20" s="3618" t="s">
        <v>3137</v>
      </c>
      <c r="AH20" s="3618"/>
      <c r="AI20" s="3071">
        <f>SUM(AI17:AI19)</f>
        <v>729.78000000000009</v>
      </c>
      <c r="AJ20" s="3071">
        <f>SUM(AJ17:AJ19)</f>
        <v>0</v>
      </c>
      <c r="AK20" s="3071">
        <f>SUM(AK17:AK19)</f>
        <v>729.78000000000009</v>
      </c>
      <c r="AL20" s="3070"/>
      <c r="AM20" s="3070"/>
      <c r="AN20" s="3630" t="s">
        <v>3281</v>
      </c>
      <c r="AO20" s="3631"/>
      <c r="AP20" s="3115"/>
      <c r="AQ20" s="3115"/>
      <c r="AR20" s="3115">
        <f>AR17</f>
        <v>7798.53</v>
      </c>
      <c r="AS20" s="3115"/>
    </row>
    <row r="21" spans="4:45" ht="30" customHeight="1">
      <c r="D21" s="3625"/>
      <c r="E21" s="3602"/>
      <c r="F21" s="3602"/>
      <c r="G21" s="3602"/>
      <c r="H21" s="3602"/>
      <c r="I21" s="3602"/>
      <c r="J21" s="3602"/>
      <c r="K21" s="3602"/>
      <c r="L21" s="3615" t="s">
        <v>3192</v>
      </c>
      <c r="M21" s="3616"/>
      <c r="N21" s="3616"/>
      <c r="O21" s="3616"/>
      <c r="P21" s="3616"/>
      <c r="Q21" s="3616"/>
      <c r="R21" s="3617"/>
      <c r="S21" s="3598" t="s">
        <v>3213</v>
      </c>
      <c r="T21" s="3598"/>
      <c r="U21" s="3598"/>
      <c r="V21" s="3598"/>
      <c r="W21" s="3598"/>
      <c r="X21" s="3598"/>
      <c r="Y21" s="3598"/>
      <c r="Z21" s="3615" t="s">
        <v>3197</v>
      </c>
      <c r="AA21" s="3616"/>
      <c r="AB21" s="3616"/>
      <c r="AC21" s="3616"/>
      <c r="AD21" s="3616"/>
      <c r="AE21" s="3616"/>
      <c r="AF21" s="3617"/>
      <c r="AG21" s="3615" t="s">
        <v>3202</v>
      </c>
      <c r="AH21" s="3616"/>
      <c r="AI21" s="3616"/>
      <c r="AJ21" s="3616"/>
      <c r="AK21" s="3616"/>
      <c r="AL21" s="3616"/>
      <c r="AM21" s="3617"/>
      <c r="AN21" s="3601" t="s">
        <v>3284</v>
      </c>
      <c r="AO21" s="3601"/>
      <c r="AP21" s="3601"/>
      <c r="AQ21" s="3601"/>
      <c r="AR21" s="3601"/>
      <c r="AS21" s="3601"/>
    </row>
    <row r="22" spans="4:45" ht="15.75">
      <c r="D22" s="3625" t="s">
        <v>3204</v>
      </c>
      <c r="E22" s="3599" t="s">
        <v>3205</v>
      </c>
      <c r="F22" s="3599"/>
      <c r="G22" s="3599"/>
      <c r="H22" s="3599"/>
      <c r="I22" s="3599"/>
      <c r="J22" s="3599"/>
      <c r="K22" s="3599"/>
      <c r="L22" s="3599" t="s">
        <v>3207</v>
      </c>
      <c r="M22" s="3599"/>
      <c r="N22" s="3599"/>
      <c r="O22" s="3599"/>
      <c r="P22" s="3599"/>
      <c r="Q22" s="3599"/>
      <c r="R22" s="3599"/>
      <c r="S22" s="3599" t="s">
        <v>3211</v>
      </c>
      <c r="T22" s="3599"/>
      <c r="U22" s="3599"/>
      <c r="V22" s="3599"/>
      <c r="W22" s="3599"/>
      <c r="X22" s="3599"/>
      <c r="Y22" s="3599"/>
      <c r="Z22" s="3599" t="s">
        <v>3215</v>
      </c>
      <c r="AA22" s="3599"/>
      <c r="AB22" s="3599"/>
      <c r="AC22" s="3599"/>
      <c r="AD22" s="3599"/>
      <c r="AE22" s="3599"/>
      <c r="AF22" s="3599"/>
      <c r="AG22" s="3599" t="s">
        <v>3217</v>
      </c>
      <c r="AH22" s="3599"/>
      <c r="AI22" s="3599"/>
      <c r="AJ22" s="3599"/>
      <c r="AK22" s="3599"/>
      <c r="AL22" s="3599"/>
      <c r="AM22" s="3599"/>
      <c r="AN22" s="3627" t="s">
        <v>3282</v>
      </c>
      <c r="AO22" s="3627"/>
      <c r="AP22" s="3627"/>
      <c r="AQ22" s="3627"/>
      <c r="AR22" s="3627"/>
      <c r="AS22" s="3627"/>
    </row>
    <row r="23" spans="4:45" ht="31.5">
      <c r="D23" s="3625"/>
      <c r="E23" s="3011" t="s">
        <v>3085</v>
      </c>
      <c r="F23" s="3011" t="s">
        <v>3086</v>
      </c>
      <c r="G23" s="3011" t="s">
        <v>3088</v>
      </c>
      <c r="H23" s="3011" t="s">
        <v>3090</v>
      </c>
      <c r="I23" s="3011" t="s">
        <v>3092</v>
      </c>
      <c r="J23" s="3011" t="s">
        <v>3184</v>
      </c>
      <c r="K23" s="3011" t="s">
        <v>3185</v>
      </c>
      <c r="L23" s="3600" t="s">
        <v>3111</v>
      </c>
      <c r="M23" s="3600"/>
      <c r="N23" s="3600" t="s">
        <v>3112</v>
      </c>
      <c r="O23" s="3600"/>
      <c r="P23" s="3600" t="s">
        <v>3113</v>
      </c>
      <c r="Q23" s="3600"/>
      <c r="R23" s="3001" t="s">
        <v>3114</v>
      </c>
      <c r="S23" s="3600" t="s">
        <v>3111</v>
      </c>
      <c r="T23" s="3600"/>
      <c r="U23" s="3600" t="s">
        <v>3140</v>
      </c>
      <c r="V23" s="3600"/>
      <c r="W23" s="3600" t="s">
        <v>3141</v>
      </c>
      <c r="X23" s="3600"/>
      <c r="Y23" s="3001" t="s">
        <v>3114</v>
      </c>
      <c r="Z23" s="3600" t="s">
        <v>3111</v>
      </c>
      <c r="AA23" s="3600"/>
      <c r="AB23" s="3600" t="s">
        <v>3140</v>
      </c>
      <c r="AC23" s="3600"/>
      <c r="AD23" s="3600" t="s">
        <v>3141</v>
      </c>
      <c r="AE23" s="3600"/>
      <c r="AF23" s="3001" t="s">
        <v>3114</v>
      </c>
      <c r="AG23" s="3600" t="s">
        <v>3111</v>
      </c>
      <c r="AH23" s="3600"/>
      <c r="AI23" s="3600" t="s">
        <v>3140</v>
      </c>
      <c r="AJ23" s="3600"/>
      <c r="AK23" s="3600" t="s">
        <v>3141</v>
      </c>
      <c r="AL23" s="3600"/>
      <c r="AM23" s="3001" t="s">
        <v>3114</v>
      </c>
      <c r="AN23" s="3001" t="s">
        <v>3032</v>
      </c>
      <c r="AO23" s="3001" t="s">
        <v>3034</v>
      </c>
      <c r="AP23" s="3001" t="s">
        <v>3266</v>
      </c>
      <c r="AQ23" s="3001" t="s">
        <v>3267</v>
      </c>
      <c r="AR23" s="3112" t="s">
        <v>3268</v>
      </c>
      <c r="AS23" s="3112" t="s">
        <v>3269</v>
      </c>
    </row>
    <row r="24" spans="4:45" ht="49.5" customHeight="1">
      <c r="D24" s="3625"/>
      <c r="E24" s="3626">
        <v>41027</v>
      </c>
      <c r="F24" s="3614" t="s">
        <v>2941</v>
      </c>
      <c r="G24" s="3614" t="s">
        <v>3181</v>
      </c>
      <c r="H24" s="3614" t="s">
        <v>3182</v>
      </c>
      <c r="I24" s="3614" t="s">
        <v>3183</v>
      </c>
      <c r="J24" s="3614">
        <v>991031.9</v>
      </c>
      <c r="K24" s="3614">
        <v>773111.6</v>
      </c>
      <c r="L24" s="3600" t="s">
        <v>2941</v>
      </c>
      <c r="M24" s="3600"/>
      <c r="N24" s="3600" t="s">
        <v>3206</v>
      </c>
      <c r="O24" s="3600"/>
      <c r="P24" s="3600" t="s">
        <v>3188</v>
      </c>
      <c r="Q24" s="3600"/>
      <c r="R24" s="3068">
        <v>226870.54</v>
      </c>
      <c r="S24" s="3600" t="s">
        <v>2941</v>
      </c>
      <c r="T24" s="3600"/>
      <c r="U24" s="3600" t="s">
        <v>3212</v>
      </c>
      <c r="V24" s="3600"/>
      <c r="W24" s="3600" t="s">
        <v>3188</v>
      </c>
      <c r="X24" s="3600"/>
      <c r="Y24" s="3068">
        <v>325364.47999999998</v>
      </c>
      <c r="Z24" s="3600" t="s">
        <v>2941</v>
      </c>
      <c r="AA24" s="3600"/>
      <c r="AB24" s="3600" t="s">
        <v>3216</v>
      </c>
      <c r="AC24" s="3600"/>
      <c r="AD24" s="3600" t="s">
        <v>3188</v>
      </c>
      <c r="AE24" s="3600"/>
      <c r="AF24" s="3068">
        <v>7874.29</v>
      </c>
      <c r="AG24" s="3600" t="s">
        <v>2941</v>
      </c>
      <c r="AH24" s="3600"/>
      <c r="AI24" s="3600" t="s">
        <v>3218</v>
      </c>
      <c r="AJ24" s="3600"/>
      <c r="AK24" s="3600" t="s">
        <v>3188</v>
      </c>
      <c r="AL24" s="3600"/>
      <c r="AM24" s="3068">
        <v>1992.92</v>
      </c>
      <c r="AN24" s="3001" t="s">
        <v>2941</v>
      </c>
      <c r="AO24" s="3001" t="s">
        <v>3271</v>
      </c>
      <c r="AP24" s="3001" t="s">
        <v>3283</v>
      </c>
      <c r="AQ24" s="3111">
        <v>41341</v>
      </c>
      <c r="AR24" s="3113">
        <v>40640</v>
      </c>
      <c r="AS24" s="3112" t="s">
        <v>3270</v>
      </c>
    </row>
    <row r="25" spans="4:45" ht="15.75">
      <c r="D25" s="3625"/>
      <c r="E25" s="3626"/>
      <c r="F25" s="3614"/>
      <c r="G25" s="3614"/>
      <c r="H25" s="3614"/>
      <c r="I25" s="3614"/>
      <c r="J25" s="3614"/>
      <c r="K25" s="3614"/>
      <c r="L25" s="3611" t="s">
        <v>3118</v>
      </c>
      <c r="M25" s="3611"/>
      <c r="N25" s="3611" t="s">
        <v>2839</v>
      </c>
      <c r="O25" s="3611"/>
      <c r="P25" s="3611"/>
      <c r="Q25" s="3611" t="s">
        <v>3124</v>
      </c>
      <c r="R25" s="3611"/>
      <c r="S25" s="3603" t="s">
        <v>3143</v>
      </c>
      <c r="T25" s="3603"/>
      <c r="U25" s="3603" t="s">
        <v>3144</v>
      </c>
      <c r="V25" s="3603"/>
      <c r="W25" s="3603"/>
      <c r="X25" s="3007" t="s">
        <v>3124</v>
      </c>
      <c r="Y25" s="3007"/>
      <c r="Z25" s="3611" t="s">
        <v>3148</v>
      </c>
      <c r="AA25" s="3611"/>
      <c r="AB25" s="3603" t="s">
        <v>3144</v>
      </c>
      <c r="AC25" s="3603"/>
      <c r="AD25" s="3603"/>
      <c r="AE25" s="3007" t="s">
        <v>3124</v>
      </c>
      <c r="AF25" s="3007"/>
      <c r="AG25" s="3611" t="s">
        <v>3148</v>
      </c>
      <c r="AH25" s="3611"/>
      <c r="AI25" s="3603" t="s">
        <v>3144</v>
      </c>
      <c r="AJ25" s="3603"/>
      <c r="AK25" s="3603"/>
      <c r="AL25" s="3007" t="s">
        <v>3124</v>
      </c>
      <c r="AM25" s="3007"/>
      <c r="AN25" s="3627" t="s">
        <v>3273</v>
      </c>
      <c r="AO25" s="3627"/>
      <c r="AP25" s="3627" t="s">
        <v>3274</v>
      </c>
      <c r="AQ25" s="3627" t="s">
        <v>3275</v>
      </c>
      <c r="AR25" s="3627" t="s">
        <v>3276</v>
      </c>
      <c r="AS25" s="3627" t="s">
        <v>3277</v>
      </c>
    </row>
    <row r="26" spans="4:45" ht="15.75">
      <c r="D26" s="3625"/>
      <c r="E26" s="3620" t="s">
        <v>2950</v>
      </c>
      <c r="F26" s="3620"/>
      <c r="G26" s="3620"/>
      <c r="H26" s="3620"/>
      <c r="I26" s="3620"/>
      <c r="J26" s="3620"/>
      <c r="K26" s="3620"/>
      <c r="L26" s="3011" t="s">
        <v>3119</v>
      </c>
      <c r="M26" s="3011" t="s">
        <v>3120</v>
      </c>
      <c r="N26" s="3011" t="s">
        <v>3121</v>
      </c>
      <c r="O26" s="3011" t="s">
        <v>3122</v>
      </c>
      <c r="P26" s="3011" t="s">
        <v>3123</v>
      </c>
      <c r="Q26" s="3011" t="s">
        <v>3125</v>
      </c>
      <c r="R26" s="3011" t="s">
        <v>3126</v>
      </c>
      <c r="S26" s="3603"/>
      <c r="T26" s="3603"/>
      <c r="U26" s="3007" t="s">
        <v>3121</v>
      </c>
      <c r="V26" s="3007" t="s">
        <v>3125</v>
      </c>
      <c r="W26" s="3007" t="s">
        <v>3126</v>
      </c>
      <c r="X26" s="3007" t="s">
        <v>3125</v>
      </c>
      <c r="Y26" s="3007" t="s">
        <v>3126</v>
      </c>
      <c r="Z26" s="3011" t="s">
        <v>3119</v>
      </c>
      <c r="AA26" s="3011" t="s">
        <v>3120</v>
      </c>
      <c r="AB26" s="3007" t="s">
        <v>3121</v>
      </c>
      <c r="AC26" s="3007" t="s">
        <v>3122</v>
      </c>
      <c r="AD26" s="3007" t="s">
        <v>3123</v>
      </c>
      <c r="AE26" s="3007" t="s">
        <v>3125</v>
      </c>
      <c r="AF26" s="3007" t="s">
        <v>3126</v>
      </c>
      <c r="AG26" s="3011" t="s">
        <v>3119</v>
      </c>
      <c r="AH26" s="3011" t="s">
        <v>3120</v>
      </c>
      <c r="AI26" s="3007" t="s">
        <v>3121</v>
      </c>
      <c r="AJ26" s="3007" t="s">
        <v>3122</v>
      </c>
      <c r="AK26" s="3007" t="s">
        <v>3123</v>
      </c>
      <c r="AL26" s="3007" t="s">
        <v>3125</v>
      </c>
      <c r="AM26" s="3007" t="s">
        <v>3126</v>
      </c>
      <c r="AN26" s="3627"/>
      <c r="AO26" s="3627"/>
      <c r="AP26" s="3627"/>
      <c r="AQ26" s="3627"/>
      <c r="AR26" s="3627"/>
      <c r="AS26" s="3627"/>
    </row>
    <row r="27" spans="4:45" ht="15.75">
      <c r="D27" s="3625"/>
      <c r="E27" s="3598" t="s">
        <v>3165</v>
      </c>
      <c r="F27" s="3598"/>
      <c r="G27" s="3598"/>
      <c r="H27" s="3598"/>
      <c r="I27" s="3598"/>
      <c r="J27" s="3598"/>
      <c r="K27" s="3598"/>
      <c r="L27" s="3000"/>
      <c r="M27" s="3000"/>
      <c r="N27" s="3069"/>
      <c r="O27" s="3069"/>
      <c r="P27" s="3000"/>
      <c r="Q27" s="3000"/>
      <c r="R27" s="3000"/>
      <c r="S27" s="3608"/>
      <c r="T27" s="3608"/>
      <c r="U27" s="3069"/>
      <c r="V27" s="3069"/>
      <c r="W27" s="3002"/>
      <c r="X27" s="3002"/>
      <c r="Y27" s="3002"/>
      <c r="Z27" s="3608"/>
      <c r="AA27" s="3608"/>
      <c r="AB27" s="3069"/>
      <c r="AC27" s="3069"/>
      <c r="AD27" s="3000"/>
      <c r="AE27" s="3002"/>
      <c r="AF27" s="3000"/>
      <c r="AG27" s="3608" t="s">
        <v>3219</v>
      </c>
      <c r="AH27" s="3608"/>
      <c r="AI27" s="3000">
        <v>86.74</v>
      </c>
      <c r="AJ27" s="3069"/>
      <c r="AK27" s="3000">
        <v>86.74</v>
      </c>
      <c r="AL27" s="3002">
        <v>1</v>
      </c>
      <c r="AM27" s="3000"/>
      <c r="AN27" s="3628" t="s">
        <v>3279</v>
      </c>
      <c r="AO27" s="3629"/>
      <c r="AP27" s="3112" t="s">
        <v>3280</v>
      </c>
      <c r="AQ27" s="3113">
        <v>87</v>
      </c>
      <c r="AR27" s="3113">
        <v>7799.94</v>
      </c>
      <c r="AS27" s="3114" t="s">
        <v>3278</v>
      </c>
    </row>
    <row r="28" spans="4:45" ht="31.5">
      <c r="D28" s="3625"/>
      <c r="E28" s="3000" t="s">
        <v>3100</v>
      </c>
      <c r="F28" s="3000" t="s">
        <v>3101</v>
      </c>
      <c r="G28" s="3000" t="s">
        <v>3102</v>
      </c>
      <c r="H28" s="3000" t="s">
        <v>2954</v>
      </c>
      <c r="I28" s="3000" t="s">
        <v>3103</v>
      </c>
      <c r="J28" s="3000"/>
      <c r="K28" s="3000" t="s">
        <v>3104</v>
      </c>
      <c r="L28" s="3000" t="s">
        <v>3208</v>
      </c>
      <c r="M28" s="3000"/>
      <c r="N28" s="3069">
        <v>218996.25</v>
      </c>
      <c r="O28" s="3069">
        <v>218996.25</v>
      </c>
      <c r="P28" s="3000">
        <v>0</v>
      </c>
      <c r="Q28" s="3000">
        <v>4</v>
      </c>
      <c r="R28" s="3000"/>
      <c r="S28" s="3608"/>
      <c r="T28" s="3608"/>
      <c r="U28" s="3069"/>
      <c r="V28" s="3069"/>
      <c r="W28" s="3002"/>
      <c r="X28" s="3002"/>
      <c r="Y28" s="3002"/>
      <c r="Z28" s="3608"/>
      <c r="AA28" s="3608"/>
      <c r="AB28" s="3069"/>
      <c r="AC28" s="3069"/>
      <c r="AD28" s="3000"/>
      <c r="AE28" s="3002"/>
      <c r="AF28" s="3000"/>
      <c r="AG28" s="3608" t="s">
        <v>3219</v>
      </c>
      <c r="AH28" s="3608"/>
      <c r="AI28" s="3000">
        <v>86.74</v>
      </c>
      <c r="AJ28" s="3069"/>
      <c r="AK28" s="3000">
        <v>86.74</v>
      </c>
      <c r="AL28" s="3002">
        <v>1</v>
      </c>
      <c r="AM28" s="3000"/>
      <c r="AN28" s="3629"/>
      <c r="AO28" s="3629"/>
      <c r="AP28" s="3113"/>
      <c r="AQ28" s="3113"/>
      <c r="AR28" s="3113"/>
      <c r="AS28" s="3113"/>
    </row>
    <row r="29" spans="4:45" ht="31.5">
      <c r="D29" s="3625"/>
      <c r="E29" s="3000"/>
      <c r="F29" s="3000"/>
      <c r="G29" s="3000"/>
      <c r="H29" s="3000"/>
      <c r="I29" s="3000"/>
      <c r="J29" s="3000"/>
      <c r="K29" s="3015"/>
      <c r="L29" s="3000" t="s">
        <v>3209</v>
      </c>
      <c r="M29" s="3000"/>
      <c r="N29" s="3016">
        <v>7874.29</v>
      </c>
      <c r="O29" s="3016">
        <v>7874.29</v>
      </c>
      <c r="P29" s="3000">
        <v>0</v>
      </c>
      <c r="Q29" s="3000">
        <v>4</v>
      </c>
      <c r="R29" s="3000"/>
      <c r="S29" s="3608"/>
      <c r="T29" s="3608"/>
      <c r="U29" s="3069"/>
      <c r="V29" s="3069"/>
      <c r="W29" s="3002"/>
      <c r="X29" s="3002"/>
      <c r="Y29" s="3002"/>
      <c r="Z29" s="3608" t="s">
        <v>3209</v>
      </c>
      <c r="AA29" s="3608"/>
      <c r="AB29" s="3069">
        <v>7874.29</v>
      </c>
      <c r="AC29" s="3069">
        <v>7874.29</v>
      </c>
      <c r="AD29" s="3000"/>
      <c r="AE29" s="3002">
        <v>4</v>
      </c>
      <c r="AF29" s="3000"/>
      <c r="AG29" s="3608" t="s">
        <v>3220</v>
      </c>
      <c r="AH29" s="3608"/>
      <c r="AI29" s="3069">
        <v>1819.44</v>
      </c>
      <c r="AJ29" s="3069"/>
      <c r="AK29" s="3069">
        <v>1819.44</v>
      </c>
      <c r="AL29" s="3002">
        <v>1</v>
      </c>
      <c r="AM29" s="3000"/>
      <c r="AN29" s="3629"/>
      <c r="AO29" s="3629"/>
      <c r="AP29" s="3113"/>
      <c r="AQ29" s="3113"/>
      <c r="AR29" s="3113"/>
      <c r="AS29" s="3113"/>
    </row>
    <row r="30" spans="4:45" ht="15.75">
      <c r="D30" s="3625"/>
      <c r="E30" s="3602"/>
      <c r="F30" s="3602"/>
      <c r="G30" s="3602"/>
      <c r="H30" s="3602"/>
      <c r="I30" s="3602"/>
      <c r="J30" s="3602"/>
      <c r="K30" s="3602"/>
      <c r="L30" s="3070" t="s">
        <v>3137</v>
      </c>
      <c r="M30" s="3070"/>
      <c r="N30" s="3071">
        <f>SUM(N27:N29)</f>
        <v>226870.54</v>
      </c>
      <c r="O30" s="3071">
        <f>SUM(O27:O29)</f>
        <v>226870.54</v>
      </c>
      <c r="P30" s="3070"/>
      <c r="Q30" s="3070"/>
      <c r="R30" s="3070"/>
      <c r="S30" s="3618" t="s">
        <v>3137</v>
      </c>
      <c r="T30" s="3618"/>
      <c r="U30" s="3074">
        <f>SUM(U27:U29)</f>
        <v>0</v>
      </c>
      <c r="V30" s="3074">
        <f>SUM(V27:V29)</f>
        <v>0</v>
      </c>
      <c r="W30" s="3005"/>
      <c r="X30" s="3005"/>
      <c r="Y30" s="3005"/>
      <c r="Z30" s="3618" t="s">
        <v>3137</v>
      </c>
      <c r="AA30" s="3618"/>
      <c r="AB30" s="3073">
        <f>SUM(AB27:AB29)</f>
        <v>7874.29</v>
      </c>
      <c r="AC30" s="3073">
        <f>SUM(AC27:AC29)</f>
        <v>7874.29</v>
      </c>
      <c r="AD30" s="3070"/>
      <c r="AE30" s="3070"/>
      <c r="AF30" s="3070"/>
      <c r="AG30" s="3618" t="s">
        <v>3137</v>
      </c>
      <c r="AH30" s="3618"/>
      <c r="AI30" s="3071">
        <f>SUM(AI27:AI29)</f>
        <v>1992.92</v>
      </c>
      <c r="AJ30" s="3071">
        <f>SUM(AJ27:AJ29)</f>
        <v>0</v>
      </c>
      <c r="AK30" s="3071">
        <f>SUM(AK27:AK29)</f>
        <v>1992.92</v>
      </c>
      <c r="AL30" s="3070"/>
      <c r="AM30" s="3070"/>
      <c r="AN30" s="3630" t="s">
        <v>3281</v>
      </c>
      <c r="AO30" s="3631"/>
      <c r="AP30" s="3115"/>
      <c r="AQ30" s="3115"/>
      <c r="AR30" s="3115">
        <f>AR27</f>
        <v>7799.94</v>
      </c>
      <c r="AS30" s="3115"/>
    </row>
    <row r="31" spans="4:45" ht="23.25" customHeight="1">
      <c r="D31" s="3625"/>
      <c r="E31" s="3602"/>
      <c r="F31" s="3602"/>
      <c r="G31" s="3602"/>
      <c r="H31" s="3602"/>
      <c r="I31" s="3602"/>
      <c r="J31" s="3602"/>
      <c r="K31" s="3602"/>
      <c r="L31" s="3615" t="s">
        <v>3210</v>
      </c>
      <c r="M31" s="3616"/>
      <c r="N31" s="3616"/>
      <c r="O31" s="3616"/>
      <c r="P31" s="3616"/>
      <c r="Q31" s="3616"/>
      <c r="R31" s="3617"/>
      <c r="S31" s="3598" t="s">
        <v>3214</v>
      </c>
      <c r="T31" s="3598"/>
      <c r="U31" s="3598"/>
      <c r="V31" s="3598"/>
      <c r="W31" s="3598"/>
      <c r="X31" s="3598"/>
      <c r="Y31" s="3598"/>
      <c r="Z31" s="3615" t="s">
        <v>3197</v>
      </c>
      <c r="AA31" s="3616"/>
      <c r="AB31" s="3616"/>
      <c r="AC31" s="3616"/>
      <c r="AD31" s="3616"/>
      <c r="AE31" s="3616"/>
      <c r="AF31" s="3617"/>
      <c r="AG31" s="3615" t="s">
        <v>3221</v>
      </c>
      <c r="AH31" s="3616"/>
      <c r="AI31" s="3616"/>
      <c r="AJ31" s="3616"/>
      <c r="AK31" s="3616"/>
      <c r="AL31" s="3616"/>
      <c r="AM31" s="3617"/>
      <c r="AN31" s="3601" t="s">
        <v>3284</v>
      </c>
      <c r="AO31" s="3601"/>
      <c r="AP31" s="3601"/>
      <c r="AQ31" s="3601"/>
      <c r="AR31" s="3601"/>
      <c r="AS31" s="3601"/>
    </row>
  </sheetData>
  <mergeCells count="152">
    <mergeCell ref="AN27:AO27"/>
    <mergeCell ref="AN28:AO28"/>
    <mergeCell ref="AN29:AO29"/>
    <mergeCell ref="AN30:AO30"/>
    <mergeCell ref="AN21:AS21"/>
    <mergeCell ref="AN31:AS31"/>
    <mergeCell ref="AN17:AO17"/>
    <mergeCell ref="AN20:AO20"/>
    <mergeCell ref="AN18:AO18"/>
    <mergeCell ref="AN19:AO19"/>
    <mergeCell ref="AN12:AS12"/>
    <mergeCell ref="AN22:AS22"/>
    <mergeCell ref="AN25:AO26"/>
    <mergeCell ref="AP25:AP26"/>
    <mergeCell ref="AQ25:AQ26"/>
    <mergeCell ref="AR25:AR26"/>
    <mergeCell ref="AS25:AS26"/>
    <mergeCell ref="AN15:AO16"/>
    <mergeCell ref="AP15:AP16"/>
    <mergeCell ref="AQ15:AQ16"/>
    <mergeCell ref="AR15:AR16"/>
    <mergeCell ref="AS15:AS16"/>
    <mergeCell ref="E12:K12"/>
    <mergeCell ref="L12:R12"/>
    <mergeCell ref="S12:Y12"/>
    <mergeCell ref="Z12:AF12"/>
    <mergeCell ref="L13:M13"/>
    <mergeCell ref="N13:O13"/>
    <mergeCell ref="P13:Q13"/>
    <mergeCell ref="S13:T13"/>
    <mergeCell ref="U13:V13"/>
    <mergeCell ref="W13:X13"/>
    <mergeCell ref="Z14:AA14"/>
    <mergeCell ref="Z13:AA13"/>
    <mergeCell ref="AB13:AC13"/>
    <mergeCell ref="AD13:AE13"/>
    <mergeCell ref="E14:E15"/>
    <mergeCell ref="F14:F15"/>
    <mergeCell ref="G14:G15"/>
    <mergeCell ref="H14:H15"/>
    <mergeCell ref="I14:I15"/>
    <mergeCell ref="K14:K15"/>
    <mergeCell ref="L14:M14"/>
    <mergeCell ref="AG12:AM12"/>
    <mergeCell ref="AG13:AH13"/>
    <mergeCell ref="AI13:AJ13"/>
    <mergeCell ref="AK13:AL13"/>
    <mergeCell ref="AG14:AH14"/>
    <mergeCell ref="AI14:AJ14"/>
    <mergeCell ref="AK14:AL14"/>
    <mergeCell ref="S20:T20"/>
    <mergeCell ref="Z20:AA20"/>
    <mergeCell ref="S19:T19"/>
    <mergeCell ref="Z19:AA19"/>
    <mergeCell ref="S17:T17"/>
    <mergeCell ref="Z17:AA17"/>
    <mergeCell ref="S18:T18"/>
    <mergeCell ref="Z18:AA18"/>
    <mergeCell ref="AB14:AC14"/>
    <mergeCell ref="AD14:AE14"/>
    <mergeCell ref="S15:T16"/>
    <mergeCell ref="U15:W15"/>
    <mergeCell ref="Z15:AA15"/>
    <mergeCell ref="AB15:AD15"/>
    <mergeCell ref="S14:T14"/>
    <mergeCell ref="U14:V14"/>
    <mergeCell ref="W14:X14"/>
    <mergeCell ref="AG21:AM21"/>
    <mergeCell ref="E22:K22"/>
    <mergeCell ref="L22:R22"/>
    <mergeCell ref="S22:Y22"/>
    <mergeCell ref="Z22:AF22"/>
    <mergeCell ref="AG22:AM22"/>
    <mergeCell ref="AG15:AH15"/>
    <mergeCell ref="AI15:AK15"/>
    <mergeCell ref="AG17:AH17"/>
    <mergeCell ref="AG18:AH18"/>
    <mergeCell ref="AG19:AH19"/>
    <mergeCell ref="AG20:AH20"/>
    <mergeCell ref="L21:R21"/>
    <mergeCell ref="S21:Y21"/>
    <mergeCell ref="Z21:AF21"/>
    <mergeCell ref="J14:J15"/>
    <mergeCell ref="E20:K21"/>
    <mergeCell ref="E16:K16"/>
    <mergeCell ref="E17:K17"/>
    <mergeCell ref="L15:M15"/>
    <mergeCell ref="N15:P15"/>
    <mergeCell ref="Q15:R15"/>
    <mergeCell ref="N14:O14"/>
    <mergeCell ref="P14:Q14"/>
    <mergeCell ref="E24:E25"/>
    <mergeCell ref="F24:F25"/>
    <mergeCell ref="G24:G25"/>
    <mergeCell ref="H24:H25"/>
    <mergeCell ref="I24:I25"/>
    <mergeCell ref="L23:M23"/>
    <mergeCell ref="N23:O23"/>
    <mergeCell ref="P23:Q23"/>
    <mergeCell ref="S23:T23"/>
    <mergeCell ref="S24:T24"/>
    <mergeCell ref="J24:J25"/>
    <mergeCell ref="K24:K25"/>
    <mergeCell ref="L24:M24"/>
    <mergeCell ref="N24:O24"/>
    <mergeCell ref="P24:Q24"/>
    <mergeCell ref="AB23:AC23"/>
    <mergeCell ref="AD23:AE23"/>
    <mergeCell ref="AG23:AH23"/>
    <mergeCell ref="AB24:AC24"/>
    <mergeCell ref="AD24:AE24"/>
    <mergeCell ref="AG24:AH24"/>
    <mergeCell ref="AI24:AJ24"/>
    <mergeCell ref="AK24:AL24"/>
    <mergeCell ref="L25:M25"/>
    <mergeCell ref="N25:P25"/>
    <mergeCell ref="Q25:R25"/>
    <mergeCell ref="S25:T26"/>
    <mergeCell ref="U25:W25"/>
    <mergeCell ref="AI23:AJ23"/>
    <mergeCell ref="AK23:AL23"/>
    <mergeCell ref="U23:V23"/>
    <mergeCell ref="W23:X23"/>
    <mergeCell ref="Z23:AA23"/>
    <mergeCell ref="Z24:AA24"/>
    <mergeCell ref="Z25:AA25"/>
    <mergeCell ref="W24:X24"/>
    <mergeCell ref="U24:V24"/>
    <mergeCell ref="D12:D21"/>
    <mergeCell ref="D22:D31"/>
    <mergeCell ref="E30:K31"/>
    <mergeCell ref="S30:T30"/>
    <mergeCell ref="Z30:AA30"/>
    <mergeCell ref="AG30:AH30"/>
    <mergeCell ref="L31:R31"/>
    <mergeCell ref="S31:Y31"/>
    <mergeCell ref="Z31:AF31"/>
    <mergeCell ref="AG31:AM31"/>
    <mergeCell ref="S28:T28"/>
    <mergeCell ref="Z28:AA28"/>
    <mergeCell ref="AG28:AH28"/>
    <mergeCell ref="S29:T29"/>
    <mergeCell ref="Z29:AA29"/>
    <mergeCell ref="AG29:AH29"/>
    <mergeCell ref="AB25:AD25"/>
    <mergeCell ref="AG25:AH25"/>
    <mergeCell ref="AI25:AK25"/>
    <mergeCell ref="E26:K26"/>
    <mergeCell ref="E27:K27"/>
    <mergeCell ref="S27:T27"/>
    <mergeCell ref="Z27:AA27"/>
    <mergeCell ref="AG27:AH27"/>
  </mergeCells>
  <phoneticPr fontId="225"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topLeftCell="A19" zoomScale="80" zoomScaleNormal="80" workbookViewId="0">
      <selection activeCell="A19" sqref="A1:XFD1048576"/>
    </sheetView>
  </sheetViews>
  <sheetFormatPr defaultColWidth="9" defaultRowHeight="14.25"/>
  <cols>
    <col min="1" max="1" width="16.625" style="491" customWidth="1"/>
    <col min="2" max="3" width="22.375" style="491" customWidth="1"/>
    <col min="4" max="4" width="23" style="491" customWidth="1"/>
    <col min="5" max="16384" width="9" style="491"/>
  </cols>
  <sheetData>
    <row r="1" spans="1:4" ht="18.75">
      <c r="A1" s="3201" t="s">
        <v>114</v>
      </c>
      <c r="B1" s="3201"/>
      <c r="C1" s="3201"/>
      <c r="D1" s="3201"/>
    </row>
    <row r="2" spans="1:4" ht="18">
      <c r="A2" s="3202" t="s">
        <v>115</v>
      </c>
      <c r="B2" s="3202"/>
      <c r="C2" s="3202"/>
      <c r="D2" s="3202"/>
    </row>
    <row r="3" spans="1:4" ht="18.75">
      <c r="A3" s="2932" t="s">
        <v>116</v>
      </c>
      <c r="B3" s="2932" t="s">
        <v>117</v>
      </c>
      <c r="C3" s="2932" t="s">
        <v>118</v>
      </c>
      <c r="D3" s="2932" t="s">
        <v>119</v>
      </c>
    </row>
    <row r="4" spans="1:4" ht="56.25" customHeight="1">
      <c r="A4" s="2933">
        <f>项目基本情况!B4</f>
        <v>0</v>
      </c>
      <c r="B4" s="2934">
        <f>项目基本情况!C4</f>
        <v>0</v>
      </c>
      <c r="C4" s="2935"/>
      <c r="D4" s="2936" t="s">
        <v>120</v>
      </c>
    </row>
    <row r="5" spans="1:4" ht="56.25" customHeight="1">
      <c r="A5" s="2933">
        <f>项目基本情况!D4</f>
        <v>0</v>
      </c>
      <c r="B5" s="2934">
        <f>项目基本情况!E4</f>
        <v>0</v>
      </c>
      <c r="C5" s="2937"/>
      <c r="D5" s="2936" t="s">
        <v>120</v>
      </c>
    </row>
    <row r="6" spans="1:4" ht="18">
      <c r="A6" s="3202" t="s">
        <v>121</v>
      </c>
      <c r="B6" s="3202"/>
      <c r="C6" s="3202"/>
      <c r="D6" s="3202"/>
    </row>
    <row r="7" spans="1:4" ht="18.75">
      <c r="A7" s="2932" t="s">
        <v>116</v>
      </c>
      <c r="B7" s="2934" t="s">
        <v>122</v>
      </c>
      <c r="C7" s="2932" t="s">
        <v>118</v>
      </c>
      <c r="D7" s="2932" t="s">
        <v>119</v>
      </c>
    </row>
    <row r="8" spans="1:4" ht="56.25" customHeight="1">
      <c r="A8" s="2938" t="s">
        <v>123</v>
      </c>
      <c r="B8" s="2938" t="s">
        <v>124</v>
      </c>
      <c r="C8" s="2935"/>
      <c r="D8" s="2936" t="s">
        <v>120</v>
      </c>
    </row>
    <row r="9" spans="1:4">
      <c r="A9" s="2939"/>
      <c r="B9" s="2939"/>
      <c r="C9" s="2939"/>
      <c r="D9" s="2939"/>
    </row>
    <row r="10" spans="1:4" ht="18.75">
      <c r="A10" s="2931" t="s">
        <v>125</v>
      </c>
      <c r="B10" s="2939"/>
      <c r="C10" s="2939"/>
      <c r="D10" s="2939"/>
    </row>
    <row r="11" spans="1:4" ht="30" customHeight="1">
      <c r="A11" s="3203" t="s">
        <v>126</v>
      </c>
      <c r="B11" s="3204"/>
      <c r="C11" s="3204"/>
      <c r="D11" s="3204"/>
    </row>
    <row r="12" spans="1:4" ht="15.75">
      <c r="A12" s="320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05"/>
      <c r="C12" s="3205"/>
      <c r="D12" s="3205"/>
    </row>
    <row r="13" spans="1:4" ht="30" customHeight="1">
      <c r="A13" s="320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05"/>
      <c r="C13" s="3205"/>
      <c r="D13" s="3205"/>
    </row>
    <row r="14" spans="1:4" ht="15.75" customHeight="1">
      <c r="A14" s="3204" t="str">
        <f>IF(项目基本情况!B8="抵押","4.本次评估估价师所知悉的法定优先受偿款情况说明如下：","——")</f>
        <v>4.本次评估估价师所知悉的法定优先受偿款情况说明如下：</v>
      </c>
      <c r="B14" s="3205"/>
      <c r="C14" s="3205"/>
      <c r="D14" s="3205"/>
    </row>
    <row r="15" spans="1:4" ht="42" customHeight="1">
      <c r="A15" s="320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04"/>
      <c r="C15" s="3204"/>
      <c r="D15" s="3204"/>
    </row>
    <row r="16" spans="1:4" ht="30" customHeight="1">
      <c r="A16" s="3206" t="s">
        <v>127</v>
      </c>
      <c r="B16" s="3206"/>
      <c r="C16" s="3206"/>
      <c r="D16" s="3206"/>
    </row>
    <row r="17" spans="1:4" ht="144" customHeight="1">
      <c r="A17" s="3206" t="s">
        <v>128</v>
      </c>
      <c r="B17" s="3206"/>
      <c r="C17" s="3206"/>
      <c r="D17" s="3206"/>
    </row>
    <row r="18" spans="1:4" ht="15.75" customHeight="1">
      <c r="A18" s="3204" t="str">
        <f>IF(项目基本情况!B8="抵押",结果表!K120,"——")</f>
        <v>故，本次评估不存在估价师知悉的法定优先受偿款</v>
      </c>
      <c r="B18" s="3204"/>
      <c r="C18" s="3204"/>
      <c r="D18" s="3204"/>
    </row>
    <row r="19" spans="1:4" ht="46.5" customHeight="1">
      <c r="A19" s="320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04"/>
      <c r="C19" s="3204"/>
      <c r="D19" s="3204"/>
    </row>
    <row r="20" spans="1:4" ht="57.75" customHeight="1">
      <c r="A20" s="320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04"/>
      <c r="C20" s="3204"/>
      <c r="D20" s="3204"/>
    </row>
    <row r="21" spans="1:4" ht="57.75" customHeight="1">
      <c r="A21" s="320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08"/>
      <c r="C21" s="3208"/>
      <c r="D21" s="3208"/>
    </row>
    <row r="22" spans="1:4" ht="18.75" customHeight="1">
      <c r="A22" s="3209" t="s">
        <v>129</v>
      </c>
      <c r="B22" s="3209"/>
      <c r="C22" s="3209"/>
      <c r="D22" s="3209"/>
    </row>
    <row r="23" spans="1:4">
      <c r="A23" s="2940"/>
      <c r="B23" s="2941"/>
      <c r="C23" s="2941"/>
      <c r="D23" s="2941"/>
    </row>
    <row r="24" spans="1:4">
      <c r="A24" s="2940"/>
      <c r="B24" s="2941"/>
      <c r="C24" s="2941"/>
      <c r="D24" s="2941"/>
    </row>
    <row r="25" spans="1:4" ht="18.75">
      <c r="A25" s="2942" t="s">
        <v>130</v>
      </c>
    </row>
    <row r="26" spans="1:4" ht="18">
      <c r="A26" s="2943"/>
    </row>
    <row r="27" spans="1:4" ht="18.75">
      <c r="A27" s="2943" t="s">
        <v>131</v>
      </c>
    </row>
    <row r="30" spans="1:4" ht="18.75">
      <c r="D30" s="2942" t="s">
        <v>132</v>
      </c>
    </row>
    <row r="31" spans="1:4" ht="13.5" customHeight="1">
      <c r="C31" s="3207">
        <v>42551</v>
      </c>
      <c r="D31" s="3207"/>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25" type="noConversion"/>
  <pageMargins left="0.98402777777777795" right="0.78680555555555598" top="0.98402777777777795" bottom="0.98402777777777795" header="0.59027777777777801" footer="0.78680555555555598"/>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workbookViewId="0">
      <selection activeCell="C5" sqref="C5"/>
    </sheetView>
  </sheetViews>
  <sheetFormatPr defaultColWidth="9" defaultRowHeight="13.5"/>
  <cols>
    <col min="1" max="2" width="13.125" style="2927" customWidth="1"/>
    <col min="3" max="10" width="12.5" style="2927" customWidth="1"/>
    <col min="11" max="16384" width="9" style="2927"/>
  </cols>
  <sheetData>
    <row r="1" spans="1:10" ht="18.75">
      <c r="A1" s="2928" t="s">
        <v>133</v>
      </c>
      <c r="B1" s="2929"/>
      <c r="C1" s="2929"/>
      <c r="D1" s="2929"/>
      <c r="E1" s="2929"/>
      <c r="F1" s="2929"/>
      <c r="G1" s="2929"/>
      <c r="H1" s="2929"/>
      <c r="I1" s="2929"/>
      <c r="J1" s="2929"/>
    </row>
    <row r="2" spans="1:10" ht="18.75">
      <c r="A2" s="2930"/>
      <c r="B2" s="2929"/>
      <c r="C2" s="2929"/>
      <c r="D2" s="2929"/>
      <c r="E2" s="2929"/>
      <c r="F2" s="2929"/>
      <c r="G2" s="2929"/>
      <c r="H2" s="2929"/>
      <c r="I2" s="2929"/>
      <c r="J2" s="2929"/>
    </row>
    <row r="3" spans="1:10">
      <c r="A3" s="2929"/>
      <c r="B3" s="2929"/>
      <c r="C3" s="2929"/>
      <c r="D3" s="2929"/>
      <c r="E3" s="2929"/>
      <c r="F3" s="2929"/>
      <c r="G3" s="2929"/>
      <c r="H3" s="2929"/>
      <c r="I3" s="2929"/>
      <c r="J3" s="2929"/>
    </row>
    <row r="4" spans="1:10">
      <c r="A4" s="2929"/>
      <c r="B4" s="2929"/>
      <c r="C4" s="2929"/>
      <c r="D4" s="2929"/>
      <c r="E4" s="2929"/>
      <c r="F4" s="2929"/>
      <c r="G4" s="2929"/>
      <c r="H4" s="2929"/>
      <c r="I4" s="2929"/>
      <c r="J4" s="2929"/>
    </row>
    <row r="5" spans="1:10">
      <c r="A5" s="2929"/>
      <c r="B5" s="2929"/>
      <c r="C5" s="2929"/>
      <c r="D5" s="2929"/>
      <c r="E5" s="2929"/>
      <c r="F5" s="2929"/>
      <c r="G5" s="2929"/>
      <c r="H5" s="2929"/>
      <c r="I5" s="2929"/>
      <c r="J5" s="2929"/>
    </row>
    <row r="6" spans="1:10">
      <c r="A6" s="2929"/>
      <c r="B6" s="2929"/>
      <c r="C6" s="2929"/>
      <c r="D6" s="2929"/>
      <c r="E6" s="2929"/>
      <c r="F6" s="2929"/>
      <c r="G6" s="2929"/>
      <c r="H6" s="2929"/>
      <c r="I6" s="2929"/>
      <c r="J6" s="2929"/>
    </row>
    <row r="7" spans="1:10">
      <c r="A7" s="2929"/>
      <c r="B7" s="2929"/>
      <c r="C7" s="2929"/>
      <c r="D7" s="2929"/>
      <c r="E7" s="2929"/>
      <c r="F7" s="2929"/>
      <c r="G7" s="2929"/>
      <c r="H7" s="2929"/>
      <c r="I7" s="2929"/>
      <c r="J7" s="2929"/>
    </row>
    <row r="8" spans="1:10">
      <c r="A8" s="2929"/>
      <c r="B8" s="2929"/>
      <c r="C8" s="2929"/>
      <c r="D8" s="2929"/>
      <c r="E8" s="2929"/>
      <c r="F8" s="2929"/>
      <c r="G8" s="2929"/>
      <c r="H8" s="2929"/>
      <c r="I8" s="2929"/>
      <c r="J8" s="2929"/>
    </row>
    <row r="9" spans="1:10">
      <c r="A9" s="2929"/>
      <c r="B9" s="2929"/>
      <c r="C9" s="2929"/>
      <c r="D9" s="2929"/>
      <c r="E9" s="2929"/>
      <c r="F9" s="2929"/>
      <c r="G9" s="2929"/>
      <c r="H9" s="2929"/>
      <c r="I9" s="2929"/>
      <c r="J9" s="2929"/>
    </row>
    <row r="10" spans="1:10">
      <c r="A10" s="2929"/>
      <c r="B10" s="2929"/>
      <c r="C10" s="2929"/>
      <c r="D10" s="2929"/>
      <c r="E10" s="2929"/>
      <c r="F10" s="2929"/>
      <c r="G10" s="2929"/>
      <c r="H10" s="2929"/>
      <c r="I10" s="2929"/>
      <c r="J10" s="2929"/>
    </row>
    <row r="11" spans="1:10">
      <c r="A11" s="2929"/>
      <c r="B11" s="2929"/>
      <c r="C11" s="2929"/>
      <c r="D11" s="2929"/>
      <c r="E11" s="2929"/>
      <c r="F11" s="2929"/>
      <c r="G11" s="2929"/>
      <c r="H11" s="2929"/>
      <c r="I11" s="2929"/>
      <c r="J11" s="2929"/>
    </row>
    <row r="12" spans="1:10">
      <c r="A12" s="2929"/>
      <c r="B12" s="2929"/>
      <c r="C12" s="2929"/>
      <c r="D12" s="2929"/>
      <c r="E12" s="2929"/>
      <c r="F12" s="2929"/>
      <c r="G12" s="2929"/>
      <c r="H12" s="2929"/>
      <c r="I12" s="2929"/>
      <c r="J12" s="2929"/>
    </row>
    <row r="13" spans="1:10">
      <c r="A13" s="2929"/>
      <c r="B13" s="2929"/>
      <c r="C13" s="2929"/>
      <c r="D13" s="2929"/>
      <c r="E13" s="2929"/>
      <c r="F13" s="2929"/>
      <c r="G13" s="2929"/>
      <c r="H13" s="2929"/>
      <c r="I13" s="2929"/>
      <c r="J13" s="2929"/>
    </row>
    <row r="14" spans="1:10">
      <c r="A14" s="2929"/>
      <c r="B14" s="2929"/>
      <c r="C14" s="2929"/>
      <c r="D14" s="2929"/>
      <c r="E14" s="2929"/>
      <c r="F14" s="2929"/>
      <c r="G14" s="2929"/>
      <c r="H14" s="2929"/>
      <c r="I14" s="2929"/>
      <c r="J14" s="2929"/>
    </row>
    <row r="15" spans="1:10">
      <c r="A15" s="2929"/>
      <c r="B15" s="2929"/>
      <c r="C15" s="2929"/>
      <c r="D15" s="2929"/>
      <c r="E15" s="2929"/>
      <c r="F15" s="2929"/>
      <c r="G15" s="2929"/>
      <c r="H15" s="2929"/>
      <c r="I15" s="2929"/>
      <c r="J15" s="2929"/>
    </row>
    <row r="16" spans="1:10">
      <c r="A16" s="2929"/>
      <c r="B16" s="2929"/>
      <c r="C16" s="2929"/>
      <c r="D16" s="2929"/>
      <c r="E16" s="2929"/>
      <c r="F16" s="2929"/>
      <c r="G16" s="2929"/>
      <c r="H16" s="2929"/>
      <c r="I16" s="2929"/>
      <c r="J16" s="2929"/>
    </row>
    <row r="17" spans="1:10">
      <c r="A17" s="2929"/>
      <c r="B17" s="2929"/>
      <c r="C17" s="2929"/>
      <c r="D17" s="2929"/>
      <c r="E17" s="2929"/>
      <c r="F17" s="2929"/>
      <c r="G17" s="2929"/>
      <c r="H17" s="2929"/>
      <c r="I17" s="2929"/>
      <c r="J17" s="2929"/>
    </row>
    <row r="18" spans="1:10">
      <c r="A18" s="2929"/>
      <c r="B18" s="2929"/>
      <c r="C18" s="2929"/>
      <c r="D18" s="2929"/>
      <c r="E18" s="2929"/>
      <c r="F18" s="2929"/>
      <c r="G18" s="2929"/>
      <c r="H18" s="2929"/>
      <c r="I18" s="2929"/>
      <c r="J18" s="2929"/>
    </row>
    <row r="19" spans="1:10">
      <c r="A19" s="2929"/>
      <c r="B19" s="2929"/>
      <c r="C19" s="2929"/>
      <c r="D19" s="2929"/>
      <c r="E19" s="2929"/>
      <c r="F19" s="2929"/>
      <c r="G19" s="2929"/>
      <c r="H19" s="2929"/>
      <c r="I19" s="2929"/>
      <c r="J19" s="2929"/>
    </row>
    <row r="20" spans="1:10">
      <c r="A20" s="2929"/>
      <c r="B20" s="2929"/>
      <c r="C20" s="2929"/>
      <c r="D20" s="2929"/>
      <c r="E20" s="2929"/>
      <c r="F20" s="2929"/>
      <c r="G20" s="2929"/>
      <c r="H20" s="2929"/>
      <c r="I20" s="2929"/>
      <c r="J20" s="2929"/>
    </row>
    <row r="21" spans="1:10">
      <c r="A21" s="2929"/>
      <c r="B21" s="2929"/>
      <c r="C21" s="2929"/>
      <c r="D21" s="2929"/>
      <c r="E21" s="2929"/>
      <c r="F21" s="2929"/>
      <c r="G21" s="2929"/>
      <c r="H21" s="2929"/>
      <c r="I21" s="2929"/>
      <c r="J21" s="2929"/>
    </row>
    <row r="22" spans="1:10">
      <c r="A22" s="2929"/>
      <c r="B22" s="2929"/>
      <c r="C22" s="2929"/>
      <c r="D22" s="2929"/>
      <c r="E22" s="2929"/>
      <c r="F22" s="2929"/>
      <c r="G22" s="2929"/>
      <c r="H22" s="2929"/>
      <c r="I22" s="2929"/>
      <c r="J22" s="2929"/>
    </row>
    <row r="23" spans="1:10">
      <c r="A23" s="2929"/>
      <c r="B23" s="2929"/>
      <c r="C23" s="2929"/>
      <c r="D23" s="2929"/>
      <c r="E23" s="2929"/>
      <c r="F23" s="2929"/>
      <c r="G23" s="2929"/>
      <c r="H23" s="2929"/>
      <c r="I23" s="2929"/>
      <c r="J23" s="2929"/>
    </row>
    <row r="24" spans="1:10">
      <c r="A24" s="2929"/>
      <c r="B24" s="2929"/>
      <c r="C24" s="2929"/>
      <c r="D24" s="2929"/>
      <c r="E24" s="2929"/>
      <c r="F24" s="2929"/>
      <c r="G24" s="2929"/>
      <c r="H24" s="2929"/>
      <c r="I24" s="2929"/>
      <c r="J24" s="2929"/>
    </row>
    <row r="25" spans="1:10">
      <c r="A25" s="2929"/>
      <c r="B25" s="2929"/>
      <c r="C25" s="2929"/>
      <c r="D25" s="2929"/>
      <c r="E25" s="2929"/>
      <c r="F25" s="2929"/>
      <c r="G25" s="2929"/>
      <c r="H25" s="2929"/>
      <c r="I25" s="2929"/>
      <c r="J25" s="2929"/>
    </row>
    <row r="26" spans="1:10">
      <c r="A26" s="2929"/>
      <c r="B26" s="2929"/>
      <c r="C26" s="2929"/>
      <c r="D26" s="2929"/>
      <c r="E26" s="2929"/>
      <c r="F26" s="2929"/>
      <c r="G26" s="2929"/>
      <c r="H26" s="2929"/>
      <c r="I26" s="2929"/>
      <c r="J26" s="2929"/>
    </row>
    <row r="27" spans="1:10">
      <c r="A27" s="2929"/>
      <c r="B27" s="2929"/>
      <c r="C27" s="2929"/>
      <c r="D27" s="2929"/>
      <c r="E27" s="2929"/>
      <c r="F27" s="2929"/>
      <c r="G27" s="2929"/>
      <c r="H27" s="2929"/>
      <c r="I27" s="2929"/>
      <c r="J27" s="2929"/>
    </row>
    <row r="28" spans="1:10">
      <c r="A28" s="2929"/>
      <c r="B28" s="2929"/>
      <c r="C28" s="2929"/>
      <c r="D28" s="2929"/>
      <c r="E28" s="2929"/>
      <c r="F28" s="2929"/>
      <c r="G28" s="2929"/>
      <c r="H28" s="2929"/>
      <c r="I28" s="2929"/>
      <c r="J28" s="2929"/>
    </row>
    <row r="29" spans="1:10">
      <c r="A29" s="2929"/>
      <c r="B29" s="2929"/>
      <c r="C29" s="2929"/>
      <c r="D29" s="2929"/>
      <c r="E29" s="2929"/>
      <c r="F29" s="2929"/>
      <c r="G29" s="2929"/>
      <c r="H29" s="2929"/>
      <c r="I29" s="2929"/>
      <c r="J29" s="2929"/>
    </row>
    <row r="30" spans="1:10">
      <c r="A30" s="2929"/>
      <c r="B30" s="2929"/>
      <c r="C30" s="2929"/>
      <c r="D30" s="2929"/>
      <c r="E30" s="2929"/>
      <c r="F30" s="2929"/>
      <c r="G30" s="2929"/>
      <c r="H30" s="2929"/>
      <c r="I30" s="2929"/>
      <c r="J30" s="2929"/>
    </row>
    <row r="31" spans="1:10">
      <c r="A31" s="2929"/>
      <c r="B31" s="2929"/>
      <c r="C31" s="2929"/>
      <c r="D31" s="2929"/>
      <c r="E31" s="2929"/>
      <c r="F31" s="2929"/>
      <c r="G31" s="2929"/>
      <c r="H31" s="2929"/>
      <c r="I31" s="2929"/>
      <c r="J31" s="2929"/>
    </row>
  </sheetData>
  <sheetProtection password="C66D" sheet="1" objects="1" scenarios="1" formatCells="0" formatColumns="0" formatRows="0" insertColumns="0" insertRows="0" deleteColumns="0" deleteRows="0"/>
  <phoneticPr fontId="225" type="noConversion"/>
  <printOptions horizontalCentered="1"/>
  <pageMargins left="0.98402777777777795" right="0.98402777777777795" top="1.25972222222222" bottom="0.98402777777777795" header="0.86597222222222203" footer="0.59027777777777801"/>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C10" sqref="C10"/>
    </sheetView>
  </sheetViews>
  <sheetFormatPr defaultColWidth="14.5" defaultRowHeight="14.25"/>
  <cols>
    <col min="1" max="1" width="14.5" style="2910" customWidth="1"/>
    <col min="2" max="16384" width="14.5" style="2860"/>
  </cols>
  <sheetData>
    <row r="1" spans="1:7" s="2909" customFormat="1" ht="18.75">
      <c r="A1" s="2911" t="s">
        <v>134</v>
      </c>
    </row>
    <row r="3" spans="1:7">
      <c r="A3" s="2912" t="s">
        <v>135</v>
      </c>
      <c r="B3" s="2860" t="s">
        <v>136</v>
      </c>
      <c r="G3" s="2913"/>
    </row>
    <row r="4" spans="1:7">
      <c r="G4" s="2913"/>
    </row>
    <row r="5" spans="1:7">
      <c r="A5" s="2914" t="s">
        <v>137</v>
      </c>
      <c r="B5" s="2860" t="s">
        <v>138</v>
      </c>
      <c r="G5" s="2913"/>
    </row>
    <row r="6" spans="1:7">
      <c r="G6" s="2913"/>
    </row>
    <row r="7" spans="1:7">
      <c r="A7" s="2915" t="s">
        <v>139</v>
      </c>
      <c r="B7" s="2860" t="s">
        <v>140</v>
      </c>
      <c r="G7" s="2913"/>
    </row>
    <row r="8" spans="1:7">
      <c r="G8" s="2913"/>
    </row>
    <row r="9" spans="1:7">
      <c r="A9" s="2916" t="s">
        <v>141</v>
      </c>
      <c r="B9" s="2860" t="s">
        <v>142</v>
      </c>
    </row>
    <row r="11" spans="1:7">
      <c r="A11" s="2917" t="s">
        <v>143</v>
      </c>
      <c r="B11" s="2918" t="s">
        <v>144</v>
      </c>
    </row>
    <row r="13" spans="1:7">
      <c r="A13" s="2919" t="s">
        <v>145</v>
      </c>
    </row>
    <row r="15" spans="1:7" ht="13.5">
      <c r="A15" s="3212" t="s">
        <v>146</v>
      </c>
      <c r="B15" s="3217" t="s">
        <v>147</v>
      </c>
      <c r="C15" s="3211"/>
    </row>
    <row r="16" spans="1:7" ht="13.5">
      <c r="A16" s="3213"/>
      <c r="B16" s="3217" t="s">
        <v>148</v>
      </c>
      <c r="C16" s="3211"/>
    </row>
    <row r="17" spans="1:3" ht="13.5">
      <c r="A17" s="3213"/>
      <c r="B17" s="3216" t="s">
        <v>149</v>
      </c>
      <c r="C17" s="2920" t="s">
        <v>146</v>
      </c>
    </row>
    <row r="18" spans="1:3" ht="13.5">
      <c r="A18" s="3213"/>
      <c r="B18" s="3216"/>
      <c r="C18" s="2920" t="s">
        <v>150</v>
      </c>
    </row>
    <row r="19" spans="1:3" ht="13.5">
      <c r="A19" s="3213"/>
      <c r="B19" s="3216"/>
      <c r="C19" s="2920" t="s">
        <v>151</v>
      </c>
    </row>
    <row r="20" spans="1:3" ht="13.5">
      <c r="A20" s="3214"/>
      <c r="B20" s="3210" t="s">
        <v>152</v>
      </c>
      <c r="C20" s="3211"/>
    </row>
    <row r="21" spans="1:3" ht="13.5">
      <c r="A21" s="2921" t="s">
        <v>153</v>
      </c>
      <c r="B21" s="2922"/>
      <c r="C21" s="2923"/>
    </row>
    <row r="22" spans="1:3" ht="13.5">
      <c r="A22" s="3215" t="s">
        <v>154</v>
      </c>
      <c r="B22" s="3210" t="s">
        <v>155</v>
      </c>
      <c r="C22" s="3211"/>
    </row>
    <row r="23" spans="1:3" ht="13.5">
      <c r="A23" s="3215"/>
      <c r="B23" s="3210" t="s">
        <v>156</v>
      </c>
      <c r="C23" s="3211"/>
    </row>
    <row r="24" spans="1:3" ht="13.5">
      <c r="A24" s="3215"/>
      <c r="B24" s="3210" t="s">
        <v>157</v>
      </c>
      <c r="C24" s="3211"/>
    </row>
    <row r="25" spans="1:3" ht="13.5">
      <c r="A25" s="3215"/>
      <c r="B25" s="3216" t="s">
        <v>158</v>
      </c>
      <c r="C25" s="2920" t="s">
        <v>159</v>
      </c>
    </row>
    <row r="26" spans="1:3" ht="13.5">
      <c r="A26" s="3215"/>
      <c r="B26" s="3216"/>
      <c r="C26" s="2920" t="s">
        <v>160</v>
      </c>
    </row>
    <row r="27" spans="1:3" ht="13.5">
      <c r="A27" s="3215"/>
      <c r="B27" s="3216"/>
      <c r="C27" s="2920" t="s">
        <v>161</v>
      </c>
    </row>
    <row r="28" spans="1:3" ht="13.5">
      <c r="A28" s="3215"/>
      <c r="B28" s="3216"/>
      <c r="C28" s="2920" t="s">
        <v>162</v>
      </c>
    </row>
    <row r="29" spans="1:3" ht="13.5">
      <c r="A29" s="3215"/>
      <c r="B29" s="3216"/>
      <c r="C29" s="2920" t="s">
        <v>163</v>
      </c>
    </row>
    <row r="30" spans="1:3" ht="13.5">
      <c r="A30" s="3215"/>
      <c r="B30" s="3216"/>
      <c r="C30" s="2920" t="s">
        <v>164</v>
      </c>
    </row>
    <row r="31" spans="1:3" ht="13.5">
      <c r="A31" s="3215"/>
      <c r="B31" s="3216"/>
      <c r="C31" s="2920" t="s">
        <v>165</v>
      </c>
    </row>
    <row r="32" spans="1:3" ht="13.5">
      <c r="A32" s="3215"/>
      <c r="B32" s="3216"/>
      <c r="C32" s="2920" t="s">
        <v>166</v>
      </c>
    </row>
    <row r="33" spans="1:3" ht="13.5">
      <c r="A33" s="3215"/>
      <c r="B33" s="3216"/>
      <c r="C33" s="2920" t="s">
        <v>167</v>
      </c>
    </row>
    <row r="34" spans="1:3">
      <c r="A34" s="2924" t="s">
        <v>168</v>
      </c>
    </row>
    <row r="37" spans="1:3">
      <c r="A37" s="2924" t="s">
        <v>169</v>
      </c>
    </row>
    <row r="38" spans="1:3" ht="13.5">
      <c r="A38" s="2925" t="s">
        <v>170</v>
      </c>
    </row>
    <row r="39" spans="1:3" ht="13.5">
      <c r="A39" s="2925" t="s">
        <v>171</v>
      </c>
    </row>
    <row r="40" spans="1:3" ht="13.5">
      <c r="A40" s="2925" t="s">
        <v>172</v>
      </c>
    </row>
    <row r="41" spans="1:3" ht="13.5">
      <c r="A41" s="2926" t="s">
        <v>173</v>
      </c>
    </row>
    <row r="42" spans="1:3" ht="13.5">
      <c r="A42" s="2925" t="s">
        <v>174</v>
      </c>
    </row>
  </sheetData>
  <sheetProtection password="C66D"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5" type="noConversion"/>
  <dataValidations count="1">
    <dataValidation type="list" allowBlank="1" showInputMessage="1" showErrorMessage="1" sqref="A5">
      <formula1>"下拉菜单,111,222,333"</formula1>
    </dataValidation>
  </dataValidations>
  <pageMargins left="0.69930555555555596" right="0.69930555555555596"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C8" sqref="C8"/>
    </sheetView>
  </sheetViews>
  <sheetFormatPr defaultColWidth="22.625" defaultRowHeight="24" customHeight="1"/>
  <cols>
    <col min="1" max="2" width="22.625" style="2880"/>
    <col min="3" max="3" width="23.625" style="2880" customWidth="1"/>
    <col min="4" max="5" width="22.625" style="2880"/>
    <col min="6" max="6" width="25.625" style="2880" customWidth="1"/>
    <col min="7" max="16384" width="22.625" style="2880"/>
  </cols>
  <sheetData>
    <row r="2" spans="1:6" ht="24" customHeight="1">
      <c r="A2" s="2881" t="s">
        <v>175</v>
      </c>
      <c r="B2" s="2882">
        <f ca="1">TODAY()</f>
        <v>43383</v>
      </c>
      <c r="C2" s="2883" t="s">
        <v>176</v>
      </c>
      <c r="D2" s="2883"/>
    </row>
    <row r="3" spans="1:6" ht="24" customHeight="1">
      <c r="A3" s="2884" t="s">
        <v>177</v>
      </c>
      <c r="B3" s="2885" t="s">
        <v>178</v>
      </c>
      <c r="C3" s="2886" t="s">
        <v>179</v>
      </c>
      <c r="D3" s="2887" t="s">
        <v>180</v>
      </c>
      <c r="E3" s="2888" t="s">
        <v>181</v>
      </c>
      <c r="F3" s="2885" t="s">
        <v>179</v>
      </c>
    </row>
    <row r="4" spans="1:6" ht="24" customHeight="1">
      <c r="A4" s="2889" t="s">
        <v>182</v>
      </c>
      <c r="B4" s="2888">
        <f ca="1">IF(C4&lt;B2,"已过期",1119970066)</f>
        <v>1119970066</v>
      </c>
      <c r="C4" s="2890">
        <v>43849</v>
      </c>
      <c r="D4" s="2891" t="s">
        <v>182</v>
      </c>
      <c r="E4" s="2888">
        <f ca="1">IF(F4&lt;B2,"已过期",96010014)</f>
        <v>96010014</v>
      </c>
      <c r="F4" s="2892">
        <v>47118</v>
      </c>
    </row>
    <row r="5" spans="1:6" ht="24" customHeight="1">
      <c r="A5" s="2889" t="s">
        <v>183</v>
      </c>
      <c r="B5" s="2888">
        <f ca="1">IF(C5&lt;B2,"已过期",1119970074)</f>
        <v>1119970074</v>
      </c>
      <c r="C5" s="2890">
        <v>43849</v>
      </c>
      <c r="D5" s="2891" t="s">
        <v>183</v>
      </c>
      <c r="E5" s="2888">
        <f ca="1">IF(F5&lt;B2,"已过期",2002110027)</f>
        <v>2002110027</v>
      </c>
      <c r="F5" s="2892">
        <v>46752</v>
      </c>
    </row>
    <row r="6" spans="1:6" ht="24" customHeight="1">
      <c r="A6" s="2889" t="s">
        <v>184</v>
      </c>
      <c r="B6" s="2888">
        <f ca="1">IF(C6&lt;B2,"已过期",1119970111)</f>
        <v>1119970111</v>
      </c>
      <c r="C6" s="2890">
        <v>43849</v>
      </c>
      <c r="D6" s="2891" t="s">
        <v>184</v>
      </c>
      <c r="E6" s="2888">
        <f ca="1">IF(F6&lt;B2,"已过期",94010078)</f>
        <v>94010078</v>
      </c>
      <c r="F6" s="2892">
        <v>46387</v>
      </c>
    </row>
    <row r="7" spans="1:6" ht="24" customHeight="1">
      <c r="A7" s="2889" t="s">
        <v>185</v>
      </c>
      <c r="B7" s="2888">
        <f ca="1">IF(C7&lt;B2,"已过期",1120050019)</f>
        <v>1120050019</v>
      </c>
      <c r="C7" s="2890">
        <v>44395</v>
      </c>
      <c r="D7" s="2891" t="s">
        <v>185</v>
      </c>
      <c r="E7" s="2888">
        <f ca="1">IF(F7&lt;B2,"已过期",2002110030)</f>
        <v>2002110030</v>
      </c>
      <c r="F7" s="2892">
        <v>46387</v>
      </c>
    </row>
    <row r="8" spans="1:6" ht="24" customHeight="1">
      <c r="A8" s="2889" t="s">
        <v>186</v>
      </c>
      <c r="B8" s="2888">
        <f ca="1">IF(C8&lt;B2,"已过期",1120000080)</f>
        <v>1120000080</v>
      </c>
      <c r="C8" s="2890">
        <v>43849</v>
      </c>
      <c r="D8" s="2891" t="s">
        <v>186</v>
      </c>
      <c r="E8" s="2888">
        <f ca="1">IF(F8&lt;B2,"已过期",2000110082)</f>
        <v>2000110082</v>
      </c>
      <c r="F8" s="2892">
        <v>46387</v>
      </c>
    </row>
    <row r="9" spans="1:6" ht="24" customHeight="1">
      <c r="A9" s="2889" t="s">
        <v>187</v>
      </c>
      <c r="B9" s="2888">
        <f ca="1">IF(C9&lt;B2,"已过期",1419970001)</f>
        <v>1419970001</v>
      </c>
      <c r="C9" s="2890">
        <v>43867</v>
      </c>
      <c r="D9" s="2891" t="s">
        <v>187</v>
      </c>
      <c r="E9" s="2888">
        <f ca="1">IF(F9&lt;B2,"已过期",2002110125)</f>
        <v>2002110125</v>
      </c>
      <c r="F9" s="2892">
        <v>47118</v>
      </c>
    </row>
    <row r="10" spans="1:6" ht="24" customHeight="1">
      <c r="A10" s="2889" t="s">
        <v>188</v>
      </c>
      <c r="B10" s="2888">
        <f ca="1">IF(C10&lt;B2,"已过期",1120060040)</f>
        <v>1120060040</v>
      </c>
      <c r="C10" s="2890">
        <v>43483</v>
      </c>
      <c r="D10" s="2891" t="s">
        <v>188</v>
      </c>
      <c r="E10" s="2888">
        <f ca="1">IF(F10&lt;B2,"已过期",2004110096)</f>
        <v>2004110096</v>
      </c>
      <c r="F10" s="2892">
        <v>47118</v>
      </c>
    </row>
    <row r="11" spans="1:6" ht="24" customHeight="1">
      <c r="A11" s="2889" t="s">
        <v>189</v>
      </c>
      <c r="B11" s="2888">
        <f ca="1">IF(C11&lt;B2,"已过期",1120100036)</f>
        <v>1120100036</v>
      </c>
      <c r="C11" s="2890">
        <v>43622</v>
      </c>
      <c r="D11" s="2891" t="s">
        <v>189</v>
      </c>
      <c r="E11" s="2888">
        <f ca="1">IF(F11&lt;B2,"已过期",2010110070)</f>
        <v>2010110070</v>
      </c>
      <c r="F11" s="2892">
        <v>47907</v>
      </c>
    </row>
    <row r="12" spans="1:6" ht="24" customHeight="1">
      <c r="A12" s="2889" t="s">
        <v>190</v>
      </c>
      <c r="B12" s="2888">
        <v>1120110054</v>
      </c>
      <c r="C12" s="2893">
        <v>43937</v>
      </c>
      <c r="D12" s="2889" t="s">
        <v>190</v>
      </c>
      <c r="E12" s="2888">
        <v>2008110060</v>
      </c>
      <c r="F12" s="2892">
        <v>47177</v>
      </c>
    </row>
    <row r="13" spans="1:6" ht="24" customHeight="1">
      <c r="A13" s="2889" t="s">
        <v>191</v>
      </c>
      <c r="B13" s="2888">
        <f ca="1">IF(C13&lt;B2,"已过期",1120070131)</f>
        <v>1120070131</v>
      </c>
      <c r="C13" s="2890">
        <v>43814</v>
      </c>
      <c r="D13" s="2891" t="s">
        <v>191</v>
      </c>
      <c r="E13" s="2888">
        <v>2014110011</v>
      </c>
      <c r="F13" s="2892">
        <v>49302</v>
      </c>
    </row>
    <row r="14" spans="1:6" ht="24" customHeight="1">
      <c r="A14" s="2889" t="s">
        <v>192</v>
      </c>
      <c r="B14" s="2888">
        <f ca="1">IF(C14&lt;B2,"已过期",1120130020)</f>
        <v>1120130020</v>
      </c>
      <c r="C14" s="2890">
        <v>43622</v>
      </c>
      <c r="D14" s="2891"/>
      <c r="E14" s="2888"/>
      <c r="F14" s="2888"/>
    </row>
    <row r="15" spans="1:6" ht="24" customHeight="1">
      <c r="A15" s="2894" t="s">
        <v>193</v>
      </c>
      <c r="B15" s="2888">
        <v>1120070085</v>
      </c>
      <c r="C15" s="2890">
        <v>43814</v>
      </c>
      <c r="D15" s="2895" t="s">
        <v>193</v>
      </c>
      <c r="E15" s="2888">
        <v>2004110128</v>
      </c>
      <c r="F15" s="2896">
        <v>47118</v>
      </c>
    </row>
    <row r="16" spans="1:6" ht="24" customHeight="1">
      <c r="A16" s="2889" t="s">
        <v>194</v>
      </c>
      <c r="B16" s="2888">
        <f ca="1">IF(C16&lt;B2,"已过期",1120140022)</f>
        <v>1120140022</v>
      </c>
      <c r="C16" s="2890">
        <v>44029</v>
      </c>
      <c r="D16" s="2891" t="s">
        <v>194</v>
      </c>
      <c r="E16" s="2888">
        <f ca="1">IF(F16&lt;B2,"已过期",2008110059)</f>
        <v>2008110059</v>
      </c>
      <c r="F16" s="2892">
        <v>47177</v>
      </c>
    </row>
    <row r="17" spans="1:7" ht="24" customHeight="1">
      <c r="A17" s="2889"/>
      <c r="B17" s="2888"/>
      <c r="C17" s="2890"/>
      <c r="D17" s="2891"/>
      <c r="E17" s="2888"/>
      <c r="F17" s="2892"/>
    </row>
    <row r="18" spans="1:7" ht="24" customHeight="1">
      <c r="A18" s="2889"/>
      <c r="B18" s="2888"/>
      <c r="C18" s="2890"/>
      <c r="D18" s="2891"/>
      <c r="E18" s="2888"/>
      <c r="F18" s="2892"/>
    </row>
    <row r="19" spans="1:7" ht="24" customHeight="1">
      <c r="A19" s="2889"/>
      <c r="B19" s="2888"/>
      <c r="C19" s="2890"/>
      <c r="D19" s="2891"/>
      <c r="E19" s="2888"/>
      <c r="F19" s="2888"/>
    </row>
    <row r="20" spans="1:7" ht="24" customHeight="1">
      <c r="A20" s="2889"/>
      <c r="B20" s="2888"/>
      <c r="C20" s="2890"/>
      <c r="D20" s="2891"/>
      <c r="E20" s="2888"/>
      <c r="F20" s="2888"/>
    </row>
    <row r="21" spans="1:7" ht="24" customHeight="1">
      <c r="A21" s="2889"/>
      <c r="B21" s="2888"/>
      <c r="C21" s="2890"/>
      <c r="D21" s="2891" t="s">
        <v>195</v>
      </c>
      <c r="E21" s="2888">
        <f ca="1">IF(F21&lt;B2,"已过期",2011110090)</f>
        <v>2011110090</v>
      </c>
      <c r="F21" s="2892">
        <v>48302</v>
      </c>
    </row>
    <row r="22" spans="1:7" ht="24" customHeight="1">
      <c r="A22" s="2889" t="s">
        <v>196</v>
      </c>
      <c r="B22" s="2888">
        <f ca="1">IF(C22&lt;B2,"已过期",1120020033)</f>
        <v>1120020033</v>
      </c>
      <c r="C22" s="2893">
        <v>44339</v>
      </c>
      <c r="D22" s="2891" t="s">
        <v>196</v>
      </c>
      <c r="E22" s="2888">
        <f ca="1">IF(F22&lt;B2,"已过期",2000110137)</f>
        <v>2000110137</v>
      </c>
      <c r="F22" s="2892">
        <v>46387</v>
      </c>
    </row>
    <row r="23" spans="1:7" ht="24" customHeight="1">
      <c r="A23" s="2889" t="s">
        <v>197</v>
      </c>
      <c r="B23" s="2888">
        <f ca="1">IF(C23&lt;B2,"已过期",1120130048)</f>
        <v>1120130048</v>
      </c>
      <c r="C23" s="2890">
        <v>43686</v>
      </c>
      <c r="D23" s="2891"/>
      <c r="E23" s="2888"/>
      <c r="F23" s="2888"/>
    </row>
    <row r="24" spans="1:7" s="2877" customFormat="1" ht="24" customHeight="1">
      <c r="A24" s="2894" t="s">
        <v>124</v>
      </c>
      <c r="B24" s="2894" t="s">
        <v>124</v>
      </c>
      <c r="C24" s="2897" t="s">
        <v>124</v>
      </c>
      <c r="D24" s="2895" t="s">
        <v>124</v>
      </c>
      <c r="E24" s="2894" t="s">
        <v>124</v>
      </c>
      <c r="F24" s="2894" t="s">
        <v>124</v>
      </c>
    </row>
    <row r="25" spans="1:7" ht="24" customHeight="1">
      <c r="A25" s="3218" t="s">
        <v>198</v>
      </c>
      <c r="B25" s="3218"/>
      <c r="C25" s="3218"/>
      <c r="D25" s="3218"/>
      <c r="E25" s="3218"/>
      <c r="F25" s="3218"/>
      <c r="G25" s="3218"/>
    </row>
    <row r="26" spans="1:7" s="2878" customFormat="1" ht="24" customHeight="1">
      <c r="A26" s="3219" t="s">
        <v>199</v>
      </c>
      <c r="B26" s="3219"/>
      <c r="C26" s="3220"/>
      <c r="D26" s="3221" t="s">
        <v>200</v>
      </c>
      <c r="E26" s="3219"/>
      <c r="F26" s="3219"/>
    </row>
    <row r="27" spans="1:7" s="2879" customFormat="1" ht="24" customHeight="1">
      <c r="A27" s="2898" t="s">
        <v>201</v>
      </c>
      <c r="B27" s="2885" t="s">
        <v>202</v>
      </c>
      <c r="C27" s="2886" t="s">
        <v>179</v>
      </c>
      <c r="D27" s="2899" t="s">
        <v>201</v>
      </c>
      <c r="E27" s="2885" t="s">
        <v>202</v>
      </c>
      <c r="F27" s="2885" t="s">
        <v>179</v>
      </c>
    </row>
    <row r="28" spans="1:7" s="2879" customFormat="1" ht="24" customHeight="1">
      <c r="A28" s="2900" t="s">
        <v>203</v>
      </c>
      <c r="B28" s="2901" t="s">
        <v>204</v>
      </c>
      <c r="C28" s="2902">
        <v>43725</v>
      </c>
      <c r="D28" s="2903" t="s">
        <v>205</v>
      </c>
      <c r="E28" s="2900" t="s">
        <v>206</v>
      </c>
      <c r="F28" s="2904">
        <v>44377</v>
      </c>
    </row>
    <row r="29" spans="1:7" s="2879" customFormat="1" ht="24" customHeight="1">
      <c r="A29" s="2900"/>
      <c r="B29" s="2900"/>
      <c r="C29" s="2905"/>
      <c r="D29" s="2903" t="s">
        <v>207</v>
      </c>
      <c r="E29" s="2906" t="s">
        <v>208</v>
      </c>
      <c r="F29" s="2907">
        <v>43281</v>
      </c>
    </row>
    <row r="30" spans="1:7" ht="24" customHeight="1">
      <c r="C30" s="2908"/>
      <c r="D30" s="2908"/>
    </row>
  </sheetData>
  <sheetProtection sheet="1" objects="1" scenarios="1"/>
  <mergeCells count="3">
    <mergeCell ref="A25:G25"/>
    <mergeCell ref="A26:C26"/>
    <mergeCell ref="D26:F26"/>
  </mergeCells>
  <phoneticPr fontId="225" type="noConversion"/>
  <conditionalFormatting sqref="C5">
    <cfRule type="expression" dxfId="213" priority="63">
      <formula>AND($C5-TODAY()&lt;30,TODAY()&lt;$C5)</formula>
    </cfRule>
  </conditionalFormatting>
  <conditionalFormatting sqref="B12">
    <cfRule type="cellIs" dxfId="212" priority="7" stopIfTrue="1" operator="equal">
      <formula>"已过期"</formula>
    </cfRule>
  </conditionalFormatting>
  <conditionalFormatting sqref="C12">
    <cfRule type="expression" dxfId="211" priority="8">
      <formula>AND($C12-TODAY()&lt;30,TODAY()&lt;$C12)</formula>
    </cfRule>
    <cfRule type="cellIs" dxfId="210" priority="9" stopIfTrue="1" operator="lessThan">
      <formula>$B$2</formula>
    </cfRule>
    <cfRule type="expression" dxfId="209" priority="10">
      <formula>AND($C12-TODAY()&lt;30,TODAY()&lt;$C12)</formula>
    </cfRule>
    <cfRule type="cellIs" dxfId="208" priority="11" stopIfTrue="1" operator="lessThan">
      <formula>$B$2</formula>
    </cfRule>
  </conditionalFormatting>
  <conditionalFormatting sqref="E12">
    <cfRule type="cellIs" dxfId="207" priority="6" stopIfTrue="1" operator="equal">
      <formula>"已过期"</formula>
    </cfRule>
  </conditionalFormatting>
  <conditionalFormatting sqref="F12">
    <cfRule type="cellIs" dxfId="206" priority="5" stopIfTrue="1" operator="lessThan">
      <formula>$B$2</formula>
    </cfRule>
  </conditionalFormatting>
  <conditionalFormatting sqref="F13">
    <cfRule type="cellIs" dxfId="205" priority="12" stopIfTrue="1" operator="lessThan">
      <formula>$B$2</formula>
    </cfRule>
  </conditionalFormatting>
  <conditionalFormatting sqref="C14">
    <cfRule type="expression" dxfId="204" priority="54">
      <formula>AND($C14-TODAY()&lt;30,TODAY()&lt;$C14)</formula>
    </cfRule>
    <cfRule type="cellIs" dxfId="203" priority="55" stopIfTrue="1" operator="lessThan">
      <formula>$B$2</formula>
    </cfRule>
  </conditionalFormatting>
  <conditionalFormatting sqref="A15">
    <cfRule type="cellIs" dxfId="202" priority="16" stopIfTrue="1" operator="equal">
      <formula>"已过期"</formula>
    </cfRule>
  </conditionalFormatting>
  <conditionalFormatting sqref="B15">
    <cfRule type="cellIs" dxfId="201" priority="17" stopIfTrue="1" operator="equal">
      <formula>"已过期"</formula>
    </cfRule>
  </conditionalFormatting>
  <conditionalFormatting sqref="C15">
    <cfRule type="expression" dxfId="200" priority="15">
      <formula>AND($C15-TODAY()&lt;30,TODAY()&lt;$C15)</formula>
    </cfRule>
    <cfRule type="expression" dxfId="199" priority="44">
      <formula>AND($C15-TODAY()&lt;30,TODAY()&lt;$C15)</formula>
    </cfRule>
    <cfRule type="cellIs" dxfId="198" priority="45" stopIfTrue="1" operator="lessThan">
      <formula>$B$2</formula>
    </cfRule>
  </conditionalFormatting>
  <conditionalFormatting sqref="D15">
    <cfRule type="cellIs" dxfId="197" priority="13" stopIfTrue="1" operator="equal">
      <formula>"已过期"</formula>
    </cfRule>
  </conditionalFormatting>
  <conditionalFormatting sqref="E15">
    <cfRule type="cellIs" dxfId="196" priority="14" stopIfTrue="1" operator="equal">
      <formula>"已过期"</formula>
    </cfRule>
  </conditionalFormatting>
  <conditionalFormatting sqref="C16">
    <cfRule type="expression" dxfId="195" priority="52">
      <formula>AND($C16-TODAY()&lt;30,TODAY()&lt;$C16)</formula>
    </cfRule>
    <cfRule type="cellIs" dxfId="194" priority="53" stopIfTrue="1" operator="lessThan">
      <formula>$B$2</formula>
    </cfRule>
  </conditionalFormatting>
  <conditionalFormatting sqref="F16">
    <cfRule type="cellIs" dxfId="193" priority="34" stopIfTrue="1" operator="lessThan">
      <formula>$B$2</formula>
    </cfRule>
  </conditionalFormatting>
  <conditionalFormatting sqref="C17">
    <cfRule type="expression" dxfId="192" priority="42">
      <formula>AND($C17-TODAY()&lt;30,TODAY()&lt;$C17)</formula>
    </cfRule>
    <cfRule type="cellIs" dxfId="191" priority="43" stopIfTrue="1" operator="lessThan">
      <formula>$B$2</formula>
    </cfRule>
  </conditionalFormatting>
  <conditionalFormatting sqref="F17">
    <cfRule type="cellIs" dxfId="190" priority="30" stopIfTrue="1" operator="lessThan">
      <formula>$B$2</formula>
    </cfRule>
  </conditionalFormatting>
  <conditionalFormatting sqref="C18">
    <cfRule type="expression" dxfId="189" priority="50">
      <formula>AND($C18-TODAY()&lt;30,TODAY()&lt;$C18)</formula>
    </cfRule>
    <cfRule type="cellIs" dxfId="188" priority="51" stopIfTrue="1" operator="lessThan">
      <formula>$B$2</formula>
    </cfRule>
  </conditionalFormatting>
  <conditionalFormatting sqref="F18">
    <cfRule type="cellIs" dxfId="187" priority="33" stopIfTrue="1" operator="lessThan">
      <formula>$B$2</formula>
    </cfRule>
  </conditionalFormatting>
  <conditionalFormatting sqref="C19">
    <cfRule type="expression" dxfId="186" priority="40">
      <formula>AND($C19-TODAY()&lt;30,TODAY()&lt;$C19)</formula>
    </cfRule>
    <cfRule type="cellIs" dxfId="185" priority="41" stopIfTrue="1" operator="lessThan">
      <formula>$B$2</formula>
    </cfRule>
  </conditionalFormatting>
  <conditionalFormatting sqref="C20">
    <cfRule type="expression" dxfId="184" priority="48">
      <formula>AND($C20-TODAY()&lt;30,TODAY()&lt;$C20)</formula>
    </cfRule>
    <cfRule type="cellIs" dxfId="183" priority="49" stopIfTrue="1" operator="lessThan">
      <formula>$B$2</formula>
    </cfRule>
  </conditionalFormatting>
  <conditionalFormatting sqref="C21">
    <cfRule type="expression" dxfId="182" priority="38">
      <formula>AND($C21-TODAY()&lt;30,TODAY()&lt;$C21)</formula>
    </cfRule>
    <cfRule type="cellIs" dxfId="181" priority="39" stopIfTrue="1" operator="lessThan">
      <formula>$B$2</formula>
    </cfRule>
  </conditionalFormatting>
  <conditionalFormatting sqref="F21">
    <cfRule type="cellIs" dxfId="180" priority="31" stopIfTrue="1" operator="lessThan">
      <formula>$B$2</formula>
    </cfRule>
  </conditionalFormatting>
  <conditionalFormatting sqref="C22">
    <cfRule type="expression" dxfId="179" priority="1">
      <formula>AND($C22-TODAY()&lt;30,TODAY()&lt;$C22)</formula>
    </cfRule>
    <cfRule type="cellIs" dxfId="178" priority="2" stopIfTrue="1" operator="lessThan">
      <formula>$B$2</formula>
    </cfRule>
    <cfRule type="expression" dxfId="177" priority="3">
      <formula>AND($C22-TODAY()&lt;30,TODAY()&lt;$C22)</formula>
    </cfRule>
    <cfRule type="cellIs" dxfId="176" priority="4" stopIfTrue="1" operator="lessThan">
      <formula>$B$2</formula>
    </cfRule>
  </conditionalFormatting>
  <conditionalFormatting sqref="F22">
    <cfRule type="cellIs" dxfId="175" priority="32" stopIfTrue="1" operator="lessThan">
      <formula>$B$2</formula>
    </cfRule>
  </conditionalFormatting>
  <conditionalFormatting sqref="C23">
    <cfRule type="expression" dxfId="174" priority="36">
      <formula>AND($C23-TODAY()&lt;30,TODAY()&lt;$C23)</formula>
    </cfRule>
    <cfRule type="cellIs" dxfId="173" priority="37" stopIfTrue="1" operator="lessThan">
      <formula>$B$2</formula>
    </cfRule>
  </conditionalFormatting>
  <conditionalFormatting sqref="A24:F24">
    <cfRule type="cellIs" dxfId="172" priority="25" stopIfTrue="1" operator="equal">
      <formula>"已过期"</formula>
    </cfRule>
  </conditionalFormatting>
  <conditionalFormatting sqref="C28">
    <cfRule type="expression" dxfId="171" priority="66">
      <formula>AND($C28-TODAY()&lt;30,TODAY()&lt;$C28)</formula>
    </cfRule>
  </conditionalFormatting>
  <conditionalFormatting sqref="F28">
    <cfRule type="expression" dxfId="170" priority="23">
      <formula>AND($E28-TODAY()&lt;30,TODAY()&lt;$E28)</formula>
    </cfRule>
    <cfRule type="cellIs" dxfId="169" priority="24" stopIfTrue="1" operator="lessThan">
      <formula>$B$2</formula>
    </cfRule>
  </conditionalFormatting>
  <conditionalFormatting sqref="F29">
    <cfRule type="expression" dxfId="168" priority="19" stopIfTrue="1">
      <formula>AND($E29-TODAY()&lt;30,TODAY()&lt;$E29)</formula>
    </cfRule>
    <cfRule type="cellIs" dxfId="167" priority="20" stopIfTrue="1" operator="lessThan">
      <formula>$B$2</formula>
    </cfRule>
  </conditionalFormatting>
  <conditionalFormatting sqref="B4:B11 E4:E11 B16:B23 E16:E23 B13:B14 E13:E14">
    <cfRule type="cellIs" dxfId="166" priority="29" stopIfTrue="1" operator="equal">
      <formula>"已过期"</formula>
    </cfRule>
  </conditionalFormatting>
  <conditionalFormatting sqref="C28 F4">
    <cfRule type="cellIs" dxfId="165" priority="68" stopIfTrue="1" operator="lessThan">
      <formula>$B$2</formula>
    </cfRule>
  </conditionalFormatting>
  <conditionalFormatting sqref="C4:C11 C13:C21 C23">
    <cfRule type="expression" dxfId="164" priority="60">
      <formula>AND($C4-TODAY()&lt;30,TODAY()&lt;$C4)</formula>
    </cfRule>
  </conditionalFormatting>
  <conditionalFormatting sqref="F7 F9 F11 C4:C11 C13:C21 C23">
    <cfRule type="cellIs" dxfId="163" priority="61" stopIfTrue="1" operator="lessThan">
      <formula>$B$2</formula>
    </cfRule>
  </conditionalFormatting>
  <conditionalFormatting sqref="C5 F5">
    <cfRule type="cellIs" dxfId="162" priority="64" stopIfTrue="1" operator="lessThan">
      <formula>$B$2</formula>
    </cfRule>
  </conditionalFormatting>
  <conditionalFormatting sqref="F6 F8 F10">
    <cfRule type="cellIs" dxfId="161" priority="62" stopIfTrue="1" operator="lessThan">
      <formula>$B$2</formula>
    </cfRule>
  </conditionalFormatting>
  <pageMargins left="0.70833333333333304" right="0.70833333333333304" top="0.74791666666666701" bottom="0.74791666666666701" header="0.31458333333333299" footer="0.31458333333333299"/>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56</vt:i4>
      </vt:variant>
      <vt:variant>
        <vt:lpstr>命名范围</vt:lpstr>
      </vt:variant>
      <vt:variant>
        <vt:i4>137</vt:i4>
      </vt:variant>
    </vt:vector>
  </HeadingPairs>
  <TitlesOfParts>
    <vt:vector size="19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面积表4（1、2号连廊企业提供）</vt:lpstr>
      <vt:lpstr>面积表3（产业园企业提供）</vt:lpstr>
      <vt:lpstr>面积表2（仓储A、B、C区企业提供）</vt:lpstr>
      <vt:lpstr>面积表1（1-6#企业提供）</vt:lpstr>
      <vt:lpstr>数据-汇总表</vt:lpstr>
      <vt:lpstr>数据-取费表</vt:lpstr>
      <vt:lpstr>估价对象房地状况</vt:lpstr>
      <vt:lpstr>系统读取表</vt:lpstr>
      <vt:lpstr>结果表</vt:lpstr>
      <vt:lpstr>成本法</vt:lpstr>
      <vt:lpstr>成本法 (元)</vt:lpstr>
      <vt:lpstr>土地比较法-商业</vt:lpstr>
      <vt:lpstr>假设开发法</vt:lpstr>
      <vt:lpstr>收益法（四层）</vt:lpstr>
      <vt:lpstr>收益法（三层）</vt:lpstr>
      <vt:lpstr>收益法（二层）</vt:lpstr>
      <vt:lpstr>收益法（一层）</vt:lpstr>
      <vt:lpstr>收益法 (元)</vt:lpstr>
      <vt:lpstr>典型户型修正</vt:lpstr>
      <vt:lpstr>收益法（汇总）</vt:lpstr>
      <vt:lpstr>酒店收入计算</vt:lpstr>
      <vt:lpstr>比较法-住宅</vt:lpstr>
      <vt:lpstr>比较法-商业</vt:lpstr>
      <vt:lpstr>比较法-办公</vt:lpstr>
      <vt:lpstr>比较法-工业</vt:lpstr>
      <vt:lpstr>比较法-车位</vt:lpstr>
      <vt:lpstr>比较法-仓储</vt:lpstr>
      <vt:lpstr>1-6#不动产权证</vt:lpstr>
      <vt:lpstr>土地比较法-工业</vt:lpstr>
      <vt:lpstr>基准地价修正</vt:lpstr>
      <vt:lpstr>修正</vt:lpstr>
      <vt:lpstr>容积率修正</vt:lpstr>
      <vt:lpstr>基准地价（汇总）</vt:lpstr>
      <vt:lpstr>地价</vt:lpstr>
      <vt:lpstr>成本法（废）</vt:lpstr>
      <vt:lpstr>区片价</vt:lpstr>
      <vt:lpstr>因素修正幅度</vt:lpstr>
      <vt:lpstr>存贷款利率</vt:lpstr>
      <vt:lpstr>区片价（范围）</vt:lpstr>
      <vt:lpstr>仓储A、B、C区</vt:lpstr>
      <vt:lpstr>电商产业园</vt:lpstr>
      <vt:lpstr>浙商产业园</vt:lpstr>
      <vt:lpstr>1、2号连廊</vt:lpstr>
      <vt:lpstr>估价师及机构信息!Print_Area</vt:lpstr>
      <vt:lpstr>'收益法 (元)'!Print_Area</vt:lpstr>
      <vt:lpstr>'收益法（二层）'!Print_Area</vt:lpstr>
      <vt:lpstr>'收益法（三层）'!Print_Area</vt:lpstr>
      <vt:lpstr>'收益法（四层）'!Print_Area</vt:lpstr>
      <vt:lpstr>'收益法（一层）'!Print_Area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2017-03-01T09:15:00Z</cp:lastPrinted>
  <dcterms:created xsi:type="dcterms:W3CDTF">2015-07-13T07:17:00Z</dcterms:created>
  <dcterms:modified xsi:type="dcterms:W3CDTF">2018-10-10T07:05:42Z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2052-11.1.0.7764</vt:lpwstr>
  </property>
</Properties>
</file>